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slicerCaches/slicerCache1.xml" ContentType="application/vnd.ms-excel.slicerCache+xml"/>
  <Override PartName="/xl/slicerCaches/slicerCache2.xml" ContentType="application/vnd.ms-excel.slicerCache+xml"/>
  <Override PartName="/xl/slicerCaches/slicerCache3.xml" ContentType="application/vnd.ms-excel.slicerCache+xml"/>
  <Override PartName="/xl/slicerCaches/slicerCache4.xml" ContentType="application/vnd.ms-excel.slicerCache+xml"/>
  <Override PartName="/xl/slicerCaches/slicerCache5.xml" ContentType="application/vnd.ms-excel.slicerCache+xml"/>
  <Override PartName="/xl/slicerCaches/slicerCache6.xml" ContentType="application/vnd.ms-excel.slicerCache+xml"/>
  <Override PartName="/xl/slicerCaches/slicerCache7.xml" ContentType="application/vnd.ms-excel.slicerCache+xml"/>
  <Override PartName="/xl/slicerCaches/slicerCache8.xml" ContentType="application/vnd.ms-excel.slicerCache+xml"/>
  <Override PartName="/xl/slicerCaches/slicerCache9.xml" ContentType="application/vnd.ms-excel.slicerCache+xml"/>
  <Override PartName="/xl/slicerCaches/slicerCache10.xml" ContentType="application/vnd.ms-excel.slicerCache+xml"/>
  <Override PartName="/xl/slicerCaches/slicerCache11.xml" ContentType="application/vnd.ms-excel.slicerCache+xml"/>
  <Override PartName="/xl/slicerCaches/slicerCache12.xml" ContentType="application/vnd.ms-excel.slicerCache+xml"/>
  <Override PartName="/xl/slicerCaches/slicerCache13.xml" ContentType="application/vnd.ms-excel.slicerCache+xml"/>
  <Override PartName="/xl/slicerCaches/slicerCache14.xml" ContentType="application/vnd.ms-excel.slicerCache+xml"/>
  <Override PartName="/xl/slicerCaches/slicerCache15.xml" ContentType="application/vnd.ms-excel.slicerCache+xml"/>
  <Override PartName="/xl/slicerCaches/slicerCache16.xml" ContentType="application/vnd.ms-excel.slicerCache+xml"/>
  <Override PartName="/xl/slicerCaches/slicerCache17.xml" ContentType="application/vnd.ms-excel.slicerCache+xml"/>
  <Override PartName="/xl/slicerCaches/slicerCache18.xml" ContentType="application/vnd.ms-excel.slicerCache+xml"/>
  <Override PartName="/xl/slicerCaches/slicerCache19.xml" ContentType="application/vnd.ms-excel.slicerCache+xml"/>
  <Override PartName="/xl/slicerCaches/slicerCache20.xml" ContentType="application/vnd.ms-excel.slicerCache+xml"/>
  <Override PartName="/xl/slicerCaches/slicerCache21.xml" ContentType="application/vnd.ms-excel.slicerCache+xml"/>
  <Override PartName="/xl/slicerCaches/slicerCache22.xml" ContentType="application/vnd.ms-excel.slicerCache+xml"/>
  <Override PartName="/xl/slicerCaches/slicerCache23.xml" ContentType="application/vnd.ms-excel.slicerCache+xml"/>
  <Override PartName="/xl/slicerCaches/slicerCache24.xml" ContentType="application/vnd.ms-excel.slicerCache+xml"/>
  <Override PartName="/xl/slicerCaches/slicerCache25.xml" ContentType="application/vnd.ms-excel.slicerCache+xml"/>
  <Override PartName="/xl/slicerCaches/slicerCache26.xml" ContentType="application/vnd.ms-excel.slicerCache+xml"/>
  <Override PartName="/xl/slicerCaches/slicerCache27.xml" ContentType="application/vnd.ms-excel.slicerCache+xml"/>
  <Override PartName="/xl/slicerCaches/slicerCache28.xml" ContentType="application/vnd.ms-excel.slicerCache+xml"/>
  <Override PartName="/xl/slicerCaches/slicerCache29.xml" ContentType="application/vnd.ms-excel.slicerCache+xml"/>
  <Override PartName="/xl/slicerCaches/slicerCache30.xml" ContentType="application/vnd.ms-excel.slicerCache+xml"/>
  <Override PartName="/xl/slicerCaches/slicerCache31.xml" ContentType="application/vnd.ms-excel.slicerCache+xml"/>
  <Override PartName="/xl/slicerCaches/slicerCache32.xml" ContentType="application/vnd.ms-excel.slicerCache+xml"/>
  <Override PartName="/xl/slicerCaches/slicerCache33.xml" ContentType="application/vnd.ms-excel.slicerCache+xml"/>
  <Override PartName="/xl/slicerCaches/slicerCache34.xml" ContentType="application/vnd.ms-excel.slicerCache+xml"/>
  <Override PartName="/xl/slicerCaches/slicerCache35.xml" ContentType="application/vnd.ms-excel.slicerCache+xml"/>
  <Override PartName="/xl/slicerCaches/slicerCache36.xml" ContentType="application/vnd.ms-excel.slicerCache+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slicers/slicer1.xml" ContentType="application/vnd.ms-excel.slicer+xml"/>
  <Override PartName="/xl/pivotTables/pivotTable1.xml" ContentType="application/vnd.openxmlformats-officedocument.spreadsheetml.pivotTable+xml"/>
  <Override PartName="/xl/drawings/drawing2.xml" ContentType="application/vnd.openxmlformats-officedocument.drawing+xml"/>
  <Override PartName="/xl/slicers/slicer2.xml" ContentType="application/vnd.ms-excel.slicer+xml"/>
  <Override PartName="/xl/drawings/drawing3.xml" ContentType="application/vnd.openxmlformats-officedocument.drawing+xml"/>
  <Override PartName="/xl/slicers/slicer3.xml" ContentType="application/vnd.ms-excel.slicer+xml"/>
  <Override PartName="/xl/pivotTables/pivotTable2.xml" ContentType="application/vnd.openxmlformats-officedocument.spreadsheetml.pivotTable+xml"/>
  <Override PartName="/xl/drawings/drawing4.xml" ContentType="application/vnd.openxmlformats-officedocument.drawing+xml"/>
  <Override PartName="/xl/slicers/slicer4.xml" ContentType="application/vnd.ms-excel.slicer+xml"/>
  <Override PartName="/xl/drawings/drawing5.xml" ContentType="application/vnd.openxmlformats-officedocument.drawing+xml"/>
  <Override PartName="/xl/slicers/slicer5.xml" ContentType="application/vnd.ms-excel.slicer+xml"/>
  <Override PartName="/xl/pivotTables/pivotTable3.xml" ContentType="application/vnd.openxmlformats-officedocument.spreadsheetml.pivotTable+xml"/>
  <Override PartName="/xl/pivotTables/pivotTable4.xml" ContentType="application/vnd.openxmlformats-officedocument.spreadsheetml.pivotTable+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pivotTables/pivotTable5.xml" ContentType="application/vnd.openxmlformats-officedocument.spreadsheetml.pivotTable+xml"/>
  <Override PartName="/xl/pivotTables/pivotTable6.xml" ContentType="application/vnd.openxmlformats-officedocument.spreadsheetml.pivotTable+xml"/>
  <Override PartName="/xl/drawings/drawing9.xml" ContentType="application/vnd.openxmlformats-officedocument.drawing+xml"/>
  <Override PartName="/xl/slicers/slicer6.xml" ContentType="application/vnd.ms-excel.slicer+xml"/>
  <Override PartName="/xl/drawings/drawing10.xml" ContentType="application/vnd.openxmlformats-officedocument.drawing+xml"/>
  <Override PartName="/xl/slicers/slicer7.xml" ContentType="application/vnd.ms-excel.slicer+xml"/>
  <Override PartName="/xl/pivotTables/pivotTable7.xml" ContentType="application/vnd.openxmlformats-officedocument.spreadsheetml.pivotTable+xml"/>
  <Override PartName="/xl/pivotTables/pivotTable8.xml" ContentType="application/vnd.openxmlformats-officedocument.spreadsheetml.pivotTable+xml"/>
  <Override PartName="/xl/pivotTables/pivotTable9.xml" ContentType="application/vnd.openxmlformats-officedocument.spreadsheetml.pivotTable+xml"/>
  <Override PartName="/xl/pivotTables/pivotTable10.xml" ContentType="application/vnd.openxmlformats-officedocument.spreadsheetml.pivotTable+xml"/>
  <Override PartName="/xl/drawings/drawing11.xml" ContentType="application/vnd.openxmlformats-officedocument.drawing+xml"/>
  <Override PartName="/xl/slicers/slicer8.xml" ContentType="application/vnd.ms-excel.slicer+xml"/>
  <Override PartName="/xl/drawings/drawing12.xml" ContentType="application/vnd.openxmlformats-officedocument.drawing+xml"/>
  <Override PartName="/xl/slicers/slicer9.xml" ContentType="application/vnd.ms-excel.slicer+xml"/>
  <Override PartName="/xl/drawings/drawing13.xml" ContentType="application/vnd.openxmlformats-officedocument.drawing+xml"/>
  <Override PartName="/xl/slicers/slicer47.xml" ContentType="application/vnd.ms-excel.slicer+xml"/>
  <Override PartName="/xl/slicers/slicer10.xml" ContentType="application/vnd.ms-excel.slicer+xml"/>
  <Override PartName="/xl/pivotTables/pivotTable11.xml" ContentType="application/vnd.openxmlformats-officedocument.spreadsheetml.pivotTable+xml"/>
  <Override PartName="/xl/drawings/drawing14.xml" ContentType="application/vnd.openxmlformats-officedocument.drawing+xml"/>
  <Override PartName="/xl/slicers/slicer11.xml" ContentType="application/vnd.ms-excel.slicer+xml"/>
  <Override PartName="/xl/drawings/drawing15.xml" ContentType="application/vnd.openxmlformats-officedocument.drawing+xml"/>
  <Override PartName="/xl/slicers/slicer12.xml" ContentType="application/vnd.ms-excel.slicer+xml"/>
  <Override PartName="/xl/pivotTables/pivotTable12.xml" ContentType="application/vnd.openxmlformats-officedocument.spreadsheetml.pivotTable+xml"/>
  <Override PartName="/xl/drawings/drawing16.xml" ContentType="application/vnd.openxmlformats-officedocument.drawing+xml"/>
  <Override PartName="/xl/slicers/slicer13.xml" ContentType="application/vnd.ms-excel.slicer+xml"/>
  <Override PartName="/xl/drawings/drawing17.xml" ContentType="application/vnd.openxmlformats-officedocument.drawing+xml"/>
  <Override PartName="/xl/slicers/slicer14.xml" ContentType="application/vnd.ms-excel.slicer+xml"/>
  <Override PartName="/xl/pivotTables/pivotTable13.xml" ContentType="application/vnd.openxmlformats-officedocument.spreadsheetml.pivotTable+xml"/>
  <Override PartName="/xl/drawings/drawing18.xml" ContentType="application/vnd.openxmlformats-officedocument.drawing+xml"/>
  <Override PartName="/xl/slicers/slicer15.xml" ContentType="application/vnd.ms-excel.slicer+xml"/>
  <Override PartName="/xl/drawings/drawing19.xml" ContentType="application/vnd.openxmlformats-officedocument.drawing+xml"/>
  <Override PartName="/xl/slicers/slicer16.xml" ContentType="application/vnd.ms-excel.slicer+xml"/>
  <Override PartName="/xl/pivotTables/pivotTable14.xml" ContentType="application/vnd.openxmlformats-officedocument.spreadsheetml.pivotTable+xml"/>
  <Override PartName="/xl/drawings/drawing20.xml" ContentType="application/vnd.openxmlformats-officedocument.drawing+xml"/>
  <Override PartName="/xl/slicers/slicer17.xml" ContentType="application/vnd.ms-excel.slicer+xml"/>
  <Override PartName="/xl/drawings/drawing21.xml" ContentType="application/vnd.openxmlformats-officedocument.drawing+xml"/>
  <Override PartName="/xl/slicers/slicer18.xml" ContentType="application/vnd.ms-excel.slicer+xml"/>
  <Override PartName="/xl/pivotTables/pivotTable15.xml" ContentType="application/vnd.openxmlformats-officedocument.spreadsheetml.pivotTable+xml"/>
  <Override PartName="/xl/drawings/drawing22.xml" ContentType="application/vnd.openxmlformats-officedocument.drawing+xml"/>
  <Override PartName="/xl/slicers/slicer19.xml" ContentType="application/vnd.ms-excel.slicer+xml"/>
  <Override PartName="/xl/drawings/drawing23.xml" ContentType="application/vnd.openxmlformats-officedocument.drawing+xml"/>
  <Override PartName="/xl/slicers/slicer20.xml" ContentType="application/vnd.ms-excel.slicer+xml"/>
  <Override PartName="/xl/pivotTables/pivotTable16.xml" ContentType="application/vnd.openxmlformats-officedocument.spreadsheetml.pivotTable+xml"/>
  <Override PartName="/xl/drawings/drawing24.xml" ContentType="application/vnd.openxmlformats-officedocument.drawing+xml"/>
  <Override PartName="/xl/slicers/slicer21.xml" ContentType="application/vnd.ms-excel.slicer+xml"/>
  <Override PartName="/xl/drawings/drawing25.xml" ContentType="application/vnd.openxmlformats-officedocument.drawing+xml"/>
  <Override PartName="/xl/slicers/slicer22.xml" ContentType="application/vnd.ms-excel.slicer+xml"/>
  <Override PartName="/xl/pivotTables/pivotTable17.xml" ContentType="application/vnd.openxmlformats-officedocument.spreadsheetml.pivotTable+xml"/>
  <Override PartName="/xl/drawings/drawing26.xml" ContentType="application/vnd.openxmlformats-officedocument.drawing+xml"/>
  <Override PartName="/xl/slicers/slicer23.xml" ContentType="application/vnd.ms-excel.slicer+xml"/>
  <Override PartName="/xl/drawings/drawing27.xml" ContentType="application/vnd.openxmlformats-officedocument.drawing+xml"/>
  <Override PartName="/xl/slicers/slicer24.xml" ContentType="application/vnd.ms-excel.slicer+xml"/>
  <Override PartName="/xl/pivotTables/pivotTable18.xml" ContentType="application/vnd.openxmlformats-officedocument.spreadsheetml.pivotTable+xml"/>
  <Override PartName="/xl/drawings/drawing28.xml" ContentType="application/vnd.openxmlformats-officedocument.drawing+xml"/>
  <Override PartName="/xl/slicers/slicer25.xml" ContentType="application/vnd.ms-excel.slicer+xml"/>
  <Override PartName="/xl/pivotTables/pivotTable19.xml" ContentType="application/vnd.openxmlformats-officedocument.spreadsheetml.pivotTable+xml"/>
  <Override PartName="/xl/drawings/drawing29.xml" ContentType="application/vnd.openxmlformats-officedocument.drawing+xml"/>
  <Override PartName="/xl/slicers/slicer26.xml" ContentType="application/vnd.ms-excel.slicer+xml"/>
  <Override PartName="/xl/drawings/drawing30.xml" ContentType="application/vnd.openxmlformats-officedocument.drawing+xml"/>
  <Override PartName="/xl/slicers/slicer27.xml" ContentType="application/vnd.ms-excel.slicer+xml"/>
  <Override PartName="/xl/pivotTables/pivotTable20.xml" ContentType="application/vnd.openxmlformats-officedocument.spreadsheetml.pivotTable+xml"/>
  <Override PartName="/xl/drawings/drawing31.xml" ContentType="application/vnd.openxmlformats-officedocument.drawing+xml"/>
  <Override PartName="/xl/slicers/slicer28.xml" ContentType="application/vnd.ms-excel.slicer+xml"/>
  <Override PartName="/xl/drawings/drawing32.xml" ContentType="application/vnd.openxmlformats-officedocument.drawing+xml"/>
  <Override PartName="/xl/slicers/slicer29.xml" ContentType="application/vnd.ms-excel.slicer+xml"/>
  <Override PartName="/xl/pivotTables/pivotTable21.xml" ContentType="application/vnd.openxmlformats-officedocument.spreadsheetml.pivotTable+xml"/>
  <Override PartName="/xl/drawings/drawing33.xml" ContentType="application/vnd.openxmlformats-officedocument.drawing+xml"/>
  <Override PartName="/xl/slicers/slicer30.xml" ContentType="application/vnd.ms-excel.slicer+xml"/>
  <Override PartName="/xl/drawings/drawing34.xml" ContentType="application/vnd.openxmlformats-officedocument.drawing+xml"/>
  <Override PartName="/xl/slicers/slicer31.xml" ContentType="application/vnd.ms-excel.slicer+xml"/>
  <Override PartName="/xl/pivotTables/pivotTable22.xml" ContentType="application/vnd.openxmlformats-officedocument.spreadsheetml.pivotTable+xml"/>
  <Override PartName="/xl/drawings/drawing35.xml" ContentType="application/vnd.openxmlformats-officedocument.drawing+xml"/>
  <Override PartName="/xl/slicers/slicer32.xml" ContentType="application/vnd.ms-excel.slicer+xml"/>
  <Override PartName="/xl/drawings/drawing36.xml" ContentType="application/vnd.openxmlformats-officedocument.drawing+xml"/>
  <Override PartName="/xl/slicers/slicer33.xml" ContentType="application/vnd.ms-excel.slicer+xml"/>
  <Override PartName="/xl/pivotTables/pivotTable23.xml" ContentType="application/vnd.openxmlformats-officedocument.spreadsheetml.pivotTable+xml"/>
  <Override PartName="/xl/drawings/drawing37.xml" ContentType="application/vnd.openxmlformats-officedocument.drawing+xml"/>
  <Override PartName="/xl/slicers/slicer34.xml" ContentType="application/vnd.ms-excel.slicer+xml"/>
  <Override PartName="/xl/pivotTables/pivotTable24.xml" ContentType="application/vnd.openxmlformats-officedocument.spreadsheetml.pivotTable+xml"/>
  <Override PartName="/xl/drawings/drawing38.xml" ContentType="application/vnd.openxmlformats-officedocument.drawing+xml"/>
  <Override PartName="/xl/slicers/slicer35.xml" ContentType="application/vnd.ms-excel.slicer+xml"/>
  <Override PartName="/xl/drawings/drawing39.xml" ContentType="application/vnd.openxmlformats-officedocument.drawing+xml"/>
  <Override PartName="/xl/slicers/slicer36.xml" ContentType="application/vnd.ms-excel.slicer+xml"/>
  <Override PartName="/xl/pivotTables/pivotTable25.xml" ContentType="application/vnd.openxmlformats-officedocument.spreadsheetml.pivotTable+xml"/>
  <Override PartName="/xl/pivotTables/pivotTable26.xml" ContentType="application/vnd.openxmlformats-officedocument.spreadsheetml.pivotTable+xml"/>
  <Override PartName="/xl/drawings/drawing40.xml" ContentType="application/vnd.openxmlformats-officedocument.drawing+xml"/>
  <Override PartName="/xl/slicers/slicer37.xml" ContentType="application/vnd.ms-excel.slicer+xml"/>
  <Override PartName="/xl/drawings/drawing41.xml" ContentType="application/vnd.openxmlformats-officedocument.drawing+xml"/>
  <Override PartName="/xl/slicers/slicer38.xml" ContentType="application/vnd.ms-excel.slicer+xml"/>
  <Override PartName="/xl/pivotTables/pivotTable27.xml" ContentType="application/vnd.openxmlformats-officedocument.spreadsheetml.pivotTable+xml"/>
  <Override PartName="/xl/drawings/drawing42.xml" ContentType="application/vnd.openxmlformats-officedocument.drawing+xml"/>
  <Override PartName="/xl/slicers/slicer39.xml" ContentType="application/vnd.ms-excel.slicer+xml"/>
  <Override PartName="/xl/drawings/drawing43.xml" ContentType="application/vnd.openxmlformats-officedocument.drawing+xml"/>
  <Override PartName="/xl/slicers/slicer40.xml" ContentType="application/vnd.ms-excel.slicer+xml"/>
  <Override PartName="/xl/pivotTables/pivotTable28.xml" ContentType="application/vnd.openxmlformats-officedocument.spreadsheetml.pivotTable+xml"/>
  <Override PartName="/xl/drawings/drawing44.xml" ContentType="application/vnd.openxmlformats-officedocument.drawing+xml"/>
  <Override PartName="/xl/slicers/slicer41.xml" ContentType="application/vnd.ms-excel.slicer+xml"/>
  <Override PartName="/xl/drawings/drawing45.xml" ContentType="application/vnd.openxmlformats-officedocument.drawing+xml"/>
  <Override PartName="/xl/slicers/slicer42.xml" ContentType="application/vnd.ms-excel.slicer+xml"/>
  <Override PartName="/xl/pivotTables/pivotTable29.xml" ContentType="application/vnd.openxmlformats-officedocument.spreadsheetml.pivotTable+xml"/>
  <Override PartName="/xl/drawings/drawing46.xml" ContentType="application/vnd.openxmlformats-officedocument.drawing+xml"/>
  <Override PartName="/xl/slicers/slicer43.xml" ContentType="application/vnd.ms-excel.slicer+xml"/>
  <Override PartName="/xl/drawings/drawing47.xml" ContentType="application/vnd.openxmlformats-officedocument.drawing+xml"/>
  <Override PartName="/xl/slicers/slicer44.xml" ContentType="application/vnd.ms-excel.slicer+xml"/>
  <Override PartName="/xl/pivotTables/pivotTable30.xml" ContentType="application/vnd.openxmlformats-officedocument.spreadsheetml.pivotTable+xml"/>
  <Override PartName="/xl/drawings/drawing48.xml" ContentType="application/vnd.openxmlformats-officedocument.drawing+xml"/>
  <Override PartName="/xl/slicers/slicer45.xml" ContentType="application/vnd.ms-excel.slicer+xml"/>
  <Override PartName="/xl/drawings/drawing49.xml" ContentType="application/vnd.openxmlformats-officedocument.drawing+xml"/>
  <Override PartName="/xl/slicers/slicer46.xml" ContentType="application/vnd.ms-excel.slicer+xml"/>
  <Override PartName="/xl/pivotTables/pivotTable31.xml" ContentType="application/vnd.openxmlformats-officedocument.spreadsheetml.pivotTable+xml"/>
  <Override PartName="/xl/pivotTables/pivotTable32.xml" ContentType="application/vnd.openxmlformats-officedocument.spreadsheetml.pivotTable+xml"/>
  <Override PartName="/xl/pivotTables/pivotTable33.xml" ContentType="application/vnd.openxmlformats-officedocument.spreadsheetml.pivotTable+xml"/>
  <Override PartName="/xl/pivotTables/pivotTable34.xml" ContentType="application/vnd.openxmlformats-officedocument.spreadsheetml.pivotTable+xml"/>
  <Override PartName="/xl/drawings/drawing50.xml" ContentType="application/vnd.openxmlformats-officedocument.drawing+xml"/>
  <Override PartName="/xl/drawings/drawing51.xml" ContentType="application/vnd.openxmlformats-officedocument.drawing+xml"/>
  <Override PartName="/xl/slicers/slicer48.xml" ContentType="application/vnd.ms-excel.slicer+xml"/>
  <Override PartName="/xl/pivotTables/pivotTable35.xml" ContentType="application/vnd.openxmlformats-officedocument.spreadsheetml.pivotTable+xml"/>
  <Override PartName="/xl/pivotTables/pivotTable36.xml" ContentType="application/vnd.openxmlformats-officedocument.spreadsheetml.pivotTable+xml"/>
  <Override PartName="/xl/pivotTables/pivotTable37.xml" ContentType="application/vnd.openxmlformats-officedocument.spreadsheetml.pivotTable+xml"/>
  <Override PartName="/xl/pivotTables/pivotTable38.xml" ContentType="application/vnd.openxmlformats-officedocument.spreadsheetml.pivotTable+xml"/>
  <Override PartName="/xl/drawings/drawing52.xml" ContentType="application/vnd.openxmlformats-officedocument.drawing+xml"/>
  <Override PartName="/xl/slicers/slicer49.xml" ContentType="application/vnd.ms-excel.slicer+xml"/>
  <Override PartName="/xl/drawings/drawing53.xml" ContentType="application/vnd.openxmlformats-officedocument.drawing+xml"/>
  <Override PartName="/xl/slicers/slicer50.xml" ContentType="application/vnd.ms-excel.slicer+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pivotTables/pivotTable39.xml" ContentType="application/vnd.openxmlformats-officedocument.spreadsheetml.pivotTable+xml"/>
  <Override PartName="/xl/pivotTables/pivotTable40.xml" ContentType="application/vnd.openxmlformats-officedocument.spreadsheetml.pivotTable+xml"/>
  <Override PartName="/xl/pivotTables/pivotTable41.xml" ContentType="application/vnd.openxmlformats-officedocument.spreadsheetml.pivotTable+xml"/>
  <Override PartName="/xl/pivotTables/pivotTable42.xml" ContentType="application/vnd.openxmlformats-officedocument.spreadsheetml.pivotTable+xml"/>
  <Override PartName="/xl/pivotTables/pivotTable43.xml" ContentType="application/vnd.openxmlformats-officedocument.spreadsheetml.pivotTable+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pivotTables/pivotTable44.xml" ContentType="application/vnd.openxmlformats-officedocument.spreadsheetml.pivotTable+xml"/>
  <Override PartName="/xl/pivotTables/pivotTable45.xml" ContentType="application/vnd.openxmlformats-officedocument.spreadsheetml.pivotTable+xml"/>
  <Override PartName="/xl/pivotTables/pivotTable46.xml" ContentType="application/vnd.openxmlformats-officedocument.spreadsheetml.pivotTable+xml"/>
  <Override PartName="/xl/pivotTables/pivotTable47.xml" ContentType="application/vnd.openxmlformats-officedocument.spreadsheetml.pivotTable+xml"/>
  <Override PartName="/xl/pivotTables/pivotTable48.xml" ContentType="application/vnd.openxmlformats-officedocument.spreadsheetml.pivotTable+xml"/>
  <Override PartName="/xl/pivotTables/pivotTable49.xml" ContentType="application/vnd.openxmlformats-officedocument.spreadsheetml.pivotTable+xml"/>
  <Override PartName="/xl/pivotTables/pivotTable50.xml" ContentType="application/vnd.openxmlformats-officedocument.spreadsheetml.pivotTable+xml"/>
  <Override PartName="/xl/pivotTables/pivotTable51.xml" ContentType="application/vnd.openxmlformats-officedocument.spreadsheetml.pivotTable+xml"/>
  <Override PartName="/xl/pivotTables/pivotTable52.xml" ContentType="application/vnd.openxmlformats-officedocument.spreadsheetml.pivotTable+xml"/>
  <Override PartName="/xl/pivotTables/pivotTable53.xml" ContentType="application/vnd.openxmlformats-officedocument.spreadsheetml.pivotTable+xml"/>
  <Override PartName="/xl/pivotTables/pivotTable54.xml" ContentType="application/vnd.openxmlformats-officedocument.spreadsheetml.pivotTable+xml"/>
  <Override PartName="/xl/pivotTables/pivotTable55.xml" ContentType="application/vnd.openxmlformats-officedocument.spreadsheetml.pivotTable+xml"/>
  <Override PartName="/xl/pivotTables/pivotTable56.xml" ContentType="application/vnd.openxmlformats-officedocument.spreadsheetml.pivotTable+xml"/>
  <Override PartName="/xl/pivotTables/pivotTable57.xml" ContentType="application/vnd.openxmlformats-officedocument.spreadsheetml.pivotTable+xml"/>
  <Override PartName="/xl/pivotTables/pivotTable58.xml" ContentType="application/vnd.openxmlformats-officedocument.spreadsheetml.pivotTable+xml"/>
  <Override PartName="/xl/drawings/drawing62.xml" ContentType="application/vnd.openxmlformats-officedocument.drawing+xml"/>
  <Override PartName="/xl/slicers/slicer51.xml" ContentType="application/vnd.ms-excel.slicer+xml"/>
  <Override PartName="/xl/drawings/drawing63.xml" ContentType="application/vnd.openxmlformats-officedocument.drawing+xml"/>
  <Override PartName="/xl/slicers/slicer52.xml" ContentType="application/vnd.ms-excel.slicer+xml"/>
  <Override PartName="/xl/drawings/drawing64.xml" ContentType="application/vnd.openxmlformats-officedocument.drawing+xml"/>
  <Override PartName="/xl/slicers/slicer53.xml" ContentType="application/vnd.ms-excel.slicer+xml"/>
  <Override PartName="/xl/drawings/drawing65.xml" ContentType="application/vnd.openxmlformats-officedocument.drawing+xml"/>
  <Override PartName="/xl/slicers/slicer54.xml" ContentType="application/vnd.ms-excel.slicer+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pivotTables/pivotTable59.xml" ContentType="application/vnd.openxmlformats-officedocument.spreadsheetml.pivotTable+xml"/>
  <Override PartName="/xl/pivotTables/pivotTable60.xml" ContentType="application/vnd.openxmlformats-officedocument.spreadsheetml.pivotTable+xml"/>
  <Override PartName="/xl/pivotTables/pivotTable61.xml" ContentType="application/vnd.openxmlformats-officedocument.spreadsheetml.pivotTable+xml"/>
  <Override PartName="/xl/drawings/drawing78.xml" ContentType="application/vnd.openxmlformats-officedocument.drawing+xml"/>
  <Override PartName="/xl/slicers/slicer55.xml" ContentType="application/vnd.ms-excel.slicer+xml"/>
  <Override PartName="/xl/pivotTables/pivotTable62.xml" ContentType="application/vnd.openxmlformats-officedocument.spreadsheetml.pivotTable+xml"/>
  <Override PartName="/xl/drawings/drawing79.xml" ContentType="application/vnd.openxmlformats-officedocument.drawing+xml"/>
  <Override PartName="/xl/slicers/slicer56.xml" ContentType="application/vnd.ms-excel.slicer+xml"/>
  <Override PartName="/xl/pivotTables/pivotTable63.xml" ContentType="application/vnd.openxmlformats-officedocument.spreadsheetml.pivotTable+xml"/>
  <Override PartName="/xl/drawings/drawing80.xml" ContentType="application/vnd.openxmlformats-officedocument.drawing+xml"/>
  <Override PartName="/xl/slicers/slicer57.xml" ContentType="application/vnd.ms-excel.slicer+xml"/>
  <Override PartName="/xl/pivotTables/pivotTable64.xml" ContentType="application/vnd.openxmlformats-officedocument.spreadsheetml.pivotTable+xml"/>
  <Override PartName="/xl/drawings/drawing81.xml" ContentType="application/vnd.openxmlformats-officedocument.drawing+xml"/>
  <Override PartName="/xl/slicers/slicer58.xml" ContentType="application/vnd.ms-excel.slicer+xml"/>
  <Override PartName="/xl/pivotTables/pivotTable65.xml" ContentType="application/vnd.openxmlformats-officedocument.spreadsheetml.pivotTable+xml"/>
  <Override PartName="/xl/drawings/drawing82.xml" ContentType="application/vnd.openxmlformats-officedocument.drawing+xml"/>
  <Override PartName="/xl/slicers/slicer59.xml" ContentType="application/vnd.ms-excel.slicer+xml"/>
  <Override PartName="/xl/drawings/drawing83.xml" ContentType="application/vnd.openxmlformats-officedocument.drawing+xml"/>
  <Override PartName="/xl/slicers/slicer60.xml" ContentType="application/vnd.ms-excel.slicer+xml"/>
  <Override PartName="/xl/pivotTables/pivotTable66.xml" ContentType="application/vnd.openxmlformats-officedocument.spreadsheetml.pivotTable+xml"/>
  <Override PartName="/xl/pivotTables/pivotTable67.xml" ContentType="application/vnd.openxmlformats-officedocument.spreadsheetml.pivotTable+xml"/>
  <Override PartName="/xl/drawings/drawing84.xml" ContentType="application/vnd.openxmlformats-officedocument.drawing+xml"/>
  <Override PartName="/xl/slicers/slicer61.xml" ContentType="application/vnd.ms-excel.slicer+xml"/>
  <Override PartName="/xl/drawings/drawing85.xml" ContentType="application/vnd.openxmlformats-officedocument.drawing+xml"/>
  <Override PartName="/xl/slicers/slicer62.xml" ContentType="application/vnd.ms-excel.slicer+xml"/>
  <Override PartName="/xl/drawings/drawing86.xml" ContentType="application/vnd.openxmlformats-officedocument.drawing+xml"/>
  <Override PartName="/xl/drawings/drawing87.xml" ContentType="application/vnd.openxmlformats-officedocument.drawing+xml"/>
  <Override PartName="/xl/drawings/drawing88.xml" ContentType="application/vnd.openxmlformats-officedocument.drawing+xml"/>
  <Override PartName="/xl/pivotCache/pivotCacheDefinition1.xml" ContentType="application/vnd.openxmlformats-officedocument.spreadsheetml.pivotCacheDefinition+xml"/>
  <Override PartName="/xl/pivotCache/pivotCacheRecords1.xml" ContentType="application/vnd.openxmlformats-officedocument.spreadsheetml.pivotCacheRecords+xml"/>
  <Override PartName="/xl/pivotCache/pivotCacheDefinition2.xml" ContentType="application/vnd.openxmlformats-officedocument.spreadsheetml.pivotCacheDefinition+xml"/>
  <Override PartName="/xl/pivotCache/pivotCacheRecords2.xml" ContentType="application/vnd.openxmlformats-officedocument.spreadsheetml.pivotCacheRecords+xml"/>
  <Override PartName="/xl/pivotCache/pivotCacheDefinition3.xml" ContentType="application/vnd.openxmlformats-officedocument.spreadsheetml.pivotCacheDefinition+xml"/>
  <Override PartName="/xl/pivotCache/pivotCacheRecords3.xml" ContentType="application/vnd.openxmlformats-officedocument.spreadsheetml.pivotCacheRecords+xml"/>
  <Override PartName="/xl/pivotCache/pivotCacheDefinition4.xml" ContentType="application/vnd.openxmlformats-officedocument.spreadsheetml.pivotCacheDefinition+xml"/>
  <Override PartName="/xl/pivotCache/pivotCacheRecords4.xml" ContentType="application/vnd.openxmlformats-officedocument.spreadsheetml.pivotCacheRecords+xml"/>
  <Override PartName="/xl/pivotCache/pivotCacheDefinition5.xml" ContentType="application/vnd.openxmlformats-officedocument.spreadsheetml.pivotCacheDefinition+xml"/>
  <Override PartName="/xl/pivotCache/pivotCacheRecords5.xml" ContentType="application/vnd.openxmlformats-officedocument.spreadsheetml.pivotCacheRecords+xml"/>
  <Override PartName="/xl/pivotCache/pivotCacheDefinition6.xml" ContentType="application/vnd.openxmlformats-officedocument.spreadsheetml.pivotCacheDefinition+xml"/>
  <Override PartName="/xl/pivotCache/pivotCacheRecords6.xml" ContentType="application/vnd.openxmlformats-officedocument.spreadsheetml.pivotCacheRecords+xml"/>
  <Override PartName="/xl/pivotCache/pivotCacheDefinition7.xml" ContentType="application/vnd.openxmlformats-officedocument.spreadsheetml.pivotCacheDefinition+xml"/>
  <Override PartName="/xl/pivotCache/pivotCacheRecords7.xml" ContentType="application/vnd.openxmlformats-officedocument.spreadsheetml.pivotCacheRecords+xml"/>
  <Override PartName="/xl/pivotCache/pivotCacheDefinition8.xml" ContentType="application/vnd.openxmlformats-officedocument.spreadsheetml.pivotCacheDefinition+xml"/>
  <Override PartName="/xl/pivotCache/pivotCacheRecords8.xml" ContentType="application/vnd.openxmlformats-officedocument.spreadsheetml.pivotCacheRecords+xml"/>
  <Override PartName="/xl/pivotCache/pivotCacheDefinition9.xml" ContentType="application/vnd.openxmlformats-officedocument.spreadsheetml.pivotCacheDefinition+xml"/>
  <Override PartName="/xl/pivotCache/pivotCacheRecords9.xml" ContentType="application/vnd.openxmlformats-officedocument.spreadsheetml.pivotCacheRecords+xml"/>
  <Override PartName="/xl/pivotCache/pivotCacheDefinition10.xml" ContentType="application/vnd.openxmlformats-officedocument.spreadsheetml.pivotCacheDefinition+xml"/>
  <Override PartName="/xl/pivotCache/pivotCacheRecords10.xml" ContentType="application/vnd.openxmlformats-officedocument.spreadsheetml.pivotCacheRecords+xml"/>
  <Override PartName="/xl/pivotCache/pivotCacheDefinition11.xml" ContentType="application/vnd.openxmlformats-officedocument.spreadsheetml.pivotCacheDefinition+xml"/>
  <Override PartName="/xl/pivotCache/pivotCacheRecords11.xml" ContentType="application/vnd.openxmlformats-officedocument.spreadsheetml.pivotCacheRecords+xml"/>
  <Override PartName="/xl/pivotCache/pivotCacheDefinition12.xml" ContentType="application/vnd.openxmlformats-officedocument.spreadsheetml.pivotCacheDefinition+xml"/>
  <Override PartName="/xl/pivotCache/pivotCacheRecords12.xml" ContentType="application/vnd.openxmlformats-officedocument.spreadsheetml.pivotCacheRecords+xml"/>
  <Override PartName="/xl/pivotCache/pivotCacheDefinition13.xml" ContentType="application/vnd.openxmlformats-officedocument.spreadsheetml.pivotCacheDefinition+xml"/>
  <Override PartName="/xl/pivotCache/pivotCacheRecords13.xml" ContentType="application/vnd.openxmlformats-officedocument.spreadsheetml.pivotCacheRecords+xml"/>
  <Override PartName="/xl/pivotCache/pivotCacheDefinition14.xml" ContentType="application/vnd.openxmlformats-officedocument.spreadsheetml.pivotCacheDefinition+xml"/>
  <Override PartName="/xl/pivotCache/pivotCacheRecords14.xml" ContentType="application/vnd.openxmlformats-officedocument.spreadsheetml.pivotCacheRecords+xml"/>
  <Override PartName="/xl/pivotCache/pivotCacheDefinition15.xml" ContentType="application/vnd.openxmlformats-officedocument.spreadsheetml.pivotCacheDefinition+xml"/>
  <Override PartName="/xl/pivotCache/pivotCacheRecords15.xml" ContentType="application/vnd.openxmlformats-officedocument.spreadsheetml.pivotCacheRecords+xml"/>
  <Override PartName="/xl/pivotCache/pivotCacheDefinition16.xml" ContentType="application/vnd.openxmlformats-officedocument.spreadsheetml.pivotCacheDefinition+xml"/>
  <Override PartName="/xl/pivotCache/pivotCacheRecords16.xml" ContentType="application/vnd.openxmlformats-officedocument.spreadsheetml.pivotCacheRecords+xml"/>
  <Override PartName="/xl/pivotCache/pivotCacheDefinition17.xml" ContentType="application/vnd.openxmlformats-officedocument.spreadsheetml.pivotCacheDefinition+xml"/>
  <Override PartName="/xl/pivotCache/pivotCacheRecords17.xml" ContentType="application/vnd.openxmlformats-officedocument.spreadsheetml.pivotCacheRecords+xml"/>
  <Override PartName="/xl/pivotCache/pivotCacheDefinition18.xml" ContentType="application/vnd.openxmlformats-officedocument.spreadsheetml.pivotCacheDefinition+xml"/>
  <Override PartName="/xl/pivotCache/pivotCacheRecords18.xml" ContentType="application/vnd.openxmlformats-officedocument.spreadsheetml.pivotCacheRecords+xml"/>
  <Override PartName="/xl/pivotCache/pivotCacheDefinition19.xml" ContentType="application/vnd.openxmlformats-officedocument.spreadsheetml.pivotCacheDefinition+xml"/>
  <Override PartName="/xl/pivotCache/pivotCacheRecords19.xml" ContentType="application/vnd.openxmlformats-officedocument.spreadsheetml.pivotCacheRecords+xml"/>
  <Override PartName="/xl/pivotCache/pivotCacheDefinition20.xml" ContentType="application/vnd.openxmlformats-officedocument.spreadsheetml.pivotCacheDefinition+xml"/>
  <Override PartName="/xl/pivotCache/pivotCacheRecords20.xml" ContentType="application/vnd.openxmlformats-officedocument.spreadsheetml.pivotCacheRecords+xml"/>
  <Override PartName="/xl/pivotCache/pivotCacheDefinition21.xml" ContentType="application/vnd.openxmlformats-officedocument.spreadsheetml.pivotCacheDefinition+xml"/>
  <Override PartName="/xl/pivotCache/pivotCacheRecords21.xml" ContentType="application/vnd.openxmlformats-officedocument.spreadsheetml.pivotCacheRecords+xml"/>
  <Override PartName="/xl/pivotCache/pivotCacheDefinition22.xml" ContentType="application/vnd.openxmlformats-officedocument.spreadsheetml.pivotCacheDefinition+xml"/>
  <Override PartName="/xl/pivotCache/pivotCacheRecords22.xml" ContentType="application/vnd.openxmlformats-officedocument.spreadsheetml.pivotCacheRecords+xml"/>
  <Override PartName="/xl/pivotCache/pivotCacheDefinition23.xml" ContentType="application/vnd.openxmlformats-officedocument.spreadsheetml.pivotCacheDefinition+xml"/>
  <Override PartName="/xl/pivotCache/pivotCacheRecords23.xml" ContentType="application/vnd.openxmlformats-officedocument.spreadsheetml.pivotCacheRecords+xml"/>
  <Override PartName="/xl/pivotCache/pivotCacheDefinition24.xml" ContentType="application/vnd.openxmlformats-officedocument.spreadsheetml.pivotCacheDefinition+xml"/>
  <Override PartName="/xl/pivotCache/pivotCacheRecords24.xml" ContentType="application/vnd.openxmlformats-officedocument.spreadsheetml.pivotCacheRecords+xml"/>
  <Override PartName="/xl/pivotCache/pivotCacheDefinition25.xml" ContentType="application/vnd.openxmlformats-officedocument.spreadsheetml.pivotCacheDefinition+xml"/>
  <Override PartName="/xl/pivotCache/pivotCacheRecords25.xml" ContentType="application/vnd.openxmlformats-officedocument.spreadsheetml.pivotCacheRecords+xml"/>
  <Override PartName="/xl/pivotCache/pivotCacheDefinition26.xml" ContentType="application/vnd.openxmlformats-officedocument.spreadsheetml.pivotCacheDefinition+xml"/>
  <Override PartName="/xl/pivotCache/pivotCacheRecords26.xml" ContentType="application/vnd.openxmlformats-officedocument.spreadsheetml.pivotCacheRecords+xml"/>
  <Override PartName="/xl/pivotCache/pivotCacheDefinition27.xml" ContentType="application/vnd.openxmlformats-officedocument.spreadsheetml.pivotCacheDefinition+xml"/>
  <Override PartName="/xl/pivotCache/pivotCacheRecords27.xml" ContentType="application/vnd.openxmlformats-officedocument.spreadsheetml.pivotCacheRecords+xml"/>
  <Override PartName="/xl/pivotCache/pivotCacheDefinition28.xml" ContentType="application/vnd.openxmlformats-officedocument.spreadsheetml.pivotCacheDefinition+xml"/>
  <Override PartName="/xl/pivotCache/pivotCacheRecords28.xml" ContentType="application/vnd.openxmlformats-officedocument.spreadsheetml.pivotCacheRecords+xml"/>
  <Override PartName="/xl/pivotCache/pivotCacheDefinition29.xml" ContentType="application/vnd.openxmlformats-officedocument.spreadsheetml.pivotCacheDefinition+xml"/>
  <Override PartName="/xl/pivotCache/pivotCacheRecords29.xml" ContentType="application/vnd.openxmlformats-officedocument.spreadsheetml.pivotCacheRecords+xml"/>
  <Override PartName="/xl/pivotCache/pivotCacheDefinition30.xml" ContentType="application/vnd.openxmlformats-officedocument.spreadsheetml.pivotCacheDefinition+xml"/>
  <Override PartName="/xl/pivotCache/pivotCacheRecords30.xml" ContentType="application/vnd.openxmlformats-officedocument.spreadsheetml.pivotCacheRecords+xml"/>
  <Override PartName="/xl/pivotCache/pivotCacheDefinition31.xml" ContentType="application/vnd.openxmlformats-officedocument.spreadsheetml.pivotCacheDefinition+xml"/>
  <Override PartName="/xl/pivotCache/pivotCacheRecords31.xml" ContentType="application/vnd.openxmlformats-officedocument.spreadsheetml.pivotCacheRecords+xml"/>
  <Override PartName="/xl/pivotCache/pivotCacheDefinition32.xml" ContentType="application/vnd.openxmlformats-officedocument.spreadsheetml.pivotCacheDefinition+xml"/>
  <Override PartName="/xl/pivotCache/pivotCacheRecords32.xml" ContentType="application/vnd.openxmlformats-officedocument.spreadsheetml.pivotCacheRecords+xml"/>
  <Override PartName="/xl/pivotCache/pivotCacheDefinition33.xml" ContentType="application/vnd.openxmlformats-officedocument.spreadsheetml.pivotCacheDefinition+xml"/>
  <Override PartName="/xl/pivotCache/pivotCacheRecords33.xml" ContentType="application/vnd.openxmlformats-officedocument.spreadsheetml.pivotCacheRecords+xml"/>
  <Override PartName="/xl/pivotCache/pivotCacheDefinition34.xml" ContentType="application/vnd.openxmlformats-officedocument.spreadsheetml.pivotCacheDefinition+xml"/>
  <Override PartName="/xl/pivotCache/pivotCacheRecords34.xml" ContentType="application/vnd.openxmlformats-officedocument.spreadsheetml.pivotCacheRecords+xml"/>
  <Override PartName="/xl/pivotCache/pivotCacheDefinition35.xml" ContentType="application/vnd.openxmlformats-officedocument.spreadsheetml.pivotCacheDefinition+xml"/>
  <Override PartName="/xl/pivotCache/pivotCacheRecords35.xml" ContentType="application/vnd.openxmlformats-officedocument.spreadsheetml.pivotCacheRecords+xml"/>
  <Override PartName="/xl/pivotCache/pivotCacheDefinition36.xml" ContentType="application/vnd.openxmlformats-officedocument.spreadsheetml.pivotCacheDefinition+xml"/>
  <Override PartName="/xl/pivotCache/pivotCacheRecords36.xml" ContentType="application/vnd.openxmlformats-officedocument.spreadsheetml.pivotCacheRecords+xml"/>
  <Override PartName="/xl/pivotCache/pivotCacheDefinition37.xml" ContentType="application/vnd.openxmlformats-officedocument.spreadsheetml.pivotCacheDefinition+xml"/>
  <Override PartName="/xl/pivotCache/pivotCacheRecords37.xml" ContentType="application/vnd.openxmlformats-officedocument.spreadsheetml.pivotCacheRecords+xml"/>
  <Override PartName="/xl/pivotCache/pivotCacheDefinition38.xml" ContentType="application/vnd.openxmlformats-officedocument.spreadsheetml.pivotCacheDefinition+xml"/>
  <Override PartName="/xl/pivotCache/pivotCacheRecords38.xml" ContentType="application/vnd.openxmlformats-officedocument.spreadsheetml.pivotCacheRecords+xml"/>
  <Override PartName="/xl/pivotCache/pivotCacheDefinition39.xml" ContentType="application/vnd.openxmlformats-officedocument.spreadsheetml.pivotCacheDefinition+xml"/>
  <Override PartName="/xl/pivotCache/pivotCacheRecords39.xml" ContentType="application/vnd.openxmlformats-officedocument.spreadsheetml.pivotCacheRecords+xml"/>
  <Override PartName="/xl/pivotCache/pivotCacheDefinition40.xml" ContentType="application/vnd.openxmlformats-officedocument.spreadsheetml.pivotCacheDefinition+xml"/>
  <Override PartName="/xl/pivotCache/pivotCacheRecords40.xml" ContentType="application/vnd.openxmlformats-officedocument.spreadsheetml.pivotCacheRecords+xml"/>
  <Override PartName="/xl/pivotCache/pivotCacheDefinition41.xml" ContentType="application/vnd.openxmlformats-officedocument.spreadsheetml.pivotCacheDefinition+xml"/>
  <Override PartName="/xl/pivotCache/pivotCacheRecords41.xml" ContentType="application/vnd.openxmlformats-officedocument.spreadsheetml.pivotCacheRecords+xml"/>
  <Override PartName="/xl/pivotCache/pivotCacheDefinition42.xml" ContentType="application/vnd.openxmlformats-officedocument.spreadsheetml.pivotCacheDefinition+xml"/>
  <Override PartName="/xl/pivotCache/pivotCacheRecords42.xml" ContentType="application/vnd.openxmlformats-officedocument.spreadsheetml.pivotCacheRecords+xml"/>
  <Override PartName="/xl/pivotCache/pivotCacheDefinition43.xml" ContentType="application/vnd.openxmlformats-officedocument.spreadsheetml.pivotCacheDefinition+xml"/>
  <Override PartName="/xl/pivotCache/pivotCacheRecords43.xml" ContentType="application/vnd.openxmlformats-officedocument.spreadsheetml.pivotCacheRecords+xml"/>
  <Override PartName="/xl/pivotCache/pivotCacheDefinition44.xml" ContentType="application/vnd.openxmlformats-officedocument.spreadsheetml.pivotCacheDefinition+xml"/>
  <Override PartName="/xl/pivotCache/pivotCacheRecords44.xml" ContentType="application/vnd.openxmlformats-officedocument.spreadsheetml.pivotCacheRecords+xml"/>
  <Override PartName="/xl/pivotCache/pivotCacheDefinition45.xml" ContentType="application/vnd.openxmlformats-officedocument.spreadsheetml.pivotCacheDefinition+xml"/>
  <Override PartName="/xl/pivotCache/pivotCacheRecords45.xml" ContentType="application/vnd.openxmlformats-officedocument.spreadsheetml.pivotCacheRecords+xml"/>
  <Override PartName="/xl/pivotCache/pivotCacheDefinition46.xml" ContentType="application/vnd.openxmlformats-officedocument.spreadsheetml.pivotCacheDefinition+xml"/>
  <Override PartName="/xl/pivotCache/pivotCacheRecords46.xml" ContentType="application/vnd.openxmlformats-officedocument.spreadsheetml.pivotCacheRecords+xml"/>
  <Override PartName="/xl/pivotCache/pivotCacheDefinition47.xml" ContentType="application/vnd.openxmlformats-officedocument.spreadsheetml.pivotCacheDefinition+xml"/>
  <Override PartName="/xl/pivotCache/pivotCacheRecords47.xml" ContentType="application/vnd.openxmlformats-officedocument.spreadsheetml.pivotCacheRecords+xml"/>
  <Override PartName="/xl/pivotCache/pivotCacheDefinition48.xml" ContentType="application/vnd.openxmlformats-officedocument.spreadsheetml.pivotCacheDefinition+xml"/>
  <Override PartName="/xl/pivotCache/pivotCacheRecords48.xml" ContentType="application/vnd.openxmlformats-officedocument.spreadsheetml.pivotCacheRecords+xml"/>
  <Override PartName="/xl/pivotCache/pivotCacheDefinition49.xml" ContentType="application/vnd.openxmlformats-officedocument.spreadsheetml.pivotCacheDefinition+xml"/>
  <Override PartName="/xl/pivotCache/pivotCacheRecords49.xml" ContentType="application/vnd.openxmlformats-officedocument.spreadsheetml.pivotCacheRecords+xml"/>
  <Override PartName="/xl/pivotCache/pivotCacheDefinition50.xml" ContentType="application/vnd.openxmlformats-officedocument.spreadsheetml.pivotCacheDefinition+xml"/>
  <Override PartName="/xl/pivotCache/pivotCacheRecords50.xml" ContentType="application/vnd.openxmlformats-officedocument.spreadsheetml.pivotCacheRecords+xml"/>
  <Override PartName="/xl/pivotCache/pivotCacheDefinition51.xml" ContentType="application/vnd.openxmlformats-officedocument.spreadsheetml.pivotCacheDefinition+xml"/>
  <Override PartName="/xl/pivotCache/pivotCacheRecords51.xml" ContentType="application/vnd.openxmlformats-officedocument.spreadsheetml.pivotCacheRecords+xml"/>
  <Override PartName="/xl/pivotCache/pivotCacheDefinition52.xml" ContentType="application/vnd.openxmlformats-officedocument.spreadsheetml.pivotCacheDefinition+xml"/>
  <Override PartName="/xl/pivotCache/pivotCacheRecords52.xml" ContentType="application/vnd.openxmlformats-officedocument.spreadsheetml.pivotCacheRecords+xml"/>
  <Override PartName="/xl/pivotCache/pivotCacheDefinition53.xml" ContentType="application/vnd.openxmlformats-officedocument.spreadsheetml.pivotCacheDefinition+xml"/>
  <Override PartName="/xl/pivotCache/pivotCacheRecords53.xml" ContentType="application/vnd.openxmlformats-officedocument.spreadsheetml.pivotCacheRecords+xml"/>
  <Override PartName="/xl/pivotCache/pivotCacheDefinition54.xml" ContentType="application/vnd.openxmlformats-officedocument.spreadsheetml.pivotCacheDefinition+xml"/>
  <Override PartName="/xl/pivotCache/pivotCacheRecords54.xml" ContentType="application/vnd.openxmlformats-officedocument.spreadsheetml.pivotCacheRecords+xml"/>
  <Override PartName="/xl/pivotCache/pivotCacheDefinition55.xml" ContentType="application/vnd.openxmlformats-officedocument.spreadsheetml.pivotCacheDefinition+xml"/>
  <Override PartName="/xl/pivotCache/pivotCacheRecords55.xml" ContentType="application/vnd.openxmlformats-officedocument.spreadsheetml.pivotCacheRecords+xml"/>
  <Override PartName="/xl/pivotCache/pivotCacheDefinition56.xml" ContentType="application/vnd.openxmlformats-officedocument.spreadsheetml.pivotCacheDefinition+xml"/>
  <Override PartName="/xl/pivotCache/pivotCacheRecords56.xml" ContentType="application/vnd.openxmlformats-officedocument.spreadsheetml.pivotCacheRecords+xml"/>
  <Override PartName="/xl/pivotCache/pivotCacheDefinition57.xml" ContentType="application/vnd.openxmlformats-officedocument.spreadsheetml.pivotCacheDefinition+xml"/>
  <Override PartName="/xl/pivotCache/pivotCacheRecords57.xml" ContentType="application/vnd.openxmlformats-officedocument.spreadsheetml.pivotCacheRecords+xml"/>
  <Override PartName="/xl/pivotCache/pivotCacheDefinition58.xml" ContentType="application/vnd.openxmlformats-officedocument.spreadsheetml.pivotCacheDefinition+xml"/>
  <Override PartName="/xl/pivotCache/pivotCacheRecords58.xml" ContentType="application/vnd.openxmlformats-officedocument.spreadsheetml.pivotCacheRecords+xml"/>
  <Override PartName="/xl/pivotCache/pivotCacheDefinition59.xml" ContentType="application/vnd.openxmlformats-officedocument.spreadsheetml.pivotCacheDefinition+xml"/>
  <Override PartName="/xl/pivotCache/pivotCacheRecords59.xml" ContentType="application/vnd.openxmlformats-officedocument.spreadsheetml.pivotCacheRecords+xml"/>
  <Override PartName="/xl/pivotCache/pivotCacheDefinition60.xml" ContentType="application/vnd.openxmlformats-officedocument.spreadsheetml.pivotCacheDefinition+xml"/>
  <Override PartName="/xl/pivotCache/pivotCacheRecords60.xml" ContentType="application/vnd.openxmlformats-officedocument.spreadsheetml.pivotCacheRecords+xml"/>
  <Override PartName="/xl/pivotCache/pivotCacheDefinition61.xml" ContentType="application/vnd.openxmlformats-officedocument.spreadsheetml.pivotCacheDefinition+xml"/>
  <Override PartName="/xl/pivotCache/pivotCacheRecords61.xml" ContentType="application/vnd.openxmlformats-officedocument.spreadsheetml.pivotCacheRecords+xml"/>
  <Override PartName="/xl/pivotCache/pivotCacheDefinition62.xml" ContentType="application/vnd.openxmlformats-officedocument.spreadsheetml.pivotCacheDefinition+xml"/>
  <Override PartName="/xl/pivotCache/pivotCacheRecords62.xml" ContentType="application/vnd.openxmlformats-officedocument.spreadsheetml.pivotCacheRecords+xml"/>
  <Override PartName="/xl/pivotCache/pivotCacheDefinition63.xml" ContentType="application/vnd.openxmlformats-officedocument.spreadsheetml.pivotCacheDefinition+xml"/>
  <Override PartName="/xl/pivotCache/pivotCacheRecords63.xml" ContentType="application/vnd.openxmlformats-officedocument.spreadsheetml.pivotCacheRecords+xml"/>
  <Override PartName="/xl/pivotCache/pivotCacheDefinition64.xml" ContentType="application/vnd.openxmlformats-officedocument.spreadsheetml.pivotCacheDefinition+xml"/>
  <Override PartName="/xl/pivotCache/pivotCacheRecords64.xml" ContentType="application/vnd.openxmlformats-officedocument.spreadsheetml.pivotCacheRecords+xml"/>
  <Override PartName="/xl/pivotCache/pivotCacheDefinition65.xml" ContentType="application/vnd.openxmlformats-officedocument.spreadsheetml.pivotCacheDefinition+xml"/>
  <Override PartName="/xl/pivotCache/pivotCacheRecords65.xml" ContentType="application/vnd.openxmlformats-officedocument.spreadsheetml.pivotCacheRecords+xml"/>
  <Override PartName="/xl/pivotCache/pivotCacheDefinition66.xml" ContentType="application/vnd.openxmlformats-officedocument.spreadsheetml.pivotCacheDefinition+xml"/>
  <Override PartName="/xl/pivotCache/pivotCacheRecords66.xml" ContentType="application/vnd.openxmlformats-officedocument.spreadsheetml.pivotCacheRecords+xml"/>
  <Override PartName="/xl/pivotCache/pivotCacheDefinition67.xml" ContentType="application/vnd.openxmlformats-officedocument.spreadsheetml.pivotCacheDefinition+xml"/>
  <Override PartName="/xl/pivotCache/pivotCacheRecords67.xml" ContentType="application/vnd.openxmlformats-officedocument.spreadsheetml.pivotCacheRecords+xml"/>
  <Override PartName="/xl/connections.xml" ContentType="application/vnd.openxmlformats-officedocument.spreadsheetml.connections+xml"/>
  <Override PartName="/xl/tables/table1.xml" ContentType="application/vnd.openxmlformats-officedocument.spreadsheetml.table+xml"/>
  <Override PartName="/xl/tables/table2.xml" ContentType="application/vnd.openxmlformats-officedocument.spreadsheetml.table+xml"/>
  <Override PartName="/xl/tables/table3.xml" ContentType="application/vnd.openxmlformats-officedocument.spreadsheetml.table+xml"/>
  <Override PartName="/xl/tables/table4.xml" ContentType="application/vnd.openxmlformats-officedocument.spreadsheetml.table+xml"/>
  <Override PartName="/xl/tables/table5.xml" ContentType="application/vnd.openxmlformats-officedocument.spreadsheetml.table+xml"/>
  <Override PartName="/xl/tables/table6.xml" ContentType="application/vnd.openxmlformats-officedocument.spreadsheetml.table+xml"/>
  <Override PartName="/xl/tables/table7.xml" ContentType="application/vnd.openxmlformats-officedocument.spreadsheetml.table+xml"/>
  <Override PartName="/xl/tables/table8.xml" ContentType="application/vnd.openxmlformats-officedocument.spreadsheetml.table+xml"/>
  <Override PartName="/xl/tables/table9.xml" ContentType="application/vnd.openxmlformats-officedocument.spreadsheetml.table+xml"/>
  <Override PartName="/xl/tables/table10.xml" ContentType="application/vnd.openxmlformats-officedocument.spreadsheetml.table+xml"/>
  <Override PartName="/xl/tables/table11.xml" ContentType="application/vnd.openxmlformats-officedocument.spreadsheetml.table+xml"/>
  <Override PartName="/xl/tables/table12.xml" ContentType="application/vnd.openxmlformats-officedocument.spreadsheetml.table+xml"/>
  <Override PartName="/xl/tables/table13.xml" ContentType="application/vnd.openxmlformats-officedocument.spreadsheetml.table+xml"/>
  <Override PartName="/xl/tables/table14.xml" ContentType="application/vnd.openxmlformats-officedocument.spreadsheetml.table+xml"/>
  <Override PartName="/xl/tables/table15.xml" ContentType="application/vnd.openxmlformats-officedocument.spreadsheetml.table+xml"/>
  <Override PartName="/xl/tables/table17.xml" ContentType="application/vnd.openxmlformats-officedocument.spreadsheetml.table+xml"/>
  <Override PartName="/xl/tables/table18.xml" ContentType="application/vnd.openxmlformats-officedocument.spreadsheetml.table+xml"/>
  <Override PartName="/xl/tables/table19.xml" ContentType="application/vnd.openxmlformats-officedocument.spreadsheetml.table+xml"/>
  <Override PartName="/xl/tables/table20.xml" ContentType="application/vnd.openxmlformats-officedocument.spreadsheetml.table+xml"/>
  <Override PartName="/xl/tables/table21.xml" ContentType="application/vnd.openxmlformats-officedocument.spreadsheetml.table+xml"/>
  <Override PartName="/xl/tables/table22.xml" ContentType="application/vnd.openxmlformats-officedocument.spreadsheetml.table+xml"/>
  <Override PartName="/xl/tables/table23.xml" ContentType="application/vnd.openxmlformats-officedocument.spreadsheetml.table+xml"/>
  <Override PartName="/xl/tables/table24.xml" ContentType="application/vnd.openxmlformats-officedocument.spreadsheetml.table+xml"/>
  <Override PartName="/xl/tables/table25.xml" ContentType="application/vnd.openxmlformats-officedocument.spreadsheetml.table+xml"/>
  <Override PartName="/xl/tables/table26.xml" ContentType="application/vnd.openxmlformats-officedocument.spreadsheetml.table+xml"/>
  <Override PartName="/xl/tables/table27.xml" ContentType="application/vnd.openxmlformats-officedocument.spreadsheetml.table+xml"/>
  <Override PartName="/xl/tables/table28.xml" ContentType="application/vnd.openxmlformats-officedocument.spreadsheetml.table+xml"/>
  <Override PartName="/xl/tables/table29.xml" ContentType="application/vnd.openxmlformats-officedocument.spreadsheetml.table+xml"/>
  <Override PartName="/xl/tables/table30.xml" ContentType="application/vnd.openxmlformats-officedocument.spreadsheetml.table+xml"/>
  <Override PartName="/xl/tables/table31.xml" ContentType="application/vnd.openxmlformats-officedocument.spreadsheetml.table+xml"/>
  <Override PartName="/xl/tables/table32.xml" ContentType="application/vnd.openxmlformats-officedocument.spreadsheetml.table+xml"/>
  <Override PartName="/xl/tables/table33.xml" ContentType="application/vnd.openxmlformats-officedocument.spreadsheetml.table+xml"/>
  <Override PartName="/xl/tables/table34.xml" ContentType="application/vnd.openxmlformats-officedocument.spreadsheetml.table+xml"/>
  <Override PartName="/xl/tables/table35.xml" ContentType="application/vnd.openxmlformats-officedocument.spreadsheetml.table+xml"/>
  <Override PartName="/xl/tables/table36.xml" ContentType="application/vnd.openxmlformats-officedocument.spreadsheetml.table+xml"/>
  <Override PartName="/xl/tables/table37.xml" ContentType="application/vnd.openxmlformats-officedocument.spreadsheetml.table+xml"/>
  <Override PartName="/xl/tables/table38.xml" ContentType="application/vnd.openxmlformats-officedocument.spreadsheetml.table+xml"/>
  <Override PartName="/xl/tables/table39.xml" ContentType="application/vnd.openxmlformats-officedocument.spreadsheetml.table+xml"/>
  <Override PartName="/xl/tables/table40.xml" ContentType="application/vnd.openxmlformats-officedocument.spreadsheetml.table+xml"/>
  <Override PartName="/xl/tables/table41.xml" ContentType="application/vnd.openxmlformats-officedocument.spreadsheetml.table+xml"/>
  <Override PartName="/xl/tables/table42.xml" ContentType="application/vnd.openxmlformats-officedocument.spreadsheetml.table+xml"/>
  <Override PartName="/xl/tables/table68.xml" ContentType="application/vnd.openxmlformats-officedocument.spreadsheetml.table+xml"/>
  <Override PartName="/xl/tables/table73.xml" ContentType="application/vnd.openxmlformats-officedocument.spreadsheetml.table+xml"/>
  <Override PartName="/xl/tables/table69.xml" ContentType="application/vnd.openxmlformats-officedocument.spreadsheetml.table+xml"/>
  <Override PartName="/xl/tables/table49.xml" ContentType="application/vnd.openxmlformats-officedocument.spreadsheetml.table+xml"/>
  <Override PartName="/xl/tables/table50.xml" ContentType="application/vnd.openxmlformats-officedocument.spreadsheetml.table+xml"/>
  <Override PartName="/xl/tables/table51.xml" ContentType="application/vnd.openxmlformats-officedocument.spreadsheetml.table+xml"/>
  <Override PartName="/xl/tables/table74.xml" ContentType="application/vnd.openxmlformats-officedocument.spreadsheetml.table+xml"/>
  <Override PartName="/xl/tables/table70.xml" ContentType="application/vnd.openxmlformats-officedocument.spreadsheetml.table+xml"/>
  <Override PartName="/xl/tables/table75.xml" ContentType="application/vnd.openxmlformats-officedocument.spreadsheetml.table+xml"/>
  <Override PartName="/xl/tables/table76.xml" ContentType="application/vnd.openxmlformats-officedocument.spreadsheetml.table+xml"/>
  <Override PartName="/xl/tables/table52.xml" ContentType="application/vnd.openxmlformats-officedocument.spreadsheetml.table+xml"/>
  <Override PartName="/xl/tables/table54.xml" ContentType="application/vnd.openxmlformats-officedocument.spreadsheetml.table+xml"/>
  <Override PartName="/xl/tables/table55.xml" ContentType="application/vnd.openxmlformats-officedocument.spreadsheetml.table+xml"/>
  <Override PartName="/xl/tables/table77.xml" ContentType="application/vnd.openxmlformats-officedocument.spreadsheetml.table+xml"/>
  <Override PartName="/xl/tables/table56.xml" ContentType="application/vnd.openxmlformats-officedocument.spreadsheetml.table+xml"/>
  <Override PartName="/xl/tables/table78.xml" ContentType="application/vnd.openxmlformats-officedocument.spreadsheetml.table+xml"/>
  <Override PartName="/xl/tables/table57.xml" ContentType="application/vnd.openxmlformats-officedocument.spreadsheetml.table+xml"/>
  <Override PartName="/xl/queryTables/queryTable1.xml" ContentType="application/vnd.openxmlformats-officedocument.spreadsheetml.queryTable+xml"/>
  <Override PartName="/xl/tables/table79.xml" ContentType="application/vnd.openxmlformats-officedocument.spreadsheetml.table+xml"/>
  <Override PartName="/xl/tables/table53.xml" ContentType="application/vnd.openxmlformats-officedocument.spreadsheetml.table+xml"/>
  <Override PartName="/xl/tables/table58.xml" ContentType="application/vnd.openxmlformats-officedocument.spreadsheetml.table+xml"/>
  <Override PartName="/xl/tables/table59.xml" ContentType="application/vnd.openxmlformats-officedocument.spreadsheetml.table+xml"/>
  <Override PartName="/xl/tables/table60.xml" ContentType="application/vnd.openxmlformats-officedocument.spreadsheetml.table+xml"/>
  <Override PartName="/xl/tables/table48.xml" ContentType="application/vnd.openxmlformats-officedocument.spreadsheetml.table+xml"/>
  <Override PartName="/xl/tables/table61.xml" ContentType="application/vnd.openxmlformats-officedocument.spreadsheetml.table+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docMetadata/LabelInfo.xml" ContentType="application/vnd.ms-office.classificationlabel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tables/table44.xml" ContentType="application/vnd.openxmlformats-officedocument.spreadsheetml.table+xml"/>
  <Override PartName="/xl/tables/table43.xml" ContentType="application/vnd.openxmlformats-officedocument.spreadsheetml.table+xml"/>
  <Override PartName="/xl/tables/table62.xml" ContentType="application/vnd.openxmlformats-officedocument.spreadsheetml.table+xml"/>
  <Override PartName="/xl/tables/table16.xml" ContentType="application/vnd.openxmlformats-officedocument.spreadsheetml.table+xml"/>
  <Override PartName="/xl/tables/table45.xml" ContentType="application/vnd.openxmlformats-officedocument.spreadsheetml.table+xml"/>
  <Override PartName="/xl/tables/table63.xml" ContentType="application/vnd.openxmlformats-officedocument.spreadsheetml.table+xml"/>
  <Override PartName="/xl/tables/table64.xml" ContentType="application/vnd.openxmlformats-officedocument.spreadsheetml.table+xml"/>
  <Override PartName="/xl/tables/table65.xml" ContentType="application/vnd.openxmlformats-officedocument.spreadsheetml.table+xml"/>
  <Override PartName="/xl/tables/table66.xml" ContentType="application/vnd.openxmlformats-officedocument.spreadsheetml.table+xml"/>
  <Override PartName="/xl/tables/table67.xml" ContentType="application/vnd.openxmlformats-officedocument.spreadsheetml.table+xml"/>
  <Override PartName="/xl/tables/table46.xml" ContentType="application/vnd.openxmlformats-officedocument.spreadsheetml.table+xml"/>
  <Override PartName="/xl/tables/table47.xml" ContentType="application/vnd.openxmlformats-officedocument.spreadsheetml.table+xml"/>
  <Override PartName="/xl/tables/table71.xml" ContentType="application/vnd.openxmlformats-officedocument.spreadsheetml.table+xml"/>
  <Override PartName="/xl/tables/table72.xml" ContentType="application/vnd.openxmlformats-officedocument.spreadsheetml.table+xml"/>
  <Override PartName="/customXml/itemProps5.xml" ContentType="application/vnd.openxmlformats-officedocument.customXml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microsoft.com/office/2020/02/relationships/classificationlabels" Target="docMetadata/LabelInfo.xml"/><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228"/>
  <workbookPr codeName="ThisWorkbook" hidePivotFieldList="1"/>
  <mc:AlternateContent xmlns:mc="http://schemas.openxmlformats.org/markup-compatibility/2006">
    <mc:Choice Requires="x15">
      <x15ac:absPath xmlns:x15ac="http://schemas.microsoft.com/office/spreadsheetml/2010/11/ac" url="https://firescotland.sharepoint.com/sites/SPPC-PDS/BI Folders/Reporting/Official statistics/Statistics_FSO/2025-26/LATEST DRAFTS/"/>
    </mc:Choice>
  </mc:AlternateContent>
  <xr:revisionPtr revIDLastSave="64" documentId="8_{F1E77B24-8FF9-4428-B6FC-E3357681A2B1}" xr6:coauthVersionLast="47" xr6:coauthVersionMax="47" xr10:uidLastSave="{59828841-6805-45B6-B2B3-F597D11A988D}"/>
  <bookViews>
    <workbookView xWindow="-108" yWindow="-108" windowWidth="23256" windowHeight="12456" tabRatio="908" xr2:uid="{00000000-000D-0000-FFFF-FFFF00000000}"/>
  </bookViews>
  <sheets>
    <sheet name="Information" sheetId="4" r:id="rId1"/>
    <sheet name="Table of Contents" sheetId="99" r:id="rId2"/>
    <sheet name="Structure" sheetId="38" r:id="rId3"/>
    <sheet name="Crewing Model" sheetId="100" r:id="rId4"/>
    <sheet name="CrewingModelAreaPivot" sheetId="223" state="hidden" r:id="rId5"/>
    <sheet name="CrewingModelAreaData" sheetId="221" state="hidden" r:id="rId6"/>
    <sheet name="Crewing Model - Area" sheetId="23" r:id="rId7"/>
    <sheet name="Primary Crewing" sheetId="22" r:id="rId8"/>
    <sheet name="PrimaryCrewingAreaPivot" sheetId="226" state="hidden" r:id="rId9"/>
    <sheet name="PrimaryCrewingAreaData" sheetId="224" state="hidden" r:id="rId10"/>
    <sheet name="Primary Crewing - Area" sheetId="101" r:id="rId11"/>
    <sheet name="Crewing Level" sheetId="124" r:id="rId12"/>
    <sheet name="CapabilitiesData" sheetId="230" state="hidden" r:id="rId13"/>
    <sheet name="CapabilitiesPivot" sheetId="231" state="hidden" r:id="rId14"/>
    <sheet name="Capabilities" sheetId="114" r:id="rId15"/>
    <sheet name="Chart - Station Type" sheetId="92" r:id="rId16"/>
    <sheet name="Chart - Area" sheetId="103" r:id="rId17"/>
    <sheet name="Chart - Map" sheetId="104" r:id="rId18"/>
    <sheet name="VehiclesPivot" sheetId="236" state="hidden" r:id="rId19"/>
    <sheet name="VehiclesData" sheetId="213" state="hidden" r:id="rId20"/>
    <sheet name="Vehicles" sheetId="24" r:id="rId21"/>
    <sheet name="AppliancesLAPivot" sheetId="215" state="hidden" r:id="rId22"/>
    <sheet name="AppliancesLAData" sheetId="214" state="hidden" r:id="rId23"/>
    <sheet name="Appliances LA" sheetId="25" r:id="rId24"/>
    <sheet name="StaffingPivot" sheetId="238" state="hidden" r:id="rId25"/>
    <sheet name="StaffingData" sheetId="237" state="hidden" r:id="rId26"/>
    <sheet name="Headcount" sheetId="283" r:id="rId27"/>
    <sheet name="DutySystemPivot" sheetId="240" state="hidden" r:id="rId28"/>
    <sheet name="DutySystemData" sheetId="239" state="hidden" r:id="rId29"/>
    <sheet name="DutySystem" sheetId="115" r:id="rId30"/>
    <sheet name="dutysystemlapivot" sheetId="174" state="hidden" r:id="rId31"/>
    <sheet name="dutysystemladata" sheetId="173" state="hidden" r:id="rId32"/>
    <sheet name="Staffing" sheetId="2" r:id="rId33"/>
    <sheet name="DutySytem LA" sheetId="125" r:id="rId34"/>
    <sheet name="Department" sheetId="229" r:id="rId35"/>
    <sheet name="geographicpivot" sheetId="179" state="hidden" r:id="rId36"/>
    <sheet name="geographicdata" sheetId="178" state="hidden" r:id="rId37"/>
    <sheet name="Geographic Structure" sheetId="3" r:id="rId38"/>
    <sheet name="smallareapivot" sheetId="181" state="hidden" r:id="rId39"/>
    <sheet name="smallareadata" sheetId="180" state="hidden" r:id="rId40"/>
    <sheet name="Staff - Small Area" sheetId="7" r:id="rId41"/>
    <sheet name="roledata" sheetId="182" state="hidden" r:id="rId42"/>
    <sheet name="rolepivot" sheetId="183" state="hidden" r:id="rId43"/>
    <sheet name="Role" sheetId="94" r:id="rId44"/>
    <sheet name="roledutysystempivot" sheetId="185" state="hidden" r:id="rId45"/>
    <sheet name="roledutysystemdata" sheetId="184" state="hidden" r:id="rId46"/>
    <sheet name="Role DutySystem" sheetId="126" r:id="rId47"/>
    <sheet name="roleareapivot" sheetId="187" state="hidden" r:id="rId48"/>
    <sheet name="roleareadata" sheetId="186" state="hidden" r:id="rId49"/>
    <sheet name="Role - Area" sheetId="93" r:id="rId50"/>
    <sheet name="wtroleareapivot" sheetId="189" state="hidden" r:id="rId51"/>
    <sheet name="wtroleareadata" sheetId="188" state="hidden" r:id="rId52"/>
    <sheet name="WT Role - Area" sheetId="8" r:id="rId53"/>
    <sheet name="rdsroleareapivot" sheetId="192" state="hidden" r:id="rId54"/>
    <sheet name="rdsroleareadata" sheetId="191" state="hidden" r:id="rId55"/>
    <sheet name="RDS Role - Area" sheetId="9" r:id="rId56"/>
    <sheet name="csroledatapivot" sheetId="195" state="hidden" r:id="rId57"/>
    <sheet name="csroleareadata" sheetId="194" state="hidden" r:id="rId58"/>
    <sheet name="CSRoleAreaSupportPivot" sheetId="217" state="hidden" r:id="rId59"/>
    <sheet name="CSRoleAreaSupportData" sheetId="216" state="hidden" r:id="rId60"/>
    <sheet name="C&amp;S Role - Area" sheetId="10" r:id="rId61"/>
    <sheet name="volroleareapivot" sheetId="197" state="hidden" r:id="rId62"/>
    <sheet name="volroleareadata" sheetId="196" state="hidden" r:id="rId63"/>
    <sheet name="Vol Role - Area" sheetId="11" r:id="rId64"/>
    <sheet name="WTFTERoleAreaPivot" sheetId="199" state="hidden" r:id="rId65"/>
    <sheet name="WTFTERoleAreaData" sheetId="198" state="hidden" r:id="rId66"/>
    <sheet name="WT FTE Role - Area" sheetId="12" r:id="rId67"/>
    <sheet name="RDSFTERoleAreaPivot" sheetId="201" state="hidden" r:id="rId68"/>
    <sheet name="RDSFTERoleAreaData" sheetId="200" state="hidden" r:id="rId69"/>
    <sheet name="RDS FTE Role - Area" sheetId="13" r:id="rId70"/>
    <sheet name="CSFTERoleAreaControlPivot" sheetId="203" state="hidden" r:id="rId71"/>
    <sheet name="CSFTERoleAreaControlData" sheetId="202" state="hidden" r:id="rId72"/>
    <sheet name="CSFTERoleAreaSupportPivot" sheetId="205" state="hidden" r:id="rId73"/>
    <sheet name="CSFTERoleAreaSupportData" sheetId="204" state="hidden" r:id="rId74"/>
    <sheet name="C&amp;S FTE Role - Area" sheetId="14" r:id="rId75"/>
    <sheet name="SexTimeseriesPivot" sheetId="243" state="hidden" r:id="rId76"/>
    <sheet name="SexTimeseriesData" sheetId="242" state="hidden" r:id="rId77"/>
    <sheet name="Sex Timeseries" sheetId="15" r:id="rId78"/>
    <sheet name="SexPivot" sheetId="207" state="hidden" r:id="rId79"/>
    <sheet name="SexData" sheetId="206" state="hidden" r:id="rId80"/>
    <sheet name="Sex" sheetId="17" r:id="rId81"/>
    <sheet name="sexandrolepivot" sheetId="164" state="hidden" r:id="rId82"/>
    <sheet name="sexandroledata" sheetId="162" state="hidden" r:id="rId83"/>
    <sheet name="Sex and Role" sheetId="16" r:id="rId84"/>
    <sheet name="FTESexRolePivot" sheetId="209" state="hidden" r:id="rId85"/>
    <sheet name="FTESexRoleData" sheetId="208" state="hidden" r:id="rId86"/>
    <sheet name="FTE Sex and Role" sheetId="18" r:id="rId87"/>
    <sheet name="agepivot" sheetId="168" state="hidden" r:id="rId88"/>
    <sheet name="agedata" sheetId="167" state="hidden" r:id="rId89"/>
    <sheet name="Age" sheetId="19" r:id="rId90"/>
    <sheet name="servicepivot" sheetId="170" state="hidden" r:id="rId91"/>
    <sheet name="servicedata" sheetId="169" state="hidden" r:id="rId92"/>
    <sheet name="Service Length" sheetId="40" r:id="rId93"/>
    <sheet name="EthnicityData" sheetId="211" state="hidden" r:id="rId94"/>
    <sheet name="EthnicityPivot" sheetId="212" state="hidden" r:id="rId95"/>
    <sheet name="Ethnicity" sheetId="20" r:id="rId96"/>
    <sheet name="DisabilityPivot" sheetId="245" state="hidden" r:id="rId97"/>
    <sheet name="DisabilityData" sheetId="244" state="hidden" r:id="rId98"/>
    <sheet name="Disability" sheetId="21" r:id="rId99"/>
    <sheet name="leaversdata" sheetId="234" state="hidden" r:id="rId100"/>
    <sheet name="leaverspivot" sheetId="172" state="hidden" r:id="rId101"/>
    <sheet name="Leavers" sheetId="96" r:id="rId102"/>
    <sheet name="EntrantsPivot" sheetId="228" state="hidden" r:id="rId103"/>
    <sheet name="Entrants_Data" sheetId="227" state="hidden" r:id="rId104"/>
    <sheet name="Entrants - Demographics" sheetId="76" r:id="rId105"/>
    <sheet name="Chart Number of Roles" sheetId="43" r:id="rId106"/>
    <sheet name="Chart FTE" sheetId="98" r:id="rId107"/>
    <sheet name="Chart Sex" sheetId="44" r:id="rId108"/>
    <sheet name="Chart Age" sheetId="45" r:id="rId109"/>
    <sheet name="Chart Service Length" sheetId="123" r:id="rId110"/>
    <sheet name="AttacksPivot" sheetId="247" state="hidden" r:id="rId111"/>
    <sheet name="AttacksData" sheetId="246" state="hidden" r:id="rId112"/>
    <sheet name="Attacks" sheetId="26" r:id="rId113"/>
    <sheet name="AttacksAreaPivot" sheetId="249" state="hidden" r:id="rId114"/>
    <sheet name="AttacksAreaData" sheetId="248" state="hidden" r:id="rId115"/>
    <sheet name="Attacks - Area" sheetId="27" r:id="rId116"/>
    <sheet name="Chart - Attacks" sheetId="48" r:id="rId117"/>
    <sheet name="Chart - Injuries" sheetId="58" r:id="rId118"/>
    <sheet name="Chart - AttacksMap" sheetId="122" r:id="rId119"/>
    <sheet name="HFSVPivot" sheetId="253" state="hidden" r:id="rId120"/>
    <sheet name="HFSVData" sheetId="252" state="hidden" r:id="rId121"/>
    <sheet name="Detail1" sheetId="279" state="hidden" r:id="rId122"/>
    <sheet name="ReferenceHouseholds" sheetId="254" state="hidden" r:id="rId123"/>
    <sheet name="HFSVs" sheetId="28" r:id="rId124"/>
    <sheet name="DistinctPropertiesPivot" sheetId="272" state="hidden" r:id="rId125"/>
    <sheet name="DistinctPropertiesData" sheetId="271" state="hidden" r:id="rId126"/>
    <sheet name="Distinct Properties" sheetId="105" r:id="rId127"/>
    <sheet name="DistinctPropertPopPivot" sheetId="274" state="hidden" r:id="rId128"/>
    <sheet name="DistinctPropertPopData" sheetId="273" state="hidden" r:id="rId129"/>
    <sheet name="Distinct Propert. Popul." sheetId="106" r:id="rId130"/>
    <sheet name="ResidentsPivot" sheetId="258" state="hidden" r:id="rId131"/>
    <sheet name="ResidentsData" sheetId="257" state="hidden" r:id="rId132"/>
    <sheet name="ResidentsPercentPivot" sheetId="260" state="hidden" r:id="rId133"/>
    <sheet name="ResidentsPercentData" sheetId="259" state="hidden" r:id="rId134"/>
    <sheet name="Residents" sheetId="81" r:id="rId135"/>
    <sheet name="TenurePivot" sheetId="256" state="hidden" r:id="rId136"/>
    <sheet name="TenureData" sheetId="255" state="hidden" r:id="rId137"/>
    <sheet name="Tenure" sheetId="120" r:id="rId138"/>
    <sheet name="SIMDVisitsPivot" sheetId="262" state="hidden" r:id="rId139"/>
    <sheet name="SIMDVisitsData" sheetId="261" state="hidden" r:id="rId140"/>
    <sheet name="SIMD-Visits" sheetId="82" r:id="rId141"/>
    <sheet name="SIMDAlarmsPivot" sheetId="264" state="hidden" r:id="rId142"/>
    <sheet name="SIMDAlarmsData" sheetId="263" state="hidden" r:id="rId143"/>
    <sheet name="SIMD-Alarms" sheetId="137" r:id="rId144"/>
    <sheet name="SIMD%AlarmPivot" sheetId="270" state="hidden" r:id="rId145"/>
    <sheet name="SIMD%AlarmData" sheetId="269" state="hidden" r:id="rId146"/>
    <sheet name="SIMD-%Alarm" sheetId="138" r:id="rId147"/>
    <sheet name="RuralityPivot" sheetId="266" state="hidden" r:id="rId148"/>
    <sheet name="RuralityData" sheetId="265" state="hidden" r:id="rId149"/>
    <sheet name="Rurality" sheetId="107" r:id="rId150"/>
    <sheet name="HFSVLAPivot" sheetId="150" state="hidden" r:id="rId151"/>
    <sheet name="HFSVLAData" sheetId="148" state="hidden" r:id="rId152"/>
    <sheet name="HFSVs LA" sheetId="30" r:id="rId153"/>
    <sheet name="Outcome LA" sheetId="31" r:id="rId154"/>
    <sheet name="Rate LA" sheetId="32" r:id="rId155"/>
    <sheet name="Chart HFSVs" sheetId="50" r:id="rId156"/>
    <sheet name="Chart Alarms" sheetId="109" r:id="rId157"/>
    <sheet name="Chart Residents" sheetId="110" state="hidden" r:id="rId158"/>
    <sheet name="Chart SIMD" sheetId="116" r:id="rId159"/>
    <sheet name="Chart SIMD Alarms" sheetId="140" r:id="rId160"/>
    <sheet name="Chart SIMD AlarmRate" sheetId="141" r:id="rId161"/>
    <sheet name="Chart SIMD OwnerOcc" sheetId="142" r:id="rId162"/>
    <sheet name="Chart SIMD OwnerYears" sheetId="143" r:id="rId163"/>
    <sheet name="Chart Rurality" sheetId="111" r:id="rId164"/>
    <sheet name="Chart LA" sheetId="112" r:id="rId165"/>
    <sheet name="Chart Map" sheetId="144" r:id="rId166"/>
    <sheet name="Chart Alarms Map" sheetId="145" r:id="rId167"/>
    <sheet name="Chart %Install" sheetId="146" state="hidden" r:id="rId168"/>
    <sheet name="Workflows" sheetId="33" r:id="rId169"/>
    <sheet name="WorkflowsPivot" sheetId="241" state="hidden" r:id="rId170"/>
    <sheet name="WorkflowsData" sheetId="235" state="hidden" r:id="rId171"/>
    <sheet name="AuditsPivot" sheetId="276" state="hidden" r:id="rId172"/>
    <sheet name="AuditsData" sheetId="275" state="hidden" r:id="rId173"/>
    <sheet name="Audits" sheetId="113" r:id="rId174"/>
    <sheet name="Audits LA" sheetId="34" r:id="rId175"/>
    <sheet name="auditlapivot" sheetId="154" state="hidden" r:id="rId176"/>
    <sheet name="auditladata" sheetId="153" state="hidden" r:id="rId177"/>
    <sheet name="auditsoutcomepremisespivot" sheetId="159" state="hidden" r:id="rId178"/>
    <sheet name="auditsoutcomepremises" sheetId="158" state="hidden" r:id="rId179"/>
    <sheet name="AuditsOutcomeData" sheetId="277" state="hidden" r:id="rId180"/>
    <sheet name="AuditsOutcomePivot" sheetId="278" state="hidden" r:id="rId181"/>
    <sheet name="Audits Outcome" sheetId="35" r:id="rId182"/>
    <sheet name="auditsoutcomeLApivot" sheetId="157" state="hidden" r:id="rId183"/>
    <sheet name="auditsoutcomeLA" sheetId="156" state="hidden" r:id="rId184"/>
    <sheet name="Audits Outcome LA" sheetId="36" r:id="rId185"/>
    <sheet name="NoticesPivot" sheetId="268" state="hidden" r:id="rId186"/>
    <sheet name="NoticesData" sheetId="267" state="hidden" r:id="rId187"/>
    <sheet name="Notices" sheetId="42" r:id="rId188"/>
    <sheet name="riskpivot" sheetId="161" state="hidden" r:id="rId189"/>
    <sheet name="riskdata" sheetId="160" state="hidden" r:id="rId190"/>
    <sheet name="Risk" sheetId="89" r:id="rId191"/>
    <sheet name="Chart Workflows" sheetId="54" r:id="rId192"/>
    <sheet name="Chart Audits" sheetId="55" r:id="rId193"/>
    <sheet name="Chart Audit Share" sheetId="134" state="hidden" r:id="rId194"/>
  </sheets>
  <definedNames>
    <definedName name="_xlnm._FilterDatabase" localSheetId="9" hidden="1">PrimaryCrewingAreaData!$A$1:$F$289</definedName>
    <definedName name="aa" localSheetId="158">#REF!</definedName>
    <definedName name="aa">#REF!</definedName>
    <definedName name="AllStaffExcVol">#REF!</definedName>
    <definedName name="AllStaffTotal">#REF!</definedName>
    <definedName name="AllStationRankings">#REF!</definedName>
    <definedName name="AllStations">#REF!</definedName>
    <definedName name="AuditRankings">#REF!</definedName>
    <definedName name="AuditRates">#REF!</definedName>
    <definedName name="ControlHeadcount">#REF!</definedName>
    <definedName name="d" localSheetId="158">#REF!</definedName>
    <definedName name="d">#REF!</definedName>
    <definedName name="ExternalData_1" localSheetId="88" hidden="1">agedata!$A$1:$H$159</definedName>
    <definedName name="ExternalData_1" localSheetId="22" hidden="1">AppliancesLAData!$A$1:$J$233</definedName>
    <definedName name="ExternalData_1" localSheetId="114" hidden="1">AttacksAreaData!$A$1:$L$29</definedName>
    <definedName name="ExternalData_1" localSheetId="176" hidden="1">auditladata!$A$1:$R$386</definedName>
    <definedName name="ExternalData_1" localSheetId="172" hidden="1">AuditsData!$A$1:$T$16</definedName>
    <definedName name="ExternalData_1" localSheetId="179" hidden="1">AuditsOutcomeData!$B$4:$J$21</definedName>
    <definedName name="ExternalData_1" localSheetId="183" hidden="1">auditsoutcomeLA!$A$1:$K$385</definedName>
    <definedName name="ExternalData_1" localSheetId="178" hidden="1">auditsoutcomepremises!$B$4:$L$184</definedName>
    <definedName name="ExternalData_1" localSheetId="71" hidden="1">CSFTERoleAreaControlData!$A$1:$K$14</definedName>
    <definedName name="ExternalData_1" localSheetId="73" hidden="1">CSFTERoleAreaSupportData!$A$1:$L$14</definedName>
    <definedName name="ExternalData_1" localSheetId="57" hidden="1">csroleareadata!$A$1:$I$14</definedName>
    <definedName name="ExternalData_1" localSheetId="59" hidden="1">CSRoleAreaSupportData!$A$1:$L$53</definedName>
    <definedName name="ExternalData_1" localSheetId="97" hidden="1">DisabilityData!$A$1:$I$16</definedName>
    <definedName name="ExternalData_1" localSheetId="125" hidden="1">DistinctPropertiesData!$A$1:$L$26</definedName>
    <definedName name="ExternalData_1" localSheetId="128" hidden="1">DistinctPropertPopData!$B$4:$E$17</definedName>
    <definedName name="ExternalData_1" localSheetId="28" hidden="1">DutySystemData!$A$1:$E$9</definedName>
    <definedName name="ExternalData_1" localSheetId="31" hidden="1">dutysystemladata!$A$1:$H$415</definedName>
    <definedName name="ExternalData_1" localSheetId="103" hidden="1">Entrants_Data!#REF!</definedName>
    <definedName name="ExternalData_1" localSheetId="93" hidden="1">EthnicityData!$A$1:$E$125</definedName>
    <definedName name="ExternalData_1" localSheetId="85" hidden="1">FTESexRoleData!$A$1:$F$308</definedName>
    <definedName name="ExternalData_1" localSheetId="36" hidden="1">geographicdata!$A$1:$H$53</definedName>
    <definedName name="ExternalData_1" localSheetId="120" hidden="1">HFSVData!$A$1:$G$17</definedName>
    <definedName name="ExternalData_1" localSheetId="151" hidden="1">HFSVLAData!$A$1:$O$449</definedName>
    <definedName name="ExternalData_1" localSheetId="99" hidden="1">leaversdata!$A$1:$I$63</definedName>
    <definedName name="ExternalData_1" localSheetId="186" hidden="1">NoticesData!$B$4:$E$16</definedName>
    <definedName name="ExternalData_1" localSheetId="68" hidden="1">RDSFTERoleAreaData!$A$1:$H$404</definedName>
    <definedName name="ExternalData_1" localSheetId="54" hidden="1">rdsroleareadata!$A$1:$G$397</definedName>
    <definedName name="ExternalData_1" localSheetId="122" hidden="1">ReferenceHouseholds!$A$1:$C$27</definedName>
    <definedName name="ExternalData_1" localSheetId="131" hidden="1">ResidentsData!$A$1:$I$13</definedName>
    <definedName name="ExternalData_1" localSheetId="133" hidden="1">ResidentsPercentData!$A$1:$H$13</definedName>
    <definedName name="ExternalData_1" localSheetId="189" hidden="1">riskdata!$B$4:$K$184</definedName>
    <definedName name="ExternalData_1" localSheetId="48" hidden="1">roleareadata!$A$1:$J$53</definedName>
    <definedName name="ExternalData_1" localSheetId="41" hidden="1">roledata!$A$1:$J$69</definedName>
    <definedName name="ExternalData_1" localSheetId="45" hidden="1">roledutysystemdata!$A$1:$I$33</definedName>
    <definedName name="ExternalData_1" localSheetId="148" hidden="1">RuralityData!$A$2:$H$14</definedName>
    <definedName name="ExternalData_1" localSheetId="91" hidden="1">servicedata!$A$1:$G$82</definedName>
    <definedName name="ExternalData_1" localSheetId="82" hidden="1">sexandroledata!$A$1:$F$347</definedName>
    <definedName name="ExternalData_1" localSheetId="79" hidden="1">SexData!$A$1:$E$74</definedName>
    <definedName name="ExternalData_1" localSheetId="76" hidden="1">SexTimeseriesData!$A$1:$M$17</definedName>
    <definedName name="ExternalData_1" localSheetId="142" hidden="1">SIMDAlarmsData!$A$1:$G$13</definedName>
    <definedName name="ExternalData_1" localSheetId="139" hidden="1">SIMDVisitsData!$A$1:$H$13</definedName>
    <definedName name="ExternalData_1" localSheetId="39" hidden="1">smallareadata!$A$1:$K$682</definedName>
    <definedName name="ExternalData_1" localSheetId="25" hidden="1">StaffingData!$A$1:$G$17</definedName>
    <definedName name="ExternalData_1" localSheetId="2" hidden="1">Structure!$A$8:$H$264</definedName>
    <definedName name="ExternalData_1" localSheetId="136" hidden="1">TenureData!$A$1:$L$7</definedName>
    <definedName name="ExternalData_1" localSheetId="19" hidden="1">VehiclesData!#REF!</definedName>
    <definedName name="ExternalData_1" localSheetId="62" hidden="1">volroleareadata!$A$1:$H$188</definedName>
    <definedName name="ExternalData_1" localSheetId="170" hidden="1">WorkflowsData!$A$3:$E$15</definedName>
    <definedName name="ExternalData_1" localSheetId="65" hidden="1">WTFTERoleAreaData!$A$1:$L$664</definedName>
    <definedName name="ExternalData_1" localSheetId="51" hidden="1">wtroleareadata!$A$1:$K$663</definedName>
    <definedName name="ExternalData_10" localSheetId="103" hidden="1">Entrants_Data!$J$26:$Q$112</definedName>
    <definedName name="ExternalData_2" localSheetId="12" hidden="1">CapabilitiesData!$I$6:$K$29</definedName>
    <definedName name="ExternalData_2" localSheetId="97" hidden="1">DisabilityData!$A$27:$I$39</definedName>
    <definedName name="ExternalData_2" localSheetId="128" hidden="1">DistinctPropertPopData!#REF!</definedName>
    <definedName name="ExternalData_2" localSheetId="103" hidden="1">Entrants_Data!#REF!</definedName>
    <definedName name="ExternalData_2" localSheetId="148" hidden="1">RuralityData!$A$24:$H$36</definedName>
    <definedName name="ExternalData_2" localSheetId="77" hidden="1">'Sex Timeseries'!#REF!</definedName>
    <definedName name="ExternalData_2" localSheetId="142" hidden="1">SIMDAlarmsData!$A$21:$G$33</definedName>
    <definedName name="ExternalData_2" localSheetId="139" hidden="1">SIMDVisitsData!$A$21:$G$33</definedName>
    <definedName name="ExternalData_2" localSheetId="25" hidden="1">StaffingData!$A$26:$F$41</definedName>
    <definedName name="ExternalData_2" localSheetId="19" hidden="1">VehiclesData!$A$1:$N$15</definedName>
    <definedName name="ExternalData_2" localSheetId="170" hidden="1">WorkflowsData!$J$3:$K$10</definedName>
    <definedName name="ExternalData_3" localSheetId="12" hidden="1">CapabilitiesData!$A$1:$D$155</definedName>
    <definedName name="ExternalData_5" localSheetId="111" hidden="1">AttacksData!$A$1:$F$11</definedName>
    <definedName name="ExternalData_6" localSheetId="111" hidden="1">AttacksData!$A$15:$F$25</definedName>
    <definedName name="ExternalData_7" localSheetId="111" hidden="1">AttacksData!$A$30:$F$40</definedName>
    <definedName name="ExternalData_7" localSheetId="103" hidden="1">Entrants_Data!$A$1:$G$22</definedName>
    <definedName name="ExternalData_8" localSheetId="111" hidden="1">AttacksData!$A$45:$F$55</definedName>
    <definedName name="ExternalData_8" localSheetId="103" hidden="1">Entrants_Data!$J$1:$Q$17</definedName>
    <definedName name="ExternalData_9" localSheetId="103" hidden="1">Entrants_Data!$A$28:$G$48</definedName>
    <definedName name="FiscalYr">#REF!</definedName>
    <definedName name="HFSV">#REF!</definedName>
    <definedName name="HFSVAbsRankings">#REF!</definedName>
    <definedName name="PremisesRankings">#REF!</definedName>
    <definedName name="PremisesRates">#REF!</definedName>
    <definedName name="_xlnm.Print_Area" localSheetId="37">'Geographic Structure'!$A$3:$K$26</definedName>
    <definedName name="_xlnm.Print_Area" localSheetId="0">Information!$A$1:$L$31</definedName>
    <definedName name="_xlnm.Print_Area" localSheetId="154">'Rate LA'!$B$10:$G$48</definedName>
    <definedName name="_xlnm.Print_Area" localSheetId="32">Staffing!$A$2:$K$75</definedName>
    <definedName name="RDSHeadcount">#REF!</definedName>
    <definedName name="RDSStationRankings">#REF!</definedName>
    <definedName name="RDSStations">#REF!</definedName>
    <definedName name="s_srs_v01_pds_RAP_HFSV_Outcome" localSheetId="123" hidden="1">HFSVs!$A$9:$G$25</definedName>
    <definedName name="s_srs_v01_pds_RAP_HFSV_Tenure_Outcome" localSheetId="137" hidden="1">Tenure!#REF!</definedName>
    <definedName name="s_srs_v01_pds_RAP_SIMD_Alarms_OccupiedDwellings" localSheetId="140" hidden="1">'SIMD-Visits'!#REF!</definedName>
    <definedName name="Slicer_FinYear4">#N/A</definedName>
    <definedName name="Slicer_FinYear41">#N/A</definedName>
    <definedName name="Slicer_FiscalYr">#N/A</definedName>
    <definedName name="Slicer_FiscalYr1">#N/A</definedName>
    <definedName name="Slicer_FisYr1">#N/A</definedName>
    <definedName name="Slicer_FisYr11">#N/A</definedName>
    <definedName name="Slicer_FisYr12">#N/A</definedName>
    <definedName name="Slicer_FisYr19">#N/A</definedName>
    <definedName name="Slicer_FisYr2">#N/A</definedName>
    <definedName name="Slicer_FisYr24">#N/A</definedName>
    <definedName name="Slicer_Year">#N/A</definedName>
    <definedName name="Slicer_Year1">#N/A</definedName>
    <definedName name="Slicer_Year10">#N/A</definedName>
    <definedName name="Slicer_Year11">#N/A</definedName>
    <definedName name="Slicer_Year12">#N/A</definedName>
    <definedName name="Slicer_Year13">#N/A</definedName>
    <definedName name="Slicer_Year14">#N/A</definedName>
    <definedName name="Slicer_Year15">#N/A</definedName>
    <definedName name="Slicer_Year16">#N/A</definedName>
    <definedName name="Slicer_Year17">#N/A</definedName>
    <definedName name="Slicer_Year18">#N/A</definedName>
    <definedName name="Slicer_Year19">#N/A</definedName>
    <definedName name="Slicer_Year2">#N/A</definedName>
    <definedName name="Slicer_Year20">#N/A</definedName>
    <definedName name="Slicer_Year21">#N/A</definedName>
    <definedName name="Slicer_Year22">#N/A</definedName>
    <definedName name="Slicer_Year23">#N/A</definedName>
    <definedName name="Slicer_Year24">#N/A</definedName>
    <definedName name="Slicer_Year25">#N/A</definedName>
    <definedName name="Slicer_Year26">#N/A</definedName>
    <definedName name="Slicer_Year27">#N/A</definedName>
    <definedName name="Slicer_Year28">#N/A</definedName>
    <definedName name="Slicer_Year29">#N/A</definedName>
    <definedName name="Slicer_Year3">#N/A</definedName>
    <definedName name="Slicer_Year30">#N/A</definedName>
    <definedName name="Slicer_Year4">#N/A</definedName>
    <definedName name="Slicer_Year5">#N/A</definedName>
    <definedName name="Slicer_Year6">#N/A</definedName>
    <definedName name="Slicer_Year7">#N/A</definedName>
    <definedName name="Slicer_Year8">#N/A</definedName>
    <definedName name="Slicer_Year9">#N/A</definedName>
    <definedName name="StructureData">#REF!</definedName>
    <definedName name="SupportHeadcount">#REF!</definedName>
    <definedName name="VolStationRankings">#REF!</definedName>
    <definedName name="VolStations">#REF!</definedName>
    <definedName name="VolunteerHeadcount">#REF!</definedName>
    <definedName name="WTOperational">#REF!</definedName>
    <definedName name="WTStationRankings">#REF!</definedName>
    <definedName name="WTStations">#REF!</definedName>
    <definedName name="x" localSheetId="158">#REF!</definedName>
    <definedName name="x">#REF!</definedName>
    <definedName name="z" localSheetId="158">#REF!</definedName>
    <definedName name="z">#REF!</definedName>
  </definedNames>
  <calcPr calcId="191028"/>
  <pivotCaches>
    <pivotCache cacheId="201" r:id="rId195"/>
    <pivotCache cacheId="202" r:id="rId196"/>
    <pivotCache cacheId="203" r:id="rId197"/>
    <pivotCache cacheId="204" r:id="rId198"/>
    <pivotCache cacheId="205" r:id="rId199"/>
    <pivotCache cacheId="206" r:id="rId200"/>
    <pivotCache cacheId="207" r:id="rId201"/>
    <pivotCache cacheId="208" r:id="rId202"/>
    <pivotCache cacheId="209" r:id="rId203"/>
    <pivotCache cacheId="210" r:id="rId204"/>
    <pivotCache cacheId="211" r:id="rId205"/>
    <pivotCache cacheId="212" r:id="rId206"/>
    <pivotCache cacheId="213" r:id="rId207"/>
    <pivotCache cacheId="214" r:id="rId208"/>
    <pivotCache cacheId="215" r:id="rId209"/>
    <pivotCache cacheId="216" r:id="rId210"/>
    <pivotCache cacheId="217" r:id="rId211"/>
    <pivotCache cacheId="218" r:id="rId212"/>
    <pivotCache cacheId="219" r:id="rId213"/>
    <pivotCache cacheId="220" r:id="rId214"/>
    <pivotCache cacheId="221" r:id="rId215"/>
    <pivotCache cacheId="222" r:id="rId216"/>
    <pivotCache cacheId="223" r:id="rId217"/>
    <pivotCache cacheId="224" r:id="rId218"/>
    <pivotCache cacheId="225" r:id="rId219"/>
    <pivotCache cacheId="226" r:id="rId220"/>
    <pivotCache cacheId="227" r:id="rId221"/>
    <pivotCache cacheId="228" r:id="rId222"/>
    <pivotCache cacheId="229" r:id="rId223"/>
    <pivotCache cacheId="230" r:id="rId224"/>
    <pivotCache cacheId="231" r:id="rId225"/>
    <pivotCache cacheId="232" r:id="rId226"/>
    <pivotCache cacheId="233" r:id="rId227"/>
    <pivotCache cacheId="234" r:id="rId228"/>
    <pivotCache cacheId="235" r:id="rId229"/>
    <pivotCache cacheId="236" r:id="rId230"/>
    <pivotCache cacheId="237" r:id="rId231"/>
    <pivotCache cacheId="238" r:id="rId232"/>
    <pivotCache cacheId="239" r:id="rId233"/>
    <pivotCache cacheId="240" r:id="rId234"/>
    <pivotCache cacheId="241" r:id="rId235"/>
    <pivotCache cacheId="242" r:id="rId236"/>
    <pivotCache cacheId="243" r:id="rId237"/>
    <pivotCache cacheId="244" r:id="rId238"/>
    <pivotCache cacheId="245" r:id="rId239"/>
    <pivotCache cacheId="246" r:id="rId240"/>
    <pivotCache cacheId="247" r:id="rId241"/>
    <pivotCache cacheId="248" r:id="rId242"/>
    <pivotCache cacheId="249" r:id="rId243"/>
    <pivotCache cacheId="250" r:id="rId244"/>
    <pivotCache cacheId="251" r:id="rId245"/>
    <pivotCache cacheId="252" r:id="rId246"/>
    <pivotCache cacheId="253" r:id="rId247"/>
    <pivotCache cacheId="254" r:id="rId248"/>
    <pivotCache cacheId="255" r:id="rId249"/>
    <pivotCache cacheId="256" r:id="rId250"/>
    <pivotCache cacheId="257" r:id="rId251"/>
    <pivotCache cacheId="258" r:id="rId252"/>
    <pivotCache cacheId="259" r:id="rId253"/>
    <pivotCache cacheId="260" r:id="rId254"/>
    <pivotCache cacheId="261" r:id="rId255"/>
    <pivotCache cacheId="262" r:id="rId256"/>
    <pivotCache cacheId="263" r:id="rId257"/>
    <pivotCache cacheId="264" r:id="rId258"/>
    <pivotCache cacheId="265" r:id="rId259"/>
    <pivotCache cacheId="266" r:id="rId260"/>
    <pivotCache cacheId="267" r:id="rId261"/>
  </pivotCaches>
  <extLst>
    <ext xmlns:x14="http://schemas.microsoft.com/office/spreadsheetml/2009/9/main" uri="{BBE1A952-AA13-448e-AADC-164F8A28A991}">
      <x14:slicerCaches>
        <x14:slicerCache r:id="rId262"/>
        <x14:slicerCache r:id="rId263"/>
        <x14:slicerCache r:id="rId264"/>
        <x14:slicerCache r:id="rId265"/>
        <x14:slicerCache r:id="rId266"/>
        <x14:slicerCache r:id="rId267"/>
        <x14:slicerCache r:id="rId268"/>
        <x14:slicerCache r:id="rId269"/>
        <x14:slicerCache r:id="rId270"/>
        <x14:slicerCache r:id="rId271"/>
        <x14:slicerCache r:id="rId272"/>
        <x14:slicerCache r:id="rId273"/>
        <x14:slicerCache r:id="rId274"/>
        <x14:slicerCache r:id="rId275"/>
        <x14:slicerCache r:id="rId276"/>
        <x14:slicerCache r:id="rId277"/>
        <x14:slicerCache r:id="rId278"/>
        <x14:slicerCache r:id="rId279"/>
        <x14:slicerCache r:id="rId280"/>
        <x14:slicerCache r:id="rId281"/>
        <x14:slicerCache r:id="rId282"/>
        <x14:slicerCache r:id="rId283"/>
        <x14:slicerCache r:id="rId284"/>
        <x14:slicerCache r:id="rId285"/>
        <x14:slicerCache r:id="rId286"/>
        <x14:slicerCache r:id="rId287"/>
        <x14:slicerCache r:id="rId288"/>
        <x14:slicerCache r:id="rId289"/>
        <x14:slicerCache r:id="rId290"/>
        <x14:slicerCache r:id="rId291"/>
        <x14:slicerCache r:id="rId292"/>
        <x14:slicerCache r:id="rId293"/>
        <x14:slicerCache r:id="rId294"/>
      </x14:slicerCaches>
    </ext>
    <ext xmlns:x14="http://schemas.microsoft.com/office/spreadsheetml/2009/9/main" uri="{79F54976-1DA5-4618-B147-4CDE4B953A38}">
      <x14:workbookPr/>
    </ext>
    <ext xmlns:x15="http://schemas.microsoft.com/office/spreadsheetml/2010/11/main" uri="{46BE6895-7355-4a93-B00E-2C351335B9C9}">
      <x15:slicerCaches xmlns:x14="http://schemas.microsoft.com/office/spreadsheetml/2009/9/main">
        <x14:slicerCache r:id="rId295"/>
        <x14:slicerCache r:id="rId296"/>
        <x14:slicerCache r:id="rId297"/>
      </x15:slicerCaches>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21" i="283" l="1"/>
  <c r="A21" i="283"/>
  <c r="D25" i="283"/>
  <c r="A25" i="283"/>
  <c r="B26" i="283"/>
  <c r="B27" i="283" s="1"/>
  <c r="E26" i="283"/>
  <c r="E27" i="283" s="1"/>
  <c r="E22" i="283"/>
  <c r="E23" i="283" s="1"/>
  <c r="B22" i="283"/>
  <c r="B23" i="283" s="1"/>
  <c r="F355" i="224"/>
  <c r="F356" i="224"/>
  <c r="F357" i="224"/>
  <c r="F358" i="224"/>
  <c r="F359" i="224"/>
  <c r="F360" i="224"/>
  <c r="F361" i="224"/>
  <c r="F362" i="224"/>
  <c r="F363" i="224"/>
  <c r="F364" i="224"/>
  <c r="F365" i="224"/>
  <c r="F366" i="224"/>
  <c r="F367" i="224"/>
  <c r="F368" i="224"/>
  <c r="F369" i="224"/>
  <c r="F370" i="224"/>
  <c r="F371" i="224"/>
  <c r="F372" i="224"/>
  <c r="F373" i="224"/>
  <c r="F374" i="224"/>
  <c r="F375" i="224"/>
  <c r="F376" i="224"/>
  <c r="F377" i="224"/>
  <c r="F378" i="224"/>
  <c r="F379" i="224"/>
  <c r="F380" i="224"/>
  <c r="F381" i="224"/>
  <c r="F382" i="224"/>
  <c r="F383" i="224"/>
  <c r="F384" i="224"/>
  <c r="F385" i="224"/>
  <c r="F354" i="224"/>
  <c r="E43" i="22"/>
  <c r="D43" i="22"/>
  <c r="C43" i="22"/>
  <c r="B43" i="22"/>
  <c r="A43" i="22"/>
  <c r="F19" i="124"/>
  <c r="B21" i="33"/>
  <c r="C21" i="33"/>
  <c r="D21" i="33"/>
  <c r="E21" i="33"/>
  <c r="F21" i="33"/>
  <c r="R14" i="113"/>
  <c r="R22" i="113"/>
  <c r="R15" i="113"/>
  <c r="R23" i="113"/>
  <c r="R16" i="113"/>
  <c r="R24" i="113"/>
  <c r="R17" i="113"/>
  <c r="R18" i="113"/>
  <c r="R11" i="113"/>
  <c r="R19" i="113"/>
  <c r="R12" i="113"/>
  <c r="R20" i="113"/>
  <c r="R13" i="113"/>
  <c r="R21" i="113"/>
  <c r="R10" i="113"/>
  <c r="C21" i="42"/>
  <c r="D21" i="42"/>
  <c r="B21" i="42"/>
  <c r="B57" i="2"/>
  <c r="E27" i="35"/>
  <c r="B27" i="35"/>
  <c r="C27" i="35"/>
  <c r="K27" i="35"/>
  <c r="H27" i="35"/>
  <c r="I27" i="35"/>
  <c r="J27" i="35"/>
  <c r="D27" i="35"/>
  <c r="C23" i="106"/>
  <c r="B47" i="106"/>
  <c r="B23" i="106"/>
  <c r="D23" i="106"/>
  <c r="O27" i="35" l="1"/>
  <c r="P27" i="35"/>
  <c r="M27" i="35"/>
  <c r="G27" i="35"/>
  <c r="F27" i="35"/>
  <c r="L27" i="35"/>
  <c r="N27" i="35"/>
  <c r="G21" i="33"/>
  <c r="R26" i="113"/>
  <c r="R28" i="113"/>
  <c r="F43" i="22"/>
  <c r="C49" i="15"/>
  <c r="D49" i="15"/>
  <c r="E49" i="15"/>
  <c r="F49" i="15"/>
  <c r="G49" i="15"/>
  <c r="H49" i="15"/>
  <c r="I49" i="15"/>
  <c r="J49" i="15"/>
  <c r="K49" i="15"/>
  <c r="L49" i="15"/>
  <c r="M49" i="15"/>
  <c r="N49" i="15"/>
  <c r="O49" i="15"/>
  <c r="P49" i="15"/>
  <c r="Q49" i="15"/>
  <c r="B49" i="15"/>
  <c r="C45" i="15"/>
  <c r="D45" i="15"/>
  <c r="E45" i="15"/>
  <c r="F45" i="15"/>
  <c r="G45" i="15"/>
  <c r="H45" i="15"/>
  <c r="I45" i="15"/>
  <c r="J45" i="15"/>
  <c r="K45" i="15"/>
  <c r="L45" i="15"/>
  <c r="M45" i="15"/>
  <c r="N45" i="15"/>
  <c r="O45" i="15"/>
  <c r="P45" i="15"/>
  <c r="Q45" i="15"/>
  <c r="B45" i="15"/>
  <c r="C48" i="15"/>
  <c r="D48" i="15"/>
  <c r="E48" i="15"/>
  <c r="F48" i="15"/>
  <c r="G48" i="15"/>
  <c r="H48" i="15"/>
  <c r="I48" i="15"/>
  <c r="J48" i="15"/>
  <c r="K48" i="15"/>
  <c r="L48" i="15"/>
  <c r="M48" i="15"/>
  <c r="N48" i="15"/>
  <c r="O48" i="15"/>
  <c r="P48" i="15"/>
  <c r="Q48" i="15"/>
  <c r="B48" i="15"/>
  <c r="A47" i="15"/>
  <c r="C44" i="15"/>
  <c r="D44" i="15"/>
  <c r="E44" i="15"/>
  <c r="F44" i="15"/>
  <c r="G44" i="15"/>
  <c r="H44" i="15"/>
  <c r="I44" i="15"/>
  <c r="J44" i="15"/>
  <c r="K44" i="15"/>
  <c r="L44" i="15"/>
  <c r="M44" i="15"/>
  <c r="N44" i="15"/>
  <c r="O44" i="15"/>
  <c r="P44" i="15"/>
  <c r="Q44" i="15"/>
  <c r="B44" i="15"/>
  <c r="A43" i="15"/>
  <c r="A42" i="15"/>
  <c r="B42" i="15"/>
  <c r="C42" i="15"/>
  <c r="D42" i="15"/>
  <c r="E42" i="15"/>
  <c r="F42" i="15"/>
  <c r="G42" i="15"/>
  <c r="H42" i="15"/>
  <c r="I42" i="15"/>
  <c r="J42" i="15"/>
  <c r="K42" i="15"/>
  <c r="L42" i="15"/>
  <c r="M42" i="15"/>
  <c r="N42" i="15"/>
  <c r="O42" i="15"/>
  <c r="P42" i="15"/>
  <c r="Q42" i="15"/>
  <c r="A64" i="2"/>
  <c r="A60" i="2"/>
  <c r="A30" i="2"/>
  <c r="A26" i="2"/>
  <c r="B22" i="138"/>
  <c r="C22" i="138"/>
  <c r="D22" i="138"/>
  <c r="E22" i="138"/>
  <c r="F22" i="138"/>
  <c r="X10" i="120"/>
  <c r="X11" i="120"/>
  <c r="X12" i="120"/>
  <c r="X13" i="120"/>
  <c r="X14" i="120"/>
  <c r="X15" i="120"/>
  <c r="A31" i="28"/>
  <c r="A27" i="28"/>
  <c r="A41" i="15"/>
  <c r="F18" i="124"/>
  <c r="A42" i="22"/>
  <c r="B42" i="22"/>
  <c r="F42" i="22" s="1"/>
  <c r="C42" i="22"/>
  <c r="D42" i="22"/>
  <c r="E42" i="22"/>
  <c r="B44" i="81"/>
  <c r="H44" i="81"/>
  <c r="C44" i="81"/>
  <c r="D44" i="81"/>
  <c r="E44" i="81"/>
  <c r="F44" i="81"/>
  <c r="G44" i="81"/>
  <c r="B25" i="24"/>
  <c r="J25" i="24"/>
  <c r="C25" i="24"/>
  <c r="K25" i="24"/>
  <c r="D25" i="24"/>
  <c r="L25" i="24"/>
  <c r="E25" i="24"/>
  <c r="M25" i="24"/>
  <c r="F25" i="24"/>
  <c r="N25" i="24"/>
  <c r="G25" i="24"/>
  <c r="H25" i="24"/>
  <c r="I25" i="24"/>
  <c r="L38" i="27"/>
  <c r="L30" i="27"/>
  <c r="L22" i="27"/>
  <c r="L14" i="27"/>
  <c r="L10" i="27"/>
  <c r="L33" i="27"/>
  <c r="L17" i="27"/>
  <c r="L40" i="27"/>
  <c r="L31" i="27"/>
  <c r="L37" i="27"/>
  <c r="L29" i="27"/>
  <c r="L21" i="27"/>
  <c r="L13" i="27"/>
  <c r="L36" i="27"/>
  <c r="L28" i="27"/>
  <c r="L20" i="27"/>
  <c r="L12" i="27"/>
  <c r="L26" i="27"/>
  <c r="L41" i="27"/>
  <c r="L24" i="27"/>
  <c r="L39" i="27"/>
  <c r="L15" i="27"/>
  <c r="L35" i="27"/>
  <c r="L27" i="27"/>
  <c r="L19" i="27"/>
  <c r="L11" i="27"/>
  <c r="L34" i="27"/>
  <c r="L18" i="27"/>
  <c r="L25" i="27"/>
  <c r="L32" i="27"/>
  <c r="L16" i="27"/>
  <c r="L23" i="27"/>
  <c r="B42" i="26"/>
  <c r="C42" i="26"/>
  <c r="D42" i="26"/>
  <c r="E42" i="26"/>
  <c r="B20" i="26"/>
  <c r="C20" i="26"/>
  <c r="D20" i="26"/>
  <c r="E20" i="26"/>
  <c r="I42" i="26"/>
  <c r="J42" i="26"/>
  <c r="H42" i="26"/>
  <c r="K42" i="26"/>
  <c r="I20" i="26"/>
  <c r="K20" i="26"/>
  <c r="H20" i="26"/>
  <c r="J20" i="26"/>
  <c r="B46" i="107"/>
  <c r="C46" i="107"/>
  <c r="D46" i="107"/>
  <c r="E46" i="107"/>
  <c r="F46" i="107"/>
  <c r="G46" i="107"/>
  <c r="H46" i="107"/>
  <c r="H21" i="107"/>
  <c r="B21" i="107"/>
  <c r="C21" i="107"/>
  <c r="D21" i="107"/>
  <c r="E21" i="107"/>
  <c r="F21" i="107"/>
  <c r="G21" i="107"/>
  <c r="C45" i="107"/>
  <c r="D45" i="107"/>
  <c r="E45" i="107"/>
  <c r="F45" i="107"/>
  <c r="G45" i="107"/>
  <c r="H45" i="107"/>
  <c r="B45" i="107"/>
  <c r="D20" i="107"/>
  <c r="E20" i="107"/>
  <c r="G20" i="107"/>
  <c r="F20" i="107"/>
  <c r="H20" i="107"/>
  <c r="B20" i="107"/>
  <c r="C20" i="107"/>
  <c r="D17" i="115"/>
  <c r="E17" i="115"/>
  <c r="C16" i="115"/>
  <c r="E16" i="115"/>
  <c r="B17" i="115"/>
  <c r="D16" i="115"/>
  <c r="C17" i="115"/>
  <c r="B16" i="115"/>
  <c r="B49" i="137"/>
  <c r="C49" i="137"/>
  <c r="D49" i="137"/>
  <c r="E49" i="137"/>
  <c r="F49" i="137"/>
  <c r="G49" i="137"/>
  <c r="B22" i="137"/>
  <c r="G22" i="137"/>
  <c r="C22" i="137"/>
  <c r="D22" i="137"/>
  <c r="F22" i="137"/>
  <c r="E22" i="137"/>
  <c r="F21" i="137"/>
  <c r="G21" i="137"/>
  <c r="E21" i="137"/>
  <c r="B21" i="137"/>
  <c r="C21" i="137"/>
  <c r="D21" i="137"/>
  <c r="G48" i="137"/>
  <c r="B48" i="137"/>
  <c r="C48" i="137"/>
  <c r="F48" i="137"/>
  <c r="D48" i="137"/>
  <c r="E48" i="137"/>
  <c r="L15" i="120"/>
  <c r="L14" i="120"/>
  <c r="L13" i="120"/>
  <c r="L12" i="120"/>
  <c r="L11" i="120"/>
  <c r="L10" i="120"/>
  <c r="B48" i="82"/>
  <c r="C48" i="82"/>
  <c r="D48" i="82"/>
  <c r="E48" i="82"/>
  <c r="F48" i="82"/>
  <c r="G48" i="82"/>
  <c r="B22" i="82"/>
  <c r="C22" i="82"/>
  <c r="D22" i="82"/>
  <c r="E22" i="82"/>
  <c r="F22" i="82"/>
  <c r="G22" i="82"/>
  <c r="D39" i="82"/>
  <c r="C38" i="82"/>
  <c r="F45" i="82"/>
  <c r="F47" i="82"/>
  <c r="E46" i="82"/>
  <c r="D45" i="82"/>
  <c r="E45" i="82"/>
  <c r="G45" i="82"/>
  <c r="G37" i="82"/>
  <c r="D21" i="82"/>
  <c r="C20" i="82"/>
  <c r="B19" i="82"/>
  <c r="G17" i="82"/>
  <c r="F16" i="82"/>
  <c r="G16" i="82"/>
  <c r="C17" i="82"/>
  <c r="D11" i="82"/>
  <c r="G39" i="82"/>
  <c r="E13" i="82"/>
  <c r="F19" i="82"/>
  <c r="G20" i="82"/>
  <c r="F44" i="82"/>
  <c r="E43" i="82"/>
  <c r="D42" i="82"/>
  <c r="B40" i="82"/>
  <c r="C40" i="82"/>
  <c r="E40" i="82"/>
  <c r="C37" i="82"/>
  <c r="G14" i="82"/>
  <c r="F13" i="82"/>
  <c r="F15" i="82"/>
  <c r="B13" i="82"/>
  <c r="B46" i="82"/>
  <c r="F43" i="82"/>
  <c r="E42" i="82"/>
  <c r="D41" i="82"/>
  <c r="G41" i="82"/>
  <c r="D37" i="82"/>
  <c r="C16" i="82"/>
  <c r="G13" i="82"/>
  <c r="F12" i="82"/>
  <c r="C13" i="82"/>
  <c r="D47" i="82"/>
  <c r="B45" i="82"/>
  <c r="F42" i="82"/>
  <c r="C43" i="82"/>
  <c r="F18" i="82"/>
  <c r="D16" i="82"/>
  <c r="B14" i="82"/>
  <c r="E14" i="82"/>
  <c r="B38" i="82"/>
  <c r="E47" i="82"/>
  <c r="C45" i="82"/>
  <c r="B44" i="82"/>
  <c r="E44" i="82"/>
  <c r="B20" i="82"/>
  <c r="G18" i="82"/>
  <c r="E16" i="82"/>
  <c r="D15" i="82"/>
  <c r="G15" i="82"/>
  <c r="F40" i="82"/>
  <c r="E39" i="82"/>
  <c r="D38" i="82"/>
  <c r="D44" i="82"/>
  <c r="G47" i="82"/>
  <c r="F46" i="82"/>
  <c r="G46" i="82"/>
  <c r="C47" i="82"/>
  <c r="B12" i="82"/>
  <c r="D18" i="82"/>
  <c r="E21" i="82"/>
  <c r="D20" i="82"/>
  <c r="C19" i="82"/>
  <c r="B18" i="82"/>
  <c r="C18" i="82"/>
  <c r="E18" i="82"/>
  <c r="C11" i="82"/>
  <c r="G40" i="82"/>
  <c r="F39" i="82"/>
  <c r="E38" i="82"/>
  <c r="F41" i="82"/>
  <c r="D40" i="82"/>
  <c r="B39" i="82"/>
  <c r="B47" i="82"/>
  <c r="D13" i="82"/>
  <c r="C12" i="82"/>
  <c r="B17" i="82"/>
  <c r="F21" i="82"/>
  <c r="E20" i="82"/>
  <c r="D19" i="82"/>
  <c r="E19" i="82"/>
  <c r="G19" i="82"/>
  <c r="B11" i="82"/>
  <c r="D43" i="82"/>
  <c r="C42" i="82"/>
  <c r="B41" i="82"/>
  <c r="F38" i="82"/>
  <c r="G38" i="82"/>
  <c r="C39" i="82"/>
  <c r="B37" i="82"/>
  <c r="F14" i="82"/>
  <c r="D12" i="82"/>
  <c r="G21" i="82"/>
  <c r="C21" i="82"/>
  <c r="B42" i="82"/>
  <c r="F20" i="82"/>
  <c r="C41" i="82"/>
  <c r="B16" i="82"/>
  <c r="E12" i="82"/>
  <c r="D14" i="82"/>
  <c r="B21" i="82"/>
  <c r="G44" i="82"/>
  <c r="E41" i="82"/>
  <c r="D17" i="82"/>
  <c r="B15" i="82"/>
  <c r="G12" i="82"/>
  <c r="G11" i="82"/>
  <c r="C46" i="82"/>
  <c r="G43" i="82"/>
  <c r="G42" i="82"/>
  <c r="E37" i="82"/>
  <c r="E17" i="82"/>
  <c r="C15" i="82"/>
  <c r="C14" i="82"/>
  <c r="F11" i="82"/>
  <c r="B43" i="82"/>
  <c r="D46" i="82"/>
  <c r="C44" i="82"/>
  <c r="F37" i="82"/>
  <c r="F17" i="82"/>
  <c r="E15" i="82"/>
  <c r="E11" i="82"/>
  <c r="B69" i="76"/>
  <c r="C69" i="76"/>
  <c r="F69" i="76"/>
  <c r="E69" i="76"/>
  <c r="F53" i="76"/>
  <c r="E53" i="76"/>
  <c r="C53" i="76"/>
  <c r="B53" i="76"/>
  <c r="B47" i="21"/>
  <c r="C47" i="21"/>
  <c r="D47" i="21"/>
  <c r="E47" i="21"/>
  <c r="F47" i="21"/>
  <c r="G47" i="21"/>
  <c r="H47" i="21"/>
  <c r="I47" i="21"/>
  <c r="B24" i="21"/>
  <c r="C24" i="21"/>
  <c r="D24" i="21"/>
  <c r="E24" i="21"/>
  <c r="F24" i="21"/>
  <c r="G24" i="21"/>
  <c r="H24" i="21"/>
  <c r="I24" i="21"/>
  <c r="B23" i="21"/>
  <c r="D23" i="21"/>
  <c r="E23" i="21"/>
  <c r="C23" i="21"/>
  <c r="I23" i="21"/>
  <c r="F23" i="21"/>
  <c r="G23" i="21"/>
  <c r="H23" i="21"/>
  <c r="D45" i="21"/>
  <c r="B46" i="21"/>
  <c r="C46" i="21"/>
  <c r="D46" i="21"/>
  <c r="H46" i="21"/>
  <c r="I46" i="21"/>
  <c r="E46" i="21"/>
  <c r="F46" i="21"/>
  <c r="G46" i="21"/>
  <c r="B25" i="15"/>
  <c r="J25" i="15"/>
  <c r="I25" i="15"/>
  <c r="C25" i="15"/>
  <c r="K25" i="15"/>
  <c r="D25" i="15"/>
  <c r="L25" i="15"/>
  <c r="E25" i="15"/>
  <c r="M25" i="15"/>
  <c r="F25" i="15"/>
  <c r="G25" i="15"/>
  <c r="H25" i="15"/>
  <c r="K24" i="15"/>
  <c r="I24" i="15"/>
  <c r="B24" i="15"/>
  <c r="H24" i="15"/>
  <c r="D24" i="15"/>
  <c r="L24" i="15"/>
  <c r="M24" i="15"/>
  <c r="J24" i="15"/>
  <c r="C24" i="15"/>
  <c r="E24" i="15"/>
  <c r="F24" i="15"/>
  <c r="G24" i="15"/>
  <c r="C28" i="114"/>
  <c r="D19" i="114"/>
  <c r="B29" i="114"/>
  <c r="E30" i="114"/>
  <c r="B18" i="114"/>
  <c r="H29" i="114"/>
  <c r="F41" i="114"/>
  <c r="H18" i="114"/>
  <c r="F40" i="114"/>
  <c r="D29" i="114"/>
  <c r="J30" i="114"/>
  <c r="I30" i="114"/>
  <c r="D18" i="114"/>
  <c r="B30" i="114"/>
  <c r="C17" i="114"/>
  <c r="D17" i="114"/>
  <c r="B28" i="114"/>
  <c r="H17" i="114"/>
  <c r="B26" i="114"/>
  <c r="E40" i="114"/>
  <c r="D41" i="114"/>
  <c r="B27" i="114"/>
  <c r="C24" i="114"/>
  <c r="B41" i="114"/>
  <c r="E29" i="114"/>
  <c r="I29" i="114"/>
  <c r="C27" i="114"/>
  <c r="C41" i="114"/>
  <c r="C40" i="114"/>
  <c r="G19" i="114"/>
  <c r="J29" i="114"/>
  <c r="B25" i="114"/>
  <c r="C29" i="114"/>
  <c r="C19" i="114"/>
  <c r="F29" i="114"/>
  <c r="D40" i="114"/>
  <c r="B19" i="114"/>
  <c r="C25" i="114"/>
  <c r="E41" i="114"/>
  <c r="F30" i="114"/>
  <c r="D30" i="114"/>
  <c r="G29" i="114"/>
  <c r="G30" i="114"/>
  <c r="H30" i="114"/>
  <c r="H19" i="114"/>
  <c r="B40" i="114"/>
  <c r="C18" i="114"/>
  <c r="F19" i="114"/>
  <c r="C30" i="114"/>
  <c r="F17" i="114"/>
  <c r="C26" i="114"/>
  <c r="F18" i="114"/>
  <c r="B24" i="114"/>
  <c r="B17" i="114"/>
  <c r="G18" i="114"/>
  <c r="G17" i="114"/>
  <c r="J19" i="114"/>
  <c r="L30" i="114"/>
  <c r="J17" i="114"/>
  <c r="J18" i="114"/>
  <c r="H40" i="114"/>
  <c r="L29" i="114"/>
  <c r="H41" i="114"/>
  <c r="C43" i="35"/>
  <c r="J54" i="35"/>
  <c r="I46" i="35"/>
  <c r="E50" i="35"/>
  <c r="H48" i="35"/>
  <c r="D44" i="35"/>
  <c r="K49" i="35"/>
  <c r="C44" i="35"/>
  <c r="J51" i="35"/>
  <c r="E51" i="35"/>
  <c r="I55" i="35"/>
  <c r="D50" i="35"/>
  <c r="K46" i="35"/>
  <c r="D49" i="35"/>
  <c r="B56" i="35"/>
  <c r="E55" i="35"/>
  <c r="K54" i="35"/>
  <c r="B51" i="35"/>
  <c r="I50" i="35"/>
  <c r="E54" i="35"/>
  <c r="K55" i="35"/>
  <c r="K48" i="35"/>
  <c r="J43" i="35"/>
  <c r="E43" i="35"/>
  <c r="H45" i="35"/>
  <c r="D48" i="35"/>
  <c r="B49" i="35"/>
  <c r="C47" i="35"/>
  <c r="J50" i="35"/>
  <c r="H42" i="35"/>
  <c r="I52" i="35"/>
  <c r="E56" i="35"/>
  <c r="H56" i="35"/>
  <c r="E44" i="35"/>
  <c r="K44" i="35"/>
  <c r="H46" i="35"/>
  <c r="J49" i="35"/>
  <c r="B50" i="35"/>
  <c r="I54" i="35"/>
  <c r="H43" i="35"/>
  <c r="B52" i="35"/>
  <c r="D45" i="35"/>
  <c r="J46" i="35"/>
  <c r="J42" i="35"/>
  <c r="I48" i="35"/>
  <c r="E52" i="35"/>
  <c r="H50" i="35"/>
  <c r="D46" i="35"/>
  <c r="K51" i="35"/>
  <c r="C46" i="35"/>
  <c r="J55" i="35"/>
  <c r="I43" i="35"/>
  <c r="D51" i="35"/>
  <c r="D42" i="35"/>
  <c r="C45" i="35"/>
  <c r="K53" i="35"/>
  <c r="J48" i="35"/>
  <c r="I42" i="35"/>
  <c r="H52" i="35"/>
  <c r="D52" i="35"/>
  <c r="C50" i="35"/>
  <c r="B44" i="35"/>
  <c r="J53" i="35"/>
  <c r="C52" i="35"/>
  <c r="C56" i="35"/>
  <c r="B53" i="35"/>
  <c r="I51" i="35"/>
  <c r="D47" i="35"/>
  <c r="B48" i="35"/>
  <c r="K43" i="35"/>
  <c r="B54" i="35"/>
  <c r="I45" i="35"/>
  <c r="D53" i="35"/>
  <c r="H47" i="35"/>
  <c r="D56" i="35"/>
  <c r="B43" i="35"/>
  <c r="C49" i="35"/>
  <c r="H54" i="35"/>
  <c r="J52" i="35"/>
  <c r="E42" i="35"/>
  <c r="I56" i="35"/>
  <c r="B45" i="35"/>
  <c r="K56" i="35"/>
  <c r="E46" i="35"/>
  <c r="I44" i="35"/>
  <c r="D54" i="35"/>
  <c r="E47" i="35"/>
  <c r="B46" i="35"/>
  <c r="H51" i="35"/>
  <c r="C53" i="35"/>
  <c r="K50" i="35"/>
  <c r="J44" i="35"/>
  <c r="K47" i="35"/>
  <c r="H55" i="35"/>
  <c r="H44" i="35"/>
  <c r="C54" i="35"/>
  <c r="J45" i="35"/>
  <c r="E45" i="35"/>
  <c r="I47" i="35"/>
  <c r="D55" i="35"/>
  <c r="H49" i="35"/>
  <c r="B55" i="35"/>
  <c r="C48" i="35"/>
  <c r="C51" i="35"/>
  <c r="I53" i="35"/>
  <c r="J56" i="35"/>
  <c r="C42" i="35"/>
  <c r="K52" i="35"/>
  <c r="B47" i="35"/>
  <c r="E48" i="35"/>
  <c r="K45" i="35"/>
  <c r="J47" i="35"/>
  <c r="I49" i="35"/>
  <c r="D43" i="35"/>
  <c r="H53" i="35"/>
  <c r="C55" i="35"/>
  <c r="B42" i="35"/>
  <c r="K42" i="35"/>
  <c r="E49" i="35"/>
  <c r="E53" i="35"/>
  <c r="B58" i="2"/>
  <c r="F58" i="2"/>
  <c r="C57" i="2"/>
  <c r="C58" i="2"/>
  <c r="F57" i="2"/>
  <c r="D57" i="2"/>
  <c r="E57" i="2"/>
  <c r="D58" i="2"/>
  <c r="E58" i="2"/>
  <c r="G20" i="89"/>
  <c r="F17" i="89"/>
  <c r="G22" i="89"/>
  <c r="E24" i="89"/>
  <c r="E19" i="89"/>
  <c r="G17" i="89"/>
  <c r="C10" i="89"/>
  <c r="C21" i="89"/>
  <c r="B15" i="89"/>
  <c r="C11" i="89"/>
  <c r="F12" i="89"/>
  <c r="F20" i="89"/>
  <c r="D13" i="89"/>
  <c r="F19" i="89"/>
  <c r="B14" i="89"/>
  <c r="D17" i="89"/>
  <c r="D19" i="89"/>
  <c r="D16" i="89"/>
  <c r="F10" i="89"/>
  <c r="D12" i="89"/>
  <c r="E20" i="89"/>
  <c r="B17" i="89"/>
  <c r="C18" i="89"/>
  <c r="B20" i="89"/>
  <c r="F18" i="89"/>
  <c r="D10" i="89"/>
  <c r="E21" i="89"/>
  <c r="E12" i="89"/>
  <c r="B21" i="89"/>
  <c r="D18" i="89"/>
  <c r="G21" i="89"/>
  <c r="G11" i="89"/>
  <c r="G24" i="89"/>
  <c r="F11" i="89"/>
  <c r="G19" i="89"/>
  <c r="C15" i="89"/>
  <c r="F15" i="89"/>
  <c r="C13" i="89"/>
  <c r="D14" i="89"/>
  <c r="E22" i="89"/>
  <c r="F16" i="89"/>
  <c r="E17" i="89"/>
  <c r="G13" i="89"/>
  <c r="B22" i="89"/>
  <c r="F22" i="89"/>
  <c r="G14" i="89"/>
  <c r="B24" i="89"/>
  <c r="C16" i="89"/>
  <c r="D15" i="89"/>
  <c r="C22" i="89"/>
  <c r="G15" i="89"/>
  <c r="G16" i="89"/>
  <c r="C12" i="89"/>
  <c r="E14" i="89"/>
  <c r="C19" i="89"/>
  <c r="F24" i="89"/>
  <c r="D21" i="89"/>
  <c r="F13" i="89"/>
  <c r="B19" i="89"/>
  <c r="D20" i="89"/>
  <c r="G23" i="89"/>
  <c r="B10" i="89"/>
  <c r="B12" i="89"/>
  <c r="D23" i="89"/>
  <c r="G10" i="89"/>
  <c r="F14" i="89"/>
  <c r="C20" i="89"/>
  <c r="B16" i="89"/>
  <c r="B13" i="89"/>
  <c r="D22" i="89"/>
  <c r="E11" i="89"/>
  <c r="C23" i="89"/>
  <c r="G12" i="89"/>
  <c r="C17" i="89"/>
  <c r="D11" i="89"/>
  <c r="D24" i="89"/>
  <c r="E15" i="89"/>
  <c r="B18" i="89"/>
  <c r="F23" i="89"/>
  <c r="E13" i="89"/>
  <c r="E18" i="89"/>
  <c r="G18" i="89"/>
  <c r="C24" i="89"/>
  <c r="F21" i="89"/>
  <c r="C14" i="89"/>
  <c r="E23" i="89"/>
  <c r="E10" i="89"/>
  <c r="B23" i="89"/>
  <c r="E16" i="89"/>
  <c r="B11" i="89"/>
  <c r="D13" i="42"/>
  <c r="C13" i="42"/>
  <c r="C12" i="42"/>
  <c r="B20" i="42"/>
  <c r="D17" i="42"/>
  <c r="B14" i="42"/>
  <c r="B12" i="42"/>
  <c r="D10" i="42"/>
  <c r="B13" i="42"/>
  <c r="D11" i="42"/>
  <c r="B19" i="42"/>
  <c r="D18" i="42"/>
  <c r="C20" i="42"/>
  <c r="B17" i="42"/>
  <c r="C10" i="42"/>
  <c r="D14" i="42"/>
  <c r="B11" i="42"/>
  <c r="C15" i="42"/>
  <c r="B18" i="42"/>
  <c r="B10" i="42"/>
  <c r="C18" i="42"/>
  <c r="D16" i="42"/>
  <c r="B16" i="42"/>
  <c r="B15" i="42"/>
  <c r="D15" i="42"/>
  <c r="C16" i="42"/>
  <c r="C19" i="42"/>
  <c r="D20" i="42"/>
  <c r="C14" i="42"/>
  <c r="C11" i="42"/>
  <c r="C17" i="42"/>
  <c r="D12" i="42"/>
  <c r="D19" i="42"/>
  <c r="C48" i="138"/>
  <c r="B48" i="138"/>
  <c r="B47" i="138"/>
  <c r="D48" i="138"/>
  <c r="E48" i="138"/>
  <c r="F47" i="138"/>
  <c r="F48" i="138"/>
  <c r="C47" i="138"/>
  <c r="D47" i="138"/>
  <c r="E47" i="138"/>
  <c r="B25" i="28"/>
  <c r="C25" i="28"/>
  <c r="D25" i="28"/>
  <c r="E25" i="28"/>
  <c r="F25" i="28"/>
  <c r="G25" i="28"/>
  <c r="C23" i="2"/>
  <c r="E23" i="2"/>
  <c r="B24" i="2"/>
  <c r="G23" i="2"/>
  <c r="F23" i="2"/>
  <c r="F24" i="2"/>
  <c r="E24" i="2"/>
  <c r="D24" i="2"/>
  <c r="C24" i="2"/>
  <c r="D23" i="2"/>
  <c r="B23" i="2"/>
  <c r="G24" i="2"/>
  <c r="D16" i="106"/>
  <c r="B12" i="106"/>
  <c r="D17" i="106"/>
  <c r="D20" i="106"/>
  <c r="C20" i="106"/>
  <c r="B17" i="106"/>
  <c r="B18" i="106"/>
  <c r="D18" i="106"/>
  <c r="B40" i="106"/>
  <c r="C17" i="106"/>
  <c r="B36" i="106"/>
  <c r="B16" i="106"/>
  <c r="B46" i="106"/>
  <c r="B37" i="106"/>
  <c r="B20" i="106"/>
  <c r="B13" i="106"/>
  <c r="C18" i="106"/>
  <c r="C14" i="106"/>
  <c r="B14" i="106"/>
  <c r="B42" i="106"/>
  <c r="B39" i="106"/>
  <c r="C21" i="106"/>
  <c r="B21" i="106"/>
  <c r="B45" i="106"/>
  <c r="C16" i="106"/>
  <c r="B38" i="106"/>
  <c r="B15" i="106"/>
  <c r="C15" i="106"/>
  <c r="D22" i="106"/>
  <c r="B22" i="106"/>
  <c r="C19" i="106"/>
  <c r="D21" i="106"/>
  <c r="C13" i="106"/>
  <c r="B11" i="106"/>
  <c r="B41" i="106"/>
  <c r="B19" i="106"/>
  <c r="B35" i="106"/>
  <c r="C22" i="106"/>
  <c r="D19" i="106"/>
  <c r="D15" i="106"/>
  <c r="F90" i="28"/>
  <c r="F91" i="28"/>
  <c r="C25" i="20"/>
  <c r="M25" i="20"/>
  <c r="O25" i="20"/>
  <c r="O24" i="20"/>
  <c r="V24" i="20"/>
  <c r="H24" i="20"/>
  <c r="G24" i="20"/>
  <c r="T24" i="20"/>
  <c r="K25" i="20"/>
  <c r="U25" i="20"/>
  <c r="W25" i="20"/>
  <c r="E24" i="20"/>
  <c r="M24" i="20"/>
  <c r="C24" i="20"/>
  <c r="K24" i="20"/>
  <c r="E25" i="20"/>
  <c r="N24" i="20"/>
  <c r="S25" i="20"/>
  <c r="F25" i="20"/>
  <c r="P25" i="20"/>
  <c r="B24" i="20"/>
  <c r="S24" i="20"/>
  <c r="U24" i="20"/>
  <c r="Y25" i="20"/>
  <c r="D25" i="20"/>
  <c r="N25" i="20"/>
  <c r="I25" i="20"/>
  <c r="D24" i="20"/>
  <c r="Q24" i="20"/>
  <c r="R24" i="20"/>
  <c r="F24" i="20"/>
  <c r="L24" i="20"/>
  <c r="L25" i="20"/>
  <c r="V25" i="20"/>
  <c r="H25" i="20"/>
  <c r="Y24" i="20"/>
  <c r="P24" i="20"/>
  <c r="I24" i="20"/>
  <c r="Q25" i="20"/>
  <c r="R25" i="20"/>
  <c r="B25" i="20"/>
  <c r="T25" i="20"/>
  <c r="X25" i="20"/>
  <c r="X24" i="20"/>
  <c r="J24" i="20"/>
  <c r="W24" i="20"/>
  <c r="J25" i="20"/>
  <c r="G25" i="20"/>
  <c r="D22" i="105"/>
  <c r="B46" i="105"/>
  <c r="B42" i="105"/>
  <c r="B18" i="105"/>
  <c r="E19" i="105"/>
  <c r="B23" i="105"/>
  <c r="E14" i="105"/>
  <c r="C17" i="105"/>
  <c r="C38" i="105"/>
  <c r="B15" i="105"/>
  <c r="D15" i="105"/>
  <c r="D16" i="105"/>
  <c r="B43" i="105"/>
  <c r="C23" i="105"/>
  <c r="C40" i="105"/>
  <c r="E18" i="105"/>
  <c r="C39" i="105"/>
  <c r="E23" i="105"/>
  <c r="B13" i="105"/>
  <c r="D43" i="105"/>
  <c r="C14" i="105"/>
  <c r="B47" i="105"/>
  <c r="D20" i="105"/>
  <c r="E21" i="105"/>
  <c r="D23" i="105"/>
  <c r="D17" i="105"/>
  <c r="B48" i="105"/>
  <c r="D18" i="105"/>
  <c r="B41" i="105"/>
  <c r="C21" i="105"/>
  <c r="B40" i="105"/>
  <c r="B11" i="105"/>
  <c r="D42" i="105"/>
  <c r="B21" i="105"/>
  <c r="B20" i="105"/>
  <c r="E15" i="105"/>
  <c r="B22" i="105"/>
  <c r="C20" i="105"/>
  <c r="C18" i="105"/>
  <c r="C41" i="105"/>
  <c r="B16" i="105"/>
  <c r="C19" i="105"/>
  <c r="B39" i="105"/>
  <c r="B14" i="105"/>
  <c r="C13" i="105"/>
  <c r="B38" i="105"/>
  <c r="B19" i="105"/>
  <c r="B37" i="105"/>
  <c r="E22" i="105"/>
  <c r="B36" i="105"/>
  <c r="E16" i="105"/>
  <c r="C42" i="105"/>
  <c r="D19" i="105"/>
  <c r="B12" i="105"/>
  <c r="E17" i="105"/>
  <c r="C48" i="105"/>
  <c r="D41" i="105"/>
  <c r="C43" i="105"/>
  <c r="C22" i="105"/>
  <c r="C15" i="105"/>
  <c r="D21" i="105"/>
  <c r="E20" i="105"/>
  <c r="D40" i="105"/>
  <c r="C16" i="105"/>
  <c r="B17" i="105"/>
  <c r="D27" i="2" l="1"/>
  <c r="C27" i="2"/>
  <c r="B27" i="2"/>
  <c r="G27" i="2"/>
  <c r="F27" i="2"/>
  <c r="E27" i="2"/>
  <c r="F61" i="2"/>
  <c r="E61" i="2"/>
  <c r="D61" i="2"/>
  <c r="C61" i="2"/>
  <c r="B61" i="2"/>
  <c r="O25" i="15"/>
  <c r="N25" i="15"/>
  <c r="Q25" i="15"/>
  <c r="P25" i="15"/>
  <c r="G41" i="15"/>
  <c r="F41" i="15"/>
  <c r="E41" i="15"/>
  <c r="C41" i="15"/>
  <c r="J41" i="15"/>
  <c r="M41" i="15"/>
  <c r="L41" i="15"/>
  <c r="D41" i="15"/>
  <c r="H41" i="15"/>
  <c r="B41" i="15"/>
  <c r="I41" i="15"/>
  <c r="K41" i="15"/>
  <c r="F23" i="105"/>
  <c r="B91" i="28"/>
  <c r="C91" i="28"/>
  <c r="D91" i="28"/>
  <c r="E91" i="28"/>
  <c r="D63" i="28"/>
  <c r="E63" i="28"/>
  <c r="C63" i="28"/>
  <c r="B63" i="28"/>
  <c r="F17" i="115"/>
  <c r="G58" i="2"/>
  <c r="H24" i="2"/>
  <c r="L16" i="120"/>
  <c r="B21" i="138"/>
  <c r="C21" i="138"/>
  <c r="F21" i="138"/>
  <c r="E21" i="138"/>
  <c r="D21" i="138"/>
  <c r="L42" i="27"/>
  <c r="I41" i="114"/>
  <c r="M30" i="114"/>
  <c r="K19" i="114"/>
  <c r="E19" i="114"/>
  <c r="E18" i="114"/>
  <c r="K18" i="114"/>
  <c r="K17" i="114"/>
  <c r="E17" i="114"/>
  <c r="I40" i="114"/>
  <c r="M29" i="114"/>
  <c r="O24" i="15"/>
  <c r="N24" i="15"/>
  <c r="Q24" i="15"/>
  <c r="P24" i="15"/>
  <c r="H10" i="89"/>
  <c r="H11" i="89"/>
  <c r="H19" i="89"/>
  <c r="G57" i="2"/>
  <c r="F16" i="115"/>
  <c r="H23" i="2"/>
  <c r="B9" i="30"/>
  <c r="B9" i="31" s="1"/>
  <c r="G22" i="81"/>
  <c r="E22" i="81"/>
  <c r="H22" i="81"/>
  <c r="F22" i="81"/>
  <c r="D22" i="81"/>
  <c r="B22" i="81"/>
  <c r="C22" i="81"/>
  <c r="K24" i="24"/>
  <c r="N24" i="24"/>
  <c r="G24" i="24"/>
  <c r="I24" i="24"/>
  <c r="D24" i="24"/>
  <c r="M24" i="24"/>
  <c r="F24" i="24"/>
  <c r="L24" i="24"/>
  <c r="E24" i="24"/>
  <c r="B24" i="24"/>
  <c r="J24" i="24"/>
  <c r="H24" i="24"/>
  <c r="C24" i="24"/>
  <c r="F29" i="27"/>
  <c r="F39" i="27"/>
  <c r="H16" i="27"/>
  <c r="I25" i="27"/>
  <c r="K10" i="27"/>
  <c r="K39" i="27"/>
  <c r="K30" i="27"/>
  <c r="G35" i="27"/>
  <c r="K26" i="27"/>
  <c r="F19" i="27"/>
  <c r="D29" i="27"/>
  <c r="D41" i="27"/>
  <c r="F18" i="27"/>
  <c r="G27" i="27"/>
  <c r="I10" i="27"/>
  <c r="K25" i="27"/>
  <c r="H35" i="27"/>
  <c r="I13" i="27"/>
  <c r="J32" i="27"/>
  <c r="I41" i="27"/>
  <c r="I30" i="27"/>
  <c r="D14" i="27"/>
  <c r="D25" i="27"/>
  <c r="D40" i="27"/>
  <c r="H17" i="27"/>
  <c r="H32" i="27"/>
  <c r="C31" i="27"/>
  <c r="F25" i="27"/>
  <c r="G36" i="27"/>
  <c r="K37" i="27"/>
  <c r="C33" i="27"/>
  <c r="E20" i="27"/>
  <c r="D31" i="27"/>
  <c r="C40" i="27"/>
  <c r="H26" i="27"/>
  <c r="F21" i="27"/>
  <c r="G31" i="27"/>
  <c r="C14" i="27"/>
  <c r="F33" i="27"/>
  <c r="G40" i="27"/>
  <c r="J25" i="27"/>
  <c r="F11" i="27"/>
  <c r="H11" i="27"/>
  <c r="D30" i="27"/>
  <c r="H29" i="27"/>
  <c r="E38" i="27"/>
  <c r="F23" i="27"/>
  <c r="F41" i="27"/>
  <c r="I16" i="27"/>
  <c r="I26" i="27"/>
  <c r="J34" i="27"/>
  <c r="E37" i="27"/>
  <c r="I12" i="27"/>
  <c r="I33" i="27"/>
  <c r="C12" i="27"/>
  <c r="C39" i="27"/>
  <c r="G22" i="27"/>
  <c r="F34" i="27"/>
  <c r="E18" i="27"/>
  <c r="J40" i="27"/>
  <c r="E13" i="27"/>
  <c r="H31" i="27"/>
  <c r="J19" i="27"/>
  <c r="G41" i="27"/>
  <c r="H15" i="27"/>
  <c r="C25" i="27"/>
  <c r="C13" i="27"/>
  <c r="C21" i="27"/>
  <c r="E10" i="27"/>
  <c r="I21" i="27"/>
  <c r="C16" i="27"/>
  <c r="K14" i="27"/>
  <c r="E32" i="27"/>
  <c r="I39" i="27"/>
  <c r="E35" i="27"/>
  <c r="J14" i="27"/>
  <c r="K40" i="27"/>
  <c r="F20" i="27"/>
  <c r="I29" i="27"/>
  <c r="I36" i="27"/>
  <c r="I22" i="27"/>
  <c r="E39" i="27"/>
  <c r="G18" i="27"/>
  <c r="J37" i="27"/>
  <c r="J39" i="27"/>
  <c r="H12" i="27"/>
  <c r="G15" i="27"/>
  <c r="I23" i="27"/>
  <c r="H34" i="27"/>
  <c r="C10" i="27"/>
  <c r="E40" i="27"/>
  <c r="G19" i="27"/>
  <c r="K11" i="27"/>
  <c r="G32" i="27"/>
  <c r="J16" i="27"/>
  <c r="F12" i="27"/>
  <c r="E17" i="27"/>
  <c r="G25" i="27"/>
  <c r="H28" i="27"/>
  <c r="J29" i="27"/>
  <c r="G34" i="27"/>
  <c r="K19" i="27"/>
  <c r="E23" i="27"/>
  <c r="K29" i="27"/>
  <c r="J41" i="27"/>
  <c r="E11" i="27"/>
  <c r="E21" i="27"/>
  <c r="C34" i="27"/>
  <c r="G37" i="27"/>
  <c r="I24" i="27"/>
  <c r="C41" i="27"/>
  <c r="J11" i="27"/>
  <c r="K21" i="27"/>
  <c r="F36" i="27"/>
  <c r="C38" i="27"/>
  <c r="D19" i="27"/>
  <c r="F27" i="27"/>
  <c r="G14" i="27"/>
  <c r="F16" i="27"/>
  <c r="J17" i="27"/>
  <c r="C17" i="27"/>
  <c r="C35" i="27"/>
  <c r="I38" i="27"/>
  <c r="E29" i="27"/>
  <c r="J13" i="27"/>
  <c r="J27" i="27"/>
  <c r="J15" i="27"/>
  <c r="C11" i="27"/>
  <c r="D28" i="27"/>
  <c r="D18" i="27"/>
  <c r="F26" i="27"/>
  <c r="C19" i="27"/>
  <c r="J35" i="27"/>
  <c r="F32" i="27"/>
  <c r="I17" i="27"/>
  <c r="K18" i="27"/>
  <c r="H23" i="27"/>
  <c r="I20" i="27"/>
  <c r="J22" i="27"/>
  <c r="H24" i="27"/>
  <c r="D36" i="27"/>
  <c r="F30" i="27"/>
  <c r="K12" i="27"/>
  <c r="K32" i="27"/>
  <c r="K28" i="27"/>
  <c r="E24" i="27"/>
  <c r="K34" i="27"/>
  <c r="G21" i="27"/>
  <c r="J23" i="27"/>
  <c r="E41" i="27"/>
  <c r="C26" i="27"/>
  <c r="H37" i="27"/>
  <c r="K35" i="27"/>
  <c r="I31" i="27"/>
  <c r="D32" i="27"/>
  <c r="K13" i="27"/>
  <c r="D39" i="27"/>
  <c r="G30" i="27"/>
  <c r="C22" i="27"/>
  <c r="G28" i="27"/>
  <c r="C32" i="27"/>
  <c r="K33" i="27"/>
  <c r="D33" i="27"/>
  <c r="J12" i="27"/>
  <c r="H41" i="27"/>
  <c r="H33" i="27"/>
  <c r="E27" i="27"/>
  <c r="G10" i="27"/>
  <c r="H36" i="27"/>
  <c r="D13" i="27"/>
  <c r="G11" i="27"/>
  <c r="I37" i="27"/>
  <c r="H22" i="27"/>
  <c r="G33" i="27"/>
  <c r="K16" i="27"/>
  <c r="C36" i="27"/>
  <c r="G23" i="27"/>
  <c r="I19" i="27"/>
  <c r="K17" i="27"/>
  <c r="D35" i="27"/>
  <c r="E22" i="27"/>
  <c r="G39" i="27"/>
  <c r="F24" i="27"/>
  <c r="F14" i="27"/>
  <c r="I18" i="27"/>
  <c r="K41" i="27"/>
  <c r="D22" i="27"/>
  <c r="F17" i="27"/>
  <c r="E34" i="27"/>
  <c r="C30" i="27"/>
  <c r="F38" i="27"/>
  <c r="E19" i="27"/>
  <c r="F28" i="27"/>
  <c r="H10" i="27"/>
  <c r="I35" i="27"/>
  <c r="C15" i="27"/>
  <c r="F35" i="27"/>
  <c r="F10" i="27"/>
  <c r="G26" i="27"/>
  <c r="E36" i="27"/>
  <c r="D38" i="27"/>
  <c r="E26" i="27"/>
  <c r="D24" i="27"/>
  <c r="H21" i="27"/>
  <c r="I34" i="27"/>
  <c r="H30" i="27"/>
  <c r="C24" i="27"/>
  <c r="K24" i="27"/>
  <c r="D37" i="27"/>
  <c r="E33" i="27"/>
  <c r="F13" i="27"/>
  <c r="E12" i="27"/>
  <c r="I32" i="27"/>
  <c r="K23" i="27"/>
  <c r="E15" i="27"/>
  <c r="I28" i="27"/>
  <c r="K20" i="27"/>
  <c r="J30" i="27"/>
  <c r="E30" i="27"/>
  <c r="H18" i="27"/>
  <c r="D20" i="27"/>
  <c r="C18" i="27"/>
  <c r="K27" i="27"/>
  <c r="J28" i="27"/>
  <c r="D23" i="27"/>
  <c r="K15" i="27"/>
  <c r="J38" i="27"/>
  <c r="D11" i="27"/>
  <c r="D21" i="27"/>
  <c r="J33" i="27"/>
  <c r="G12" i="27"/>
  <c r="C28" i="27"/>
  <c r="E16" i="27"/>
  <c r="E31" i="27"/>
  <c r="F37" i="27"/>
  <c r="K36" i="27"/>
  <c r="H40" i="27"/>
  <c r="I14" i="27"/>
  <c r="K22" i="27"/>
  <c r="I11" i="27"/>
  <c r="D26" i="27"/>
  <c r="H27" i="27"/>
  <c r="G13" i="27"/>
  <c r="J18" i="27"/>
  <c r="F40" i="27"/>
  <c r="E25" i="27"/>
  <c r="F22" i="27"/>
  <c r="H19" i="27"/>
  <c r="C29" i="27"/>
  <c r="D16" i="27"/>
  <c r="G20" i="27"/>
  <c r="C27" i="27"/>
  <c r="C37" i="27"/>
  <c r="D15" i="27"/>
  <c r="G29" i="27"/>
  <c r="G38" i="27"/>
  <c r="I15" i="27"/>
  <c r="J24" i="27"/>
  <c r="J26" i="27"/>
  <c r="I27" i="27"/>
  <c r="J10" i="27"/>
  <c r="K31" i="27"/>
  <c r="K38" i="27"/>
  <c r="C20" i="27"/>
  <c r="E28" i="27"/>
  <c r="F15" i="27"/>
  <c r="H38" i="27"/>
  <c r="G17" i="27"/>
  <c r="F31" i="27"/>
  <c r="H25" i="27"/>
  <c r="J20" i="27"/>
  <c r="J36" i="27"/>
  <c r="I40" i="27"/>
  <c r="J21" i="27"/>
  <c r="J31" i="27"/>
  <c r="D17" i="27"/>
  <c r="G16" i="27"/>
  <c r="E14" i="27"/>
  <c r="D34" i="27"/>
  <c r="D12" i="27"/>
  <c r="G24" i="27"/>
  <c r="H14" i="27"/>
  <c r="D10" i="27"/>
  <c r="H13" i="27"/>
  <c r="D27" i="27"/>
  <c r="H39" i="27"/>
  <c r="C23" i="27"/>
  <c r="H20" i="27"/>
  <c r="E38" i="26"/>
  <c r="E33" i="26"/>
  <c r="D38" i="26"/>
  <c r="B33" i="26"/>
  <c r="D37" i="26"/>
  <c r="B39" i="26"/>
  <c r="C35" i="26"/>
  <c r="E34" i="26"/>
  <c r="B35" i="26"/>
  <c r="B41" i="26"/>
  <c r="E39" i="26"/>
  <c r="D39" i="26"/>
  <c r="E36" i="26"/>
  <c r="E41" i="26"/>
  <c r="B36" i="26"/>
  <c r="C41" i="26"/>
  <c r="C34" i="26"/>
  <c r="C36" i="26"/>
  <c r="B40" i="26"/>
  <c r="E37" i="26"/>
  <c r="D36" i="26"/>
  <c r="C33" i="26"/>
  <c r="D41" i="26"/>
  <c r="B34" i="26"/>
  <c r="D34" i="26"/>
  <c r="C39" i="26"/>
  <c r="D40" i="26"/>
  <c r="E35" i="26"/>
  <c r="C37" i="26"/>
  <c r="B38" i="26"/>
  <c r="E40" i="26"/>
  <c r="D33" i="26"/>
  <c r="B37" i="26"/>
  <c r="C38" i="26"/>
  <c r="C40" i="26"/>
  <c r="D35" i="26"/>
  <c r="C12" i="26"/>
  <c r="C15" i="26"/>
  <c r="E13" i="26"/>
  <c r="B16" i="26"/>
  <c r="E12" i="26"/>
  <c r="D15" i="26"/>
  <c r="E11" i="26"/>
  <c r="D18" i="26"/>
  <c r="C11" i="26"/>
  <c r="D17" i="26"/>
  <c r="D11" i="26"/>
  <c r="B12" i="26"/>
  <c r="B14" i="26"/>
  <c r="D12" i="26"/>
  <c r="E18" i="26"/>
  <c r="D13" i="26"/>
  <c r="B13" i="26"/>
  <c r="C18" i="26"/>
  <c r="E15" i="26"/>
  <c r="B17" i="26"/>
  <c r="D16" i="26"/>
  <c r="B15" i="26"/>
  <c r="D14" i="26"/>
  <c r="C17" i="26"/>
  <c r="E16" i="26"/>
  <c r="C13" i="26"/>
  <c r="E14" i="26"/>
  <c r="B18" i="26"/>
  <c r="C14" i="26"/>
  <c r="E19" i="26"/>
  <c r="C16" i="26"/>
  <c r="D19" i="26"/>
  <c r="E17" i="26"/>
  <c r="B19" i="26"/>
  <c r="B11" i="26"/>
  <c r="C19" i="26"/>
  <c r="H37" i="26"/>
  <c r="J35" i="26"/>
  <c r="H40" i="26"/>
  <c r="J33" i="26"/>
  <c r="K38" i="26"/>
  <c r="K34" i="26"/>
  <c r="I34" i="26"/>
  <c r="I41" i="26"/>
  <c r="K35" i="26"/>
  <c r="K36" i="26"/>
  <c r="K37" i="26"/>
  <c r="K39" i="26"/>
  <c r="J41" i="26"/>
  <c r="H38" i="26"/>
  <c r="H36" i="26"/>
  <c r="I36" i="26"/>
  <c r="I40" i="26"/>
  <c r="H39" i="26"/>
  <c r="I33" i="26"/>
  <c r="H35" i="26"/>
  <c r="I39" i="26"/>
  <c r="H41" i="26"/>
  <c r="H33" i="26"/>
  <c r="J34" i="26"/>
  <c r="J40" i="26"/>
  <c r="K33" i="26"/>
  <c r="I38" i="26"/>
  <c r="J38" i="26"/>
  <c r="K40" i="26"/>
  <c r="J36" i="26"/>
  <c r="I35" i="26"/>
  <c r="H34" i="26"/>
  <c r="J39" i="26"/>
  <c r="I37" i="26"/>
  <c r="J37" i="26"/>
  <c r="K41" i="26"/>
  <c r="K18" i="26"/>
  <c r="I12" i="26"/>
  <c r="J15" i="26"/>
  <c r="J12" i="26"/>
  <c r="J11" i="26"/>
  <c r="K13" i="26"/>
  <c r="J19" i="26"/>
  <c r="H17" i="26"/>
  <c r="I14" i="26"/>
  <c r="H15" i="26"/>
  <c r="H12" i="26"/>
  <c r="H11" i="26"/>
  <c r="J14" i="26"/>
  <c r="J13" i="26"/>
  <c r="K14" i="26"/>
  <c r="K11" i="26"/>
  <c r="J16" i="26"/>
  <c r="H13" i="26"/>
  <c r="J17" i="26"/>
  <c r="H19" i="26"/>
  <c r="H18" i="26"/>
  <c r="I13" i="26"/>
  <c r="J18" i="26"/>
  <c r="I17" i="26"/>
  <c r="K15" i="26"/>
  <c r="I18" i="26"/>
  <c r="H14" i="26"/>
  <c r="I16" i="26"/>
  <c r="K19" i="26"/>
  <c r="I19" i="26"/>
  <c r="K17" i="26"/>
  <c r="K16" i="26"/>
  <c r="I15" i="26"/>
  <c r="I11" i="26"/>
  <c r="H16" i="26"/>
  <c r="K12" i="26"/>
  <c r="H20" i="34"/>
  <c r="P22" i="34"/>
  <c r="M28" i="34"/>
  <c r="M30" i="34"/>
  <c r="H39" i="34"/>
  <c r="L24" i="34"/>
  <c r="D30" i="34"/>
  <c r="H17" i="34"/>
  <c r="L13" i="34"/>
  <c r="Q26" i="34"/>
  <c r="D14" i="34"/>
  <c r="N23" i="34"/>
  <c r="C20" i="34"/>
  <c r="C28" i="34"/>
  <c r="P33" i="34"/>
  <c r="D39" i="34"/>
  <c r="J36" i="34"/>
  <c r="C37" i="34"/>
  <c r="G33" i="34"/>
  <c r="H29" i="34"/>
  <c r="O29" i="34"/>
  <c r="J34" i="34"/>
  <c r="C35" i="34"/>
  <c r="G31" i="34"/>
  <c r="C29" i="34"/>
  <c r="C27" i="34"/>
  <c r="Q16" i="34"/>
  <c r="K11" i="34"/>
  <c r="M32" i="34"/>
  <c r="M34" i="34"/>
  <c r="I35" i="34"/>
  <c r="M31" i="34"/>
  <c r="D12" i="34"/>
  <c r="L12" i="34"/>
  <c r="O41" i="34"/>
  <c r="D38" i="34"/>
  <c r="L38" i="34"/>
  <c r="L18" i="34"/>
  <c r="F18" i="34"/>
  <c r="N19" i="34"/>
  <c r="C16" i="34"/>
  <c r="G11" i="34"/>
  <c r="O11" i="34"/>
  <c r="E26" i="34"/>
  <c r="I22" i="34"/>
  <c r="O37" i="34"/>
  <c r="C36" i="34"/>
  <c r="I20" i="34"/>
  <c r="M22" i="34"/>
  <c r="M37" i="34"/>
  <c r="Q33" i="34"/>
  <c r="O30" i="34"/>
  <c r="H31" i="34"/>
  <c r="G40" i="34"/>
  <c r="H40" i="34"/>
  <c r="P40" i="34"/>
  <c r="M11" i="34"/>
  <c r="C12" i="34"/>
  <c r="M29" i="34"/>
  <c r="G27" i="34"/>
  <c r="F35" i="34"/>
  <c r="L20" i="34"/>
  <c r="M21" i="34"/>
  <c r="Q36" i="34"/>
  <c r="J31" i="34"/>
  <c r="O40" i="34"/>
  <c r="D41" i="34"/>
  <c r="F23" i="34"/>
  <c r="H25" i="34"/>
  <c r="M24" i="34"/>
  <c r="F29" i="34"/>
  <c r="E29" i="34"/>
  <c r="L29" i="34"/>
  <c r="Q10" i="34"/>
  <c r="K20" i="34"/>
  <c r="E15" i="34"/>
  <c r="G17" i="34"/>
  <c r="H24" i="34"/>
  <c r="K18" i="34"/>
  <c r="D19" i="34"/>
  <c r="N24" i="34"/>
  <c r="F31" i="34"/>
  <c r="O38" i="34"/>
  <c r="E35" i="34"/>
  <c r="M35" i="34"/>
  <c r="Q31" i="34"/>
  <c r="E27" i="34"/>
  <c r="M27" i="34"/>
  <c r="Q14" i="34"/>
  <c r="I16" i="34"/>
  <c r="C21" i="34"/>
  <c r="C38" i="34"/>
  <c r="J17" i="34"/>
  <c r="N13" i="34"/>
  <c r="J12" i="34"/>
  <c r="H18" i="34"/>
  <c r="P23" i="34"/>
  <c r="E20" i="34"/>
  <c r="P32" i="34"/>
  <c r="P14" i="34"/>
  <c r="Q40" i="34"/>
  <c r="F17" i="34"/>
  <c r="J13" i="34"/>
  <c r="O26" i="34"/>
  <c r="I11" i="34"/>
  <c r="L23" i="34"/>
  <c r="P19" i="34"/>
  <c r="M41" i="34"/>
  <c r="F38" i="34"/>
  <c r="I36" i="34"/>
  <c r="K21" i="34"/>
  <c r="H38" i="34"/>
  <c r="L34" i="34"/>
  <c r="K32" i="34"/>
  <c r="D33" i="34"/>
  <c r="G28" i="34"/>
  <c r="C41" i="34"/>
  <c r="K41" i="34"/>
  <c r="M15" i="34"/>
  <c r="H22" i="34"/>
  <c r="P37" i="34"/>
  <c r="L30" i="34"/>
  <c r="L22" i="34"/>
  <c r="C31" i="34"/>
  <c r="C23" i="34"/>
  <c r="C14" i="34"/>
  <c r="L37" i="34"/>
  <c r="K37" i="34"/>
  <c r="P26" i="34"/>
  <c r="Q12" i="34"/>
  <c r="L15" i="34"/>
  <c r="L28" i="34"/>
  <c r="J25" i="34"/>
  <c r="F14" i="34"/>
  <c r="Q41" i="34"/>
  <c r="D27" i="34"/>
  <c r="Q32" i="34"/>
  <c r="G34" i="34"/>
  <c r="K30" i="34"/>
  <c r="H41" i="34"/>
  <c r="Q25" i="34"/>
  <c r="C34" i="34"/>
  <c r="G30" i="34"/>
  <c r="J35" i="34"/>
  <c r="M38" i="34"/>
  <c r="I40" i="34"/>
  <c r="M36" i="34"/>
  <c r="F37" i="34"/>
  <c r="J24" i="34"/>
  <c r="C25" i="34"/>
  <c r="G21" i="34"/>
  <c r="K16" i="34"/>
  <c r="D17" i="34"/>
  <c r="J28" i="34"/>
  <c r="H28" i="34"/>
  <c r="K40" i="34"/>
  <c r="C39" i="34"/>
  <c r="K39" i="34"/>
  <c r="O35" i="34"/>
  <c r="D32" i="34"/>
  <c r="L32" i="34"/>
  <c r="I12" i="34"/>
  <c r="L39" i="34"/>
  <c r="J18" i="34"/>
  <c r="H15" i="34"/>
  <c r="J15" i="34"/>
  <c r="N11" i="34"/>
  <c r="D25" i="34"/>
  <c r="L25" i="34"/>
  <c r="P21" i="34"/>
  <c r="E18" i="34"/>
  <c r="I37" i="34"/>
  <c r="E28" i="34"/>
  <c r="I29" i="34"/>
  <c r="K10" i="34"/>
  <c r="D10" i="34"/>
  <c r="I14" i="34"/>
  <c r="Q23" i="34"/>
  <c r="M20" i="34"/>
  <c r="P10" i="34"/>
  <c r="N39" i="34"/>
  <c r="P38" i="34"/>
  <c r="F15" i="34"/>
  <c r="E34" i="34"/>
  <c r="K28" i="34"/>
  <c r="J38" i="34"/>
  <c r="H35" i="34"/>
  <c r="P35" i="34"/>
  <c r="E32" i="34"/>
  <c r="P27" i="34"/>
  <c r="I28" i="34"/>
  <c r="F25" i="34"/>
  <c r="P31" i="34"/>
  <c r="J19" i="34"/>
  <c r="J11" i="34"/>
  <c r="K22" i="34"/>
  <c r="L36" i="34"/>
  <c r="F40" i="34"/>
  <c r="E19" i="34"/>
  <c r="G15" i="34"/>
  <c r="N25" i="34"/>
  <c r="F33" i="34"/>
  <c r="O16" i="34"/>
  <c r="J16" i="34"/>
  <c r="N12" i="34"/>
  <c r="D24" i="34"/>
  <c r="E17" i="34"/>
  <c r="K38" i="34"/>
  <c r="O34" i="34"/>
  <c r="F32" i="34"/>
  <c r="N32" i="34"/>
  <c r="Q27" i="34"/>
  <c r="F41" i="34"/>
  <c r="N41" i="34"/>
  <c r="D21" i="34"/>
  <c r="L21" i="34"/>
  <c r="P17" i="34"/>
  <c r="E10" i="34"/>
  <c r="F10" i="34"/>
  <c r="M25" i="34"/>
  <c r="F13" i="34"/>
  <c r="Q19" i="34"/>
  <c r="O22" i="34"/>
  <c r="H23" i="34"/>
  <c r="L19" i="34"/>
  <c r="P15" i="34"/>
  <c r="K27" i="34"/>
  <c r="K33" i="34"/>
  <c r="E40" i="34"/>
  <c r="D26" i="34"/>
  <c r="O27" i="34"/>
  <c r="C10" i="34"/>
  <c r="I26" i="34"/>
  <c r="E12" i="34"/>
  <c r="Q24" i="34"/>
  <c r="O10" i="34"/>
  <c r="H10" i="34"/>
  <c r="F19" i="34"/>
  <c r="I27" i="34"/>
  <c r="D34" i="34"/>
  <c r="H30" i="34"/>
  <c r="F27" i="34"/>
  <c r="N27" i="34"/>
  <c r="J40" i="34"/>
  <c r="N36" i="34"/>
  <c r="G37" i="34"/>
  <c r="J23" i="34"/>
  <c r="D35" i="34"/>
  <c r="P12" i="34"/>
  <c r="G23" i="34"/>
  <c r="C26" i="34"/>
  <c r="G22" i="34"/>
  <c r="K17" i="34"/>
  <c r="D18" i="34"/>
  <c r="H14" i="34"/>
  <c r="O25" i="34"/>
  <c r="I41" i="34"/>
  <c r="M18" i="34"/>
  <c r="Q17" i="34"/>
  <c r="J37" i="34"/>
  <c r="I32" i="34"/>
  <c r="C19" i="34"/>
  <c r="D37" i="34"/>
  <c r="N15" i="34"/>
  <c r="M13" i="34"/>
  <c r="K26" i="34"/>
  <c r="Q15" i="34"/>
  <c r="E38" i="34"/>
  <c r="J14" i="34"/>
  <c r="D22" i="34"/>
  <c r="L41" i="34"/>
  <c r="N22" i="34"/>
  <c r="O23" i="34"/>
  <c r="D20" i="34"/>
  <c r="G14" i="34"/>
  <c r="O14" i="34"/>
  <c r="D11" i="34"/>
  <c r="J26" i="34"/>
  <c r="Q29" i="34"/>
  <c r="O24" i="34"/>
  <c r="I10" i="34"/>
  <c r="F30" i="34"/>
  <c r="N30" i="34"/>
  <c r="D29" i="34"/>
  <c r="E30" i="34"/>
  <c r="F11" i="34"/>
  <c r="K25" i="34"/>
  <c r="O20" i="34"/>
  <c r="H21" i="34"/>
  <c r="L17" i="34"/>
  <c r="P13" i="34"/>
  <c r="F28" i="34"/>
  <c r="F21" i="34"/>
  <c r="Q18" i="34"/>
  <c r="M40" i="34"/>
  <c r="D28" i="34"/>
  <c r="G29" i="34"/>
  <c r="N38" i="34"/>
  <c r="G39" i="34"/>
  <c r="K35" i="34"/>
  <c r="O31" i="34"/>
  <c r="H32" i="34"/>
  <c r="J10" i="34"/>
  <c r="G16" i="34"/>
  <c r="Q37" i="34"/>
  <c r="F34" i="34"/>
  <c r="D31" i="34"/>
  <c r="L31" i="34"/>
  <c r="H27" i="34"/>
  <c r="L40" i="34"/>
  <c r="E41" i="34"/>
  <c r="Q20" i="34"/>
  <c r="O21" i="34"/>
  <c r="I30" i="34"/>
  <c r="H13" i="34"/>
  <c r="C24" i="34"/>
  <c r="G20" i="34"/>
  <c r="K15" i="34"/>
  <c r="D16" i="34"/>
  <c r="H12" i="34"/>
  <c r="M26" i="34"/>
  <c r="O32" i="34"/>
  <c r="G32" i="34"/>
  <c r="L27" i="34"/>
  <c r="F20" i="34"/>
  <c r="N35" i="34"/>
  <c r="I34" i="34"/>
  <c r="K14" i="34"/>
  <c r="H34" i="34"/>
  <c r="F16" i="34"/>
  <c r="E39" i="34"/>
  <c r="H33" i="34"/>
  <c r="K24" i="34"/>
  <c r="C30" i="34"/>
  <c r="O36" i="34"/>
  <c r="P39" i="34"/>
  <c r="J41" i="34"/>
  <c r="D13" i="34"/>
  <c r="G26" i="34"/>
  <c r="G25" i="34"/>
  <c r="E16" i="34"/>
  <c r="N20" i="34"/>
  <c r="C17" i="34"/>
  <c r="G12" i="34"/>
  <c r="O12" i="34"/>
  <c r="C13" i="34"/>
  <c r="I23" i="34"/>
  <c r="N37" i="34"/>
  <c r="G38" i="34"/>
  <c r="K34" i="34"/>
  <c r="P30" i="34"/>
  <c r="I31" i="34"/>
  <c r="P41" i="34"/>
  <c r="N26" i="34"/>
  <c r="Q11" i="34"/>
  <c r="K23" i="34"/>
  <c r="G18" i="34"/>
  <c r="O18" i="34"/>
  <c r="D15" i="34"/>
  <c r="H11" i="34"/>
  <c r="E33" i="34"/>
  <c r="M16" i="34"/>
  <c r="L33" i="34"/>
  <c r="P20" i="34"/>
  <c r="N28" i="34"/>
  <c r="N31" i="34"/>
  <c r="I39" i="34"/>
  <c r="Q39" i="34"/>
  <c r="F36" i="34"/>
  <c r="J32" i="34"/>
  <c r="C33" i="34"/>
  <c r="P18" i="34"/>
  <c r="P11" i="34"/>
  <c r="M39" i="34"/>
  <c r="Q35" i="34"/>
  <c r="H16" i="34"/>
  <c r="P16" i="34"/>
  <c r="E13" i="34"/>
  <c r="J27" i="34"/>
  <c r="Q34" i="34"/>
  <c r="I15" i="34"/>
  <c r="L35" i="34"/>
  <c r="N33" i="34"/>
  <c r="J29" i="34"/>
  <c r="J21" i="34"/>
  <c r="N17" i="34"/>
  <c r="E14" i="34"/>
  <c r="M14" i="34"/>
  <c r="F24" i="34"/>
  <c r="E24" i="34"/>
  <c r="Q28" i="34"/>
  <c r="C22" i="34"/>
  <c r="Q30" i="34"/>
  <c r="O17" i="34"/>
  <c r="O15" i="34"/>
  <c r="C32" i="34"/>
  <c r="Q38" i="34"/>
  <c r="G19" i="34"/>
  <c r="E31" i="34"/>
  <c r="G41" i="34"/>
  <c r="O33" i="34"/>
  <c r="G24" i="34"/>
  <c r="H19" i="34"/>
  <c r="I33" i="34"/>
  <c r="D36" i="34"/>
  <c r="C11" i="34"/>
  <c r="I17" i="34"/>
  <c r="I18" i="34"/>
  <c r="E36" i="34"/>
  <c r="M12" i="34"/>
  <c r="M17" i="34"/>
  <c r="N29" i="34"/>
  <c r="L26" i="34"/>
  <c r="K29" i="34"/>
  <c r="N18" i="34"/>
  <c r="C15" i="34"/>
  <c r="J20" i="34"/>
  <c r="E23" i="34"/>
  <c r="E25" i="34"/>
  <c r="I21" i="34"/>
  <c r="J39" i="34"/>
  <c r="C40" i="34"/>
  <c r="G36" i="34"/>
  <c r="N34" i="34"/>
  <c r="G35" i="34"/>
  <c r="K31" i="34"/>
  <c r="P29" i="34"/>
  <c r="P25" i="34"/>
  <c r="E22" i="34"/>
  <c r="M10" i="34"/>
  <c r="N10" i="34"/>
  <c r="G10" i="34"/>
  <c r="I19" i="34"/>
  <c r="P34" i="34"/>
  <c r="F12" i="34"/>
  <c r="F26" i="34"/>
  <c r="F22" i="34"/>
  <c r="M33" i="34"/>
  <c r="P28" i="34"/>
  <c r="K36" i="34"/>
  <c r="F39" i="34"/>
  <c r="D40" i="34"/>
  <c r="H36" i="34"/>
  <c r="P36" i="34"/>
  <c r="H37" i="34"/>
  <c r="J33" i="34"/>
  <c r="N21" i="34"/>
  <c r="C18" i="34"/>
  <c r="G13" i="34"/>
  <c r="O13" i="34"/>
  <c r="M23" i="34"/>
  <c r="I24" i="34"/>
  <c r="E37" i="34"/>
  <c r="M19" i="34"/>
  <c r="I25" i="34"/>
  <c r="K12" i="34"/>
  <c r="H26" i="34"/>
  <c r="E11" i="34"/>
  <c r="L10" i="34"/>
  <c r="Q21" i="34"/>
  <c r="I13" i="34"/>
  <c r="Q22" i="34"/>
  <c r="L14" i="34"/>
  <c r="N14" i="34"/>
  <c r="P24" i="34"/>
  <c r="Q13" i="34"/>
  <c r="N16" i="34"/>
  <c r="K19" i="34"/>
  <c r="J30" i="34"/>
  <c r="I38" i="34"/>
  <c r="J22" i="34"/>
  <c r="L11" i="34"/>
  <c r="N40" i="34"/>
  <c r="O19" i="34"/>
  <c r="D23" i="34"/>
  <c r="K13" i="34"/>
  <c r="O39" i="34"/>
  <c r="O28" i="34"/>
  <c r="E21" i="34"/>
  <c r="L16" i="34"/>
  <c r="H18" i="107"/>
  <c r="K11" i="120"/>
  <c r="K12" i="120"/>
  <c r="K13" i="120"/>
  <c r="K10" i="120"/>
  <c r="K14" i="120"/>
  <c r="K15" i="120"/>
  <c r="F16" i="33"/>
  <c r="F17" i="33"/>
  <c r="F18" i="33"/>
  <c r="F19" i="33"/>
  <c r="F20" i="33"/>
  <c r="F15" i="33"/>
  <c r="E18" i="33"/>
  <c r="D13" i="33"/>
  <c r="C17" i="33"/>
  <c r="B12" i="33"/>
  <c r="E11" i="33"/>
  <c r="D14" i="33"/>
  <c r="C18" i="33"/>
  <c r="B13" i="33"/>
  <c r="E13" i="33"/>
  <c r="E14" i="33"/>
  <c r="E12" i="33"/>
  <c r="D15" i="33"/>
  <c r="C19" i="33"/>
  <c r="B14" i="33"/>
  <c r="E16" i="33"/>
  <c r="C16" i="33"/>
  <c r="E19" i="33"/>
  <c r="E10" i="33"/>
  <c r="D16" i="33"/>
  <c r="C20" i="33"/>
  <c r="B15" i="33"/>
  <c r="B11" i="33"/>
  <c r="E20" i="33"/>
  <c r="D11" i="33"/>
  <c r="D18" i="33"/>
  <c r="C15" i="33"/>
  <c r="B16" i="33"/>
  <c r="D12" i="33"/>
  <c r="B18" i="33"/>
  <c r="E17" i="33"/>
  <c r="E15" i="33"/>
  <c r="D19" i="33"/>
  <c r="D17" i="33"/>
  <c r="B20" i="33"/>
  <c r="B17" i="33"/>
  <c r="D10" i="33"/>
  <c r="D20" i="33"/>
  <c r="B19" i="33"/>
  <c r="B10" i="33"/>
  <c r="B11" i="113"/>
  <c r="B15" i="113"/>
  <c r="B19" i="113"/>
  <c r="B23" i="113"/>
  <c r="M15" i="113"/>
  <c r="N16" i="113"/>
  <c r="Q19" i="113"/>
  <c r="K13" i="113"/>
  <c r="K17" i="113"/>
  <c r="K21" i="113"/>
  <c r="M13" i="113"/>
  <c r="F12" i="113"/>
  <c r="N24" i="113"/>
  <c r="D12" i="113"/>
  <c r="D16" i="113"/>
  <c r="D20" i="113"/>
  <c r="D24" i="113"/>
  <c r="M20" i="113"/>
  <c r="F17" i="113"/>
  <c r="Q16" i="113"/>
  <c r="G13" i="113"/>
  <c r="G17" i="113"/>
  <c r="G21" i="113"/>
  <c r="H11" i="113"/>
  <c r="H15" i="113"/>
  <c r="H19" i="113"/>
  <c r="H23" i="113"/>
  <c r="Q14" i="113"/>
  <c r="Q10" i="113"/>
  <c r="I10" i="113"/>
  <c r="B21" i="113"/>
  <c r="K15" i="113"/>
  <c r="N17" i="113"/>
  <c r="D22" i="113"/>
  <c r="G11" i="113"/>
  <c r="H17" i="113"/>
  <c r="M10" i="113"/>
  <c r="J21" i="113"/>
  <c r="C24" i="113"/>
  <c r="L18" i="113"/>
  <c r="O11" i="113"/>
  <c r="P13" i="113"/>
  <c r="Q20" i="113"/>
  <c r="B22" i="113"/>
  <c r="K12" i="113"/>
  <c r="M22" i="113"/>
  <c r="D15" i="113"/>
  <c r="F15" i="113"/>
  <c r="G24" i="113"/>
  <c r="I13" i="113"/>
  <c r="C10" i="113"/>
  <c r="J18" i="113"/>
  <c r="I18" i="113"/>
  <c r="C17" i="113"/>
  <c r="M24" i="113"/>
  <c r="L15" i="113"/>
  <c r="E19" i="113"/>
  <c r="O12" i="113"/>
  <c r="P14" i="113"/>
  <c r="I24" i="113"/>
  <c r="J11" i="113"/>
  <c r="J15" i="113"/>
  <c r="J19" i="113"/>
  <c r="J23" i="113"/>
  <c r="M17" i="113"/>
  <c r="N19" i="113"/>
  <c r="Q21" i="113"/>
  <c r="C14" i="113"/>
  <c r="C18" i="113"/>
  <c r="C22" i="113"/>
  <c r="E15" i="113"/>
  <c r="F13" i="113"/>
  <c r="I12" i="113"/>
  <c r="L12" i="113"/>
  <c r="L16" i="113"/>
  <c r="L20" i="113"/>
  <c r="L24" i="113"/>
  <c r="M21" i="113"/>
  <c r="F18" i="113"/>
  <c r="I19" i="113"/>
  <c r="O13" i="113"/>
  <c r="O17" i="113"/>
  <c r="O21" i="113"/>
  <c r="P11" i="113"/>
  <c r="P15" i="113"/>
  <c r="P19" i="113"/>
  <c r="P23" i="113"/>
  <c r="I15" i="113"/>
  <c r="P10" i="113"/>
  <c r="H10" i="113"/>
  <c r="B17" i="113"/>
  <c r="F24" i="113"/>
  <c r="K19" i="113"/>
  <c r="I22" i="113"/>
  <c r="E16" i="113"/>
  <c r="G15" i="113"/>
  <c r="H13" i="113"/>
  <c r="Q18" i="113"/>
  <c r="M12" i="113"/>
  <c r="N18" i="113"/>
  <c r="E17" i="113"/>
  <c r="O19" i="113"/>
  <c r="P21" i="113"/>
  <c r="D10" i="113"/>
  <c r="B18" i="113"/>
  <c r="I16" i="113"/>
  <c r="K24" i="113"/>
  <c r="D19" i="113"/>
  <c r="N23" i="113"/>
  <c r="G20" i="113"/>
  <c r="H22" i="113"/>
  <c r="E14" i="113"/>
  <c r="M11" i="113"/>
  <c r="L23" i="113"/>
  <c r="O16" i="113"/>
  <c r="P18" i="113"/>
  <c r="J10" i="113"/>
  <c r="B12" i="113"/>
  <c r="B16" i="113"/>
  <c r="B20" i="113"/>
  <c r="B24" i="113"/>
  <c r="M19" i="113"/>
  <c r="N21" i="113"/>
  <c r="Q23" i="113"/>
  <c r="K14" i="113"/>
  <c r="K18" i="113"/>
  <c r="K22" i="113"/>
  <c r="M16" i="113"/>
  <c r="N14" i="113"/>
  <c r="Q17" i="113"/>
  <c r="D13" i="113"/>
  <c r="D17" i="113"/>
  <c r="D21" i="113"/>
  <c r="E11" i="113"/>
  <c r="E23" i="113"/>
  <c r="F19" i="113"/>
  <c r="I21" i="113"/>
  <c r="G14" i="113"/>
  <c r="G18" i="113"/>
  <c r="G22" i="113"/>
  <c r="H12" i="113"/>
  <c r="H16" i="113"/>
  <c r="H20" i="113"/>
  <c r="H24" i="113"/>
  <c r="Q15" i="113"/>
  <c r="O10" i="113"/>
  <c r="G10" i="113"/>
  <c r="E12" i="113"/>
  <c r="K23" i="113"/>
  <c r="D14" i="113"/>
  <c r="N11" i="113"/>
  <c r="G19" i="113"/>
  <c r="H21" i="113"/>
  <c r="E10" i="113"/>
  <c r="J17" i="113"/>
  <c r="C12" i="113"/>
  <c r="E21" i="113"/>
  <c r="L14" i="113"/>
  <c r="N13" i="113"/>
  <c r="O15" i="113"/>
  <c r="P17" i="113"/>
  <c r="L10" i="113"/>
  <c r="E13" i="113"/>
  <c r="K16" i="113"/>
  <c r="F21" i="113"/>
  <c r="D23" i="113"/>
  <c r="G12" i="113"/>
  <c r="H14" i="113"/>
  <c r="Q22" i="113"/>
  <c r="J22" i="113"/>
  <c r="L11" i="113"/>
  <c r="Q13" i="113"/>
  <c r="O24" i="113"/>
  <c r="I14" i="113"/>
  <c r="J12" i="113"/>
  <c r="J16" i="113"/>
  <c r="J20" i="113"/>
  <c r="J24" i="113"/>
  <c r="E22" i="113"/>
  <c r="N22" i="113"/>
  <c r="C11" i="113"/>
  <c r="C15" i="113"/>
  <c r="C19" i="113"/>
  <c r="C23" i="113"/>
  <c r="M18" i="113"/>
  <c r="N15" i="113"/>
  <c r="I20" i="113"/>
  <c r="L13" i="113"/>
  <c r="L17" i="113"/>
  <c r="L21" i="113"/>
  <c r="M14" i="113"/>
  <c r="E24" i="113"/>
  <c r="F20" i="113"/>
  <c r="I23" i="113"/>
  <c r="O14" i="113"/>
  <c r="O18" i="113"/>
  <c r="O22" i="113"/>
  <c r="P12" i="113"/>
  <c r="P16" i="113"/>
  <c r="P20" i="113"/>
  <c r="P24" i="113"/>
  <c r="I17" i="113"/>
  <c r="N10" i="113"/>
  <c r="F10" i="113"/>
  <c r="B13" i="113"/>
  <c r="M23" i="113"/>
  <c r="K11" i="113"/>
  <c r="E20" i="113"/>
  <c r="D18" i="113"/>
  <c r="N20" i="113"/>
  <c r="G23" i="113"/>
  <c r="I11" i="113"/>
  <c r="J13" i="113"/>
  <c r="F11" i="113"/>
  <c r="Q12" i="113"/>
  <c r="C16" i="113"/>
  <c r="C20" i="113"/>
  <c r="Q24" i="113"/>
  <c r="L22" i="113"/>
  <c r="F22" i="113"/>
  <c r="O23" i="113"/>
  <c r="Q11" i="113"/>
  <c r="B14" i="113"/>
  <c r="N12" i="113"/>
  <c r="K20" i="113"/>
  <c r="D11" i="113"/>
  <c r="E18" i="113"/>
  <c r="G16" i="113"/>
  <c r="H18" i="113"/>
  <c r="K10" i="113"/>
  <c r="J14" i="113"/>
  <c r="F14" i="113"/>
  <c r="C13" i="113"/>
  <c r="C21" i="113"/>
  <c r="F23" i="113"/>
  <c r="L19" i="113"/>
  <c r="F16" i="113"/>
  <c r="O20" i="113"/>
  <c r="P22" i="113"/>
  <c r="B10" i="113"/>
  <c r="H17" i="35"/>
  <c r="H25" i="35"/>
  <c r="K12" i="35"/>
  <c r="K20" i="35"/>
  <c r="K25" i="35"/>
  <c r="J17" i="35"/>
  <c r="J25" i="35"/>
  <c r="D13" i="35"/>
  <c r="D21" i="35"/>
  <c r="K15" i="35"/>
  <c r="E17" i="35"/>
  <c r="E25" i="35"/>
  <c r="H12" i="35"/>
  <c r="H20" i="35"/>
  <c r="C23" i="35"/>
  <c r="C11" i="35"/>
  <c r="E15" i="35"/>
  <c r="D20" i="35"/>
  <c r="J14" i="35"/>
  <c r="K19" i="35"/>
  <c r="B15" i="35"/>
  <c r="E18" i="35"/>
  <c r="D19" i="35"/>
  <c r="I14" i="35"/>
  <c r="I13" i="35"/>
  <c r="I21" i="35"/>
  <c r="I26" i="35"/>
  <c r="H18" i="35"/>
  <c r="H26" i="35"/>
  <c r="B14" i="35"/>
  <c r="B22" i="35"/>
  <c r="C19" i="35"/>
  <c r="C18" i="35"/>
  <c r="C26" i="35"/>
  <c r="D14" i="35"/>
  <c r="D22" i="35"/>
  <c r="I24" i="35"/>
  <c r="B11" i="35"/>
  <c r="E16" i="35"/>
  <c r="E23" i="35"/>
  <c r="J22" i="35"/>
  <c r="K26" i="35"/>
  <c r="B23" i="35"/>
  <c r="H16" i="35"/>
  <c r="B12" i="35"/>
  <c r="J12" i="35"/>
  <c r="J20" i="35"/>
  <c r="K17" i="35"/>
  <c r="C16" i="35"/>
  <c r="C24" i="35"/>
  <c r="B13" i="35"/>
  <c r="B21" i="35"/>
  <c r="C17" i="35"/>
  <c r="H15" i="35"/>
  <c r="H23" i="35"/>
  <c r="E22" i="35"/>
  <c r="I19" i="35"/>
  <c r="C15" i="35"/>
  <c r="J15" i="35"/>
  <c r="J23" i="35"/>
  <c r="J11" i="35"/>
  <c r="H21" i="35"/>
  <c r="E20" i="35"/>
  <c r="K16" i="35"/>
  <c r="K24" i="35"/>
  <c r="J13" i="35"/>
  <c r="J21" i="35"/>
  <c r="I18" i="35"/>
  <c r="D17" i="35"/>
  <c r="D25" i="35"/>
  <c r="E13" i="35"/>
  <c r="E21" i="35"/>
  <c r="H24" i="35"/>
  <c r="I11" i="35"/>
  <c r="H13" i="35"/>
  <c r="D15" i="35"/>
  <c r="D23" i="35"/>
  <c r="K21" i="35"/>
  <c r="I17" i="35"/>
  <c r="I25" i="35"/>
  <c r="H14" i="35"/>
  <c r="H22" i="35"/>
  <c r="C21" i="35"/>
  <c r="B18" i="35"/>
  <c r="B26" i="35"/>
  <c r="C14" i="35"/>
  <c r="C22" i="35"/>
  <c r="I20" i="35"/>
  <c r="D18" i="35"/>
  <c r="D26" i="35"/>
  <c r="H11" i="35"/>
  <c r="B24" i="35"/>
  <c r="C25" i="35"/>
  <c r="E19" i="35"/>
  <c r="K13" i="35"/>
  <c r="D16" i="35"/>
  <c r="D24" i="35"/>
  <c r="E24" i="35"/>
  <c r="J18" i="35"/>
  <c r="J26" i="35"/>
  <c r="K14" i="35"/>
  <c r="K22" i="35"/>
  <c r="K23" i="35"/>
  <c r="B19" i="35"/>
  <c r="I12" i="35"/>
  <c r="E11" i="35"/>
  <c r="B16" i="35"/>
  <c r="J16" i="35"/>
  <c r="J24" i="35"/>
  <c r="C12" i="35"/>
  <c r="C20" i="35"/>
  <c r="I22" i="35"/>
  <c r="B17" i="35"/>
  <c r="B25" i="35"/>
  <c r="E12" i="35"/>
  <c r="H19" i="35"/>
  <c r="E14" i="35"/>
  <c r="I15" i="35"/>
  <c r="I23" i="35"/>
  <c r="E26" i="35"/>
  <c r="J19" i="35"/>
  <c r="I16" i="35"/>
  <c r="D11" i="35"/>
  <c r="B20" i="35"/>
  <c r="D12" i="35"/>
  <c r="C13" i="35"/>
  <c r="K18" i="35"/>
  <c r="K11" i="35"/>
  <c r="D10" i="28"/>
  <c r="D23" i="28"/>
  <c r="D13" i="28"/>
  <c r="E24" i="28"/>
  <c r="C12" i="28"/>
  <c r="B11" i="28"/>
  <c r="C19" i="28"/>
  <c r="B24" i="28"/>
  <c r="B10" i="28"/>
  <c r="B17" i="28"/>
  <c r="C23" i="28"/>
  <c r="C11" i="28"/>
  <c r="C21" i="28"/>
  <c r="C24" i="28"/>
  <c r="B23" i="28"/>
  <c r="D16" i="28"/>
  <c r="F24" i="28"/>
  <c r="D24" i="28"/>
  <c r="B19" i="28"/>
  <c r="B14" i="28"/>
  <c r="C18" i="28"/>
  <c r="D22" i="28"/>
  <c r="D18" i="28"/>
  <c r="B16" i="28"/>
  <c r="C14" i="28"/>
  <c r="C20" i="28"/>
  <c r="D15" i="28"/>
  <c r="D14" i="28"/>
  <c r="C13" i="28"/>
  <c r="B15" i="28"/>
  <c r="D17" i="28"/>
  <c r="B20" i="28"/>
  <c r="C10" i="28"/>
  <c r="C16" i="28"/>
  <c r="B13" i="28"/>
  <c r="B18" i="28"/>
  <c r="D19" i="28"/>
  <c r="B12" i="28"/>
  <c r="C15" i="28"/>
  <c r="G24" i="28"/>
  <c r="D12" i="28"/>
  <c r="D20" i="28"/>
  <c r="C17" i="28"/>
  <c r="D21" i="28"/>
  <c r="D11" i="28"/>
  <c r="B22" i="28"/>
  <c r="B21" i="28"/>
  <c r="C22" i="28"/>
  <c r="P11" i="35" l="1"/>
  <c r="P18" i="35"/>
  <c r="M13" i="35"/>
  <c r="L20" i="35"/>
  <c r="O16" i="35"/>
  <c r="N26" i="35"/>
  <c r="O23" i="35"/>
  <c r="N14" i="35"/>
  <c r="N12" i="35"/>
  <c r="O22" i="35"/>
  <c r="M20" i="35"/>
  <c r="M12" i="35"/>
  <c r="L16" i="35"/>
  <c r="N11" i="35"/>
  <c r="O12" i="35"/>
  <c r="P23" i="35"/>
  <c r="P22" i="35"/>
  <c r="P14" i="35"/>
  <c r="N24" i="35"/>
  <c r="P13" i="35"/>
  <c r="N19" i="35"/>
  <c r="M25" i="35"/>
  <c r="O20" i="35"/>
  <c r="M22" i="35"/>
  <c r="M14" i="35"/>
  <c r="L18" i="35"/>
  <c r="M21" i="35"/>
  <c r="O25" i="35"/>
  <c r="O17" i="35"/>
  <c r="P21" i="35"/>
  <c r="O11" i="35"/>
  <c r="N21" i="35"/>
  <c r="N13" i="35"/>
  <c r="O18" i="35"/>
  <c r="P24" i="35"/>
  <c r="P16" i="35"/>
  <c r="N20" i="35"/>
  <c r="O19" i="35"/>
  <c r="N22" i="35"/>
  <c r="M17" i="35"/>
  <c r="L13" i="35"/>
  <c r="M24" i="35"/>
  <c r="M16" i="35"/>
  <c r="P17" i="35"/>
  <c r="P26" i="35"/>
  <c r="N23" i="35"/>
  <c r="N16" i="35"/>
  <c r="F11" i="35"/>
  <c r="L11" i="35" s="1"/>
  <c r="O24" i="35"/>
  <c r="M26" i="35"/>
  <c r="M18" i="35"/>
  <c r="M19" i="35"/>
  <c r="L22" i="35"/>
  <c r="L14" i="35"/>
  <c r="O26" i="35"/>
  <c r="O21" i="35"/>
  <c r="O13" i="35"/>
  <c r="O14" i="35"/>
  <c r="N18" i="35"/>
  <c r="P19" i="35"/>
  <c r="M11" i="35"/>
  <c r="G11" i="35"/>
  <c r="M23" i="35"/>
  <c r="N25" i="35"/>
  <c r="N17" i="35"/>
  <c r="P25" i="35"/>
  <c r="P20" i="35"/>
  <c r="P12" i="35"/>
  <c r="G20" i="33"/>
  <c r="K28" i="113"/>
  <c r="J26" i="113"/>
  <c r="N28" i="113"/>
  <c r="L26" i="113"/>
  <c r="Q26" i="113"/>
  <c r="L28" i="113"/>
  <c r="N26" i="113"/>
  <c r="G28" i="113"/>
  <c r="O28" i="113"/>
  <c r="J28" i="113"/>
  <c r="H26" i="113"/>
  <c r="H28" i="113"/>
  <c r="P28" i="113"/>
  <c r="O26" i="113"/>
  <c r="I26" i="113"/>
  <c r="P26" i="113"/>
  <c r="M28" i="113"/>
  <c r="I28" i="113"/>
  <c r="Q28" i="113"/>
  <c r="G26" i="113"/>
  <c r="M26" i="113"/>
  <c r="K26" i="113"/>
  <c r="J24" i="2"/>
  <c r="H27" i="2"/>
  <c r="G61" i="2"/>
  <c r="P41" i="15"/>
  <c r="Q41" i="15"/>
  <c r="N41" i="15"/>
  <c r="O41" i="15"/>
  <c r="C28" i="28"/>
  <c r="C29" i="28" s="1"/>
  <c r="E28" i="28"/>
  <c r="E29" i="28" s="1"/>
  <c r="B32" i="28"/>
  <c r="B33" i="28" s="1"/>
  <c r="D28" i="28"/>
  <c r="D29" i="28" s="1"/>
  <c r="B28" i="28"/>
  <c r="B29" i="28" s="1"/>
  <c r="D32" i="28"/>
  <c r="D33" i="28" s="1"/>
  <c r="C32" i="28"/>
  <c r="C33" i="28" s="1"/>
  <c r="C90" i="28"/>
  <c r="E90" i="28"/>
  <c r="D90" i="28"/>
  <c r="B90" i="28"/>
  <c r="C62" i="28"/>
  <c r="F22" i="105"/>
  <c r="D62" i="28"/>
  <c r="E62" i="28"/>
  <c r="B62" i="28"/>
  <c r="J23" i="2"/>
  <c r="K42" i="27"/>
  <c r="G23" i="35"/>
  <c r="F23" i="35"/>
  <c r="L23" i="35" s="1"/>
  <c r="F19" i="35"/>
  <c r="L19" i="35" s="1"/>
  <c r="F15" i="35"/>
  <c r="G15" i="35"/>
  <c r="G26" i="35"/>
  <c r="G22" i="35"/>
  <c r="G18" i="35"/>
  <c r="G14" i="35"/>
  <c r="G19" i="35"/>
  <c r="F26" i="35"/>
  <c r="L26" i="35" s="1"/>
  <c r="F22" i="35"/>
  <c r="F18" i="35"/>
  <c r="F14" i="35"/>
  <c r="G21" i="35"/>
  <c r="G17" i="35"/>
  <c r="G13" i="35"/>
  <c r="F25" i="35"/>
  <c r="L25" i="35" s="1"/>
  <c r="F21" i="35"/>
  <c r="L21" i="35" s="1"/>
  <c r="F17" i="35"/>
  <c r="L17" i="35" s="1"/>
  <c r="F13" i="35"/>
  <c r="G24" i="35"/>
  <c r="G20" i="35"/>
  <c r="G16" i="35"/>
  <c r="G12" i="35"/>
  <c r="G25" i="35"/>
  <c r="F24" i="35"/>
  <c r="L24" i="35" s="1"/>
  <c r="F20" i="35"/>
  <c r="F16" i="35"/>
  <c r="F12" i="35"/>
  <c r="L12" i="35" s="1"/>
  <c r="B9" i="32"/>
  <c r="K16" i="120"/>
  <c r="W12" i="120" s="1"/>
  <c r="G40" i="30"/>
  <c r="E23" i="30"/>
  <c r="E20" i="30"/>
  <c r="H24" i="30"/>
  <c r="C25" i="30"/>
  <c r="D40" i="30"/>
  <c r="G11" i="30"/>
  <c r="G13" i="30"/>
  <c r="D38" i="30"/>
  <c r="G18" i="30"/>
  <c r="H18" i="30"/>
  <c r="D18" i="30"/>
  <c r="E25" i="30"/>
  <c r="D15" i="30"/>
  <c r="D17" i="30"/>
  <c r="G12" i="32"/>
  <c r="F38" i="30"/>
  <c r="F11" i="30"/>
  <c r="D11" i="30"/>
  <c r="E40" i="30"/>
  <c r="E24" i="30"/>
  <c r="G39" i="32"/>
  <c r="C20" i="30"/>
  <c r="G24" i="30"/>
  <c r="E35" i="30"/>
  <c r="C24" i="30"/>
  <c r="E36" i="30"/>
  <c r="F27" i="30"/>
  <c r="C27" i="30"/>
  <c r="F31" i="30"/>
  <c r="C13" i="30"/>
  <c r="E29" i="30"/>
  <c r="E12" i="30"/>
  <c r="G43" i="32"/>
  <c r="D31" i="30"/>
  <c r="G38" i="30"/>
  <c r="G17" i="32"/>
  <c r="G27" i="32"/>
  <c r="G15" i="30"/>
  <c r="D26" i="30"/>
  <c r="H12" i="30"/>
  <c r="G22" i="32"/>
  <c r="G14" i="30"/>
  <c r="E41" i="30"/>
  <c r="D36" i="30"/>
  <c r="G15" i="32"/>
  <c r="G26" i="32"/>
  <c r="F15" i="30"/>
  <c r="D12" i="30"/>
  <c r="G42" i="30"/>
  <c r="C26" i="30"/>
  <c r="C19" i="30"/>
  <c r="H39" i="30"/>
  <c r="E26" i="30"/>
  <c r="H37" i="30"/>
  <c r="F40" i="30"/>
  <c r="H31" i="30"/>
  <c r="F26" i="30"/>
  <c r="F20" i="30"/>
  <c r="G29" i="32"/>
  <c r="F14" i="30"/>
  <c r="F36" i="30"/>
  <c r="E21" i="30"/>
  <c r="H38" i="30"/>
  <c r="G38" i="32"/>
  <c r="G25" i="32"/>
  <c r="C17" i="30"/>
  <c r="H13" i="30"/>
  <c r="C29" i="30"/>
  <c r="H40" i="30"/>
  <c r="F37" i="30"/>
  <c r="H36" i="30"/>
  <c r="D22" i="30"/>
  <c r="G27" i="30"/>
  <c r="G35" i="30"/>
  <c r="F12" i="30"/>
  <c r="G30" i="30"/>
  <c r="F29" i="30"/>
  <c r="G33" i="32"/>
  <c r="E11" i="30"/>
  <c r="E42" i="30"/>
  <c r="G23" i="30"/>
  <c r="C18" i="30"/>
  <c r="G34" i="32"/>
  <c r="G14" i="32"/>
  <c r="G36" i="30"/>
  <c r="H34" i="30"/>
  <c r="E30" i="30"/>
  <c r="G39" i="30"/>
  <c r="G40" i="32"/>
  <c r="D29" i="30"/>
  <c r="E28" i="30"/>
  <c r="C23" i="30"/>
  <c r="C12" i="30"/>
  <c r="G31" i="30"/>
  <c r="G22" i="30"/>
  <c r="G26" i="30"/>
  <c r="F24" i="30"/>
  <c r="H27" i="30"/>
  <c r="E15" i="30"/>
  <c r="F13" i="30"/>
  <c r="G33" i="30"/>
  <c r="E27" i="30"/>
  <c r="H21" i="30"/>
  <c r="F41" i="30"/>
  <c r="H14" i="30"/>
  <c r="H32" i="30"/>
  <c r="F33" i="30"/>
  <c r="C15" i="30"/>
  <c r="G24" i="32"/>
  <c r="H25" i="30"/>
  <c r="D28" i="30"/>
  <c r="C41" i="30"/>
  <c r="C21" i="30"/>
  <c r="D32" i="30"/>
  <c r="E39" i="30"/>
  <c r="F35" i="30"/>
  <c r="D14" i="30"/>
  <c r="E19" i="30"/>
  <c r="G17" i="30"/>
  <c r="H42" i="30"/>
  <c r="F19" i="30"/>
  <c r="D33" i="32"/>
  <c r="G29" i="30"/>
  <c r="C14" i="30"/>
  <c r="E32" i="30"/>
  <c r="D21" i="30"/>
  <c r="C42" i="30"/>
  <c r="F28" i="30"/>
  <c r="G18" i="32"/>
  <c r="D23" i="30"/>
  <c r="F42" i="30"/>
  <c r="D33" i="30"/>
  <c r="H33" i="30"/>
  <c r="C40" i="30"/>
  <c r="F22" i="30"/>
  <c r="D39" i="30"/>
  <c r="F17" i="30"/>
  <c r="G19" i="30"/>
  <c r="H23" i="30"/>
  <c r="D19" i="30"/>
  <c r="G28" i="32"/>
  <c r="F39" i="30"/>
  <c r="D20" i="30"/>
  <c r="G32" i="32"/>
  <c r="E18" i="30"/>
  <c r="D24" i="30"/>
  <c r="D16" i="30"/>
  <c r="G12" i="30"/>
  <c r="G21" i="32"/>
  <c r="G37" i="30"/>
  <c r="G42" i="32"/>
  <c r="E33" i="30"/>
  <c r="D13" i="30"/>
  <c r="H19" i="30"/>
  <c r="F21" i="30"/>
  <c r="G20" i="30"/>
  <c r="H15" i="30"/>
  <c r="H28" i="30"/>
  <c r="G20" i="32"/>
  <c r="E31" i="30"/>
  <c r="G19" i="32"/>
  <c r="G31" i="32"/>
  <c r="G35" i="32"/>
  <c r="F25" i="30"/>
  <c r="G34" i="30"/>
  <c r="E13" i="30"/>
  <c r="C39" i="30"/>
  <c r="G16" i="32"/>
  <c r="F16" i="30"/>
  <c r="E37" i="30"/>
  <c r="F18" i="30"/>
  <c r="D25" i="30"/>
  <c r="C36" i="30"/>
  <c r="E16" i="30"/>
  <c r="C37" i="30"/>
  <c r="G41" i="32"/>
  <c r="H30" i="30"/>
  <c r="G36" i="32"/>
  <c r="D42" i="30"/>
  <c r="G25" i="30"/>
  <c r="D37" i="30"/>
  <c r="H22" i="30"/>
  <c r="D35" i="30"/>
  <c r="G30" i="32"/>
  <c r="D30" i="30"/>
  <c r="C32" i="30"/>
  <c r="D27" i="30"/>
  <c r="H29" i="30"/>
  <c r="G21" i="30"/>
  <c r="E38" i="30"/>
  <c r="H20" i="30"/>
  <c r="C22" i="30"/>
  <c r="D41" i="30"/>
  <c r="E34" i="30"/>
  <c r="H35" i="30"/>
  <c r="G32" i="30"/>
  <c r="G23" i="32"/>
  <c r="G41" i="30"/>
  <c r="C38" i="30"/>
  <c r="C35" i="30"/>
  <c r="G28" i="30"/>
  <c r="C31" i="30"/>
  <c r="H41" i="30"/>
  <c r="D34" i="30"/>
  <c r="F23" i="30"/>
  <c r="E22" i="30"/>
  <c r="C11" i="30"/>
  <c r="C30" i="30"/>
  <c r="F34" i="30"/>
  <c r="G16" i="30"/>
  <c r="F32" i="30"/>
  <c r="G13" i="32"/>
  <c r="E14" i="30"/>
  <c r="C33" i="30"/>
  <c r="H17" i="30"/>
  <c r="C34" i="30"/>
  <c r="F30" i="30"/>
  <c r="H16" i="30"/>
  <c r="H11" i="30"/>
  <c r="H26" i="30"/>
  <c r="G37" i="32"/>
  <c r="C28" i="30"/>
  <c r="C16" i="30"/>
  <c r="E17" i="30"/>
  <c r="J27" i="2" l="1"/>
  <c r="W14" i="120"/>
  <c r="W13" i="120"/>
  <c r="W10" i="120"/>
  <c r="W15" i="120"/>
  <c r="W11" i="120"/>
  <c r="B47" i="137"/>
  <c r="F26" i="32"/>
  <c r="F25" i="32"/>
  <c r="C32" i="32"/>
  <c r="C29" i="32"/>
  <c r="E15" i="32"/>
  <c r="C13" i="32"/>
  <c r="C37" i="32"/>
  <c r="E34" i="32"/>
  <c r="C21" i="32"/>
  <c r="F36" i="32"/>
  <c r="C39" i="32"/>
  <c r="F33" i="32"/>
  <c r="E27" i="32"/>
  <c r="C26" i="32"/>
  <c r="E37" i="32"/>
  <c r="C19" i="32"/>
  <c r="C15" i="32"/>
  <c r="D25" i="32"/>
  <c r="E26" i="32"/>
  <c r="C34" i="32"/>
  <c r="D31" i="32"/>
  <c r="E30" i="32"/>
  <c r="D12" i="32"/>
  <c r="F17" i="32"/>
  <c r="E12" i="32"/>
  <c r="D22" i="32"/>
  <c r="F22" i="32"/>
  <c r="D24" i="32"/>
  <c r="F12" i="32"/>
  <c r="F20" i="32"/>
  <c r="F21" i="32"/>
  <c r="D26" i="32"/>
  <c r="E43" i="32"/>
  <c r="D34" i="32"/>
  <c r="F34" i="32"/>
  <c r="E24" i="32"/>
  <c r="F15" i="32"/>
  <c r="F30" i="32"/>
  <c r="C14" i="32"/>
  <c r="C43" i="32"/>
  <c r="F39" i="32"/>
  <c r="D32" i="32"/>
  <c r="D21" i="32"/>
  <c r="F14" i="32"/>
  <c r="E16" i="32"/>
  <c r="C41" i="32"/>
  <c r="D23" i="32"/>
  <c r="F18" i="32"/>
  <c r="D42" i="32"/>
  <c r="E32" i="32"/>
  <c r="E36" i="32"/>
  <c r="C12" i="32"/>
  <c r="C25" i="32"/>
  <c r="F28" i="32"/>
  <c r="F37" i="32"/>
  <c r="D43" i="32"/>
  <c r="E25" i="32"/>
  <c r="F13" i="32"/>
  <c r="F35" i="32"/>
  <c r="D27" i="32"/>
  <c r="D29" i="32"/>
  <c r="D30" i="32"/>
  <c r="D17" i="32"/>
  <c r="E39" i="32"/>
  <c r="E22" i="32"/>
  <c r="C44" i="32"/>
  <c r="D18" i="32"/>
  <c r="E21" i="32"/>
  <c r="C30" i="32"/>
  <c r="C27" i="32"/>
  <c r="F29" i="32"/>
  <c r="D15" i="32"/>
  <c r="E14" i="32"/>
  <c r="C42" i="32"/>
  <c r="E40" i="32"/>
  <c r="E28" i="32"/>
  <c r="E42" i="32"/>
  <c r="F27" i="32"/>
  <c r="D37" i="32"/>
  <c r="E29" i="32"/>
  <c r="E31" i="32"/>
  <c r="E44" i="32"/>
  <c r="C18" i="32"/>
  <c r="C16" i="32"/>
  <c r="C40" i="32"/>
  <c r="F24" i="32"/>
  <c r="F40" i="32"/>
  <c r="E19" i="32"/>
  <c r="E38" i="32"/>
  <c r="C31" i="32"/>
  <c r="D44" i="32"/>
  <c r="F31" i="32"/>
  <c r="C38" i="32"/>
  <c r="E18" i="32"/>
  <c r="D14" i="32"/>
  <c r="C28" i="32"/>
  <c r="F43" i="32"/>
  <c r="C22" i="32"/>
  <c r="D38" i="32"/>
  <c r="E35" i="32"/>
  <c r="F32" i="32"/>
  <c r="E13" i="32"/>
  <c r="C24" i="32"/>
  <c r="D40" i="32"/>
  <c r="F23" i="32"/>
  <c r="D39" i="32"/>
  <c r="C33" i="32"/>
  <c r="E41" i="32"/>
  <c r="D19" i="32"/>
  <c r="F38" i="32"/>
  <c r="C23" i="32"/>
  <c r="E23" i="32"/>
  <c r="C20" i="32"/>
  <c r="E33" i="32"/>
  <c r="D20" i="32"/>
  <c r="D13" i="32"/>
  <c r="C17" i="32"/>
  <c r="D28" i="32"/>
  <c r="D35" i="32"/>
  <c r="D41" i="32"/>
  <c r="F41" i="32"/>
  <c r="D16" i="32"/>
  <c r="F42" i="32"/>
  <c r="C35" i="32"/>
  <c r="C36" i="32"/>
  <c r="D36" i="32"/>
  <c r="E20" i="32"/>
  <c r="F19" i="32"/>
  <c r="F44" i="32"/>
  <c r="E17" i="32"/>
  <c r="F16" i="32"/>
  <c r="B26" i="16" l="1"/>
  <c r="C26" i="16"/>
  <c r="G44" i="12"/>
  <c r="D64" i="12"/>
  <c r="E55" i="2"/>
  <c r="A41" i="22" l="1"/>
  <c r="B41" i="22"/>
  <c r="C41" i="22"/>
  <c r="D41" i="22"/>
  <c r="E41" i="22"/>
  <c r="F17" i="124"/>
  <c r="B26" i="18"/>
  <c r="C26" i="18"/>
  <c r="F14" i="94"/>
  <c r="D14" i="94"/>
  <c r="B14" i="94"/>
  <c r="G14" i="94"/>
  <c r="H14" i="94"/>
  <c r="E14" i="94"/>
  <c r="C14" i="94"/>
  <c r="D10" i="3"/>
  <c r="D12" i="3"/>
  <c r="D13" i="3"/>
  <c r="D11" i="3"/>
  <c r="F41" i="22" l="1"/>
  <c r="I14" i="94"/>
  <c r="C15" i="94" s="1"/>
  <c r="D14" i="3"/>
  <c r="D43" i="138"/>
  <c r="B41" i="138"/>
  <c r="C46" i="138"/>
  <c r="B42" i="138"/>
  <c r="F39" i="138"/>
  <c r="D40" i="138"/>
  <c r="E42" i="138"/>
  <c r="D37" i="138"/>
  <c r="E38" i="138"/>
  <c r="E41" i="138"/>
  <c r="C38" i="138"/>
  <c r="C41" i="138"/>
  <c r="C43" i="138"/>
  <c r="C37" i="138"/>
  <c r="F40" i="138"/>
  <c r="E37" i="138"/>
  <c r="D46" i="138"/>
  <c r="C39" i="138"/>
  <c r="B38" i="138"/>
  <c r="B40" i="138"/>
  <c r="F46" i="138"/>
  <c r="D41" i="138"/>
  <c r="D42" i="138"/>
  <c r="B43" i="138"/>
  <c r="D39" i="138"/>
  <c r="F42" i="138"/>
  <c r="F43" i="138"/>
  <c r="B46" i="138"/>
  <c r="C42" i="138"/>
  <c r="F38" i="138"/>
  <c r="C40" i="138"/>
  <c r="B39" i="138"/>
  <c r="F41" i="138"/>
  <c r="E39" i="138"/>
  <c r="E46" i="138"/>
  <c r="F37" i="138"/>
  <c r="E40" i="138"/>
  <c r="E43" i="138"/>
  <c r="B37" i="138"/>
  <c r="D38" i="138"/>
  <c r="E18" i="28"/>
  <c r="E16" i="28"/>
  <c r="E20" i="28"/>
  <c r="E13" i="28"/>
  <c r="E15" i="28"/>
  <c r="E23" i="28"/>
  <c r="E14" i="28"/>
  <c r="E11" i="28"/>
  <c r="E22" i="28"/>
  <c r="E12" i="28"/>
  <c r="E17" i="28"/>
  <c r="E21" i="28"/>
  <c r="E19" i="28"/>
  <c r="E32" i="28" l="1"/>
  <c r="E33" i="28" s="1"/>
  <c r="H15" i="94"/>
  <c r="G15" i="94"/>
  <c r="F15" i="94"/>
  <c r="E15" i="94"/>
  <c r="D15" i="94"/>
  <c r="B15" i="94"/>
  <c r="I15" i="94"/>
  <c r="N56" i="35"/>
  <c r="N55" i="35"/>
  <c r="N48" i="35"/>
  <c r="N49" i="35"/>
  <c r="G44" i="32" l="1"/>
  <c r="D43" i="30" l="1"/>
  <c r="D40" i="31"/>
  <c r="D12" i="31"/>
  <c r="D21" i="31"/>
  <c r="D37" i="31"/>
  <c r="D29" i="31"/>
  <c r="D28" i="31"/>
  <c r="D27" i="31"/>
  <c r="D24" i="31"/>
  <c r="D32" i="31"/>
  <c r="D15" i="31"/>
  <c r="D36" i="31"/>
  <c r="D14" i="31"/>
  <c r="D19" i="31"/>
  <c r="D13" i="31"/>
  <c r="D18" i="31"/>
  <c r="D34" i="31"/>
  <c r="D26" i="31"/>
  <c r="D16" i="31"/>
  <c r="D20" i="31"/>
  <c r="D35" i="31"/>
  <c r="D25" i="31"/>
  <c r="D17" i="31"/>
  <c r="D33" i="31"/>
  <c r="D43" i="31"/>
  <c r="D42" i="31"/>
  <c r="D41" i="31"/>
  <c r="D23" i="31"/>
  <c r="D39" i="31"/>
  <c r="D31" i="31"/>
  <c r="D22" i="31"/>
  <c r="D38" i="31"/>
  <c r="D30" i="31"/>
  <c r="C36" i="107"/>
  <c r="H39" i="107"/>
  <c r="E37" i="107"/>
  <c r="D42" i="107"/>
  <c r="C43" i="107"/>
  <c r="G44" i="107"/>
  <c r="C38" i="107"/>
  <c r="B40" i="107"/>
  <c r="D35" i="107"/>
  <c r="C42" i="107"/>
  <c r="G39" i="107"/>
  <c r="F38" i="107"/>
  <c r="F43" i="107"/>
  <c r="H36" i="107"/>
  <c r="C35" i="107"/>
  <c r="C39" i="107"/>
  <c r="E44" i="107"/>
  <c r="E35" i="107"/>
  <c r="B44" i="107"/>
  <c r="C37" i="107"/>
  <c r="E36" i="107"/>
  <c r="C41" i="107"/>
  <c r="D43" i="107"/>
  <c r="E39" i="107"/>
  <c r="G37" i="107"/>
  <c r="G40" i="107"/>
  <c r="H44" i="107"/>
  <c r="G35" i="107"/>
  <c r="D38" i="107"/>
  <c r="F39" i="107"/>
  <c r="D41" i="107"/>
  <c r="F36" i="107"/>
  <c r="F44" i="107"/>
  <c r="D39" i="107"/>
  <c r="H37" i="107"/>
  <c r="B38" i="107"/>
  <c r="C44" i="107"/>
  <c r="E42" i="107"/>
  <c r="H38" i="107"/>
  <c r="B37" i="107"/>
  <c r="B39" i="107"/>
  <c r="B35" i="107"/>
  <c r="H43" i="107"/>
  <c r="H35" i="107"/>
  <c r="H41" i="107"/>
  <c r="G42" i="107"/>
  <c r="G38" i="107"/>
  <c r="B41" i="107"/>
  <c r="B36" i="107"/>
  <c r="F35" i="107"/>
  <c r="C40" i="107"/>
  <c r="D40" i="107"/>
  <c r="F40" i="107"/>
  <c r="B43" i="107"/>
  <c r="D37" i="107"/>
  <c r="D36" i="107"/>
  <c r="G43" i="107"/>
  <c r="G36" i="107"/>
  <c r="D44" i="107"/>
  <c r="E40" i="107"/>
  <c r="H42" i="107"/>
  <c r="F37" i="107"/>
  <c r="G41" i="107"/>
  <c r="B42" i="107"/>
  <c r="E41" i="107"/>
  <c r="F41" i="107"/>
  <c r="H40" i="107"/>
  <c r="E38" i="107"/>
  <c r="E43" i="107"/>
  <c r="F42" i="107"/>
  <c r="D19" i="107"/>
  <c r="F17" i="107"/>
  <c r="D13" i="107"/>
  <c r="E11" i="107"/>
  <c r="E17" i="107"/>
  <c r="C10" i="107"/>
  <c r="D18" i="107"/>
  <c r="E12" i="107"/>
  <c r="B16" i="107"/>
  <c r="H12" i="107"/>
  <c r="B10" i="107"/>
  <c r="B12" i="107"/>
  <c r="G11" i="107"/>
  <c r="D11" i="107"/>
  <c r="C11" i="107"/>
  <c r="G18" i="107"/>
  <c r="H14" i="107"/>
  <c r="F13" i="107"/>
  <c r="B13" i="107"/>
  <c r="G13" i="107"/>
  <c r="D15" i="107"/>
  <c r="E13" i="107"/>
  <c r="G10" i="107"/>
  <c r="F14" i="107"/>
  <c r="C15" i="107"/>
  <c r="E15" i="107"/>
  <c r="C13" i="107"/>
  <c r="C17" i="107"/>
  <c r="H11" i="107"/>
  <c r="D16" i="107"/>
  <c r="E19" i="107"/>
  <c r="B15" i="107"/>
  <c r="H15" i="107"/>
  <c r="E10" i="107"/>
  <c r="C18" i="107"/>
  <c r="F12" i="107"/>
  <c r="C14" i="107"/>
  <c r="D12" i="107"/>
  <c r="G17" i="107"/>
  <c r="G19" i="107"/>
  <c r="G14" i="107"/>
  <c r="F15" i="107"/>
  <c r="E14" i="107"/>
  <c r="D17" i="107"/>
  <c r="H17" i="107"/>
  <c r="E16" i="107"/>
  <c r="B17" i="107"/>
  <c r="C19" i="107"/>
  <c r="C16" i="107"/>
  <c r="G15" i="107"/>
  <c r="H19" i="107"/>
  <c r="G16" i="107"/>
  <c r="B18" i="107"/>
  <c r="H16" i="107"/>
  <c r="G12" i="107"/>
  <c r="D14" i="107"/>
  <c r="F19" i="107"/>
  <c r="B11" i="107"/>
  <c r="H10" i="107"/>
  <c r="B14" i="107"/>
  <c r="C12" i="107"/>
  <c r="F11" i="107"/>
  <c r="B19" i="107"/>
  <c r="F18" i="107"/>
  <c r="F16" i="107"/>
  <c r="D10" i="107"/>
  <c r="H13" i="107"/>
  <c r="F10" i="107"/>
  <c r="E18" i="107"/>
  <c r="E21" i="81" l="1"/>
  <c r="C17" i="81"/>
  <c r="D15" i="81"/>
  <c r="H14" i="81"/>
  <c r="E17" i="81"/>
  <c r="G14" i="81"/>
  <c r="G21" i="81"/>
  <c r="G15" i="81"/>
  <c r="E19" i="81"/>
  <c r="E12" i="81"/>
  <c r="B43" i="81"/>
  <c r="H42" i="81"/>
  <c r="C33" i="81"/>
  <c r="H41" i="81"/>
  <c r="H37" i="81"/>
  <c r="G40" i="81"/>
  <c r="E42" i="81"/>
  <c r="D39" i="81"/>
  <c r="G43" i="81"/>
  <c r="F13" i="81"/>
  <c r="B13" i="81"/>
  <c r="C14" i="81"/>
  <c r="D11" i="81"/>
  <c r="B20" i="81"/>
  <c r="D21" i="81"/>
  <c r="E40" i="81"/>
  <c r="D34" i="81"/>
  <c r="H36" i="81"/>
  <c r="B35" i="81"/>
  <c r="E35" i="81"/>
  <c r="E33" i="81"/>
  <c r="D41" i="81"/>
  <c r="C35" i="81"/>
  <c r="B18" i="81"/>
  <c r="D16" i="81"/>
  <c r="G12" i="81"/>
  <c r="G13" i="81"/>
  <c r="B41" i="81"/>
  <c r="F42" i="81"/>
  <c r="C39" i="81"/>
  <c r="H17" i="81"/>
  <c r="B14" i="81"/>
  <c r="B17" i="81"/>
  <c r="E14" i="81"/>
  <c r="F15" i="81"/>
  <c r="B16" i="81"/>
  <c r="H16" i="81"/>
  <c r="F14" i="81"/>
  <c r="F11" i="81"/>
  <c r="B15" i="81"/>
  <c r="F36" i="81"/>
  <c r="F37" i="81"/>
  <c r="F35" i="81"/>
  <c r="C42" i="81"/>
  <c r="E34" i="81"/>
  <c r="D38" i="81"/>
  <c r="D33" i="81"/>
  <c r="F38" i="81"/>
  <c r="F33" i="81"/>
  <c r="C40" i="81"/>
  <c r="G19" i="81"/>
  <c r="C15" i="81"/>
  <c r="D19" i="81"/>
  <c r="H39" i="81"/>
  <c r="C34" i="81"/>
  <c r="C38" i="81"/>
  <c r="C37" i="81"/>
  <c r="D40" i="81"/>
  <c r="G36" i="81"/>
  <c r="E39" i="81"/>
  <c r="F39" i="81"/>
  <c r="C20" i="81"/>
  <c r="E16" i="81"/>
  <c r="B34" i="81"/>
  <c r="E38" i="81"/>
  <c r="H18" i="81"/>
  <c r="F18" i="81"/>
  <c r="H11" i="81"/>
  <c r="H21" i="81"/>
  <c r="F19" i="81"/>
  <c r="G18" i="81"/>
  <c r="E11" i="81"/>
  <c r="C18" i="81"/>
  <c r="G16" i="81"/>
  <c r="F34" i="81"/>
  <c r="C43" i="81"/>
  <c r="G35" i="81"/>
  <c r="E41" i="81"/>
  <c r="H33" i="81"/>
  <c r="C41" i="81"/>
  <c r="H40" i="81"/>
  <c r="G42" i="81"/>
  <c r="H43" i="81"/>
  <c r="G37" i="81"/>
  <c r="C19" i="81"/>
  <c r="E18" i="81"/>
  <c r="H20" i="81"/>
  <c r="C12" i="81"/>
  <c r="B12" i="81"/>
  <c r="D18" i="81"/>
  <c r="F12" i="81"/>
  <c r="F20" i="81"/>
  <c r="B19" i="81"/>
  <c r="E43" i="81"/>
  <c r="G33" i="81"/>
  <c r="E37" i="81"/>
  <c r="H35" i="81"/>
  <c r="F16" i="81"/>
  <c r="H34" i="81"/>
  <c r="E36" i="81"/>
  <c r="H13" i="81"/>
  <c r="D17" i="81"/>
  <c r="E15" i="81"/>
  <c r="G17" i="81"/>
  <c r="C11" i="81"/>
  <c r="C13" i="81"/>
  <c r="B21" i="81"/>
  <c r="D20" i="81"/>
  <c r="D13" i="81"/>
  <c r="G11" i="81"/>
  <c r="H38" i="81"/>
  <c r="F40" i="81"/>
  <c r="B33" i="81"/>
  <c r="B42" i="81"/>
  <c r="F43" i="81"/>
  <c r="D35" i="81"/>
  <c r="C36" i="81"/>
  <c r="B39" i="81"/>
  <c r="B40" i="81"/>
  <c r="D12" i="81"/>
  <c r="B11" i="81"/>
  <c r="C16" i="81"/>
  <c r="F17" i="81"/>
  <c r="C21" i="81"/>
  <c r="H15" i="81"/>
  <c r="D14" i="81"/>
  <c r="G20" i="81"/>
  <c r="F21" i="81"/>
  <c r="E13" i="81"/>
  <c r="D42" i="81"/>
  <c r="D37" i="81"/>
  <c r="B36" i="81"/>
  <c r="G34" i="81"/>
  <c r="D36" i="81"/>
  <c r="G41" i="81"/>
  <c r="G38" i="81"/>
  <c r="F41" i="81"/>
  <c r="D43" i="81"/>
  <c r="E20" i="81"/>
  <c r="H12" i="81"/>
  <c r="H19" i="81"/>
  <c r="B37" i="81"/>
  <c r="G39" i="81"/>
  <c r="B38" i="81"/>
  <c r="E16" i="137"/>
  <c r="B17" i="137"/>
  <c r="D17" i="137"/>
  <c r="F14" i="137"/>
  <c r="C15" i="137"/>
  <c r="G19" i="137"/>
  <c r="G15" i="137"/>
  <c r="B12" i="137"/>
  <c r="G17" i="137"/>
  <c r="F20" i="137"/>
  <c r="D14" i="137"/>
  <c r="B20" i="137"/>
  <c r="E17" i="137"/>
  <c r="F16" i="137"/>
  <c r="B15" i="137"/>
  <c r="G11" i="137"/>
  <c r="D15" i="137"/>
  <c r="E18" i="137"/>
  <c r="D19" i="137"/>
  <c r="E11" i="137"/>
  <c r="G14" i="137"/>
  <c r="B19" i="137"/>
  <c r="E14" i="137"/>
  <c r="F18" i="137"/>
  <c r="G12" i="137"/>
  <c r="B14" i="137"/>
  <c r="F19" i="137"/>
  <c r="E13" i="137"/>
  <c r="G16" i="137"/>
  <c r="G18" i="137"/>
  <c r="F15" i="137"/>
  <c r="C16" i="137"/>
  <c r="C12" i="137"/>
  <c r="C11" i="137"/>
  <c r="C14" i="137"/>
  <c r="B16" i="137"/>
  <c r="D18" i="137"/>
  <c r="F12" i="137"/>
  <c r="F17" i="137"/>
  <c r="C13" i="137"/>
  <c r="C18" i="137"/>
  <c r="G13" i="137"/>
  <c r="B18" i="137"/>
  <c r="G20" i="137"/>
  <c r="D16" i="137"/>
  <c r="F13" i="137"/>
  <c r="C19" i="137"/>
  <c r="B11" i="137"/>
  <c r="E12" i="137"/>
  <c r="C17" i="137"/>
  <c r="D11" i="137"/>
  <c r="F11" i="137"/>
  <c r="E19" i="137"/>
  <c r="D12" i="137"/>
  <c r="B13" i="137"/>
  <c r="E15" i="137"/>
  <c r="C20" i="137"/>
  <c r="E20" i="137"/>
  <c r="D20" i="137"/>
  <c r="D13" i="137"/>
  <c r="B45" i="137"/>
  <c r="C38" i="137"/>
  <c r="C40" i="137"/>
  <c r="C41" i="137"/>
  <c r="C45" i="137"/>
  <c r="D43" i="137"/>
  <c r="G44" i="137"/>
  <c r="D39" i="137"/>
  <c r="E42" i="137"/>
  <c r="B42" i="137"/>
  <c r="D41" i="137"/>
  <c r="B41" i="137"/>
  <c r="D47" i="137"/>
  <c r="C46" i="137"/>
  <c r="E43" i="137"/>
  <c r="F45" i="137"/>
  <c r="F38" i="137"/>
  <c r="E46" i="137"/>
  <c r="G41" i="137"/>
  <c r="G47" i="137"/>
  <c r="F40" i="137"/>
  <c r="F43" i="137"/>
  <c r="F47" i="137"/>
  <c r="D44" i="137"/>
  <c r="C42" i="137"/>
  <c r="E44" i="137"/>
  <c r="D45" i="137"/>
  <c r="E39" i="137"/>
  <c r="G42" i="137"/>
  <c r="E38" i="137"/>
  <c r="E45" i="137"/>
  <c r="D46" i="137"/>
  <c r="G39" i="137"/>
  <c r="F41" i="137"/>
  <c r="C39" i="137"/>
  <c r="E47" i="137"/>
  <c r="D38" i="137"/>
  <c r="B44" i="137"/>
  <c r="C44" i="137"/>
  <c r="D42" i="137"/>
  <c r="B39" i="137"/>
  <c r="B38" i="137"/>
  <c r="G45" i="137"/>
  <c r="G46" i="137"/>
  <c r="B40" i="137"/>
  <c r="C47" i="137"/>
  <c r="B43" i="137"/>
  <c r="F39" i="137"/>
  <c r="C43" i="137"/>
  <c r="G40" i="137"/>
  <c r="G43" i="137"/>
  <c r="F42" i="137"/>
  <c r="F46" i="137"/>
  <c r="E40" i="137"/>
  <c r="G38" i="137"/>
  <c r="B46" i="137"/>
  <c r="D40" i="137"/>
  <c r="E41" i="137"/>
  <c r="F44" i="137"/>
  <c r="C11" i="120"/>
  <c r="E14" i="120"/>
  <c r="C13" i="120"/>
  <c r="F10" i="120"/>
  <c r="H11" i="120"/>
  <c r="H13" i="120"/>
  <c r="G15" i="120"/>
  <c r="B13" i="120"/>
  <c r="F13" i="120"/>
  <c r="B14" i="120"/>
  <c r="H14" i="120"/>
  <c r="D12" i="120"/>
  <c r="J15" i="120"/>
  <c r="D14" i="120"/>
  <c r="I10" i="120"/>
  <c r="F15" i="120"/>
  <c r="C10" i="120"/>
  <c r="C14" i="120"/>
  <c r="H12" i="120"/>
  <c r="E10" i="120"/>
  <c r="B11" i="120"/>
  <c r="I14" i="120"/>
  <c r="B10" i="120"/>
  <c r="D15" i="120"/>
  <c r="B12" i="120"/>
  <c r="G11" i="120"/>
  <c r="F12" i="120"/>
  <c r="D13" i="120"/>
  <c r="G13" i="120"/>
  <c r="I13" i="120"/>
  <c r="E11" i="120"/>
  <c r="J10" i="120"/>
  <c r="J12" i="120"/>
  <c r="F14" i="120"/>
  <c r="E15" i="120"/>
  <c r="E13" i="120"/>
  <c r="C15" i="120"/>
  <c r="I11" i="120"/>
  <c r="H10" i="120"/>
  <c r="H15" i="120"/>
  <c r="J14" i="120"/>
  <c r="C12" i="120"/>
  <c r="J11" i="120"/>
  <c r="I15" i="120"/>
  <c r="E12" i="120"/>
  <c r="F11" i="120"/>
  <c r="G12" i="120"/>
  <c r="J13" i="120"/>
  <c r="G14" i="120"/>
  <c r="D10" i="120"/>
  <c r="D11" i="120"/>
  <c r="I12" i="120"/>
  <c r="G10" i="120"/>
  <c r="B15" i="120"/>
  <c r="B20" i="138" l="1"/>
  <c r="B16" i="120"/>
  <c r="N10" i="120" s="1"/>
  <c r="J16" i="120"/>
  <c r="V10" i="120" s="1"/>
  <c r="D16" i="120"/>
  <c r="P15" i="120" s="1"/>
  <c r="E16" i="120"/>
  <c r="Q14" i="120" s="1"/>
  <c r="F16" i="120"/>
  <c r="R11" i="120" s="1"/>
  <c r="G16" i="120"/>
  <c r="S11" i="120" s="1"/>
  <c r="I16" i="120"/>
  <c r="U14" i="120" s="1"/>
  <c r="C16" i="120"/>
  <c r="O12" i="120" s="1"/>
  <c r="H16" i="120"/>
  <c r="T14" i="120" s="1"/>
  <c r="F20" i="138"/>
  <c r="E20" i="138"/>
  <c r="C20" i="138"/>
  <c r="D20" i="138"/>
  <c r="F84" i="28"/>
  <c r="F76" i="28"/>
  <c r="F85" i="28"/>
  <c r="F79" i="28"/>
  <c r="F80" i="28"/>
  <c r="F89" i="28"/>
  <c r="F82" i="28"/>
  <c r="F87" i="28"/>
  <c r="F86" i="28"/>
  <c r="F83" i="28"/>
  <c r="F77" i="28"/>
  <c r="F81" i="28"/>
  <c r="F88" i="28"/>
  <c r="F78" i="28"/>
  <c r="U15" i="120" l="1"/>
  <c r="N14" i="120"/>
  <c r="V15" i="120"/>
  <c r="U13" i="120"/>
  <c r="N13" i="120"/>
  <c r="N11" i="120"/>
  <c r="N12" i="120"/>
  <c r="R15" i="120"/>
  <c r="P12" i="120"/>
  <c r="P11" i="120"/>
  <c r="U11" i="120"/>
  <c r="N15" i="120"/>
  <c r="O13" i="120"/>
  <c r="O10" i="120"/>
  <c r="P13" i="120"/>
  <c r="U12" i="120"/>
  <c r="Q11" i="120"/>
  <c r="O15" i="120"/>
  <c r="Q15" i="120"/>
  <c r="R13" i="120"/>
  <c r="Q10" i="120"/>
  <c r="R10" i="120"/>
  <c r="P14" i="120"/>
  <c r="O11" i="120"/>
  <c r="Q12" i="120"/>
  <c r="V12" i="120"/>
  <c r="R12" i="120"/>
  <c r="Q13" i="120"/>
  <c r="V14" i="120"/>
  <c r="U10" i="120"/>
  <c r="P10" i="120"/>
  <c r="V13" i="120"/>
  <c r="V11" i="120"/>
  <c r="O14" i="120"/>
  <c r="T11" i="120"/>
  <c r="T12" i="120"/>
  <c r="S12" i="120"/>
  <c r="R14" i="120"/>
  <c r="T15" i="120"/>
  <c r="T13" i="120"/>
  <c r="S15" i="120"/>
  <c r="S14" i="120"/>
  <c r="S13" i="120"/>
  <c r="T10" i="120"/>
  <c r="S10" i="120"/>
  <c r="G13" i="28"/>
  <c r="F17" i="28"/>
  <c r="F18" i="28"/>
  <c r="G15" i="28"/>
  <c r="F20" i="28"/>
  <c r="G18" i="28"/>
  <c r="F19" i="28"/>
  <c r="F15" i="28"/>
  <c r="F16" i="28"/>
  <c r="G17" i="28"/>
  <c r="F13" i="28"/>
  <c r="G23" i="28"/>
  <c r="G19" i="28"/>
  <c r="F23" i="28"/>
  <c r="F14" i="28"/>
  <c r="G16" i="28"/>
  <c r="G14" i="28"/>
  <c r="G20" i="28"/>
  <c r="F15" i="105" l="1"/>
  <c r="F21" i="105"/>
  <c r="F16" i="105"/>
  <c r="F20" i="105"/>
  <c r="F14" i="105"/>
  <c r="F18" i="105"/>
  <c r="F19" i="105"/>
  <c r="D50" i="28"/>
  <c r="F17" i="105"/>
  <c r="D89" i="28"/>
  <c r="C89" i="28"/>
  <c r="E89" i="28"/>
  <c r="B89" i="28"/>
  <c r="B61" i="28"/>
  <c r="C61" i="28"/>
  <c r="E61" i="28"/>
  <c r="D61" i="28"/>
  <c r="B48" i="28"/>
  <c r="D16" i="16"/>
  <c r="D12" i="16"/>
  <c r="D33" i="16"/>
  <c r="D45" i="16"/>
  <c r="D51" i="16"/>
  <c r="D20" i="16"/>
  <c r="D21" i="16"/>
  <c r="D46" i="16"/>
  <c r="D32" i="16"/>
  <c r="D43" i="16"/>
  <c r="D11" i="16"/>
  <c r="D14" i="16"/>
  <c r="D35" i="16"/>
  <c r="D52" i="16"/>
  <c r="D34" i="16"/>
  <c r="D13" i="16"/>
  <c r="D44" i="16"/>
  <c r="D22" i="16"/>
  <c r="D26" i="16"/>
  <c r="D27" i="16"/>
  <c r="D36" i="16"/>
  <c r="D10" i="16"/>
  <c r="D15" i="16"/>
  <c r="D40" i="16"/>
  <c r="D31" i="16"/>
  <c r="D41" i="16"/>
  <c r="D50" i="16"/>
  <c r="D42" i="16"/>
  <c r="D17" i="16" l="1"/>
  <c r="D23" i="16"/>
  <c r="D37" i="16"/>
  <c r="D47" i="16"/>
  <c r="D53" i="16"/>
  <c r="B68" i="76"/>
  <c r="C68" i="76"/>
  <c r="F68" i="76"/>
  <c r="E68" i="76"/>
  <c r="E52" i="76"/>
  <c r="F52" i="76"/>
  <c r="D52" i="76"/>
  <c r="C52" i="76"/>
  <c r="B52" i="76"/>
  <c r="E23" i="76"/>
  <c r="F23" i="76"/>
  <c r="D23" i="76"/>
  <c r="B23" i="76"/>
  <c r="C23" i="76"/>
  <c r="G23" i="76" l="1"/>
  <c r="D26" i="18" l="1"/>
  <c r="B23" i="19"/>
  <c r="C23" i="19"/>
  <c r="F23" i="19"/>
  <c r="D23" i="19"/>
  <c r="G23" i="19"/>
  <c r="C49" i="12"/>
  <c r="C39" i="125"/>
  <c r="A40" i="15" l="1"/>
  <c r="B22" i="21"/>
  <c r="C22" i="21"/>
  <c r="H22" i="21"/>
  <c r="I22" i="21"/>
  <c r="G22" i="21"/>
  <c r="E22" i="21"/>
  <c r="D22" i="21"/>
  <c r="F22" i="21"/>
  <c r="C45" i="21"/>
  <c r="E45" i="21"/>
  <c r="I45" i="21"/>
  <c r="G45" i="21"/>
  <c r="B45" i="21"/>
  <c r="H45" i="21"/>
  <c r="F45" i="21"/>
  <c r="D23" i="15"/>
  <c r="E23" i="15"/>
  <c r="K23" i="15"/>
  <c r="M23" i="15"/>
  <c r="G23" i="15"/>
  <c r="F23" i="15"/>
  <c r="B23" i="15"/>
  <c r="C23" i="15"/>
  <c r="I23" i="15"/>
  <c r="H23" i="15"/>
  <c r="J23" i="15"/>
  <c r="L23" i="15"/>
  <c r="D17" i="40"/>
  <c r="B9" i="40"/>
  <c r="C17" i="40"/>
  <c r="C9" i="40"/>
  <c r="E9" i="40"/>
  <c r="B17" i="40"/>
  <c r="F9" i="40"/>
  <c r="F17" i="40"/>
  <c r="D9" i="40"/>
  <c r="E17" i="40"/>
  <c r="T22" i="20"/>
  <c r="E15" i="20"/>
  <c r="H22" i="20"/>
  <c r="O23" i="20"/>
  <c r="R19" i="20"/>
  <c r="P18" i="20"/>
  <c r="G13" i="20"/>
  <c r="J20" i="20"/>
  <c r="O15" i="20"/>
  <c r="V12" i="20"/>
  <c r="D12" i="20"/>
  <c r="U16" i="20"/>
  <c r="E12" i="20"/>
  <c r="S14" i="20"/>
  <c r="L12" i="20"/>
  <c r="R22" i="20"/>
  <c r="S16" i="20"/>
  <c r="S20" i="20"/>
  <c r="W21" i="20"/>
  <c r="N17" i="20"/>
  <c r="X16" i="20"/>
  <c r="D14" i="20"/>
  <c r="P22" i="20"/>
  <c r="Y22" i="20"/>
  <c r="C18" i="20"/>
  <c r="Y16" i="20"/>
  <c r="T14" i="20"/>
  <c r="R11" i="20"/>
  <c r="G20" i="20"/>
  <c r="B11" i="20"/>
  <c r="U20" i="20"/>
  <c r="C16" i="20"/>
  <c r="T23" i="20"/>
  <c r="U14" i="20"/>
  <c r="O12" i="20"/>
  <c r="U15" i="20"/>
  <c r="S18" i="20"/>
  <c r="Y14" i="20"/>
  <c r="E20" i="20"/>
  <c r="P21" i="20"/>
  <c r="Y13" i="20"/>
  <c r="L14" i="20"/>
  <c r="E18" i="20"/>
  <c r="F12" i="20"/>
  <c r="Y17" i="20"/>
  <c r="C23" i="20"/>
  <c r="J22" i="20"/>
  <c r="M20" i="20"/>
  <c r="K16" i="20"/>
  <c r="L18" i="20"/>
  <c r="D15" i="20"/>
  <c r="C21" i="20"/>
  <c r="N15" i="20"/>
  <c r="Q17" i="20"/>
  <c r="Q22" i="20"/>
  <c r="M23" i="20"/>
  <c r="U22" i="20"/>
  <c r="G14" i="20"/>
  <c r="Q13" i="20"/>
  <c r="F21" i="20"/>
  <c r="P12" i="20"/>
  <c r="D19" i="20"/>
  <c r="B14" i="20"/>
  <c r="B20" i="20"/>
  <c r="H20" i="20"/>
  <c r="T20" i="20"/>
  <c r="X21" i="20"/>
  <c r="E23" i="20"/>
  <c r="Y18" i="20"/>
  <c r="I22" i="20"/>
  <c r="V21" i="20"/>
  <c r="G11" i="20"/>
  <c r="F20" i="20"/>
  <c r="G18" i="20"/>
  <c r="M14" i="20"/>
  <c r="B17" i="20"/>
  <c r="S12" i="20"/>
  <c r="P20" i="20"/>
  <c r="H19" i="20"/>
  <c r="U19" i="20"/>
  <c r="R18" i="20"/>
  <c r="Q16" i="20"/>
  <c r="J19" i="20"/>
  <c r="F15" i="20"/>
  <c r="O22" i="20"/>
  <c r="N11" i="20"/>
  <c r="D13" i="20"/>
  <c r="Q19" i="20"/>
  <c r="L20" i="20"/>
  <c r="B23" i="20"/>
  <c r="L17" i="20"/>
  <c r="U18" i="20"/>
  <c r="M19" i="20"/>
  <c r="C11" i="20"/>
  <c r="S22" i="20"/>
  <c r="P16" i="20"/>
  <c r="Y12" i="20"/>
  <c r="D21" i="20"/>
  <c r="E11" i="20"/>
  <c r="V23" i="20"/>
  <c r="X11" i="20"/>
  <c r="Q18" i="20"/>
  <c r="C19" i="20"/>
  <c r="L21" i="20"/>
  <c r="L22" i="20"/>
  <c r="L15" i="20"/>
  <c r="X15" i="20"/>
  <c r="X19" i="20"/>
  <c r="E22" i="20"/>
  <c r="Q23" i="20"/>
  <c r="Y15" i="20"/>
  <c r="C12" i="20"/>
  <c r="K23" i="20"/>
  <c r="W20" i="20"/>
  <c r="K20" i="20"/>
  <c r="M13" i="20"/>
  <c r="L23" i="20"/>
  <c r="K14" i="20"/>
  <c r="W15" i="20"/>
  <c r="N21" i="20"/>
  <c r="K22" i="20"/>
  <c r="W19" i="20"/>
  <c r="Q20" i="20"/>
  <c r="B15" i="20"/>
  <c r="V15" i="20"/>
  <c r="N16" i="20"/>
  <c r="L16" i="20"/>
  <c r="X12" i="20"/>
  <c r="R17" i="20"/>
  <c r="B19" i="20"/>
  <c r="R20" i="20"/>
  <c r="S15" i="20"/>
  <c r="W17" i="20"/>
  <c r="H23" i="20"/>
  <c r="B13" i="20"/>
  <c r="T13" i="20"/>
  <c r="N13" i="20"/>
  <c r="M17" i="20"/>
  <c r="C14" i="20"/>
  <c r="W18" i="20"/>
  <c r="E16" i="20"/>
  <c r="N14" i="20"/>
  <c r="V19" i="20"/>
  <c r="O21" i="20"/>
  <c r="M11" i="20"/>
  <c r="X22" i="20"/>
  <c r="F18" i="20"/>
  <c r="D11" i="20"/>
  <c r="V18" i="20"/>
  <c r="B16" i="20"/>
  <c r="D23" i="20"/>
  <c r="X14" i="20"/>
  <c r="D17" i="20"/>
  <c r="I21" i="20"/>
  <c r="Y19" i="20"/>
  <c r="X13" i="20"/>
  <c r="N23" i="20"/>
  <c r="G17" i="20"/>
  <c r="R16" i="20"/>
  <c r="S17" i="20"/>
  <c r="E21" i="20"/>
  <c r="I23" i="20"/>
  <c r="K12" i="20"/>
  <c r="G19" i="20"/>
  <c r="K21" i="20"/>
  <c r="V14" i="20"/>
  <c r="N20" i="20"/>
  <c r="O19" i="20"/>
  <c r="V11" i="20"/>
  <c r="M22" i="20"/>
  <c r="B18" i="20"/>
  <c r="T18" i="20"/>
  <c r="F14" i="20"/>
  <c r="V17" i="20"/>
  <c r="T12" i="20"/>
  <c r="P17" i="20"/>
  <c r="T16" i="20"/>
  <c r="E14" i="20"/>
  <c r="P13" i="20"/>
  <c r="U17" i="20"/>
  <c r="W22" i="20"/>
  <c r="L11" i="20"/>
  <c r="S21" i="20"/>
  <c r="C22" i="20"/>
  <c r="L19" i="20"/>
  <c r="M16" i="20"/>
  <c r="T15" i="20"/>
  <c r="T17" i="20"/>
  <c r="R23" i="20"/>
  <c r="N22" i="20"/>
  <c r="Y21" i="20"/>
  <c r="D22" i="20"/>
  <c r="Q11" i="20"/>
  <c r="O17" i="20"/>
  <c r="X23" i="20"/>
  <c r="G21" i="20"/>
  <c r="C17" i="20"/>
  <c r="K13" i="20"/>
  <c r="O18" i="20"/>
  <c r="O20" i="20"/>
  <c r="R21" i="20"/>
  <c r="G22" i="20"/>
  <c r="S23" i="20"/>
  <c r="S11" i="20"/>
  <c r="T19" i="20"/>
  <c r="F22" i="20"/>
  <c r="F19" i="20"/>
  <c r="Q15" i="20"/>
  <c r="U12" i="20"/>
  <c r="Y23" i="20"/>
  <c r="Q14" i="20"/>
  <c r="K11" i="20"/>
  <c r="W13" i="20"/>
  <c r="N12" i="20"/>
  <c r="N19" i="20"/>
  <c r="S13" i="20"/>
  <c r="E17" i="20"/>
  <c r="H21" i="20"/>
  <c r="F13" i="20"/>
  <c r="R12" i="20"/>
  <c r="D20" i="20"/>
  <c r="K17" i="20"/>
  <c r="K18" i="20"/>
  <c r="M15" i="20"/>
  <c r="U11" i="20"/>
  <c r="C15" i="20"/>
  <c r="K15" i="20"/>
  <c r="L13" i="20"/>
  <c r="P19" i="20"/>
  <c r="F23" i="20"/>
  <c r="G23" i="20"/>
  <c r="M18" i="20"/>
  <c r="U21" i="20"/>
  <c r="V20" i="20"/>
  <c r="E13" i="20"/>
  <c r="R13" i="20"/>
  <c r="V13" i="20"/>
  <c r="R14" i="20"/>
  <c r="B12" i="20"/>
  <c r="O16" i="20"/>
  <c r="C13" i="20"/>
  <c r="F11" i="20"/>
  <c r="O13" i="20"/>
  <c r="S19" i="20"/>
  <c r="T21" i="20"/>
  <c r="B21" i="20"/>
  <c r="O11" i="20"/>
  <c r="O14" i="20"/>
  <c r="J23" i="20"/>
  <c r="P15" i="20"/>
  <c r="V16" i="20"/>
  <c r="R15" i="20"/>
  <c r="G12" i="20"/>
  <c r="W11" i="20"/>
  <c r="G15" i="20"/>
  <c r="K19" i="20"/>
  <c r="G16" i="20"/>
  <c r="M21" i="20"/>
  <c r="W12" i="20"/>
  <c r="Q21" i="20"/>
  <c r="I19" i="20"/>
  <c r="Q12" i="20"/>
  <c r="W23" i="20"/>
  <c r="U23" i="20"/>
  <c r="W14" i="20"/>
  <c r="W16" i="20"/>
  <c r="N18" i="20"/>
  <c r="V22" i="20"/>
  <c r="F16" i="20"/>
  <c r="X18" i="20"/>
  <c r="X17" i="20"/>
  <c r="Y20" i="20"/>
  <c r="D18" i="20"/>
  <c r="X20" i="20"/>
  <c r="E19" i="20"/>
  <c r="P14" i="20"/>
  <c r="T11" i="20"/>
  <c r="Y11" i="20"/>
  <c r="M12" i="20"/>
  <c r="P23" i="20"/>
  <c r="C20" i="20"/>
  <c r="U13" i="20"/>
  <c r="J21" i="20"/>
  <c r="B22" i="20"/>
  <c r="D16" i="20"/>
  <c r="F17" i="20"/>
  <c r="I20" i="20"/>
  <c r="P11" i="20"/>
  <c r="L40" i="15" l="1"/>
  <c r="H40" i="15"/>
  <c r="C40" i="15"/>
  <c r="G40" i="15"/>
  <c r="K40" i="15"/>
  <c r="E40" i="15"/>
  <c r="D40" i="15"/>
  <c r="F40" i="15"/>
  <c r="J40" i="15"/>
  <c r="I40" i="15"/>
  <c r="B40" i="15"/>
  <c r="M40" i="15"/>
  <c r="O23" i="15"/>
  <c r="N23" i="15"/>
  <c r="Q23" i="15"/>
  <c r="P23" i="15"/>
  <c r="E49" i="8"/>
  <c r="Q40" i="15" l="1"/>
  <c r="O40" i="15"/>
  <c r="P40" i="15"/>
  <c r="N40" i="15"/>
  <c r="H28" i="114"/>
  <c r="G28" i="114"/>
  <c r="C39" i="114"/>
  <c r="D28" i="114"/>
  <c r="I28" i="114"/>
  <c r="B39" i="114"/>
  <c r="F39" i="114"/>
  <c r="J28" i="114"/>
  <c r="E39" i="114"/>
  <c r="D39" i="114"/>
  <c r="E28" i="114"/>
  <c r="F28" i="114"/>
  <c r="H39" i="114"/>
  <c r="L28" i="114"/>
  <c r="E22" i="2"/>
  <c r="C22" i="2"/>
  <c r="B22" i="2"/>
  <c r="D22" i="2"/>
  <c r="G22" i="2"/>
  <c r="F22" i="2"/>
  <c r="D28" i="2" l="1"/>
  <c r="B28" i="2"/>
  <c r="F28" i="2"/>
  <c r="C28" i="2"/>
  <c r="G28" i="2"/>
  <c r="E28" i="2"/>
  <c r="H22" i="2"/>
  <c r="H28" i="2" s="1"/>
  <c r="I39" i="114"/>
  <c r="M28" i="114"/>
  <c r="J42" i="27"/>
  <c r="E19" i="21"/>
  <c r="H12" i="21"/>
  <c r="H11" i="21"/>
  <c r="I21" i="21"/>
  <c r="B16" i="21"/>
  <c r="I14" i="21"/>
  <c r="C21" i="21"/>
  <c r="F13" i="21"/>
  <c r="F10" i="21"/>
  <c r="B19" i="21"/>
  <c r="H19" i="21"/>
  <c r="G16" i="21"/>
  <c r="B10" i="21"/>
  <c r="E21" i="21"/>
  <c r="B13" i="21"/>
  <c r="G14" i="21"/>
  <c r="G13" i="21"/>
  <c r="I11" i="21"/>
  <c r="I15" i="21"/>
  <c r="C20" i="21"/>
  <c r="F14" i="21"/>
  <c r="E16" i="21"/>
  <c r="D21" i="21"/>
  <c r="G15" i="21"/>
  <c r="G17" i="21"/>
  <c r="E18" i="21"/>
  <c r="B14" i="21"/>
  <c r="F19" i="21"/>
  <c r="E17" i="21"/>
  <c r="E20" i="21"/>
  <c r="D20" i="21"/>
  <c r="C10" i="21"/>
  <c r="H21" i="21"/>
  <c r="B15" i="21"/>
  <c r="F16" i="21"/>
  <c r="B11" i="21"/>
  <c r="H16" i="21"/>
  <c r="C14" i="21"/>
  <c r="I17" i="21"/>
  <c r="G19" i="21"/>
  <c r="E13" i="21"/>
  <c r="F17" i="21"/>
  <c r="E14" i="21"/>
  <c r="E10" i="21"/>
  <c r="I16" i="21"/>
  <c r="I12" i="21"/>
  <c r="I20" i="21"/>
  <c r="F21" i="21"/>
  <c r="C18" i="21"/>
  <c r="G18" i="21"/>
  <c r="D18" i="21"/>
  <c r="B17" i="21"/>
  <c r="C11" i="21"/>
  <c r="H10" i="21"/>
  <c r="F12" i="21"/>
  <c r="C13" i="21"/>
  <c r="H17" i="21"/>
  <c r="H13" i="21"/>
  <c r="G12" i="21"/>
  <c r="F11" i="21"/>
  <c r="C12" i="21"/>
  <c r="H18" i="21"/>
  <c r="B20" i="21"/>
  <c r="F15" i="21"/>
  <c r="H14" i="21"/>
  <c r="I18" i="21"/>
  <c r="G11" i="21"/>
  <c r="G21" i="21"/>
  <c r="I19" i="21"/>
  <c r="B18" i="21"/>
  <c r="C16" i="21"/>
  <c r="C19" i="21"/>
  <c r="F20" i="21"/>
  <c r="G10" i="21"/>
  <c r="I10" i="21"/>
  <c r="H20" i="21"/>
  <c r="H15" i="21"/>
  <c r="B21" i="21"/>
  <c r="E15" i="21"/>
  <c r="F18" i="21"/>
  <c r="G20" i="21"/>
  <c r="C17" i="21"/>
  <c r="D19" i="21"/>
  <c r="E11" i="21"/>
  <c r="C15" i="21"/>
  <c r="I13" i="21"/>
  <c r="B12" i="21"/>
  <c r="E12" i="21"/>
  <c r="E41" i="21"/>
  <c r="H39" i="21"/>
  <c r="E36" i="21"/>
  <c r="G39" i="21"/>
  <c r="H37" i="21"/>
  <c r="I44" i="21"/>
  <c r="C37" i="21"/>
  <c r="I43" i="21"/>
  <c r="D44" i="21"/>
  <c r="I39" i="21"/>
  <c r="F44" i="21"/>
  <c r="B37" i="21"/>
  <c r="D42" i="21"/>
  <c r="B40" i="21"/>
  <c r="C44" i="21"/>
  <c r="G42" i="21"/>
  <c r="E44" i="21"/>
  <c r="B38" i="21"/>
  <c r="C36" i="21"/>
  <c r="E40" i="21"/>
  <c r="F40" i="21"/>
  <c r="F39" i="21"/>
  <c r="E39" i="21"/>
  <c r="G43" i="21"/>
  <c r="H40" i="21"/>
  <c r="E38" i="21"/>
  <c r="G36" i="21"/>
  <c r="F37" i="21"/>
  <c r="G37" i="21"/>
  <c r="B44" i="21"/>
  <c r="I36" i="21"/>
  <c r="B36" i="21"/>
  <c r="H38" i="21"/>
  <c r="C41" i="21"/>
  <c r="E42" i="21"/>
  <c r="E43" i="21"/>
  <c r="F38" i="21"/>
  <c r="H43" i="21"/>
  <c r="G41" i="21"/>
  <c r="B41" i="21"/>
  <c r="G40" i="21"/>
  <c r="I37" i="21"/>
  <c r="H42" i="21"/>
  <c r="H41" i="21"/>
  <c r="C42" i="21"/>
  <c r="G38" i="21"/>
  <c r="D41" i="21"/>
  <c r="B43" i="21"/>
  <c r="I40" i="21"/>
  <c r="B39" i="21"/>
  <c r="C38" i="21"/>
  <c r="D43" i="21"/>
  <c r="I38" i="21"/>
  <c r="H36" i="21"/>
  <c r="C39" i="21"/>
  <c r="E37" i="21"/>
  <c r="B42" i="21"/>
  <c r="C40" i="21"/>
  <c r="F36" i="21"/>
  <c r="F43" i="21"/>
  <c r="F42" i="21"/>
  <c r="G44" i="21"/>
  <c r="I42" i="21"/>
  <c r="H44" i="21"/>
  <c r="I41" i="21"/>
  <c r="F41" i="21"/>
  <c r="C43" i="21"/>
  <c r="J22" i="2" l="1"/>
  <c r="J28" i="2" s="1"/>
  <c r="I19" i="15"/>
  <c r="H11" i="15"/>
  <c r="H20" i="15"/>
  <c r="E15" i="15"/>
  <c r="J11" i="15"/>
  <c r="H22" i="15"/>
  <c r="F19" i="15"/>
  <c r="D13" i="15"/>
  <c r="G18" i="15"/>
  <c r="C20" i="15"/>
  <c r="E18" i="15"/>
  <c r="H16" i="15"/>
  <c r="I15" i="15"/>
  <c r="G20" i="15"/>
  <c r="H14" i="15"/>
  <c r="C15" i="15"/>
  <c r="D16" i="15"/>
  <c r="M19" i="15"/>
  <c r="I12" i="15"/>
  <c r="J21" i="15"/>
  <c r="L17" i="15"/>
  <c r="D15" i="15"/>
  <c r="E13" i="15"/>
  <c r="J17" i="15"/>
  <c r="K12" i="15"/>
  <c r="I13" i="15"/>
  <c r="E19" i="15"/>
  <c r="C14" i="15"/>
  <c r="F21" i="15"/>
  <c r="D17" i="15"/>
  <c r="G22" i="15"/>
  <c r="M13" i="15"/>
  <c r="D18" i="15"/>
  <c r="B11" i="15"/>
  <c r="B18" i="15"/>
  <c r="K21" i="15"/>
  <c r="C16" i="15"/>
  <c r="C21" i="15"/>
  <c r="H18" i="15"/>
  <c r="E12" i="15"/>
  <c r="H21" i="15"/>
  <c r="D20" i="15"/>
  <c r="E22" i="15"/>
  <c r="B12" i="15"/>
  <c r="C22" i="15"/>
  <c r="M18" i="15"/>
  <c r="B13" i="15"/>
  <c r="K20" i="15"/>
  <c r="D14" i="15"/>
  <c r="K14" i="15"/>
  <c r="D11" i="15"/>
  <c r="C12" i="15"/>
  <c r="J13" i="15"/>
  <c r="M15" i="15"/>
  <c r="J20" i="15"/>
  <c r="F22" i="15"/>
  <c r="L11" i="15"/>
  <c r="C19" i="15"/>
  <c r="C13" i="15"/>
  <c r="E17" i="15"/>
  <c r="M14" i="15"/>
  <c r="K11" i="15"/>
  <c r="F20" i="15"/>
  <c r="B14" i="15"/>
  <c r="I16" i="15"/>
  <c r="I20" i="15"/>
  <c r="I18" i="15"/>
  <c r="K16" i="15"/>
  <c r="I14" i="15"/>
  <c r="L15" i="15"/>
  <c r="I11" i="15"/>
  <c r="G21" i="15"/>
  <c r="C18" i="15"/>
  <c r="M21" i="15"/>
  <c r="L13" i="15"/>
  <c r="M22" i="15"/>
  <c r="B19" i="15"/>
  <c r="L14" i="15"/>
  <c r="K18" i="15"/>
  <c r="L16" i="15"/>
  <c r="L20" i="15"/>
  <c r="I22" i="15"/>
  <c r="B15" i="15"/>
  <c r="E11" i="15"/>
  <c r="H19" i="15"/>
  <c r="J19" i="15"/>
  <c r="J18" i="15"/>
  <c r="K22" i="15"/>
  <c r="E21" i="15"/>
  <c r="B20" i="15"/>
  <c r="L21" i="15"/>
  <c r="B16" i="15"/>
  <c r="M17" i="15"/>
  <c r="H13" i="15"/>
  <c r="L22" i="15"/>
  <c r="K17" i="15"/>
  <c r="B21" i="15"/>
  <c r="D12" i="15"/>
  <c r="H12" i="15"/>
  <c r="J16" i="15"/>
  <c r="F18" i="15"/>
  <c r="L12" i="15"/>
  <c r="J22" i="15"/>
  <c r="G19" i="15"/>
  <c r="D19" i="15"/>
  <c r="D21" i="15"/>
  <c r="J15" i="15"/>
  <c r="H17" i="15"/>
  <c r="J14" i="15"/>
  <c r="E20" i="15"/>
  <c r="C17" i="15"/>
  <c r="E16" i="15"/>
  <c r="I21" i="15"/>
  <c r="K15" i="15"/>
  <c r="E14" i="15"/>
  <c r="B22" i="15"/>
  <c r="M12" i="15"/>
  <c r="M11" i="15"/>
  <c r="H15" i="15"/>
  <c r="M20" i="15"/>
  <c r="C11" i="15"/>
  <c r="J12" i="15"/>
  <c r="B17" i="15"/>
  <c r="K19" i="15"/>
  <c r="I17" i="15"/>
  <c r="D22" i="15"/>
  <c r="L19" i="15"/>
  <c r="L18" i="15"/>
  <c r="M16" i="15"/>
  <c r="K13" i="15"/>
  <c r="P15" i="15" l="1"/>
  <c r="Q17" i="15"/>
  <c r="O13" i="15"/>
  <c r="O18" i="15"/>
  <c r="P21" i="15"/>
  <c r="P22" i="15"/>
  <c r="N19" i="15"/>
  <c r="O20" i="15"/>
  <c r="Q12" i="15"/>
  <c r="P20" i="15"/>
  <c r="P19" i="15"/>
  <c r="P18" i="15"/>
  <c r="N20" i="15"/>
  <c r="O21" i="15"/>
  <c r="N13" i="15"/>
  <c r="N18" i="15"/>
  <c r="P16" i="15"/>
  <c r="O15" i="15"/>
  <c r="O14" i="15"/>
  <c r="Q20" i="15"/>
  <c r="P14" i="15"/>
  <c r="N11" i="15"/>
  <c r="N15" i="15"/>
  <c r="O16" i="15"/>
  <c r="N21" i="15"/>
  <c r="P17" i="15"/>
  <c r="P13" i="15"/>
  <c r="Q18" i="15"/>
  <c r="P12" i="15"/>
  <c r="O11" i="15"/>
  <c r="N16" i="15"/>
  <c r="O17" i="15"/>
  <c r="O22" i="15"/>
  <c r="N14" i="15"/>
  <c r="N12" i="15"/>
  <c r="Q22" i="15"/>
  <c r="P11" i="15"/>
  <c r="Q21" i="15"/>
  <c r="Q16" i="15"/>
  <c r="O19" i="15"/>
  <c r="Q11" i="15"/>
  <c r="Q15" i="15"/>
  <c r="Q13" i="15"/>
  <c r="Q19" i="15"/>
  <c r="Q14" i="15"/>
  <c r="O12" i="15"/>
  <c r="N17" i="15"/>
  <c r="N22" i="15"/>
  <c r="C12" i="115"/>
  <c r="B11" i="115"/>
  <c r="D10" i="115"/>
  <c r="D13" i="115"/>
  <c r="C15" i="115"/>
  <c r="B10" i="115"/>
  <c r="B13" i="115"/>
  <c r="C14" i="115"/>
  <c r="C11" i="115"/>
  <c r="E14" i="115"/>
  <c r="D14" i="115"/>
  <c r="E12" i="115"/>
  <c r="E10" i="115"/>
  <c r="E15" i="115"/>
  <c r="D15" i="115"/>
  <c r="B15" i="115"/>
  <c r="E13" i="115"/>
  <c r="D12" i="115"/>
  <c r="C10" i="115"/>
  <c r="E11" i="115"/>
  <c r="C13" i="115"/>
  <c r="B14" i="115"/>
  <c r="D11" i="115"/>
  <c r="B12" i="115"/>
  <c r="F54" i="2"/>
  <c r="F45" i="2"/>
  <c r="E53" i="2"/>
  <c r="D55" i="2"/>
  <c r="E46" i="2"/>
  <c r="E56" i="2"/>
  <c r="C51" i="2"/>
  <c r="C46" i="2"/>
  <c r="E52" i="2"/>
  <c r="C48" i="2"/>
  <c r="D52" i="2"/>
  <c r="D54" i="2"/>
  <c r="D51" i="2"/>
  <c r="C54" i="2"/>
  <c r="F46" i="2"/>
  <c r="B47" i="2"/>
  <c r="B55" i="2"/>
  <c r="F50" i="2"/>
  <c r="C52" i="2"/>
  <c r="B48" i="2"/>
  <c r="F47" i="2"/>
  <c r="F53" i="2"/>
  <c r="E44" i="2"/>
  <c r="E51" i="2"/>
  <c r="F44" i="2"/>
  <c r="B45" i="2"/>
  <c r="C47" i="2"/>
  <c r="C53" i="2"/>
  <c r="B56" i="2"/>
  <c r="F48" i="2"/>
  <c r="B46" i="2"/>
  <c r="B49" i="2"/>
  <c r="F55" i="2"/>
  <c r="E45" i="2"/>
  <c r="F56" i="2"/>
  <c r="F51" i="2"/>
  <c r="B53" i="2"/>
  <c r="C50" i="2"/>
  <c r="D56" i="2"/>
  <c r="E54" i="2"/>
  <c r="E49" i="2"/>
  <c r="C55" i="2"/>
  <c r="F49" i="2"/>
  <c r="C49" i="2"/>
  <c r="B44" i="2"/>
  <c r="E48" i="2"/>
  <c r="B52" i="2"/>
  <c r="B54" i="2"/>
  <c r="F52" i="2"/>
  <c r="C56" i="2"/>
  <c r="B51" i="2"/>
  <c r="B50" i="2"/>
  <c r="E47" i="2"/>
  <c r="D53" i="2"/>
  <c r="C44" i="2"/>
  <c r="E50" i="2"/>
  <c r="C45" i="2"/>
  <c r="B18" i="2"/>
  <c r="C21" i="2"/>
  <c r="B15" i="2"/>
  <c r="F19" i="2"/>
  <c r="C20" i="2"/>
  <c r="C16" i="2"/>
  <c r="C17" i="2"/>
  <c r="E21" i="2"/>
  <c r="F12" i="2"/>
  <c r="F14" i="2"/>
  <c r="F15" i="2"/>
  <c r="B17" i="2"/>
  <c r="G21" i="2"/>
  <c r="B16" i="2"/>
  <c r="B19" i="2"/>
  <c r="C13" i="2"/>
  <c r="F20" i="2"/>
  <c r="E10" i="2"/>
  <c r="E19" i="2"/>
  <c r="F17" i="2"/>
  <c r="G14" i="2"/>
  <c r="F11" i="2"/>
  <c r="E20" i="2"/>
  <c r="C12" i="2"/>
  <c r="G17" i="2"/>
  <c r="G19" i="2"/>
  <c r="C15" i="2"/>
  <c r="C14" i="2"/>
  <c r="B13" i="2"/>
  <c r="E14" i="2"/>
  <c r="E15" i="2"/>
  <c r="E11" i="2"/>
  <c r="F13" i="2"/>
  <c r="E16" i="2"/>
  <c r="B10" i="2"/>
  <c r="G16" i="2"/>
  <c r="C19" i="2"/>
  <c r="G11" i="2"/>
  <c r="B14" i="2"/>
  <c r="D17" i="2"/>
  <c r="C18" i="2"/>
  <c r="E18" i="2"/>
  <c r="F21" i="2"/>
  <c r="F16" i="2"/>
  <c r="D21" i="2"/>
  <c r="B20" i="2"/>
  <c r="B12" i="2"/>
  <c r="D20" i="2"/>
  <c r="E13" i="2"/>
  <c r="D18" i="2"/>
  <c r="E17" i="2"/>
  <c r="G15" i="2"/>
  <c r="E12" i="2"/>
  <c r="C10" i="2"/>
  <c r="G18" i="2"/>
  <c r="F18" i="2"/>
  <c r="B11" i="2"/>
  <c r="G20" i="2"/>
  <c r="G13" i="2"/>
  <c r="D19" i="2"/>
  <c r="C11" i="2"/>
  <c r="G12" i="2"/>
  <c r="G10" i="2"/>
  <c r="B21" i="2"/>
  <c r="F10" i="2"/>
  <c r="F12" i="126"/>
  <c r="G12" i="126"/>
  <c r="E12" i="126"/>
  <c r="H12" i="126"/>
  <c r="C12" i="126"/>
  <c r="D12" i="126"/>
  <c r="B12" i="126"/>
  <c r="G31" i="2" l="1"/>
  <c r="G32" i="2" s="1"/>
  <c r="E31" i="2"/>
  <c r="E32" i="2" s="1"/>
  <c r="B31" i="2"/>
  <c r="C31" i="2"/>
  <c r="F31" i="2"/>
  <c r="D31" i="2"/>
  <c r="D32" i="2" s="1"/>
  <c r="D65" i="2"/>
  <c r="D66" i="2" s="1"/>
  <c r="E65" i="2"/>
  <c r="E66" i="2" s="1"/>
  <c r="C65" i="2"/>
  <c r="C66" i="2" s="1"/>
  <c r="B65" i="2"/>
  <c r="F65" i="2"/>
  <c r="F66" i="2" s="1"/>
  <c r="B66" i="2"/>
  <c r="B62" i="2"/>
  <c r="D62" i="2"/>
  <c r="E62" i="2"/>
  <c r="C62" i="2"/>
  <c r="F62" i="2"/>
  <c r="G19" i="33"/>
  <c r="G56" i="2"/>
  <c r="G62" i="2" s="1"/>
  <c r="B32" i="2"/>
  <c r="F15" i="115"/>
  <c r="D16" i="24" l="1"/>
  <c r="M16" i="24"/>
  <c r="N22" i="24"/>
  <c r="L16" i="24"/>
  <c r="K14" i="24"/>
  <c r="H12" i="24"/>
  <c r="E21" i="24"/>
  <c r="I14" i="24"/>
  <c r="I21" i="24"/>
  <c r="I18" i="24"/>
  <c r="C13" i="24"/>
  <c r="C20" i="24"/>
  <c r="F12" i="24"/>
  <c r="F19" i="24"/>
  <c r="H15" i="24"/>
  <c r="K13" i="24"/>
  <c r="D12" i="24"/>
  <c r="G21" i="24"/>
  <c r="H18" i="24"/>
  <c r="H21" i="24"/>
  <c r="C19" i="24"/>
  <c r="F13" i="24"/>
  <c r="F22" i="24"/>
  <c r="G16" i="24"/>
  <c r="L21" i="24"/>
  <c r="G22" i="24"/>
  <c r="N15" i="24"/>
  <c r="K18" i="24"/>
  <c r="E12" i="24"/>
  <c r="N21" i="24"/>
  <c r="M12" i="24"/>
  <c r="H19" i="24"/>
  <c r="E20" i="24"/>
  <c r="E22" i="24"/>
  <c r="I13" i="24"/>
  <c r="G12" i="24"/>
  <c r="H16" i="24"/>
  <c r="H20" i="24"/>
  <c r="C18" i="24"/>
  <c r="H22" i="24"/>
  <c r="N19" i="24"/>
  <c r="B20" i="24"/>
  <c r="L18" i="24"/>
  <c r="K20" i="24"/>
  <c r="L19" i="24"/>
  <c r="G13" i="24"/>
  <c r="C15" i="24"/>
  <c r="I20" i="24"/>
  <c r="M13" i="24"/>
  <c r="G14" i="24"/>
  <c r="I15" i="24"/>
  <c r="M19" i="24"/>
  <c r="I17" i="24"/>
  <c r="D20" i="24"/>
  <c r="B15" i="24"/>
  <c r="L20" i="24"/>
  <c r="N16" i="24"/>
  <c r="E17" i="24"/>
  <c r="M15" i="24"/>
  <c r="K21" i="24"/>
  <c r="J20" i="24"/>
  <c r="C17" i="24"/>
  <c r="N12" i="24"/>
  <c r="D15" i="24"/>
  <c r="N13" i="24"/>
  <c r="K17" i="24"/>
  <c r="J23" i="24"/>
  <c r="N20" i="24"/>
  <c r="K12" i="24"/>
  <c r="F20" i="24"/>
  <c r="C23" i="24"/>
  <c r="D18" i="24"/>
  <c r="E13" i="24"/>
  <c r="J17" i="24"/>
  <c r="F21" i="24"/>
  <c r="J21" i="24"/>
  <c r="M23" i="24"/>
  <c r="C21" i="24"/>
  <c r="B13" i="24"/>
  <c r="B22" i="24"/>
  <c r="N17" i="24"/>
  <c r="L12" i="24"/>
  <c r="E14" i="24"/>
  <c r="G20" i="24"/>
  <c r="I23" i="24"/>
  <c r="I12" i="24"/>
  <c r="M17" i="24"/>
  <c r="L14" i="24"/>
  <c r="J19" i="24"/>
  <c r="F17" i="24"/>
  <c r="M21" i="24"/>
  <c r="J18" i="24"/>
  <c r="B16" i="24"/>
  <c r="L23" i="24"/>
  <c r="C22" i="24"/>
  <c r="B23" i="24"/>
  <c r="F23" i="24"/>
  <c r="N18" i="24"/>
  <c r="I22" i="24"/>
  <c r="E16" i="24"/>
  <c r="K19" i="24"/>
  <c r="E18" i="24"/>
  <c r="B19" i="24"/>
  <c r="L13" i="24"/>
  <c r="B21" i="24"/>
  <c r="D19" i="24"/>
  <c r="L15" i="24"/>
  <c r="I19" i="24"/>
  <c r="M22" i="24"/>
  <c r="G18" i="24"/>
  <c r="M14" i="24"/>
  <c r="K22" i="24"/>
  <c r="D21" i="24"/>
  <c r="F14" i="24"/>
  <c r="K15" i="24"/>
  <c r="H17" i="24"/>
  <c r="G23" i="24"/>
  <c r="B14" i="24"/>
  <c r="E23" i="24"/>
  <c r="H14" i="24"/>
  <c r="E15" i="24"/>
  <c r="F18" i="24"/>
  <c r="C14" i="24"/>
  <c r="K23" i="24"/>
  <c r="C16" i="24"/>
  <c r="F16" i="24"/>
  <c r="I16" i="24"/>
  <c r="L17" i="24"/>
  <c r="J22" i="24"/>
  <c r="M18" i="24"/>
  <c r="G15" i="24"/>
  <c r="E19" i="24"/>
  <c r="D17" i="24"/>
  <c r="D13" i="24"/>
  <c r="D14" i="24"/>
  <c r="H23" i="24"/>
  <c r="H13" i="24"/>
  <c r="B18" i="24"/>
  <c r="N23" i="24"/>
  <c r="C12" i="24"/>
  <c r="K16" i="24"/>
  <c r="F15" i="24"/>
  <c r="B12" i="24"/>
  <c r="B17" i="24"/>
  <c r="L22" i="24"/>
  <c r="M20" i="24"/>
  <c r="D23" i="24"/>
  <c r="D22" i="24"/>
  <c r="G19" i="24"/>
  <c r="G17" i="24"/>
  <c r="N14" i="24"/>
  <c r="F12" i="12"/>
  <c r="E26" i="16" l="1"/>
  <c r="F26" i="16"/>
  <c r="H21" i="2"/>
  <c r="C31" i="7"/>
  <c r="C19" i="7"/>
  <c r="C44" i="7"/>
  <c r="C34" i="7"/>
  <c r="D44" i="7"/>
  <c r="C38" i="7"/>
  <c r="C12" i="7"/>
  <c r="C56" i="7"/>
  <c r="C37" i="7"/>
  <c r="E49" i="7"/>
  <c r="C32" i="125"/>
  <c r="B13" i="138" l="1"/>
  <c r="C13" i="138"/>
  <c r="D13" i="138"/>
  <c r="E13" i="138"/>
  <c r="F13" i="138"/>
  <c r="B14" i="138"/>
  <c r="C14" i="138"/>
  <c r="D14" i="138"/>
  <c r="E14" i="138"/>
  <c r="F14" i="138"/>
  <c r="B15" i="138"/>
  <c r="C15" i="138"/>
  <c r="D15" i="138"/>
  <c r="E15" i="138"/>
  <c r="F15" i="138"/>
  <c r="B16" i="138"/>
  <c r="C16" i="138"/>
  <c r="D16" i="138"/>
  <c r="E16" i="138"/>
  <c r="F16" i="138"/>
  <c r="B17" i="138"/>
  <c r="C17" i="138"/>
  <c r="D17" i="138"/>
  <c r="E17" i="138"/>
  <c r="F17" i="138"/>
  <c r="D11" i="138"/>
  <c r="E11" i="138"/>
  <c r="F11" i="138"/>
  <c r="D12" i="138"/>
  <c r="E12" i="138"/>
  <c r="F12" i="138"/>
  <c r="C11" i="138"/>
  <c r="C12" i="138"/>
  <c r="B11" i="138"/>
  <c r="B12" i="138"/>
  <c r="B48" i="19"/>
  <c r="I48" i="19"/>
  <c r="H48" i="19"/>
  <c r="G48" i="19"/>
  <c r="F48" i="19"/>
  <c r="E48" i="19"/>
  <c r="D48" i="19"/>
  <c r="C48" i="19"/>
  <c r="F289" i="224"/>
  <c r="F288" i="224"/>
  <c r="F287" i="224"/>
  <c r="F286" i="224"/>
  <c r="F285" i="224"/>
  <c r="F284" i="224"/>
  <c r="F283" i="224"/>
  <c r="F282" i="224"/>
  <c r="F281" i="224"/>
  <c r="F280" i="224"/>
  <c r="F279" i="224"/>
  <c r="F278" i="224"/>
  <c r="F277" i="224"/>
  <c r="F276" i="224"/>
  <c r="F275" i="224"/>
  <c r="F274" i="224"/>
  <c r="F273" i="224"/>
  <c r="F272" i="224"/>
  <c r="F271" i="224"/>
  <c r="F270" i="224"/>
  <c r="F269" i="224"/>
  <c r="F268" i="224"/>
  <c r="F267" i="224"/>
  <c r="F266" i="224"/>
  <c r="F265" i="224"/>
  <c r="F264" i="224"/>
  <c r="F263" i="224"/>
  <c r="F262" i="224"/>
  <c r="F261" i="224"/>
  <c r="F260" i="224"/>
  <c r="F259" i="224"/>
  <c r="F258" i="224"/>
  <c r="H254" i="221"/>
  <c r="H246" i="221"/>
  <c r="H238" i="221"/>
  <c r="H230" i="221"/>
  <c r="H222" i="221"/>
  <c r="H214" i="221"/>
  <c r="H206" i="221"/>
  <c r="H198" i="221"/>
  <c r="H190" i="221"/>
  <c r="H182" i="221"/>
  <c r="H174" i="221"/>
  <c r="H166" i="221"/>
  <c r="H158" i="221"/>
  <c r="H150" i="221"/>
  <c r="H142" i="221"/>
  <c r="H134" i="221"/>
  <c r="H126" i="221"/>
  <c r="H118" i="221"/>
  <c r="H110" i="221"/>
  <c r="H102" i="221"/>
  <c r="H94" i="221"/>
  <c r="H86" i="221"/>
  <c r="H78" i="221"/>
  <c r="H70" i="221"/>
  <c r="H62" i="221"/>
  <c r="H54" i="221"/>
  <c r="H46" i="221"/>
  <c r="H38" i="221"/>
  <c r="H30" i="221"/>
  <c r="H22" i="221"/>
  <c r="H14" i="221"/>
  <c r="H6" i="221"/>
  <c r="D27" i="7"/>
  <c r="H27" i="7"/>
  <c r="C27" i="7"/>
  <c r="C49" i="7"/>
  <c r="C63" i="7"/>
  <c r="C59" i="7"/>
  <c r="C51" i="7"/>
  <c r="A10" i="96" l="1"/>
  <c r="D20" i="96"/>
  <c r="D18" i="96"/>
  <c r="D15" i="96"/>
  <c r="D17" i="96"/>
  <c r="D22" i="96"/>
  <c r="D13" i="96"/>
  <c r="D21" i="96"/>
  <c r="D19" i="96"/>
  <c r="D16" i="96"/>
  <c r="D14" i="96"/>
  <c r="D12" i="96"/>
  <c r="D23" i="96" l="1"/>
  <c r="G10" i="33"/>
  <c r="G11" i="33"/>
  <c r="G12" i="33"/>
  <c r="G13" i="33"/>
  <c r="G14" i="33"/>
  <c r="G15" i="33"/>
  <c r="G16" i="33"/>
  <c r="G17" i="33"/>
  <c r="G18" i="33"/>
  <c r="B88" i="28" l="1"/>
  <c r="F11" i="115"/>
  <c r="F12" i="115"/>
  <c r="F13" i="115"/>
  <c r="F14" i="115"/>
  <c r="F10" i="115"/>
  <c r="G44" i="2"/>
  <c r="G45" i="2"/>
  <c r="G46" i="2"/>
  <c r="G47" i="2"/>
  <c r="G48" i="2"/>
  <c r="G49" i="2"/>
  <c r="G50" i="2"/>
  <c r="G51" i="2"/>
  <c r="G52" i="2"/>
  <c r="G53" i="2"/>
  <c r="G65" i="2" s="1"/>
  <c r="G54" i="2"/>
  <c r="G55" i="2"/>
  <c r="C32" i="2"/>
  <c r="F32" i="2"/>
  <c r="H20" i="2"/>
  <c r="H11" i="2"/>
  <c r="J11" i="2" s="1"/>
  <c r="H12" i="2"/>
  <c r="J12" i="2" s="1"/>
  <c r="H13" i="2"/>
  <c r="J13" i="2" s="1"/>
  <c r="H14" i="2"/>
  <c r="J14" i="2" s="1"/>
  <c r="H15" i="2"/>
  <c r="J15" i="2" s="1"/>
  <c r="H16" i="2"/>
  <c r="J16" i="2" s="1"/>
  <c r="H17" i="2"/>
  <c r="H18" i="2"/>
  <c r="J18" i="2" s="1"/>
  <c r="H19" i="2"/>
  <c r="H10" i="2"/>
  <c r="F16" i="124"/>
  <c r="A40" i="22"/>
  <c r="B40" i="22"/>
  <c r="C40" i="22"/>
  <c r="D40" i="22"/>
  <c r="E40" i="22"/>
  <c r="I27" i="114"/>
  <c r="B38" i="114"/>
  <c r="H27" i="114"/>
  <c r="D38" i="114"/>
  <c r="C38" i="114"/>
  <c r="F16" i="114"/>
  <c r="D27" i="114"/>
  <c r="E27" i="114"/>
  <c r="F27" i="114"/>
  <c r="H16" i="114"/>
  <c r="G27" i="114"/>
  <c r="E38" i="114"/>
  <c r="G16" i="114"/>
  <c r="F38" i="114"/>
  <c r="J27" i="114"/>
  <c r="D16" i="114"/>
  <c r="B16" i="114"/>
  <c r="C16" i="114"/>
  <c r="J16" i="114"/>
  <c r="H38" i="114"/>
  <c r="L27" i="114"/>
  <c r="J19" i="2" l="1"/>
  <c r="J31" i="2" s="1"/>
  <c r="H31" i="2"/>
  <c r="G66" i="2"/>
  <c r="F40" i="22"/>
  <c r="J17" i="2"/>
  <c r="H32" i="2"/>
  <c r="J20" i="2"/>
  <c r="M27" i="114"/>
  <c r="I38" i="114"/>
  <c r="E16" i="114"/>
  <c r="K16" i="114"/>
  <c r="J21" i="2"/>
  <c r="I42" i="34"/>
  <c r="J32" i="2" l="1"/>
  <c r="I42" i="27"/>
  <c r="A88" i="28" l="1"/>
  <c r="D88" i="28"/>
  <c r="D87" i="28"/>
  <c r="A87" i="28"/>
  <c r="A53" i="28"/>
  <c r="A60" i="28"/>
  <c r="A59" i="28"/>
  <c r="E59" i="28" l="1"/>
  <c r="E60" i="28"/>
  <c r="D60" i="28"/>
  <c r="C59" i="28"/>
  <c r="C88" i="28"/>
  <c r="C60" i="28"/>
  <c r="C87" i="28"/>
  <c r="B60" i="28"/>
  <c r="B87" i="28"/>
  <c r="B59" i="28"/>
  <c r="E88" i="28"/>
  <c r="E87" i="28"/>
  <c r="D59" i="28"/>
  <c r="F13" i="114"/>
  <c r="J24" i="114"/>
  <c r="G13" i="114"/>
  <c r="D14" i="114"/>
  <c r="B14" i="114"/>
  <c r="H24" i="114"/>
  <c r="I25" i="114"/>
  <c r="G25" i="114"/>
  <c r="B37" i="114"/>
  <c r="B35" i="114"/>
  <c r="F35" i="114"/>
  <c r="C37" i="114"/>
  <c r="E24" i="114"/>
  <c r="C36" i="114"/>
  <c r="F26" i="114"/>
  <c r="I26" i="114"/>
  <c r="E35" i="114"/>
  <c r="B36" i="114"/>
  <c r="F25" i="114"/>
  <c r="D24" i="114"/>
  <c r="J26" i="114"/>
  <c r="D25" i="114"/>
  <c r="H15" i="114"/>
  <c r="F24" i="114"/>
  <c r="J25" i="114"/>
  <c r="D37" i="114"/>
  <c r="H14" i="114"/>
  <c r="E36" i="114"/>
  <c r="F37" i="114"/>
  <c r="F14" i="114"/>
  <c r="E37" i="114"/>
  <c r="G26" i="114"/>
  <c r="E26" i="114"/>
  <c r="D35" i="114"/>
  <c r="C14" i="114"/>
  <c r="E25" i="114"/>
  <c r="B13" i="114"/>
  <c r="D26" i="114"/>
  <c r="F36" i="114"/>
  <c r="C35" i="114"/>
  <c r="D13" i="114"/>
  <c r="G15" i="114"/>
  <c r="H25" i="114"/>
  <c r="G14" i="114"/>
  <c r="D36" i="114"/>
  <c r="H13" i="114"/>
  <c r="I24" i="114"/>
  <c r="G24" i="114"/>
  <c r="C13" i="114"/>
  <c r="H26" i="114"/>
  <c r="F15" i="114"/>
  <c r="H37" i="114"/>
  <c r="L24" i="114"/>
  <c r="J15" i="114"/>
  <c r="L26" i="114"/>
  <c r="J13" i="114"/>
  <c r="J14" i="114"/>
  <c r="H36" i="114"/>
  <c r="H35" i="114"/>
  <c r="L25" i="114"/>
  <c r="K13" i="114" l="1"/>
  <c r="E13" i="114"/>
  <c r="E14" i="114"/>
  <c r="K15" i="114"/>
  <c r="D15" i="114"/>
  <c r="C15" i="114"/>
  <c r="B15" i="114"/>
  <c r="E15" i="114" l="1"/>
  <c r="C42" i="27"/>
  <c r="D42" i="27"/>
  <c r="E42" i="27"/>
  <c r="F42" i="27"/>
  <c r="G42" i="27"/>
  <c r="H42" i="27"/>
  <c r="C31" i="16"/>
  <c r="A9" i="13"/>
  <c r="A9" i="11"/>
  <c r="A10" i="23"/>
  <c r="A23" i="19"/>
  <c r="A48" i="19" s="1"/>
  <c r="B31" i="18"/>
  <c r="B27" i="18"/>
  <c r="C27" i="18"/>
  <c r="C31" i="18"/>
  <c r="B31" i="16"/>
  <c r="B27" i="16"/>
  <c r="C27" i="16"/>
  <c r="C28" i="16" l="1"/>
  <c r="B28" i="16"/>
  <c r="E27" i="16"/>
  <c r="F27" i="16"/>
  <c r="H64" i="12"/>
  <c r="G64" i="12"/>
  <c r="E64" i="12"/>
  <c r="F44" i="12"/>
  <c r="I44" i="12"/>
  <c r="H44" i="12"/>
  <c r="F64" i="12"/>
  <c r="I64" i="12"/>
  <c r="J22" i="14"/>
  <c r="C22" i="14"/>
  <c r="E27" i="18" l="1"/>
  <c r="D27" i="18"/>
  <c r="D28" i="18" s="1"/>
  <c r="B28" i="18"/>
  <c r="C28" i="18"/>
  <c r="F27" i="18"/>
  <c r="E23" i="19"/>
  <c r="F36" i="12"/>
  <c r="F17" i="12"/>
  <c r="F28" i="12"/>
  <c r="F41" i="12"/>
  <c r="F32" i="12"/>
  <c r="F14" i="12"/>
  <c r="F26" i="12"/>
  <c r="F21" i="12"/>
  <c r="F20" i="12"/>
  <c r="F15" i="12"/>
  <c r="F42" i="12"/>
  <c r="F35" i="12"/>
  <c r="F18" i="12"/>
  <c r="F13" i="12"/>
  <c r="F37" i="12"/>
  <c r="F40" i="12"/>
  <c r="F22" i="12"/>
  <c r="F39" i="12"/>
  <c r="F16" i="12"/>
  <c r="F27" i="12"/>
  <c r="F43" i="12"/>
  <c r="F34" i="12"/>
  <c r="F38" i="12"/>
  <c r="F19" i="12"/>
  <c r="F30" i="12"/>
  <c r="F29" i="12"/>
  <c r="F31" i="12"/>
  <c r="F24" i="12"/>
  <c r="F23" i="12"/>
  <c r="F25" i="12"/>
  <c r="F33" i="12"/>
  <c r="F28" i="18" l="1"/>
  <c r="E28" i="18"/>
  <c r="H23" i="19"/>
  <c r="F12" i="10"/>
  <c r="G12" i="10"/>
  <c r="H12" i="10"/>
  <c r="E12" i="10"/>
  <c r="C12" i="10"/>
  <c r="D12" i="10"/>
  <c r="E55" i="7"/>
  <c r="C55" i="7"/>
  <c r="F10" i="94"/>
  <c r="F18" i="94"/>
  <c r="B18" i="94"/>
  <c r="G10" i="94"/>
  <c r="B12" i="94"/>
  <c r="C10" i="94"/>
  <c r="D16" i="94"/>
  <c r="H16" i="94"/>
  <c r="G16" i="94"/>
  <c r="E18" i="94"/>
  <c r="F16" i="94"/>
  <c r="C16" i="94"/>
  <c r="C12" i="94"/>
  <c r="E16" i="94"/>
  <c r="E12" i="94"/>
  <c r="H10" i="94"/>
  <c r="D10" i="94"/>
  <c r="G12" i="94"/>
  <c r="D12" i="94"/>
  <c r="E10" i="94"/>
  <c r="B16" i="94"/>
  <c r="D18" i="94"/>
  <c r="F12" i="94"/>
  <c r="H12" i="94"/>
  <c r="H18" i="94"/>
  <c r="G18" i="94"/>
  <c r="B10" i="94"/>
  <c r="C18" i="94"/>
  <c r="I12" i="10" l="1"/>
  <c r="I23" i="19"/>
  <c r="B9" i="76"/>
  <c r="B34" i="76"/>
  <c r="B49" i="76"/>
  <c r="B65" i="76"/>
  <c r="F70" i="76"/>
  <c r="B70" i="76"/>
  <c r="C70" i="76"/>
  <c r="E70" i="76"/>
  <c r="D68" i="76"/>
  <c r="B54" i="76"/>
  <c r="D53" i="76"/>
  <c r="C54" i="76"/>
  <c r="F54" i="76"/>
  <c r="E54" i="76"/>
  <c r="D54" i="76"/>
  <c r="D37" i="76"/>
  <c r="F37" i="76"/>
  <c r="E37" i="76"/>
  <c r="B37" i="76"/>
  <c r="C37" i="76"/>
  <c r="G37" i="76"/>
  <c r="E19" i="76"/>
  <c r="F12" i="76"/>
  <c r="C16" i="76"/>
  <c r="B22" i="76"/>
  <c r="B12" i="76"/>
  <c r="D12" i="76"/>
  <c r="F21" i="76"/>
  <c r="C20" i="76"/>
  <c r="E18" i="76"/>
  <c r="B13" i="76"/>
  <c r="F16" i="76"/>
  <c r="F17" i="76"/>
  <c r="D21" i="76"/>
  <c r="D13" i="76"/>
  <c r="F13" i="76"/>
  <c r="D15" i="76"/>
  <c r="B18" i="76"/>
  <c r="C12" i="76"/>
  <c r="B20" i="76"/>
  <c r="C21" i="76"/>
  <c r="B21" i="76"/>
  <c r="E16" i="76"/>
  <c r="E21" i="76"/>
  <c r="F22" i="76"/>
  <c r="E22" i="76"/>
  <c r="D14" i="76"/>
  <c r="D20" i="76"/>
  <c r="E17" i="76"/>
  <c r="D17" i="76"/>
  <c r="E14" i="76"/>
  <c r="D18" i="76"/>
  <c r="B16" i="76"/>
  <c r="D16" i="76"/>
  <c r="B15" i="76"/>
  <c r="D22" i="76"/>
  <c r="B14" i="76"/>
  <c r="E15" i="76"/>
  <c r="C13" i="76"/>
  <c r="C15" i="76"/>
  <c r="F15" i="76"/>
  <c r="C17" i="76"/>
  <c r="B19" i="76"/>
  <c r="E20" i="76"/>
  <c r="F18" i="76"/>
  <c r="C22" i="76"/>
  <c r="F19" i="76"/>
  <c r="E12" i="76"/>
  <c r="E13" i="76"/>
  <c r="D19" i="76"/>
  <c r="F20" i="76"/>
  <c r="C14" i="76"/>
  <c r="C18" i="76"/>
  <c r="C19" i="76"/>
  <c r="F14" i="76"/>
  <c r="B17" i="76"/>
  <c r="E24" i="76" l="1"/>
  <c r="C24" i="76"/>
  <c r="D24" i="76"/>
  <c r="B24" i="76"/>
  <c r="F24" i="76"/>
  <c r="G12" i="76"/>
  <c r="G13" i="76"/>
  <c r="G14" i="76"/>
  <c r="G15" i="76"/>
  <c r="G16" i="76"/>
  <c r="G17" i="76"/>
  <c r="G18" i="76"/>
  <c r="G19" i="76"/>
  <c r="G20" i="76"/>
  <c r="G21" i="76"/>
  <c r="G22" i="76"/>
  <c r="D69" i="76"/>
  <c r="D70" i="76"/>
  <c r="B36" i="76"/>
  <c r="G36" i="76"/>
  <c r="F36" i="76"/>
  <c r="E36" i="76"/>
  <c r="D36" i="76"/>
  <c r="C36" i="76"/>
  <c r="G24" i="76" l="1"/>
  <c r="B38" i="76"/>
  <c r="C38" i="76"/>
  <c r="D38" i="76"/>
  <c r="E38" i="76"/>
  <c r="F38" i="76"/>
  <c r="G38" i="76"/>
  <c r="B9" i="36" l="1"/>
  <c r="E77" i="28"/>
  <c r="E78" i="28"/>
  <c r="E79" i="28"/>
  <c r="E80" i="28"/>
  <c r="E81" i="28"/>
  <c r="E82" i="28"/>
  <c r="E83" i="28"/>
  <c r="E84" i="28"/>
  <c r="E85" i="28"/>
  <c r="E86" i="28"/>
  <c r="D77" i="28"/>
  <c r="D78" i="28"/>
  <c r="D79" i="28"/>
  <c r="D80" i="28"/>
  <c r="D81" i="28"/>
  <c r="D82" i="28"/>
  <c r="D83" i="28"/>
  <c r="D84" i="28"/>
  <c r="D85" i="28"/>
  <c r="D86" i="28"/>
  <c r="D76" i="28"/>
  <c r="C77" i="28"/>
  <c r="C78" i="28"/>
  <c r="C79" i="28"/>
  <c r="C80" i="28"/>
  <c r="C81" i="28"/>
  <c r="C82" i="28"/>
  <c r="C83" i="28"/>
  <c r="C84" i="28"/>
  <c r="C85" i="28"/>
  <c r="C86" i="28"/>
  <c r="C76" i="28"/>
  <c r="B77" i="28"/>
  <c r="B78" i="28"/>
  <c r="B79" i="28"/>
  <c r="B80" i="28"/>
  <c r="B81" i="28"/>
  <c r="B82" i="28"/>
  <c r="B83" i="28"/>
  <c r="B84" i="28"/>
  <c r="B85" i="28"/>
  <c r="B86" i="28"/>
  <c r="B76" i="28"/>
  <c r="A77" i="28"/>
  <c r="A78" i="28"/>
  <c r="A79" i="28"/>
  <c r="A80" i="28"/>
  <c r="A81" i="28"/>
  <c r="A82" i="28"/>
  <c r="A83" i="28"/>
  <c r="A84" i="28"/>
  <c r="A85" i="28"/>
  <c r="A86" i="28"/>
  <c r="A76" i="28"/>
  <c r="D58" i="28"/>
  <c r="E58" i="28"/>
  <c r="B58" i="28"/>
  <c r="C58" i="28"/>
  <c r="A49" i="28"/>
  <c r="A50" i="28"/>
  <c r="A51" i="28"/>
  <c r="A52" i="28"/>
  <c r="A54" i="28"/>
  <c r="A55" i="28"/>
  <c r="A56" i="28"/>
  <c r="A57" i="28"/>
  <c r="A58" i="28"/>
  <c r="A48" i="28"/>
  <c r="C17" i="125"/>
  <c r="E28" i="125"/>
  <c r="E17" i="125"/>
  <c r="D28" i="125"/>
  <c r="D17" i="125"/>
  <c r="F28" i="125"/>
  <c r="F17" i="125"/>
  <c r="C28" i="125"/>
  <c r="O42" i="35" l="1"/>
  <c r="O48" i="35"/>
  <c r="P51" i="35"/>
  <c r="M50" i="35"/>
  <c r="O46" i="35"/>
  <c r="O54" i="35"/>
  <c r="O52" i="35"/>
  <c r="N47" i="35"/>
  <c r="P52" i="35"/>
  <c r="N51" i="35"/>
  <c r="O49" i="35"/>
  <c r="N54" i="35"/>
  <c r="P46" i="35"/>
  <c r="P45" i="35"/>
  <c r="P56" i="35"/>
  <c r="N46" i="35"/>
  <c r="O56" i="35"/>
  <c r="M45" i="35"/>
  <c r="P48" i="35"/>
  <c r="P44" i="35"/>
  <c r="M47" i="35"/>
  <c r="M43" i="35"/>
  <c r="O55" i="35"/>
  <c r="M53" i="35"/>
  <c r="P54" i="35"/>
  <c r="M52" i="35"/>
  <c r="O45" i="35"/>
  <c r="M55" i="35"/>
  <c r="M44" i="35"/>
  <c r="M49" i="35"/>
  <c r="P53" i="35"/>
  <c r="O43" i="35"/>
  <c r="N52" i="35"/>
  <c r="M46" i="35"/>
  <c r="N45" i="35"/>
  <c r="P43" i="35"/>
  <c r="O50" i="35"/>
  <c r="O51" i="35"/>
  <c r="M48" i="35"/>
  <c r="P55" i="35"/>
  <c r="M51" i="35"/>
  <c r="P47" i="35"/>
  <c r="M56" i="35"/>
  <c r="N44" i="35"/>
  <c r="O44" i="35"/>
  <c r="M42" i="35"/>
  <c r="P49" i="35"/>
  <c r="N42" i="35"/>
  <c r="P50" i="35"/>
  <c r="O53" i="35"/>
  <c r="M54" i="35"/>
  <c r="N50" i="35"/>
  <c r="N53" i="35"/>
  <c r="N43" i="35"/>
  <c r="P42" i="35"/>
  <c r="O47" i="35"/>
  <c r="I27" i="7"/>
  <c r="J27" i="7" s="1"/>
  <c r="B9" i="19"/>
  <c r="A22" i="19"/>
  <c r="A21" i="19"/>
  <c r="A20" i="19"/>
  <c r="A19" i="19"/>
  <c r="A18" i="19"/>
  <c r="A17" i="19"/>
  <c r="A16" i="19"/>
  <c r="A15" i="19"/>
  <c r="A14" i="19"/>
  <c r="A13" i="19"/>
  <c r="A12" i="19"/>
  <c r="E10" i="93"/>
  <c r="G10" i="93"/>
  <c r="H10" i="93"/>
  <c r="G12" i="93"/>
  <c r="G13" i="93"/>
  <c r="F13" i="93"/>
  <c r="D12" i="93"/>
  <c r="D11" i="93"/>
  <c r="B10" i="93"/>
  <c r="E13" i="93"/>
  <c r="D10" i="93"/>
  <c r="C13" i="93"/>
  <c r="E12" i="93"/>
  <c r="F11" i="93"/>
  <c r="H13" i="93"/>
  <c r="C12" i="93"/>
  <c r="F12" i="93"/>
  <c r="B11" i="93"/>
  <c r="C10" i="93"/>
  <c r="C11" i="93"/>
  <c r="B12" i="93"/>
  <c r="H11" i="93"/>
  <c r="E11" i="93"/>
  <c r="D13" i="93"/>
  <c r="B13" i="93"/>
  <c r="F10" i="93"/>
  <c r="G11" i="93"/>
  <c r="H12" i="93"/>
  <c r="C18" i="96"/>
  <c r="C21" i="96"/>
  <c r="C17" i="96"/>
  <c r="B17" i="96"/>
  <c r="C19" i="96"/>
  <c r="G20" i="96"/>
  <c r="F14" i="96"/>
  <c r="B22" i="96"/>
  <c r="E14" i="96"/>
  <c r="E18" i="96"/>
  <c r="E22" i="96"/>
  <c r="G17" i="96"/>
  <c r="G22" i="96"/>
  <c r="F19" i="96"/>
  <c r="F12" i="96"/>
  <c r="E21" i="96"/>
  <c r="F13" i="96"/>
  <c r="F22" i="96"/>
  <c r="G14" i="96"/>
  <c r="E19" i="96"/>
  <c r="G19" i="96"/>
  <c r="E15" i="96"/>
  <c r="B14" i="96"/>
  <c r="E12" i="96"/>
  <c r="F20" i="96"/>
  <c r="B20" i="96"/>
  <c r="F16" i="96"/>
  <c r="C12" i="96"/>
  <c r="B12" i="96"/>
  <c r="G18" i="96"/>
  <c r="G15" i="96"/>
  <c r="G16" i="96"/>
  <c r="E20" i="96"/>
  <c r="F15" i="96"/>
  <c r="B15" i="96"/>
  <c r="C16" i="96"/>
  <c r="B19" i="96"/>
  <c r="C15" i="96"/>
  <c r="B18" i="96"/>
  <c r="B16" i="96"/>
  <c r="G21" i="96"/>
  <c r="B21" i="96"/>
  <c r="E13" i="96"/>
  <c r="F17" i="96"/>
  <c r="E16" i="96"/>
  <c r="C14" i="96"/>
  <c r="F18" i="96"/>
  <c r="B13" i="96"/>
  <c r="C20" i="96"/>
  <c r="G13" i="96"/>
  <c r="G12" i="96"/>
  <c r="C22" i="96"/>
  <c r="F21" i="96"/>
  <c r="C13" i="96"/>
  <c r="E17" i="96"/>
  <c r="C12" i="40"/>
  <c r="C15" i="40"/>
  <c r="D15" i="40"/>
  <c r="F15" i="40"/>
  <c r="B13" i="40"/>
  <c r="F10" i="40"/>
  <c r="C10" i="40"/>
  <c r="D11" i="40"/>
  <c r="D14" i="40"/>
  <c r="E16" i="40"/>
  <c r="F12" i="40"/>
  <c r="B11" i="40"/>
  <c r="B15" i="40"/>
  <c r="B16" i="40"/>
  <c r="F14" i="40"/>
  <c r="E12" i="40"/>
  <c r="C14" i="40"/>
  <c r="D12" i="40"/>
  <c r="B10" i="40"/>
  <c r="B14" i="40"/>
  <c r="C16" i="40"/>
  <c r="C13" i="40"/>
  <c r="B12" i="40"/>
  <c r="F11" i="40"/>
  <c r="E10" i="40"/>
  <c r="D10" i="40"/>
  <c r="F13" i="40"/>
  <c r="D13" i="40"/>
  <c r="F16" i="40"/>
  <c r="D16" i="40"/>
  <c r="E13" i="40"/>
  <c r="E14" i="40"/>
  <c r="C11" i="40"/>
  <c r="E15" i="40"/>
  <c r="E11" i="40"/>
  <c r="B17" i="19"/>
  <c r="B14" i="19"/>
  <c r="B15" i="19"/>
  <c r="F17" i="19"/>
  <c r="C16" i="19"/>
  <c r="F16" i="19"/>
  <c r="G21" i="19"/>
  <c r="G9" i="40" l="1"/>
  <c r="F14" i="93"/>
  <c r="F38" i="15"/>
  <c r="G38" i="15"/>
  <c r="H38" i="15"/>
  <c r="I38" i="15"/>
  <c r="J38" i="15"/>
  <c r="K38" i="15"/>
  <c r="L38" i="15"/>
  <c r="M38" i="15"/>
  <c r="E38" i="15"/>
  <c r="B38" i="15"/>
  <c r="C38" i="15"/>
  <c r="D38" i="15"/>
  <c r="A38" i="15"/>
  <c r="A33" i="13"/>
  <c r="A26" i="13"/>
  <c r="A9" i="9"/>
  <c r="B44" i="18"/>
  <c r="C11" i="18"/>
  <c r="C32" i="18"/>
  <c r="B47" i="18"/>
  <c r="B34" i="18"/>
  <c r="C20" i="18"/>
  <c r="C44" i="18"/>
  <c r="C34" i="18"/>
  <c r="C40" i="18"/>
  <c r="B37" i="18"/>
  <c r="C21" i="18"/>
  <c r="B36" i="18"/>
  <c r="B22" i="18"/>
  <c r="C14" i="18"/>
  <c r="B41" i="18"/>
  <c r="B20" i="18"/>
  <c r="B10" i="18"/>
  <c r="C16" i="18"/>
  <c r="C37" i="18"/>
  <c r="B42" i="18"/>
  <c r="C46" i="18"/>
  <c r="B33" i="18"/>
  <c r="B21" i="18"/>
  <c r="B16" i="18"/>
  <c r="B13" i="18"/>
  <c r="B12" i="18"/>
  <c r="C43" i="18"/>
  <c r="C33" i="18"/>
  <c r="B17" i="18"/>
  <c r="C15" i="18"/>
  <c r="C22" i="18"/>
  <c r="C35" i="18"/>
  <c r="C13" i="18"/>
  <c r="B15" i="18"/>
  <c r="B11" i="18"/>
  <c r="B46" i="18"/>
  <c r="C12" i="18"/>
  <c r="C47" i="18"/>
  <c r="C45" i="18"/>
  <c r="B14" i="18"/>
  <c r="B43" i="18"/>
  <c r="C42" i="18"/>
  <c r="B40" i="18"/>
  <c r="C17" i="18"/>
  <c r="B35" i="18"/>
  <c r="C41" i="18"/>
  <c r="C10" i="18"/>
  <c r="B45" i="18"/>
  <c r="C36" i="18"/>
  <c r="B32" i="18"/>
  <c r="C20" i="16"/>
  <c r="B52" i="16"/>
  <c r="B46" i="16"/>
  <c r="B16" i="16"/>
  <c r="B10" i="16"/>
  <c r="C33" i="16"/>
  <c r="B15" i="16"/>
  <c r="C43" i="16"/>
  <c r="B40" i="16"/>
  <c r="C52" i="16"/>
  <c r="C22" i="16"/>
  <c r="C16" i="16"/>
  <c r="C51" i="16"/>
  <c r="B42" i="16"/>
  <c r="C15" i="16"/>
  <c r="C50" i="16"/>
  <c r="B12" i="16"/>
  <c r="B50" i="16"/>
  <c r="B32" i="16"/>
  <c r="B44" i="16"/>
  <c r="C45" i="16"/>
  <c r="C42" i="16"/>
  <c r="C13" i="16"/>
  <c r="C40" i="16"/>
  <c r="C32" i="16"/>
  <c r="B22" i="16"/>
  <c r="C12" i="16"/>
  <c r="B21" i="16"/>
  <c r="B51" i="16"/>
  <c r="B36" i="16"/>
  <c r="C21" i="16"/>
  <c r="B13" i="16"/>
  <c r="C46" i="16"/>
  <c r="C41" i="16"/>
  <c r="C14" i="16"/>
  <c r="B11" i="16"/>
  <c r="C35" i="16"/>
  <c r="C44" i="16"/>
  <c r="B35" i="16"/>
  <c r="C36" i="16"/>
  <c r="B45" i="16"/>
  <c r="B14" i="16"/>
  <c r="C10" i="16"/>
  <c r="B43" i="16"/>
  <c r="B41" i="16"/>
  <c r="C11" i="16"/>
  <c r="C34" i="16"/>
  <c r="B34" i="16"/>
  <c r="B33" i="16"/>
  <c r="B20" i="16"/>
  <c r="H9" i="14"/>
  <c r="C9" i="14"/>
  <c r="F9" i="14"/>
  <c r="E9" i="14"/>
  <c r="D9" i="14"/>
  <c r="G9" i="14"/>
  <c r="D12" i="19"/>
  <c r="F20" i="19"/>
  <c r="B12" i="19"/>
  <c r="G22" i="19"/>
  <c r="C11" i="19"/>
  <c r="D19" i="19"/>
  <c r="C21" i="19"/>
  <c r="E20" i="19"/>
  <c r="F15" i="19"/>
  <c r="G19" i="19"/>
  <c r="B20" i="19"/>
  <c r="G12" i="19"/>
  <c r="F18" i="19"/>
  <c r="D17" i="19"/>
  <c r="C19" i="19"/>
  <c r="C14" i="19"/>
  <c r="C12" i="19"/>
  <c r="C13" i="19"/>
  <c r="F13" i="19"/>
  <c r="F22" i="19"/>
  <c r="B19" i="19"/>
  <c r="F21" i="19"/>
  <c r="F19" i="19"/>
  <c r="B11" i="19"/>
  <c r="D16" i="19"/>
  <c r="D21" i="19"/>
  <c r="E11" i="19"/>
  <c r="D22" i="19"/>
  <c r="B13" i="19"/>
  <c r="C17" i="19"/>
  <c r="G14" i="19"/>
  <c r="F14" i="19"/>
  <c r="E21" i="19"/>
  <c r="F11" i="19"/>
  <c r="D14" i="19"/>
  <c r="D13" i="19"/>
  <c r="E22" i="19"/>
  <c r="G17" i="19"/>
  <c r="G13" i="19"/>
  <c r="G16" i="19"/>
  <c r="E18" i="19"/>
  <c r="B16" i="19"/>
  <c r="G15" i="19"/>
  <c r="C15" i="19"/>
  <c r="C18" i="19"/>
  <c r="F12" i="19"/>
  <c r="B21" i="19"/>
  <c r="D18" i="19"/>
  <c r="E19" i="19"/>
  <c r="C20" i="19"/>
  <c r="E14" i="19"/>
  <c r="C22" i="19"/>
  <c r="D20" i="19"/>
  <c r="G20" i="19"/>
  <c r="D11" i="19"/>
  <c r="G18" i="19"/>
  <c r="E13" i="19"/>
  <c r="E12" i="19"/>
  <c r="B22" i="19"/>
  <c r="E15" i="19"/>
  <c r="G11" i="19"/>
  <c r="E17" i="19"/>
  <c r="B18" i="19"/>
  <c r="E16" i="19"/>
  <c r="D15" i="19"/>
  <c r="H22" i="14"/>
  <c r="E22" i="14"/>
  <c r="I22" i="14"/>
  <c r="F22" i="14"/>
  <c r="G22" i="14"/>
  <c r="D22" i="14"/>
  <c r="C33" i="13"/>
  <c r="E27" i="13"/>
  <c r="D28" i="13"/>
  <c r="E43" i="13"/>
  <c r="C31" i="13"/>
  <c r="D19" i="13"/>
  <c r="D22" i="13"/>
  <c r="C29" i="13"/>
  <c r="E37" i="13"/>
  <c r="E20" i="13"/>
  <c r="C35" i="13"/>
  <c r="D30" i="13"/>
  <c r="D26" i="13"/>
  <c r="D12" i="13"/>
  <c r="E39" i="13"/>
  <c r="E25" i="13"/>
  <c r="C14" i="13"/>
  <c r="C41" i="13"/>
  <c r="E26" i="13"/>
  <c r="D14" i="13"/>
  <c r="D13" i="13"/>
  <c r="D16" i="13"/>
  <c r="E21" i="13"/>
  <c r="D29" i="13"/>
  <c r="D42" i="13"/>
  <c r="C42" i="13"/>
  <c r="C21" i="13"/>
  <c r="C32" i="13"/>
  <c r="D43" i="13"/>
  <c r="C16" i="13"/>
  <c r="D15" i="13"/>
  <c r="E30" i="13"/>
  <c r="C20" i="13"/>
  <c r="C34" i="13"/>
  <c r="D32" i="13"/>
  <c r="C36" i="13"/>
  <c r="E14" i="13"/>
  <c r="D38" i="13"/>
  <c r="D33" i="13"/>
  <c r="D37" i="13"/>
  <c r="C12" i="13"/>
  <c r="C15" i="13"/>
  <c r="C28" i="13"/>
  <c r="C37" i="13"/>
  <c r="E13" i="13"/>
  <c r="E16" i="13"/>
  <c r="C39" i="13"/>
  <c r="C40" i="13"/>
  <c r="E29" i="13"/>
  <c r="E41" i="13"/>
  <c r="C18" i="13"/>
  <c r="D34" i="13"/>
  <c r="D40" i="13"/>
  <c r="E36" i="13"/>
  <c r="E28" i="13"/>
  <c r="E23" i="13"/>
  <c r="E18" i="13"/>
  <c r="D25" i="13"/>
  <c r="E22" i="13"/>
  <c r="D21" i="13"/>
  <c r="E15" i="13"/>
  <c r="D27" i="13"/>
  <c r="E42" i="13"/>
  <c r="E38" i="13"/>
  <c r="D17" i="13"/>
  <c r="E40" i="13"/>
  <c r="E19" i="13"/>
  <c r="C22" i="13"/>
  <c r="C25" i="13"/>
  <c r="C17" i="13"/>
  <c r="C38" i="13"/>
  <c r="D18" i="13"/>
  <c r="D20" i="13"/>
  <c r="D31" i="13"/>
  <c r="E31" i="13"/>
  <c r="D24" i="13"/>
  <c r="C23" i="13"/>
  <c r="C26" i="13"/>
  <c r="E32" i="13"/>
  <c r="E12" i="13"/>
  <c r="E35" i="13"/>
  <c r="E33" i="13"/>
  <c r="C27" i="13"/>
  <c r="D39" i="13"/>
  <c r="D35" i="13"/>
  <c r="D23" i="13"/>
  <c r="E24" i="13"/>
  <c r="C19" i="13"/>
  <c r="C30" i="13"/>
  <c r="E17" i="13"/>
  <c r="D41" i="13"/>
  <c r="E34" i="13"/>
  <c r="C24" i="13"/>
  <c r="D36" i="13"/>
  <c r="C43" i="13"/>
  <c r="C13" i="13"/>
  <c r="F40" i="16" l="1"/>
  <c r="E40" i="16"/>
  <c r="C23" i="16"/>
  <c r="C37" i="16"/>
  <c r="B23" i="16"/>
  <c r="B53" i="16"/>
  <c r="C47" i="16"/>
  <c r="B17" i="16"/>
  <c r="C17" i="16"/>
  <c r="B47" i="16"/>
  <c r="C53" i="16"/>
  <c r="B37" i="16"/>
  <c r="D37" i="18"/>
  <c r="G24" i="19"/>
  <c r="G47" i="19" s="1"/>
  <c r="B24" i="19"/>
  <c r="C24" i="19"/>
  <c r="C45" i="19" s="1"/>
  <c r="E24" i="19"/>
  <c r="E44" i="19" s="1"/>
  <c r="D24" i="19"/>
  <c r="D46" i="19" s="1"/>
  <c r="F24" i="19"/>
  <c r="F46" i="19" s="1"/>
  <c r="H13" i="19"/>
  <c r="I9" i="14"/>
  <c r="F27" i="13"/>
  <c r="F31" i="13"/>
  <c r="F34" i="13"/>
  <c r="F36" i="13"/>
  <c r="F38" i="13"/>
  <c r="F40" i="13"/>
  <c r="F42" i="13"/>
  <c r="F13" i="13"/>
  <c r="F15" i="13"/>
  <c r="F17" i="13"/>
  <c r="F19" i="13"/>
  <c r="F21" i="13"/>
  <c r="F23" i="13"/>
  <c r="F25" i="13"/>
  <c r="F35" i="13"/>
  <c r="F37" i="13"/>
  <c r="F41" i="13"/>
  <c r="F43" i="13"/>
  <c r="F33" i="13"/>
  <c r="F39" i="13"/>
  <c r="F12" i="13"/>
  <c r="F14" i="13"/>
  <c r="F16" i="13"/>
  <c r="F18" i="13"/>
  <c r="F20" i="13"/>
  <c r="F22" i="13"/>
  <c r="F24" i="13"/>
  <c r="F29" i="13"/>
  <c r="F26" i="13"/>
  <c r="F28" i="13"/>
  <c r="F30" i="13"/>
  <c r="F32" i="13"/>
  <c r="A9" i="12"/>
  <c r="E47" i="12"/>
  <c r="G60" i="12"/>
  <c r="H58" i="12"/>
  <c r="I38" i="12"/>
  <c r="F49" i="12"/>
  <c r="I12" i="12"/>
  <c r="I63" i="12"/>
  <c r="I42" i="12"/>
  <c r="H36" i="12"/>
  <c r="H39" i="12"/>
  <c r="G41" i="12"/>
  <c r="G31" i="12"/>
  <c r="C22" i="12"/>
  <c r="C12" i="12"/>
  <c r="H34" i="12"/>
  <c r="G33" i="12"/>
  <c r="G32" i="12"/>
  <c r="I16" i="12"/>
  <c r="I18" i="12"/>
  <c r="F59" i="12"/>
  <c r="G18" i="12"/>
  <c r="C69" i="12"/>
  <c r="F68" i="12"/>
  <c r="H18" i="12"/>
  <c r="F52" i="12"/>
  <c r="F72" i="12"/>
  <c r="E63" i="12"/>
  <c r="G29" i="12"/>
  <c r="H43" i="12"/>
  <c r="F47" i="12"/>
  <c r="I60" i="12"/>
  <c r="G28" i="12"/>
  <c r="D59" i="12"/>
  <c r="I54" i="12"/>
  <c r="G16" i="12"/>
  <c r="D49" i="12"/>
  <c r="I53" i="12"/>
  <c r="H38" i="12"/>
  <c r="H59" i="12"/>
  <c r="G52" i="12"/>
  <c r="G49" i="12"/>
  <c r="I17" i="12"/>
  <c r="I33" i="12"/>
  <c r="E54" i="12"/>
  <c r="C37" i="12"/>
  <c r="C38" i="12"/>
  <c r="I13" i="12"/>
  <c r="I36" i="12"/>
  <c r="I29" i="12"/>
  <c r="E69" i="12"/>
  <c r="H41" i="12"/>
  <c r="E56" i="12"/>
  <c r="F58" i="12"/>
  <c r="C59" i="12"/>
  <c r="H69" i="12"/>
  <c r="G35" i="12"/>
  <c r="G63" i="12"/>
  <c r="G67" i="12"/>
  <c r="C16" i="12"/>
  <c r="H33" i="12"/>
  <c r="E49" i="12"/>
  <c r="G59" i="12"/>
  <c r="G47" i="12"/>
  <c r="C32" i="12"/>
  <c r="I50" i="12"/>
  <c r="H25" i="12"/>
  <c r="D50" i="12"/>
  <c r="H35" i="12"/>
  <c r="G68" i="12"/>
  <c r="C56" i="12"/>
  <c r="D51" i="12"/>
  <c r="I72" i="12"/>
  <c r="I21" i="12"/>
  <c r="D72" i="12"/>
  <c r="D67" i="12"/>
  <c r="D55" i="12"/>
  <c r="H24" i="12"/>
  <c r="C67" i="12"/>
  <c r="G42" i="12"/>
  <c r="G34" i="12"/>
  <c r="C21" i="12"/>
  <c r="G24" i="12"/>
  <c r="H52" i="12"/>
  <c r="C23" i="12"/>
  <c r="G38" i="12"/>
  <c r="I59" i="12"/>
  <c r="I37" i="12"/>
  <c r="G22" i="12"/>
  <c r="G21" i="12"/>
  <c r="I55" i="12"/>
  <c r="G13" i="12"/>
  <c r="G58" i="12"/>
  <c r="C54" i="12"/>
  <c r="H47" i="12"/>
  <c r="E51" i="12"/>
  <c r="C39" i="12"/>
  <c r="H54" i="12"/>
  <c r="D56" i="12"/>
  <c r="H63" i="12"/>
  <c r="I30" i="12"/>
  <c r="H17" i="12"/>
  <c r="E50" i="12"/>
  <c r="G30" i="12"/>
  <c r="I40" i="12"/>
  <c r="C19" i="12"/>
  <c r="H13" i="12"/>
  <c r="C35" i="12"/>
  <c r="G25" i="12"/>
  <c r="G17" i="12"/>
  <c r="H72" i="12"/>
  <c r="I24" i="12"/>
  <c r="H49" i="12"/>
  <c r="I19" i="12"/>
  <c r="C27" i="12"/>
  <c r="G69" i="12"/>
  <c r="H20" i="12"/>
  <c r="C40" i="12"/>
  <c r="D52" i="12"/>
  <c r="E67" i="12"/>
  <c r="H12" i="12"/>
  <c r="H56" i="12"/>
  <c r="I41" i="12"/>
  <c r="H42" i="12"/>
  <c r="C60" i="12"/>
  <c r="C30" i="12"/>
  <c r="I43" i="12"/>
  <c r="G53" i="12"/>
  <c r="I23" i="12"/>
  <c r="C25" i="12"/>
  <c r="C55" i="12"/>
  <c r="G54" i="12"/>
  <c r="I32" i="12"/>
  <c r="C41" i="12"/>
  <c r="H19" i="12"/>
  <c r="F53" i="12"/>
  <c r="E58" i="12"/>
  <c r="G26" i="12"/>
  <c r="H27" i="12"/>
  <c r="I14" i="12"/>
  <c r="C58" i="12"/>
  <c r="C24" i="12"/>
  <c r="D63" i="12"/>
  <c r="I35" i="12"/>
  <c r="H55" i="12"/>
  <c r="E72" i="12"/>
  <c r="D68" i="12"/>
  <c r="H28" i="12"/>
  <c r="I68" i="12"/>
  <c r="F67" i="12"/>
  <c r="H23" i="12"/>
  <c r="H31" i="12"/>
  <c r="F50" i="12"/>
  <c r="C68" i="12"/>
  <c r="D60" i="12"/>
  <c r="G27" i="12"/>
  <c r="G37" i="12"/>
  <c r="C43" i="12"/>
  <c r="I34" i="12"/>
  <c r="D54" i="12"/>
  <c r="I49" i="12"/>
  <c r="H32" i="12"/>
  <c r="F63" i="12"/>
  <c r="C26" i="12"/>
  <c r="C50" i="12"/>
  <c r="I20" i="12"/>
  <c r="G36" i="12"/>
  <c r="C29" i="12"/>
  <c r="C31" i="12"/>
  <c r="G15" i="12"/>
  <c r="H53" i="12"/>
  <c r="E59" i="12"/>
  <c r="I22" i="12"/>
  <c r="I51" i="12"/>
  <c r="I27" i="12"/>
  <c r="G56" i="12"/>
  <c r="G14" i="12"/>
  <c r="H30" i="12"/>
  <c r="F51" i="12"/>
  <c r="H50" i="12"/>
  <c r="C15" i="12"/>
  <c r="C47" i="12"/>
  <c r="E60" i="12"/>
  <c r="G12" i="12"/>
  <c r="C53" i="12"/>
  <c r="H15" i="12"/>
  <c r="I69" i="12"/>
  <c r="E55" i="12"/>
  <c r="H22" i="12"/>
  <c r="E53" i="12"/>
  <c r="I31" i="12"/>
  <c r="H16" i="12"/>
  <c r="G20" i="12"/>
  <c r="I26" i="12"/>
  <c r="G55" i="12"/>
  <c r="C42" i="12"/>
  <c r="H51" i="12"/>
  <c r="F55" i="12"/>
  <c r="I58" i="12"/>
  <c r="C63" i="12"/>
  <c r="G50" i="12"/>
  <c r="C34" i="12"/>
  <c r="G19" i="12"/>
  <c r="G39" i="12"/>
  <c r="F69" i="12"/>
  <c r="H67" i="12"/>
  <c r="G23" i="12"/>
  <c r="I52" i="12"/>
  <c r="G43" i="12"/>
  <c r="E68" i="12"/>
  <c r="C14" i="12"/>
  <c r="D58" i="12"/>
  <c r="D47" i="12"/>
  <c r="F60" i="12"/>
  <c r="D53" i="12"/>
  <c r="H29" i="12"/>
  <c r="H37" i="12"/>
  <c r="I28" i="12"/>
  <c r="C20" i="12"/>
  <c r="C51" i="12"/>
  <c r="H40" i="12"/>
  <c r="H14" i="12"/>
  <c r="C72" i="12"/>
  <c r="C17" i="12"/>
  <c r="C33" i="12"/>
  <c r="C36" i="12"/>
  <c r="D69" i="12"/>
  <c r="F54" i="12"/>
  <c r="E52" i="12"/>
  <c r="C28" i="12"/>
  <c r="G51" i="12"/>
  <c r="G40" i="12"/>
  <c r="H21" i="12"/>
  <c r="I15" i="12"/>
  <c r="I67" i="12"/>
  <c r="C13" i="12"/>
  <c r="C18" i="12"/>
  <c r="I56" i="12"/>
  <c r="H68" i="12"/>
  <c r="I39" i="12"/>
  <c r="I25" i="12"/>
  <c r="H26" i="12"/>
  <c r="C52" i="12"/>
  <c r="G72" i="12"/>
  <c r="F56" i="12"/>
  <c r="H60" i="12"/>
  <c r="I47" i="12"/>
  <c r="I61" i="12" l="1"/>
  <c r="H48" i="12"/>
  <c r="B47" i="12"/>
  <c r="D61" i="12"/>
  <c r="H61" i="12"/>
  <c r="G48" i="12"/>
  <c r="B48" i="12"/>
  <c r="G61" i="12"/>
  <c r="F48" i="12"/>
  <c r="D48" i="12"/>
  <c r="C48" i="12"/>
  <c r="F61" i="12"/>
  <c r="E48" i="12"/>
  <c r="E61" i="12"/>
  <c r="C61" i="12"/>
  <c r="B60" i="12"/>
  <c r="I48" i="12"/>
  <c r="B61" i="12"/>
  <c r="A48" i="12"/>
  <c r="A47" i="12"/>
  <c r="A60" i="12"/>
  <c r="B46" i="19"/>
  <c r="H24" i="19"/>
  <c r="C55" i="16"/>
  <c r="D42" i="19"/>
  <c r="D41" i="19"/>
  <c r="D36" i="19"/>
  <c r="D39" i="19"/>
  <c r="D43" i="19"/>
  <c r="D40" i="19"/>
  <c r="D37" i="19"/>
  <c r="D38" i="19"/>
  <c r="E45" i="19"/>
  <c r="G44" i="19"/>
  <c r="D44" i="19"/>
  <c r="G46" i="19"/>
  <c r="D45" i="19"/>
  <c r="G45" i="19"/>
  <c r="F45" i="19"/>
  <c r="F47" i="19"/>
  <c r="E46" i="19"/>
  <c r="F44" i="19"/>
  <c r="C44" i="19"/>
  <c r="C46" i="19"/>
  <c r="E47" i="19"/>
  <c r="C47" i="19"/>
  <c r="D47" i="19"/>
  <c r="B45" i="19"/>
  <c r="B44" i="19"/>
  <c r="B47" i="19"/>
  <c r="I70" i="12"/>
  <c r="I9" i="12" s="1"/>
  <c r="H70" i="12"/>
  <c r="H9" i="12" s="1"/>
  <c r="G70" i="12"/>
  <c r="G9" i="12" s="1"/>
  <c r="F70" i="12"/>
  <c r="F9" i="12" s="1"/>
  <c r="D70" i="12"/>
  <c r="E70" i="12"/>
  <c r="E9" i="12" s="1"/>
  <c r="J44" i="12"/>
  <c r="J68" i="12"/>
  <c r="J67" i="12"/>
  <c r="J69" i="12"/>
  <c r="A57" i="12"/>
  <c r="A62" i="12"/>
  <c r="B62" i="12"/>
  <c r="B57" i="12"/>
  <c r="A58" i="12"/>
  <c r="A26" i="12"/>
  <c r="A33" i="12"/>
  <c r="J49" i="12"/>
  <c r="J50" i="12"/>
  <c r="J51" i="12"/>
  <c r="J52" i="12"/>
  <c r="J53" i="12"/>
  <c r="J54" i="12"/>
  <c r="J55" i="12"/>
  <c r="J56" i="12"/>
  <c r="J63" i="12"/>
  <c r="J58" i="12"/>
  <c r="J59" i="12"/>
  <c r="E44" i="12"/>
  <c r="J34" i="12"/>
  <c r="J37" i="12"/>
  <c r="J42" i="12"/>
  <c r="J33" i="12"/>
  <c r="J40" i="12"/>
  <c r="J39" i="12"/>
  <c r="J36" i="12"/>
  <c r="J38" i="12"/>
  <c r="J41" i="12"/>
  <c r="J12" i="12"/>
  <c r="C44" i="12"/>
  <c r="J13" i="12"/>
  <c r="J14" i="12"/>
  <c r="J15" i="12"/>
  <c r="J16" i="12"/>
  <c r="J17" i="12"/>
  <c r="J18" i="12"/>
  <c r="J19" i="12"/>
  <c r="J20" i="12"/>
  <c r="J21" i="12"/>
  <c r="J22" i="12"/>
  <c r="J23" i="12"/>
  <c r="J24" i="12"/>
  <c r="J25" i="12"/>
  <c r="J35" i="12"/>
  <c r="J43" i="12"/>
  <c r="D44" i="12"/>
  <c r="J26" i="12"/>
  <c r="J27" i="12"/>
  <c r="J28" i="12"/>
  <c r="J29" i="12"/>
  <c r="J30" i="12"/>
  <c r="J31" i="12"/>
  <c r="J32" i="12"/>
  <c r="B9" i="10"/>
  <c r="B24" i="10"/>
  <c r="H57" i="12"/>
  <c r="I57" i="12"/>
  <c r="D57" i="12"/>
  <c r="F57" i="12"/>
  <c r="E57" i="12"/>
  <c r="C57" i="12"/>
  <c r="G57" i="12"/>
  <c r="D31" i="11"/>
  <c r="E33" i="11"/>
  <c r="D16" i="11"/>
  <c r="D37" i="11"/>
  <c r="E31" i="11"/>
  <c r="E13" i="11"/>
  <c r="D22" i="11"/>
  <c r="D34" i="11"/>
  <c r="E35" i="11"/>
  <c r="D26" i="11"/>
  <c r="D29" i="11"/>
  <c r="E38" i="11"/>
  <c r="C27" i="11"/>
  <c r="D21" i="11"/>
  <c r="E28" i="11"/>
  <c r="D20" i="11"/>
  <c r="D12" i="11"/>
  <c r="E41" i="11"/>
  <c r="E14" i="11"/>
  <c r="D17" i="11"/>
  <c r="D42" i="11"/>
  <c r="C35" i="11"/>
  <c r="C38" i="11"/>
  <c r="C34" i="11"/>
  <c r="D39" i="11"/>
  <c r="E26" i="11"/>
  <c r="D43" i="11"/>
  <c r="E17" i="11"/>
  <c r="E40" i="11"/>
  <c r="C36" i="11"/>
  <c r="D28" i="11"/>
  <c r="D35" i="11"/>
  <c r="E36" i="11"/>
  <c r="C33" i="11"/>
  <c r="E42" i="11"/>
  <c r="E22" i="11"/>
  <c r="C15" i="11"/>
  <c r="D15" i="11"/>
  <c r="C19" i="11"/>
  <c r="D33" i="11"/>
  <c r="C22" i="11"/>
  <c r="C40" i="11"/>
  <c r="E21" i="11"/>
  <c r="E19" i="11"/>
  <c r="E43" i="11"/>
  <c r="E25" i="11"/>
  <c r="D14" i="11"/>
  <c r="C28" i="11"/>
  <c r="E12" i="11"/>
  <c r="C21" i="11"/>
  <c r="C41" i="11"/>
  <c r="D38" i="11"/>
  <c r="D24" i="11"/>
  <c r="E39" i="11"/>
  <c r="E18" i="11"/>
  <c r="D27" i="11"/>
  <c r="C12" i="11"/>
  <c r="E23" i="11"/>
  <c r="C16" i="11"/>
  <c r="C29" i="11"/>
  <c r="C17" i="11"/>
  <c r="C42" i="11"/>
  <c r="E15" i="11"/>
  <c r="D41" i="11"/>
  <c r="C24" i="11"/>
  <c r="D30" i="11"/>
  <c r="C25" i="11"/>
  <c r="C14" i="11"/>
  <c r="D19" i="11"/>
  <c r="C32" i="11"/>
  <c r="D40" i="11"/>
  <c r="C43" i="11"/>
  <c r="C26" i="11"/>
  <c r="D25" i="11"/>
  <c r="C20" i="11"/>
  <c r="E16" i="11"/>
  <c r="E32" i="11"/>
  <c r="C13" i="11"/>
  <c r="E24" i="11"/>
  <c r="E20" i="11"/>
  <c r="E34" i="11"/>
  <c r="C31" i="11"/>
  <c r="E30" i="11"/>
  <c r="D18" i="11"/>
  <c r="C37" i="11"/>
  <c r="E37" i="11"/>
  <c r="E29" i="11"/>
  <c r="C23" i="11"/>
  <c r="D13" i="11"/>
  <c r="E27" i="11"/>
  <c r="C18" i="11"/>
  <c r="C39" i="11"/>
  <c r="D23" i="11"/>
  <c r="D32" i="11"/>
  <c r="C30" i="11"/>
  <c r="D36" i="11"/>
  <c r="H62" i="12"/>
  <c r="G62" i="12"/>
  <c r="D62" i="12"/>
  <c r="E62" i="12"/>
  <c r="F62" i="12"/>
  <c r="I62" i="12"/>
  <c r="C62" i="12"/>
  <c r="J47" i="12" l="1"/>
  <c r="D9" i="12"/>
  <c r="J60" i="12"/>
  <c r="J62" i="12"/>
  <c r="J61" i="12"/>
  <c r="J48" i="12"/>
  <c r="J57" i="12"/>
  <c r="A9" i="8"/>
  <c r="A10" i="126"/>
  <c r="F26" i="10"/>
  <c r="D26" i="10"/>
  <c r="G26" i="10"/>
  <c r="E26" i="10"/>
  <c r="H26" i="10"/>
  <c r="C26" i="10"/>
  <c r="I26" i="10"/>
  <c r="E18" i="9"/>
  <c r="E41" i="9"/>
  <c r="E13" i="9"/>
  <c r="C26" i="9"/>
  <c r="D16" i="9"/>
  <c r="D13" i="9"/>
  <c r="E38" i="9"/>
  <c r="E15" i="9"/>
  <c r="D33" i="9"/>
  <c r="D19" i="9"/>
  <c r="C24" i="9"/>
  <c r="E40" i="9"/>
  <c r="C12" i="9"/>
  <c r="E31" i="9"/>
  <c r="D36" i="9"/>
  <c r="C39" i="9"/>
  <c r="D41" i="9"/>
  <c r="E24" i="9"/>
  <c r="D30" i="9"/>
  <c r="E23" i="9"/>
  <c r="E35" i="9"/>
  <c r="C38" i="9"/>
  <c r="D14" i="9"/>
  <c r="E17" i="9"/>
  <c r="C33" i="9"/>
  <c r="D34" i="9"/>
  <c r="C42" i="9"/>
  <c r="E43" i="9"/>
  <c r="C23" i="9"/>
  <c r="D27" i="9"/>
  <c r="C14" i="9"/>
  <c r="E30" i="9"/>
  <c r="C17" i="9"/>
  <c r="C19" i="9"/>
  <c r="C41" i="9"/>
  <c r="E37" i="9"/>
  <c r="C27" i="9"/>
  <c r="E26" i="9"/>
  <c r="C43" i="9"/>
  <c r="E19" i="9"/>
  <c r="D29" i="9"/>
  <c r="E34" i="9"/>
  <c r="D40" i="9"/>
  <c r="E12" i="9"/>
  <c r="C16" i="9"/>
  <c r="C15" i="9"/>
  <c r="E14" i="9"/>
  <c r="D28" i="9"/>
  <c r="D17" i="9"/>
  <c r="E27" i="9"/>
  <c r="D25" i="9"/>
  <c r="E16" i="9"/>
  <c r="D37" i="9"/>
  <c r="C31" i="9"/>
  <c r="D43" i="9"/>
  <c r="D23" i="9"/>
  <c r="C36" i="9"/>
  <c r="D18" i="9"/>
  <c r="E20" i="9"/>
  <c r="D12" i="9"/>
  <c r="C25" i="9"/>
  <c r="C40" i="9"/>
  <c r="D21" i="9"/>
  <c r="C18" i="9"/>
  <c r="D15" i="9"/>
  <c r="C37" i="9"/>
  <c r="E21" i="9"/>
  <c r="D26" i="9"/>
  <c r="C29" i="9"/>
  <c r="C22" i="9"/>
  <c r="C30" i="9"/>
  <c r="D38" i="9"/>
  <c r="E29" i="9"/>
  <c r="D20" i="9"/>
  <c r="D31" i="9"/>
  <c r="C34" i="9"/>
  <c r="C21" i="9"/>
  <c r="C35" i="9"/>
  <c r="D39" i="9"/>
  <c r="C20" i="9"/>
  <c r="E28" i="9"/>
  <c r="D24" i="9"/>
  <c r="E42" i="9"/>
  <c r="C32" i="9"/>
  <c r="E32" i="9"/>
  <c r="D35" i="9"/>
  <c r="C13" i="9"/>
  <c r="E25" i="9"/>
  <c r="D42" i="9"/>
  <c r="E36" i="9"/>
  <c r="C28" i="9"/>
  <c r="E33" i="9"/>
  <c r="E22" i="9"/>
  <c r="E39" i="9"/>
  <c r="D32" i="9"/>
  <c r="D22" i="9"/>
  <c r="F67" i="7"/>
  <c r="G69" i="7"/>
  <c r="E58" i="7"/>
  <c r="E59" i="7"/>
  <c r="D68" i="7"/>
  <c r="D73" i="7"/>
  <c r="E50" i="7"/>
  <c r="E51" i="7"/>
  <c r="E68" i="7"/>
  <c r="H73" i="7"/>
  <c r="E56" i="7"/>
  <c r="E52" i="7"/>
  <c r="D67" i="7"/>
  <c r="E69" i="7"/>
  <c r="C67" i="7"/>
  <c r="E63" i="7"/>
  <c r="F68" i="7"/>
  <c r="C58" i="7"/>
  <c r="H68" i="7"/>
  <c r="H67" i="7"/>
  <c r="H69" i="7"/>
  <c r="E54" i="7"/>
  <c r="E67" i="7"/>
  <c r="G73" i="7"/>
  <c r="G67" i="7"/>
  <c r="F73" i="7"/>
  <c r="D69" i="7"/>
  <c r="G68" i="7"/>
  <c r="E73" i="7"/>
  <c r="F69" i="7"/>
  <c r="E53" i="7"/>
  <c r="C73" i="7"/>
  <c r="C69" i="7"/>
  <c r="C68" i="7"/>
  <c r="C68" i="8"/>
  <c r="D34" i="8"/>
  <c r="I55" i="8"/>
  <c r="H24" i="8"/>
  <c r="I58" i="8"/>
  <c r="D37" i="8"/>
  <c r="H31" i="8"/>
  <c r="I41" i="8"/>
  <c r="F72" i="8"/>
  <c r="H17" i="8"/>
  <c r="E21" i="8"/>
  <c r="H37" i="8"/>
  <c r="D30" i="8"/>
  <c r="H56" i="8"/>
  <c r="D56" i="8"/>
  <c r="C18" i="8"/>
  <c r="G14" i="8"/>
  <c r="G22" i="8"/>
  <c r="D58" i="8"/>
  <c r="E14" i="8"/>
  <c r="H32" i="8"/>
  <c r="I22" i="8"/>
  <c r="E23" i="8"/>
  <c r="D21" i="8"/>
  <c r="I26" i="8"/>
  <c r="E72" i="8"/>
  <c r="I17" i="8"/>
  <c r="H21" i="8"/>
  <c r="G21" i="8"/>
  <c r="E63" i="8"/>
  <c r="H22" i="8"/>
  <c r="H68" i="8"/>
  <c r="D50" i="8"/>
  <c r="F40" i="8"/>
  <c r="I40" i="8"/>
  <c r="F12" i="8"/>
  <c r="I54" i="8"/>
  <c r="D72" i="8"/>
  <c r="D16" i="8"/>
  <c r="I49" i="8"/>
  <c r="G51" i="8"/>
  <c r="E16" i="8"/>
  <c r="C12" i="8"/>
  <c r="G50" i="8"/>
  <c r="I21" i="8"/>
  <c r="I23" i="8"/>
  <c r="I53" i="8"/>
  <c r="H39" i="8"/>
  <c r="I30" i="8"/>
  <c r="H72" i="8"/>
  <c r="I19" i="8"/>
  <c r="I32" i="8"/>
  <c r="E30" i="8"/>
  <c r="G33" i="8"/>
  <c r="H50" i="8"/>
  <c r="H30" i="8"/>
  <c r="F69" i="8"/>
  <c r="F42" i="8"/>
  <c r="C54" i="8"/>
  <c r="H25" i="8"/>
  <c r="I68" i="8"/>
  <c r="G37" i="8"/>
  <c r="F56" i="8"/>
  <c r="F29" i="8"/>
  <c r="D67" i="8"/>
  <c r="I16" i="8"/>
  <c r="H52" i="8"/>
  <c r="H38" i="8"/>
  <c r="D42" i="8"/>
  <c r="D39" i="8"/>
  <c r="F18" i="8"/>
  <c r="G52" i="8"/>
  <c r="E36" i="8"/>
  <c r="D15" i="8"/>
  <c r="F39" i="8"/>
  <c r="F31" i="8"/>
  <c r="G49" i="8"/>
  <c r="I25" i="8"/>
  <c r="G28" i="8"/>
  <c r="F59" i="8"/>
  <c r="I42" i="8"/>
  <c r="I56" i="8"/>
  <c r="H16" i="8"/>
  <c r="H29" i="8"/>
  <c r="C20" i="8"/>
  <c r="E22" i="8"/>
  <c r="E26" i="8"/>
  <c r="E42" i="8"/>
  <c r="E52" i="8"/>
  <c r="F50" i="8"/>
  <c r="G19" i="8"/>
  <c r="F34" i="8"/>
  <c r="H23" i="8"/>
  <c r="I52" i="8"/>
  <c r="G69" i="8"/>
  <c r="H33" i="8"/>
  <c r="D54" i="8"/>
  <c r="I18" i="8"/>
  <c r="D53" i="8"/>
  <c r="G23" i="8"/>
  <c r="G12" i="8"/>
  <c r="H67" i="8"/>
  <c r="C58" i="8"/>
  <c r="I59" i="8"/>
  <c r="F52" i="8"/>
  <c r="E19" i="8"/>
  <c r="C38" i="8"/>
  <c r="F20" i="8"/>
  <c r="G38" i="8"/>
  <c r="G32" i="8"/>
  <c r="C53" i="8"/>
  <c r="I67" i="8"/>
  <c r="D20" i="8"/>
  <c r="F38" i="8"/>
  <c r="G55" i="8"/>
  <c r="H15" i="8"/>
  <c r="D31" i="8"/>
  <c r="H69" i="8"/>
  <c r="D33" i="8"/>
  <c r="I38" i="8"/>
  <c r="F19" i="8"/>
  <c r="D23" i="8"/>
  <c r="C56" i="8"/>
  <c r="E12" i="8"/>
  <c r="C21" i="8"/>
  <c r="H49" i="8"/>
  <c r="G39" i="8"/>
  <c r="F36" i="8"/>
  <c r="G16" i="8"/>
  <c r="G53" i="8"/>
  <c r="H59" i="8"/>
  <c r="H43" i="8"/>
  <c r="G41" i="8"/>
  <c r="D32" i="8"/>
  <c r="D19" i="8"/>
  <c r="H53" i="8"/>
  <c r="H26" i="8"/>
  <c r="G30" i="8"/>
  <c r="G15" i="8"/>
  <c r="C15" i="8"/>
  <c r="D41" i="8"/>
  <c r="C24" i="8"/>
  <c r="D63" i="8"/>
  <c r="I14" i="8"/>
  <c r="F53" i="8"/>
  <c r="C69" i="8"/>
  <c r="C50" i="8"/>
  <c r="H35" i="8"/>
  <c r="C23" i="8"/>
  <c r="E43" i="8"/>
  <c r="G24" i="8"/>
  <c r="C63" i="8"/>
  <c r="F25" i="8"/>
  <c r="C37" i="8"/>
  <c r="C34" i="8"/>
  <c r="G68" i="8"/>
  <c r="C33" i="8"/>
  <c r="C25" i="8"/>
  <c r="F35" i="8"/>
  <c r="E67" i="8"/>
  <c r="G13" i="8"/>
  <c r="D26" i="8"/>
  <c r="E38" i="8"/>
  <c r="I24" i="8"/>
  <c r="G17" i="8"/>
  <c r="D43" i="8"/>
  <c r="E53" i="8"/>
  <c r="I15" i="8"/>
  <c r="H28" i="8"/>
  <c r="E50" i="8"/>
  <c r="C41" i="8"/>
  <c r="C16" i="8"/>
  <c r="G20" i="8"/>
  <c r="C32" i="8"/>
  <c r="E40" i="8"/>
  <c r="D52" i="8"/>
  <c r="I27" i="8"/>
  <c r="E28" i="8"/>
  <c r="G25" i="8"/>
  <c r="F33" i="8"/>
  <c r="E37" i="8"/>
  <c r="D36" i="8"/>
  <c r="D68" i="8"/>
  <c r="I13" i="8"/>
  <c r="G27" i="8"/>
  <c r="F24" i="8"/>
  <c r="I37" i="8"/>
  <c r="C43" i="8"/>
  <c r="G43" i="8"/>
  <c r="I12" i="8"/>
  <c r="G63" i="8"/>
  <c r="I31" i="8"/>
  <c r="E13" i="8"/>
  <c r="F58" i="8"/>
  <c r="C42" i="8"/>
  <c r="C36" i="8"/>
  <c r="F32" i="8"/>
  <c r="D13" i="8"/>
  <c r="F37" i="8"/>
  <c r="C19" i="8"/>
  <c r="D29" i="8"/>
  <c r="I33" i="8"/>
  <c r="D40" i="8"/>
  <c r="G72" i="8"/>
  <c r="D14" i="8"/>
  <c r="F41" i="8"/>
  <c r="C13" i="8"/>
  <c r="E29" i="8"/>
  <c r="F13" i="8"/>
  <c r="F23" i="8"/>
  <c r="G58" i="8"/>
  <c r="F54" i="8"/>
  <c r="I51" i="8"/>
  <c r="F27" i="8"/>
  <c r="D51" i="8"/>
  <c r="H63" i="8"/>
  <c r="D12" i="8"/>
  <c r="C67" i="8"/>
  <c r="F22" i="8"/>
  <c r="C49" i="8"/>
  <c r="D25" i="8"/>
  <c r="E33" i="8"/>
  <c r="C14" i="8"/>
  <c r="F17" i="8"/>
  <c r="C29" i="8"/>
  <c r="H58" i="8"/>
  <c r="I20" i="8"/>
  <c r="G67" i="8"/>
  <c r="H14" i="8"/>
  <c r="G26" i="8"/>
  <c r="H12" i="8"/>
  <c r="C22" i="8"/>
  <c r="F14" i="8"/>
  <c r="C72" i="8"/>
  <c r="H36" i="8"/>
  <c r="E17" i="8"/>
  <c r="H20" i="8"/>
  <c r="G36" i="8"/>
  <c r="C59" i="8"/>
  <c r="H41" i="8"/>
  <c r="H42" i="8"/>
  <c r="F63" i="8"/>
  <c r="F21" i="8"/>
  <c r="E39" i="8"/>
  <c r="D27" i="8"/>
  <c r="G31" i="8"/>
  <c r="G56" i="8"/>
  <c r="C35" i="8"/>
  <c r="I36" i="8"/>
  <c r="H27" i="8"/>
  <c r="G40" i="8"/>
  <c r="D24" i="8"/>
  <c r="F28" i="8"/>
  <c r="D28" i="8"/>
  <c r="G34" i="8"/>
  <c r="E15" i="8"/>
  <c r="H40" i="8"/>
  <c r="H13" i="8"/>
  <c r="H18" i="8"/>
  <c r="E25" i="8"/>
  <c r="C27" i="8"/>
  <c r="I28" i="8"/>
  <c r="F26" i="8"/>
  <c r="G18" i="8"/>
  <c r="D59" i="8"/>
  <c r="F55" i="8"/>
  <c r="F16" i="8"/>
  <c r="I39" i="8"/>
  <c r="E55" i="8"/>
  <c r="D55" i="8"/>
  <c r="C28" i="8"/>
  <c r="E32" i="8"/>
  <c r="I43" i="8"/>
  <c r="E20" i="8"/>
  <c r="C26" i="8"/>
  <c r="I69" i="8"/>
  <c r="C52" i="8"/>
  <c r="D17" i="8"/>
  <c r="E31" i="8"/>
  <c r="E56" i="8"/>
  <c r="F49" i="8"/>
  <c r="C39" i="8"/>
  <c r="C30" i="8"/>
  <c r="D49" i="8"/>
  <c r="E54" i="8"/>
  <c r="F15" i="8"/>
  <c r="C51" i="8"/>
  <c r="E69" i="8"/>
  <c r="H54" i="8"/>
  <c r="H51" i="8"/>
  <c r="E51" i="8"/>
  <c r="E59" i="8"/>
  <c r="E34" i="8"/>
  <c r="F68" i="8"/>
  <c r="F43" i="8"/>
  <c r="I72" i="8"/>
  <c r="H55" i="8"/>
  <c r="E41" i="8"/>
  <c r="I35" i="8"/>
  <c r="I29" i="8"/>
  <c r="E35" i="8"/>
  <c r="F51" i="8"/>
  <c r="E24" i="8"/>
  <c r="I63" i="8"/>
  <c r="D22" i="8"/>
  <c r="E27" i="8"/>
  <c r="E58" i="8"/>
  <c r="F67" i="8"/>
  <c r="C40" i="8"/>
  <c r="G35" i="8"/>
  <c r="C55" i="8"/>
  <c r="C17" i="8"/>
  <c r="C31" i="8"/>
  <c r="D18" i="8"/>
  <c r="H19" i="8"/>
  <c r="D69" i="8"/>
  <c r="I34" i="8"/>
  <c r="E68" i="8"/>
  <c r="H34" i="8"/>
  <c r="G42" i="8"/>
  <c r="E18" i="8"/>
  <c r="G59" i="8"/>
  <c r="G54" i="8"/>
  <c r="F30" i="8"/>
  <c r="D38" i="8"/>
  <c r="G29" i="8"/>
  <c r="I50" i="8"/>
  <c r="D35" i="8"/>
  <c r="A61" i="8" l="1"/>
  <c r="B48" i="8"/>
  <c r="B47" i="8"/>
  <c r="B60" i="8"/>
  <c r="B61" i="8"/>
  <c r="J64" i="12"/>
  <c r="A48" i="8"/>
  <c r="A47" i="8"/>
  <c r="A60" i="8"/>
  <c r="I73" i="7"/>
  <c r="I67" i="7"/>
  <c r="B62" i="8"/>
  <c r="J26" i="10"/>
  <c r="A57" i="8"/>
  <c r="B57" i="8"/>
  <c r="A26" i="8"/>
  <c r="A58" i="8"/>
  <c r="A33" i="8"/>
  <c r="A62" i="8"/>
  <c r="A9" i="7"/>
  <c r="D41" i="7"/>
  <c r="D36" i="7"/>
  <c r="H24" i="7"/>
  <c r="C28" i="7"/>
  <c r="C21" i="7"/>
  <c r="D17" i="7"/>
  <c r="H17" i="7"/>
  <c r="H26" i="7"/>
  <c r="H36" i="7"/>
  <c r="C36" i="7"/>
  <c r="D30" i="7"/>
  <c r="H41" i="7"/>
  <c r="C25" i="7"/>
  <c r="H20" i="7"/>
  <c r="C52" i="7"/>
  <c r="C40" i="7"/>
  <c r="C15" i="7"/>
  <c r="C33" i="7"/>
  <c r="D22" i="7"/>
  <c r="H22" i="7"/>
  <c r="C30" i="7"/>
  <c r="D12" i="7"/>
  <c r="H21" i="7"/>
  <c r="C14" i="7"/>
  <c r="D21" i="7"/>
  <c r="C13" i="7"/>
  <c r="H34" i="7"/>
  <c r="D16" i="7"/>
  <c r="C23" i="7"/>
  <c r="D25" i="7"/>
  <c r="D39" i="7"/>
  <c r="H18" i="7"/>
  <c r="H38" i="7"/>
  <c r="C22" i="7"/>
  <c r="D14" i="7"/>
  <c r="H33" i="7"/>
  <c r="C18" i="7"/>
  <c r="D18" i="7"/>
  <c r="H42" i="7"/>
  <c r="H29" i="7"/>
  <c r="C32" i="7"/>
  <c r="C39" i="7"/>
  <c r="C41" i="7"/>
  <c r="D35" i="7"/>
  <c r="D31" i="7"/>
  <c r="C17" i="7"/>
  <c r="C54" i="7"/>
  <c r="D19" i="7"/>
  <c r="D23" i="7"/>
  <c r="D29" i="7"/>
  <c r="D40" i="7"/>
  <c r="H25" i="7"/>
  <c r="H30" i="7"/>
  <c r="C24" i="7"/>
  <c r="C53" i="7"/>
  <c r="D15" i="7"/>
  <c r="H13" i="7"/>
  <c r="D43" i="7"/>
  <c r="H16" i="7"/>
  <c r="D42" i="7"/>
  <c r="H37" i="7"/>
  <c r="D13" i="7"/>
  <c r="H23" i="7"/>
  <c r="C43" i="7"/>
  <c r="C20" i="7"/>
  <c r="D37" i="7"/>
  <c r="D34" i="7"/>
  <c r="D26" i="7"/>
  <c r="H14" i="7"/>
  <c r="H28" i="7"/>
  <c r="H44" i="7"/>
  <c r="D33" i="7"/>
  <c r="H40" i="7"/>
  <c r="H31" i="7"/>
  <c r="H32" i="7"/>
  <c r="D38" i="7"/>
  <c r="D24" i="7"/>
  <c r="C50" i="7"/>
  <c r="H12" i="7"/>
  <c r="C16" i="7"/>
  <c r="H19" i="7"/>
  <c r="C42" i="7"/>
  <c r="D32" i="7"/>
  <c r="H39" i="7"/>
  <c r="D28" i="7"/>
  <c r="H15" i="7"/>
  <c r="H43" i="7"/>
  <c r="H35" i="7"/>
  <c r="C29" i="7"/>
  <c r="C35" i="7"/>
  <c r="D20" i="7"/>
  <c r="C26" i="7"/>
  <c r="E57" i="8"/>
  <c r="I57" i="8"/>
  <c r="H57" i="8"/>
  <c r="D57" i="8"/>
  <c r="G57" i="8"/>
  <c r="F57" i="8"/>
  <c r="C57" i="8"/>
  <c r="E61" i="8"/>
  <c r="F61" i="8"/>
  <c r="H61" i="8"/>
  <c r="C61" i="8"/>
  <c r="E48" i="8"/>
  <c r="F48" i="8"/>
  <c r="D48" i="8"/>
  <c r="G48" i="8"/>
  <c r="D61" i="8"/>
  <c r="I48" i="8"/>
  <c r="G61" i="8"/>
  <c r="C48" i="8"/>
  <c r="H48" i="8"/>
  <c r="I61" i="8"/>
  <c r="G60" i="8"/>
  <c r="I47" i="8"/>
  <c r="E60" i="8"/>
  <c r="D62" i="8"/>
  <c r="E47" i="8"/>
  <c r="I62" i="8"/>
  <c r="D47" i="8"/>
  <c r="C62" i="8"/>
  <c r="I60" i="8"/>
  <c r="H62" i="8"/>
  <c r="G62" i="8"/>
  <c r="D60" i="8"/>
  <c r="C47" i="8"/>
  <c r="E62" i="8"/>
  <c r="H47" i="8"/>
  <c r="F62" i="8"/>
  <c r="F47" i="8"/>
  <c r="H60" i="8"/>
  <c r="F60" i="8"/>
  <c r="G47" i="8"/>
  <c r="C60" i="8"/>
  <c r="B61" i="7" l="1"/>
  <c r="B60" i="7"/>
  <c r="B48" i="7"/>
  <c r="B47" i="7"/>
  <c r="A47" i="7"/>
  <c r="I29" i="7"/>
  <c r="I12" i="7"/>
  <c r="A61" i="7"/>
  <c r="A48" i="7"/>
  <c r="A57" i="7"/>
  <c r="A62" i="7"/>
  <c r="B57" i="7"/>
  <c r="B62" i="7"/>
  <c r="A10" i="125"/>
  <c r="C57" i="7"/>
  <c r="E61" i="7"/>
  <c r="C61" i="7"/>
  <c r="C48" i="7"/>
  <c r="E48" i="7"/>
  <c r="E47" i="7"/>
  <c r="E60" i="7"/>
  <c r="C47" i="7"/>
  <c r="C62" i="7"/>
  <c r="C60" i="7"/>
  <c r="D21" i="125"/>
  <c r="E60" i="125"/>
  <c r="E50" i="125"/>
  <c r="C13" i="125"/>
  <c r="C70" i="125"/>
  <c r="C57" i="125"/>
  <c r="D68" i="125"/>
  <c r="D45" i="125"/>
  <c r="F52" i="125"/>
  <c r="E65" i="125"/>
  <c r="F53" i="125"/>
  <c r="E37" i="125"/>
  <c r="E23" i="125"/>
  <c r="D15" i="125"/>
  <c r="C43" i="125"/>
  <c r="E33" i="125"/>
  <c r="D35" i="125"/>
  <c r="F25" i="125"/>
  <c r="E57" i="125"/>
  <c r="C14" i="125"/>
  <c r="E20" i="125"/>
  <c r="E39" i="125"/>
  <c r="E32" i="125"/>
  <c r="D65" i="125"/>
  <c r="F30" i="125"/>
  <c r="E54" i="125"/>
  <c r="D31" i="125"/>
  <c r="C18" i="125"/>
  <c r="F41" i="125"/>
  <c r="C19" i="125"/>
  <c r="C53" i="125"/>
  <c r="D13" i="125"/>
  <c r="C45" i="125"/>
  <c r="F42" i="125"/>
  <c r="D25" i="125"/>
  <c r="C24" i="125"/>
  <c r="E25" i="125"/>
  <c r="C38" i="125"/>
  <c r="D56" i="125"/>
  <c r="F26" i="125"/>
  <c r="D59" i="125"/>
  <c r="C30" i="125"/>
  <c r="E21" i="125"/>
  <c r="C41" i="125"/>
  <c r="F13" i="125"/>
  <c r="C50" i="125"/>
  <c r="C25" i="125"/>
  <c r="F56" i="125"/>
  <c r="F55" i="125"/>
  <c r="E42" i="125"/>
  <c r="E44" i="125"/>
  <c r="E53" i="125"/>
  <c r="D42" i="125"/>
  <c r="E18" i="125"/>
  <c r="D53" i="125"/>
  <c r="D22" i="125"/>
  <c r="F71" i="125"/>
  <c r="D70" i="125"/>
  <c r="F57" i="125"/>
  <c r="E36" i="125"/>
  <c r="D73" i="125"/>
  <c r="D54" i="125"/>
  <c r="F27" i="125"/>
  <c r="F29" i="125"/>
  <c r="E43" i="125"/>
  <c r="F37" i="125"/>
  <c r="D36" i="125"/>
  <c r="D44" i="125"/>
  <c r="E71" i="125"/>
  <c r="E56" i="125"/>
  <c r="C15" i="125"/>
  <c r="F60" i="125"/>
  <c r="E70" i="125"/>
  <c r="F15" i="125"/>
  <c r="C42" i="125"/>
  <c r="C36" i="125"/>
  <c r="D51" i="125"/>
  <c r="E22" i="125"/>
  <c r="E40" i="125"/>
  <c r="D32" i="125"/>
  <c r="C31" i="125"/>
  <c r="D30" i="125"/>
  <c r="E19" i="125"/>
  <c r="D40" i="125"/>
  <c r="F23" i="125"/>
  <c r="E24" i="125"/>
  <c r="C40" i="125"/>
  <c r="F68" i="125"/>
  <c r="C59" i="125"/>
  <c r="F38" i="125"/>
  <c r="E73" i="125"/>
  <c r="F44" i="125"/>
  <c r="D19" i="125"/>
  <c r="E35" i="125"/>
  <c r="E68" i="125"/>
  <c r="E41" i="125"/>
  <c r="D57" i="125"/>
  <c r="F33" i="125"/>
  <c r="C73" i="125"/>
  <c r="D29" i="125"/>
  <c r="E26" i="125"/>
  <c r="C29" i="125"/>
  <c r="F35" i="125"/>
  <c r="F24" i="125"/>
  <c r="F73" i="125"/>
  <c r="D41" i="125"/>
  <c r="D52" i="125"/>
  <c r="F21" i="125"/>
  <c r="C35" i="125"/>
  <c r="F43" i="125"/>
  <c r="F40" i="125"/>
  <c r="D38" i="125"/>
  <c r="E55" i="125"/>
  <c r="D64" i="125"/>
  <c r="E16" i="125"/>
  <c r="F64" i="125"/>
  <c r="F69" i="125"/>
  <c r="D14" i="125"/>
  <c r="C22" i="125"/>
  <c r="C44" i="125"/>
  <c r="F39" i="125"/>
  <c r="F50" i="125"/>
  <c r="E15" i="125"/>
  <c r="C65" i="125"/>
  <c r="E51" i="125"/>
  <c r="C64" i="125"/>
  <c r="C34" i="125"/>
  <c r="E52" i="125"/>
  <c r="F34" i="125"/>
  <c r="F54" i="125"/>
  <c r="F20" i="125"/>
  <c r="C27" i="125"/>
  <c r="C71" i="125"/>
  <c r="F18" i="125"/>
  <c r="D20" i="125"/>
  <c r="E14" i="125"/>
  <c r="F45" i="125"/>
  <c r="D26" i="125"/>
  <c r="D69" i="125"/>
  <c r="C55" i="125"/>
  <c r="C20" i="125"/>
  <c r="C51" i="125"/>
  <c r="D27" i="125"/>
  <c r="D34" i="125"/>
  <c r="D39" i="125"/>
  <c r="E31" i="125"/>
  <c r="C21" i="125"/>
  <c r="C68" i="125"/>
  <c r="C23" i="125"/>
  <c r="F14" i="125"/>
  <c r="E29" i="125"/>
  <c r="C26" i="125"/>
  <c r="D37" i="125"/>
  <c r="D18" i="125"/>
  <c r="E34" i="125"/>
  <c r="F51" i="125"/>
  <c r="C33" i="125"/>
  <c r="C52" i="125"/>
  <c r="F31" i="125"/>
  <c r="F19" i="125"/>
  <c r="D50" i="125"/>
  <c r="C56" i="125"/>
  <c r="D55" i="125"/>
  <c r="F65" i="125"/>
  <c r="D60" i="125"/>
  <c r="D16" i="125"/>
  <c r="F36" i="125"/>
  <c r="E45" i="125"/>
  <c r="C37" i="125"/>
  <c r="E69" i="125"/>
  <c r="E38" i="125"/>
  <c r="D24" i="125"/>
  <c r="D23" i="125"/>
  <c r="E27" i="125"/>
  <c r="C54" i="125"/>
  <c r="F22" i="125"/>
  <c r="E64" i="125"/>
  <c r="E13" i="125"/>
  <c r="C60" i="125"/>
  <c r="C16" i="125"/>
  <c r="F70" i="125"/>
  <c r="F16" i="125"/>
  <c r="E59" i="125"/>
  <c r="F32" i="125"/>
  <c r="F59" i="125"/>
  <c r="D71" i="125"/>
  <c r="E30" i="125"/>
  <c r="C69" i="125"/>
  <c r="D33" i="125"/>
  <c r="D43" i="125"/>
  <c r="B62" i="125" l="1"/>
  <c r="B61" i="125"/>
  <c r="B48" i="125"/>
  <c r="B49" i="125"/>
  <c r="D10" i="125"/>
  <c r="A48" i="125"/>
  <c r="A49" i="125"/>
  <c r="G45" i="125"/>
  <c r="I47" i="7"/>
  <c r="G68" i="125"/>
  <c r="G69" i="125"/>
  <c r="G70" i="125"/>
  <c r="G50" i="125"/>
  <c r="G51" i="125"/>
  <c r="G55" i="125"/>
  <c r="G59" i="125"/>
  <c r="G52" i="125"/>
  <c r="G53" i="125"/>
  <c r="G54" i="125"/>
  <c r="G56" i="125"/>
  <c r="G57" i="125"/>
  <c r="G60" i="125"/>
  <c r="G64" i="125"/>
  <c r="G65" i="125"/>
  <c r="A62" i="125"/>
  <c r="A61" i="125"/>
  <c r="A63" i="125"/>
  <c r="A10" i="101"/>
  <c r="C62" i="125"/>
  <c r="C49" i="125"/>
  <c r="F62" i="125"/>
  <c r="F49" i="125"/>
  <c r="E62" i="125"/>
  <c r="D62" i="125"/>
  <c r="C58" i="125"/>
  <c r="D58" i="125"/>
  <c r="E49" i="125"/>
  <c r="E58" i="125"/>
  <c r="D49" i="125"/>
  <c r="F58" i="125"/>
  <c r="E61" i="125"/>
  <c r="D63" i="125"/>
  <c r="C63" i="125"/>
  <c r="C48" i="125"/>
  <c r="E48" i="125"/>
  <c r="E63" i="125"/>
  <c r="F61" i="125"/>
  <c r="C61" i="125"/>
  <c r="D61" i="125"/>
  <c r="D48" i="125"/>
  <c r="F63" i="125"/>
  <c r="F48" i="125"/>
  <c r="G49" i="125" l="1"/>
  <c r="G48" i="125"/>
  <c r="G63" i="125"/>
  <c r="G61" i="125"/>
  <c r="G62" i="125"/>
  <c r="G58" i="125"/>
  <c r="I36" i="114"/>
  <c r="I37" i="114"/>
  <c r="I35" i="114"/>
  <c r="K14" i="114"/>
  <c r="M24" i="114"/>
  <c r="M25" i="114"/>
  <c r="M26" i="114"/>
  <c r="F15" i="124" l="1"/>
  <c r="F257" i="224"/>
  <c r="F256" i="224"/>
  <c r="F255" i="224"/>
  <c r="F254" i="224"/>
  <c r="F253" i="224"/>
  <c r="F252" i="224"/>
  <c r="F251" i="224"/>
  <c r="F250" i="224"/>
  <c r="F249" i="224"/>
  <c r="F248" i="224"/>
  <c r="F247" i="224"/>
  <c r="F246" i="224"/>
  <c r="F245" i="224"/>
  <c r="F244" i="224"/>
  <c r="F243" i="224"/>
  <c r="F242" i="224"/>
  <c r="F241" i="224"/>
  <c r="F240" i="224"/>
  <c r="F239" i="224"/>
  <c r="F238" i="224"/>
  <c r="F237" i="224"/>
  <c r="F236" i="224"/>
  <c r="F235" i="224"/>
  <c r="F234" i="224"/>
  <c r="F233" i="224"/>
  <c r="F232" i="224"/>
  <c r="F231" i="224"/>
  <c r="F230" i="224"/>
  <c r="F229" i="224"/>
  <c r="F228" i="224"/>
  <c r="F227" i="224"/>
  <c r="F226" i="224"/>
  <c r="A39" i="22"/>
  <c r="B39" i="22"/>
  <c r="C39" i="22"/>
  <c r="D39" i="22"/>
  <c r="E39" i="22"/>
  <c r="F39" i="22" l="1"/>
  <c r="H253" i="221"/>
  <c r="H245" i="221"/>
  <c r="H237" i="221"/>
  <c r="H229" i="221"/>
  <c r="H221" i="221"/>
  <c r="H213" i="221"/>
  <c r="H205" i="221"/>
  <c r="H197" i="221"/>
  <c r="H189" i="221"/>
  <c r="H181" i="221"/>
  <c r="H173" i="221"/>
  <c r="H165" i="221"/>
  <c r="H157" i="221"/>
  <c r="H149" i="221"/>
  <c r="H141" i="221"/>
  <c r="H133" i="221"/>
  <c r="H125" i="221"/>
  <c r="H117" i="221"/>
  <c r="H109" i="221"/>
  <c r="H101" i="221"/>
  <c r="H93" i="221"/>
  <c r="H85" i="221"/>
  <c r="H77" i="221"/>
  <c r="H69" i="221"/>
  <c r="H61" i="221"/>
  <c r="H53" i="221"/>
  <c r="H45" i="221"/>
  <c r="H37" i="221"/>
  <c r="H29" i="221"/>
  <c r="H21" i="221"/>
  <c r="H13" i="221"/>
  <c r="H5" i="221"/>
  <c r="C13" i="101" l="1"/>
  <c r="D13" i="101"/>
  <c r="E13" i="101"/>
  <c r="C14" i="101"/>
  <c r="D14" i="101"/>
  <c r="E14" i="101"/>
  <c r="C15" i="101"/>
  <c r="D15" i="101"/>
  <c r="E15" i="101"/>
  <c r="C16" i="101"/>
  <c r="D16" i="101"/>
  <c r="E16" i="101"/>
  <c r="C17" i="101"/>
  <c r="D17" i="101"/>
  <c r="E17" i="101"/>
  <c r="C18" i="101"/>
  <c r="D18" i="101"/>
  <c r="E18" i="101"/>
  <c r="C19" i="101"/>
  <c r="D19" i="101"/>
  <c r="E19" i="101"/>
  <c r="C20" i="101"/>
  <c r="D20" i="101"/>
  <c r="E20" i="101"/>
  <c r="C21" i="101"/>
  <c r="D21" i="101"/>
  <c r="E21" i="101"/>
  <c r="C22" i="101"/>
  <c r="D22" i="101"/>
  <c r="E22" i="101"/>
  <c r="C23" i="101"/>
  <c r="D23" i="101"/>
  <c r="E23" i="101"/>
  <c r="C24" i="101"/>
  <c r="D24" i="101"/>
  <c r="E24" i="101"/>
  <c r="C25" i="101"/>
  <c r="D25" i="101"/>
  <c r="E25" i="101"/>
  <c r="C26" i="101"/>
  <c r="D26" i="101"/>
  <c r="E26" i="101"/>
  <c r="C27" i="101"/>
  <c r="D27" i="101"/>
  <c r="E27" i="101"/>
  <c r="C28" i="101"/>
  <c r="D28" i="101"/>
  <c r="E28" i="101"/>
  <c r="C29" i="101"/>
  <c r="D29" i="101"/>
  <c r="E29" i="101"/>
  <c r="C30" i="101"/>
  <c r="D30" i="101"/>
  <c r="E30" i="101"/>
  <c r="C31" i="101"/>
  <c r="D31" i="101"/>
  <c r="E31" i="101"/>
  <c r="C32" i="101"/>
  <c r="D32" i="101"/>
  <c r="E32" i="101"/>
  <c r="C33" i="101"/>
  <c r="D33" i="101"/>
  <c r="E33" i="101"/>
  <c r="C34" i="101"/>
  <c r="D34" i="101"/>
  <c r="E34" i="101"/>
  <c r="C35" i="101"/>
  <c r="D35" i="101"/>
  <c r="E35" i="101"/>
  <c r="C36" i="101"/>
  <c r="D36" i="101"/>
  <c r="E36" i="101"/>
  <c r="C37" i="101"/>
  <c r="D37" i="101"/>
  <c r="E37" i="101"/>
  <c r="C38" i="101"/>
  <c r="D38" i="101"/>
  <c r="E38" i="101"/>
  <c r="C39" i="101"/>
  <c r="D39" i="101"/>
  <c r="E39" i="101"/>
  <c r="C40" i="101"/>
  <c r="D40" i="101"/>
  <c r="E40" i="101"/>
  <c r="C41" i="101"/>
  <c r="D41" i="101"/>
  <c r="E41" i="101"/>
  <c r="C42" i="101"/>
  <c r="D42" i="101"/>
  <c r="E42" i="101"/>
  <c r="C43" i="101"/>
  <c r="D43" i="101"/>
  <c r="E43" i="101"/>
  <c r="D12" i="101"/>
  <c r="E12" i="101"/>
  <c r="C12" i="101"/>
  <c r="F33" i="224"/>
  <c r="F32" i="224"/>
  <c r="F31" i="224"/>
  <c r="F30" i="224"/>
  <c r="F29" i="224"/>
  <c r="F28" i="224"/>
  <c r="F27" i="224"/>
  <c r="F26" i="224"/>
  <c r="F25" i="224"/>
  <c r="F24" i="224"/>
  <c r="F23" i="224"/>
  <c r="F22" i="224"/>
  <c r="F21" i="224"/>
  <c r="F20" i="224"/>
  <c r="F19" i="224"/>
  <c r="F18" i="224"/>
  <c r="F17" i="224"/>
  <c r="F16" i="224"/>
  <c r="F15" i="224"/>
  <c r="F14" i="224"/>
  <c r="F13" i="224"/>
  <c r="F12" i="224"/>
  <c r="F11" i="224"/>
  <c r="F10" i="224"/>
  <c r="F9" i="224"/>
  <c r="F8" i="224"/>
  <c r="F7" i="224"/>
  <c r="F6" i="224"/>
  <c r="F5" i="224"/>
  <c r="F4" i="224"/>
  <c r="F3" i="224"/>
  <c r="F2" i="224"/>
  <c r="F65" i="224"/>
  <c r="F64" i="224"/>
  <c r="F63" i="224"/>
  <c r="F62" i="224"/>
  <c r="F61" i="224"/>
  <c r="F60" i="224"/>
  <c r="F59" i="224"/>
  <c r="F58" i="224"/>
  <c r="F57" i="224"/>
  <c r="F56" i="224"/>
  <c r="F55" i="224"/>
  <c r="F54" i="224"/>
  <c r="F53" i="224"/>
  <c r="F52" i="224"/>
  <c r="F51" i="224"/>
  <c r="F50" i="224"/>
  <c r="F49" i="224"/>
  <c r="F48" i="224"/>
  <c r="F47" i="224"/>
  <c r="F46" i="224"/>
  <c r="F45" i="224"/>
  <c r="F44" i="224"/>
  <c r="F43" i="224"/>
  <c r="F42" i="224"/>
  <c r="F41" i="224"/>
  <c r="F40" i="224"/>
  <c r="F39" i="224"/>
  <c r="F38" i="224"/>
  <c r="F37" i="224"/>
  <c r="F36" i="224"/>
  <c r="F35" i="224"/>
  <c r="F34" i="224"/>
  <c r="F97" i="224"/>
  <c r="F96" i="224"/>
  <c r="F95" i="224"/>
  <c r="F94" i="224"/>
  <c r="F93" i="224"/>
  <c r="F92" i="224"/>
  <c r="F91" i="224"/>
  <c r="F90" i="224"/>
  <c r="F89" i="224"/>
  <c r="F88" i="224"/>
  <c r="F87" i="224"/>
  <c r="F86" i="224"/>
  <c r="F85" i="224"/>
  <c r="F84" i="224"/>
  <c r="F83" i="224"/>
  <c r="F82" i="224"/>
  <c r="F81" i="224"/>
  <c r="F80" i="224"/>
  <c r="F79" i="224"/>
  <c r="F78" i="224"/>
  <c r="F77" i="224"/>
  <c r="F76" i="224"/>
  <c r="F75" i="224"/>
  <c r="F74" i="224"/>
  <c r="F73" i="224"/>
  <c r="F72" i="224"/>
  <c r="F71" i="224"/>
  <c r="F70" i="224"/>
  <c r="F69" i="224"/>
  <c r="F68" i="224"/>
  <c r="F67" i="224"/>
  <c r="F66" i="224"/>
  <c r="F129" i="224"/>
  <c r="F128" i="224"/>
  <c r="F127" i="224"/>
  <c r="F126" i="224"/>
  <c r="F125" i="224"/>
  <c r="F124" i="224"/>
  <c r="F123" i="224"/>
  <c r="F122" i="224"/>
  <c r="F121" i="224"/>
  <c r="F120" i="224"/>
  <c r="F119" i="224"/>
  <c r="F118" i="224"/>
  <c r="F117" i="224"/>
  <c r="F116" i="224"/>
  <c r="F115" i="224"/>
  <c r="F114" i="224"/>
  <c r="F113" i="224"/>
  <c r="F112" i="224"/>
  <c r="F111" i="224"/>
  <c r="F110" i="224"/>
  <c r="F109" i="224"/>
  <c r="F108" i="224"/>
  <c r="F107" i="224"/>
  <c r="F106" i="224"/>
  <c r="F105" i="224"/>
  <c r="F104" i="224"/>
  <c r="F103" i="224"/>
  <c r="F102" i="224"/>
  <c r="F101" i="224"/>
  <c r="F100" i="224"/>
  <c r="F99" i="224"/>
  <c r="F98" i="224"/>
  <c r="F225" i="224"/>
  <c r="F224" i="224"/>
  <c r="F223" i="224"/>
  <c r="F222" i="224"/>
  <c r="F221" i="224"/>
  <c r="F220" i="224"/>
  <c r="F219" i="224"/>
  <c r="F218" i="224"/>
  <c r="F217" i="224"/>
  <c r="F216" i="224"/>
  <c r="F215" i="224"/>
  <c r="F214" i="224"/>
  <c r="F213" i="224"/>
  <c r="F212" i="224"/>
  <c r="F211" i="224"/>
  <c r="F210" i="224"/>
  <c r="F209" i="224"/>
  <c r="F208" i="224"/>
  <c r="F207" i="224"/>
  <c r="F206" i="224"/>
  <c r="F205" i="224"/>
  <c r="F204" i="224"/>
  <c r="F203" i="224"/>
  <c r="F202" i="224"/>
  <c r="F201" i="224"/>
  <c r="F200" i="224"/>
  <c r="F199" i="224"/>
  <c r="F198" i="224"/>
  <c r="F197" i="224"/>
  <c r="F196" i="224"/>
  <c r="F195" i="224"/>
  <c r="F194" i="224"/>
  <c r="F193" i="224"/>
  <c r="F192" i="224"/>
  <c r="F191" i="224"/>
  <c r="F190" i="224"/>
  <c r="F189" i="224"/>
  <c r="F188" i="224"/>
  <c r="F187" i="224"/>
  <c r="F186" i="224"/>
  <c r="F185" i="224"/>
  <c r="F184" i="224"/>
  <c r="F183" i="224"/>
  <c r="F182" i="224"/>
  <c r="F181" i="224"/>
  <c r="F180" i="224"/>
  <c r="F179" i="224"/>
  <c r="F178" i="224"/>
  <c r="F177" i="224"/>
  <c r="F176" i="224"/>
  <c r="F175" i="224"/>
  <c r="F174" i="224"/>
  <c r="F173" i="224"/>
  <c r="F172" i="224"/>
  <c r="F171" i="224"/>
  <c r="F170" i="224"/>
  <c r="F169" i="224"/>
  <c r="F168" i="224"/>
  <c r="F167" i="224"/>
  <c r="F166" i="224"/>
  <c r="F165" i="224"/>
  <c r="F164" i="224"/>
  <c r="F163" i="224"/>
  <c r="F162" i="224"/>
  <c r="F131" i="224"/>
  <c r="F132" i="224"/>
  <c r="F133" i="224"/>
  <c r="F134" i="224"/>
  <c r="F135" i="224"/>
  <c r="F136" i="224"/>
  <c r="F137" i="224"/>
  <c r="F138" i="224"/>
  <c r="F139" i="224"/>
  <c r="F140" i="224"/>
  <c r="F141" i="224"/>
  <c r="F142" i="224"/>
  <c r="F143" i="224"/>
  <c r="F144" i="224"/>
  <c r="F145" i="224"/>
  <c r="F146" i="224"/>
  <c r="F147" i="224"/>
  <c r="F148" i="224"/>
  <c r="F149" i="224"/>
  <c r="F150" i="224"/>
  <c r="F151" i="224"/>
  <c r="F152" i="224"/>
  <c r="F153" i="224"/>
  <c r="F154" i="224"/>
  <c r="F155" i="224"/>
  <c r="F156" i="224"/>
  <c r="F157" i="224"/>
  <c r="F158" i="224"/>
  <c r="F159" i="224"/>
  <c r="F160" i="224"/>
  <c r="F161" i="224"/>
  <c r="F130" i="224"/>
  <c r="C13" i="23"/>
  <c r="D13" i="23"/>
  <c r="E13" i="23"/>
  <c r="F13" i="23"/>
  <c r="G13" i="23"/>
  <c r="C14" i="23"/>
  <c r="D14" i="23"/>
  <c r="E14" i="23"/>
  <c r="F14" i="23"/>
  <c r="G14" i="23"/>
  <c r="C15" i="23"/>
  <c r="D15" i="23"/>
  <c r="E15" i="23"/>
  <c r="F15" i="23"/>
  <c r="G15" i="23"/>
  <c r="C16" i="23"/>
  <c r="D16" i="23"/>
  <c r="E16" i="23"/>
  <c r="F16" i="23"/>
  <c r="G16" i="23"/>
  <c r="C17" i="23"/>
  <c r="D17" i="23"/>
  <c r="E17" i="23"/>
  <c r="F17" i="23"/>
  <c r="G17" i="23"/>
  <c r="C18" i="23"/>
  <c r="D18" i="23"/>
  <c r="E18" i="23"/>
  <c r="F18" i="23"/>
  <c r="G18" i="23"/>
  <c r="C19" i="23"/>
  <c r="D19" i="23"/>
  <c r="E19" i="23"/>
  <c r="F19" i="23"/>
  <c r="G19" i="23"/>
  <c r="C20" i="23"/>
  <c r="D20" i="23"/>
  <c r="E20" i="23"/>
  <c r="F20" i="23"/>
  <c r="G20" i="23"/>
  <c r="C21" i="23"/>
  <c r="D21" i="23"/>
  <c r="E21" i="23"/>
  <c r="F21" i="23"/>
  <c r="G21" i="23"/>
  <c r="C22" i="23"/>
  <c r="D22" i="23"/>
  <c r="E22" i="23"/>
  <c r="F22" i="23"/>
  <c r="G22" i="23"/>
  <c r="C23" i="23"/>
  <c r="D23" i="23"/>
  <c r="E23" i="23"/>
  <c r="F23" i="23"/>
  <c r="G23" i="23"/>
  <c r="C24" i="23"/>
  <c r="D24" i="23"/>
  <c r="E24" i="23"/>
  <c r="F24" i="23"/>
  <c r="G24" i="23"/>
  <c r="C25" i="23"/>
  <c r="D25" i="23"/>
  <c r="E25" i="23"/>
  <c r="F25" i="23"/>
  <c r="G25" i="23"/>
  <c r="C26" i="23"/>
  <c r="D26" i="23"/>
  <c r="E26" i="23"/>
  <c r="F26" i="23"/>
  <c r="G26" i="23"/>
  <c r="C27" i="23"/>
  <c r="D27" i="23"/>
  <c r="E27" i="23"/>
  <c r="F27" i="23"/>
  <c r="G27" i="23"/>
  <c r="C28" i="23"/>
  <c r="D28" i="23"/>
  <c r="E28" i="23"/>
  <c r="F28" i="23"/>
  <c r="G28" i="23"/>
  <c r="C29" i="23"/>
  <c r="D29" i="23"/>
  <c r="E29" i="23"/>
  <c r="F29" i="23"/>
  <c r="G29" i="23"/>
  <c r="C30" i="23"/>
  <c r="D30" i="23"/>
  <c r="E30" i="23"/>
  <c r="F30" i="23"/>
  <c r="G30" i="23"/>
  <c r="C31" i="23"/>
  <c r="D31" i="23"/>
  <c r="E31" i="23"/>
  <c r="F31" i="23"/>
  <c r="G31" i="23"/>
  <c r="C32" i="23"/>
  <c r="D32" i="23"/>
  <c r="E32" i="23"/>
  <c r="F32" i="23"/>
  <c r="G32" i="23"/>
  <c r="C33" i="23"/>
  <c r="D33" i="23"/>
  <c r="E33" i="23"/>
  <c r="F33" i="23"/>
  <c r="G33" i="23"/>
  <c r="C34" i="23"/>
  <c r="D34" i="23"/>
  <c r="E34" i="23"/>
  <c r="F34" i="23"/>
  <c r="G34" i="23"/>
  <c r="C35" i="23"/>
  <c r="D35" i="23"/>
  <c r="E35" i="23"/>
  <c r="F35" i="23"/>
  <c r="G35" i="23"/>
  <c r="C36" i="23"/>
  <c r="D36" i="23"/>
  <c r="E36" i="23"/>
  <c r="F36" i="23"/>
  <c r="G36" i="23"/>
  <c r="C37" i="23"/>
  <c r="D37" i="23"/>
  <c r="E37" i="23"/>
  <c r="F37" i="23"/>
  <c r="G37" i="23"/>
  <c r="C38" i="23"/>
  <c r="D38" i="23"/>
  <c r="E38" i="23"/>
  <c r="F38" i="23"/>
  <c r="G38" i="23"/>
  <c r="C39" i="23"/>
  <c r="D39" i="23"/>
  <c r="E39" i="23"/>
  <c r="F39" i="23"/>
  <c r="G39" i="23"/>
  <c r="C40" i="23"/>
  <c r="D40" i="23"/>
  <c r="E40" i="23"/>
  <c r="F40" i="23"/>
  <c r="G40" i="23"/>
  <c r="C41" i="23"/>
  <c r="D41" i="23"/>
  <c r="E41" i="23"/>
  <c r="F41" i="23"/>
  <c r="G41" i="23"/>
  <c r="C42" i="23"/>
  <c r="D42" i="23"/>
  <c r="E42" i="23"/>
  <c r="F42" i="23"/>
  <c r="G42" i="23"/>
  <c r="C43" i="23"/>
  <c r="D43" i="23"/>
  <c r="E43" i="23"/>
  <c r="F43" i="23"/>
  <c r="G43" i="23"/>
  <c r="D12" i="23"/>
  <c r="E12" i="23"/>
  <c r="F12" i="23"/>
  <c r="G12" i="23"/>
  <c r="C12" i="23"/>
  <c r="H10" i="221"/>
  <c r="H18" i="221"/>
  <c r="H26" i="221"/>
  <c r="H34" i="221"/>
  <c r="H42" i="221"/>
  <c r="H50" i="221"/>
  <c r="H58" i="221"/>
  <c r="H66" i="221"/>
  <c r="H74" i="221"/>
  <c r="H82" i="221"/>
  <c r="H90" i="221"/>
  <c r="H98" i="221"/>
  <c r="H106" i="221"/>
  <c r="H114" i="221"/>
  <c r="H122" i="221"/>
  <c r="H130" i="221"/>
  <c r="H138" i="221"/>
  <c r="H146" i="221"/>
  <c r="H154" i="221"/>
  <c r="H162" i="221"/>
  <c r="H170" i="221"/>
  <c r="H178" i="221"/>
  <c r="H186" i="221"/>
  <c r="H194" i="221"/>
  <c r="H202" i="221"/>
  <c r="H210" i="221"/>
  <c r="H218" i="221"/>
  <c r="H226" i="221"/>
  <c r="H234" i="221"/>
  <c r="H242" i="221"/>
  <c r="H250" i="221"/>
  <c r="H3" i="221"/>
  <c r="H11" i="221"/>
  <c r="H19" i="221"/>
  <c r="H27" i="221"/>
  <c r="H35" i="221"/>
  <c r="H43" i="221"/>
  <c r="H51" i="221"/>
  <c r="H59" i="221"/>
  <c r="H67" i="221"/>
  <c r="H75" i="221"/>
  <c r="H83" i="221"/>
  <c r="H91" i="221"/>
  <c r="H99" i="221"/>
  <c r="H107" i="221"/>
  <c r="H115" i="221"/>
  <c r="H123" i="221"/>
  <c r="H131" i="221"/>
  <c r="H139" i="221"/>
  <c r="H147" i="221"/>
  <c r="H155" i="221"/>
  <c r="H163" i="221"/>
  <c r="H171" i="221"/>
  <c r="H179" i="221"/>
  <c r="H187" i="221"/>
  <c r="H195" i="221"/>
  <c r="H203" i="221"/>
  <c r="H211" i="221"/>
  <c r="H219" i="221"/>
  <c r="H227" i="221"/>
  <c r="H235" i="221"/>
  <c r="H243" i="221"/>
  <c r="H251" i="221"/>
  <c r="H4" i="221"/>
  <c r="H12" i="221"/>
  <c r="H20" i="221"/>
  <c r="H28" i="221"/>
  <c r="H36" i="221"/>
  <c r="H44" i="221"/>
  <c r="H52" i="221"/>
  <c r="H60" i="221"/>
  <c r="H68" i="221"/>
  <c r="H76" i="221"/>
  <c r="H84" i="221"/>
  <c r="H92" i="221"/>
  <c r="H100" i="221"/>
  <c r="H108" i="221"/>
  <c r="H116" i="221"/>
  <c r="H124" i="221"/>
  <c r="H132" i="221"/>
  <c r="H140" i="221"/>
  <c r="H148" i="221"/>
  <c r="H156" i="221"/>
  <c r="H164" i="221"/>
  <c r="H172" i="221"/>
  <c r="H180" i="221"/>
  <c r="H188" i="221"/>
  <c r="H196" i="221"/>
  <c r="H204" i="221"/>
  <c r="H212" i="221"/>
  <c r="H220" i="221"/>
  <c r="H228" i="221"/>
  <c r="H236" i="221"/>
  <c r="H244" i="221"/>
  <c r="H252" i="221"/>
  <c r="H2" i="221"/>
  <c r="C12" i="17"/>
  <c r="B12" i="17"/>
  <c r="D12" i="17" l="1"/>
  <c r="B15" i="17"/>
  <c r="B11" i="17"/>
  <c r="C10" i="17"/>
  <c r="C14" i="17"/>
  <c r="B13" i="17"/>
  <c r="B14" i="17"/>
  <c r="C11" i="17"/>
  <c r="B10" i="17"/>
  <c r="C13" i="17"/>
  <c r="C15" i="17"/>
  <c r="I10" i="25" l="1"/>
  <c r="I11" i="25"/>
  <c r="I12" i="25"/>
  <c r="I13" i="25"/>
  <c r="I14" i="25"/>
  <c r="I15" i="25"/>
  <c r="I16" i="25"/>
  <c r="I17" i="25"/>
  <c r="I18" i="25"/>
  <c r="I19" i="25"/>
  <c r="I20" i="25"/>
  <c r="I21" i="25"/>
  <c r="I22" i="25"/>
  <c r="I23" i="25"/>
  <c r="I24" i="25"/>
  <c r="I25" i="25"/>
  <c r="I26" i="25"/>
  <c r="I27" i="25"/>
  <c r="I28" i="25"/>
  <c r="I29" i="25"/>
  <c r="I30" i="25"/>
  <c r="I31" i="25"/>
  <c r="I32" i="25"/>
  <c r="I33" i="25"/>
  <c r="I34" i="25"/>
  <c r="I35" i="25"/>
  <c r="I36" i="25"/>
  <c r="I37" i="25"/>
  <c r="I38" i="25"/>
  <c r="I39" i="25"/>
  <c r="I40" i="25"/>
  <c r="I41" i="25"/>
  <c r="C11" i="25"/>
  <c r="D11" i="25"/>
  <c r="E11" i="25"/>
  <c r="F11" i="25"/>
  <c r="G11" i="25"/>
  <c r="H11" i="25"/>
  <c r="C12" i="25"/>
  <c r="D12" i="25"/>
  <c r="E12" i="25"/>
  <c r="F12" i="25"/>
  <c r="G12" i="25"/>
  <c r="H12" i="25"/>
  <c r="C13" i="25"/>
  <c r="D13" i="25"/>
  <c r="E13" i="25"/>
  <c r="F13" i="25"/>
  <c r="G13" i="25"/>
  <c r="H13" i="25"/>
  <c r="C14" i="25"/>
  <c r="D14" i="25"/>
  <c r="E14" i="25"/>
  <c r="F14" i="25"/>
  <c r="G14" i="25"/>
  <c r="H14" i="25"/>
  <c r="C15" i="25"/>
  <c r="D15" i="25"/>
  <c r="E15" i="25"/>
  <c r="F15" i="25"/>
  <c r="G15" i="25"/>
  <c r="H15" i="25"/>
  <c r="C16" i="25"/>
  <c r="D16" i="25"/>
  <c r="E16" i="25"/>
  <c r="F16" i="25"/>
  <c r="G16" i="25"/>
  <c r="H16" i="25"/>
  <c r="C17" i="25"/>
  <c r="D17" i="25"/>
  <c r="E17" i="25"/>
  <c r="F17" i="25"/>
  <c r="G17" i="25"/>
  <c r="H17" i="25"/>
  <c r="C18" i="25"/>
  <c r="D18" i="25"/>
  <c r="E18" i="25"/>
  <c r="F18" i="25"/>
  <c r="G18" i="25"/>
  <c r="H18" i="25"/>
  <c r="C19" i="25"/>
  <c r="D19" i="25"/>
  <c r="E19" i="25"/>
  <c r="F19" i="25"/>
  <c r="G19" i="25"/>
  <c r="H19" i="25"/>
  <c r="C20" i="25"/>
  <c r="D20" i="25"/>
  <c r="E20" i="25"/>
  <c r="F20" i="25"/>
  <c r="G20" i="25"/>
  <c r="H20" i="25"/>
  <c r="C21" i="25"/>
  <c r="D21" i="25"/>
  <c r="E21" i="25"/>
  <c r="F21" i="25"/>
  <c r="G21" i="25"/>
  <c r="H21" i="25"/>
  <c r="C22" i="25"/>
  <c r="D22" i="25"/>
  <c r="E22" i="25"/>
  <c r="F22" i="25"/>
  <c r="G22" i="25"/>
  <c r="H22" i="25"/>
  <c r="C23" i="25"/>
  <c r="D23" i="25"/>
  <c r="E23" i="25"/>
  <c r="F23" i="25"/>
  <c r="G23" i="25"/>
  <c r="H23" i="25"/>
  <c r="C24" i="25"/>
  <c r="D24" i="25"/>
  <c r="E24" i="25"/>
  <c r="F24" i="25"/>
  <c r="G24" i="25"/>
  <c r="H24" i="25"/>
  <c r="C25" i="25"/>
  <c r="D25" i="25"/>
  <c r="E25" i="25"/>
  <c r="F25" i="25"/>
  <c r="G25" i="25"/>
  <c r="H25" i="25"/>
  <c r="C26" i="25"/>
  <c r="D26" i="25"/>
  <c r="E26" i="25"/>
  <c r="F26" i="25"/>
  <c r="G26" i="25"/>
  <c r="H26" i="25"/>
  <c r="C27" i="25"/>
  <c r="D27" i="25"/>
  <c r="E27" i="25"/>
  <c r="F27" i="25"/>
  <c r="G27" i="25"/>
  <c r="H27" i="25"/>
  <c r="C28" i="25"/>
  <c r="D28" i="25"/>
  <c r="E28" i="25"/>
  <c r="F28" i="25"/>
  <c r="G28" i="25"/>
  <c r="H28" i="25"/>
  <c r="C29" i="25"/>
  <c r="D29" i="25"/>
  <c r="E29" i="25"/>
  <c r="F29" i="25"/>
  <c r="G29" i="25"/>
  <c r="H29" i="25"/>
  <c r="C30" i="25"/>
  <c r="D30" i="25"/>
  <c r="E30" i="25"/>
  <c r="F30" i="25"/>
  <c r="G30" i="25"/>
  <c r="H30" i="25"/>
  <c r="C31" i="25"/>
  <c r="D31" i="25"/>
  <c r="E31" i="25"/>
  <c r="F31" i="25"/>
  <c r="G31" i="25"/>
  <c r="H31" i="25"/>
  <c r="C32" i="25"/>
  <c r="D32" i="25"/>
  <c r="E32" i="25"/>
  <c r="F32" i="25"/>
  <c r="G32" i="25"/>
  <c r="H32" i="25"/>
  <c r="C33" i="25"/>
  <c r="D33" i="25"/>
  <c r="E33" i="25"/>
  <c r="F33" i="25"/>
  <c r="G33" i="25"/>
  <c r="H33" i="25"/>
  <c r="C34" i="25"/>
  <c r="D34" i="25"/>
  <c r="E34" i="25"/>
  <c r="F34" i="25"/>
  <c r="G34" i="25"/>
  <c r="H34" i="25"/>
  <c r="C35" i="25"/>
  <c r="D35" i="25"/>
  <c r="E35" i="25"/>
  <c r="F35" i="25"/>
  <c r="G35" i="25"/>
  <c r="H35" i="25"/>
  <c r="C36" i="25"/>
  <c r="D36" i="25"/>
  <c r="E36" i="25"/>
  <c r="F36" i="25"/>
  <c r="G36" i="25"/>
  <c r="H36" i="25"/>
  <c r="C37" i="25"/>
  <c r="D37" i="25"/>
  <c r="E37" i="25"/>
  <c r="F37" i="25"/>
  <c r="G37" i="25"/>
  <c r="H37" i="25"/>
  <c r="C38" i="25"/>
  <c r="D38" i="25"/>
  <c r="E38" i="25"/>
  <c r="F38" i="25"/>
  <c r="G38" i="25"/>
  <c r="H38" i="25"/>
  <c r="C39" i="25"/>
  <c r="D39" i="25"/>
  <c r="E39" i="25"/>
  <c r="F39" i="25"/>
  <c r="G39" i="25"/>
  <c r="H39" i="25"/>
  <c r="C40" i="25"/>
  <c r="D40" i="25"/>
  <c r="E40" i="25"/>
  <c r="F40" i="25"/>
  <c r="G40" i="25"/>
  <c r="H40" i="25"/>
  <c r="C41" i="25"/>
  <c r="D41" i="25"/>
  <c r="E41" i="25"/>
  <c r="F41" i="25"/>
  <c r="G41" i="25"/>
  <c r="H41" i="25"/>
  <c r="D10" i="25"/>
  <c r="E10" i="25"/>
  <c r="F10" i="25"/>
  <c r="G10" i="25"/>
  <c r="H10" i="25"/>
  <c r="C10" i="25"/>
  <c r="D36" i="18"/>
  <c r="D35" i="18"/>
  <c r="D44" i="13"/>
  <c r="E44" i="13"/>
  <c r="C44" i="13"/>
  <c r="D42" i="18" l="1"/>
  <c r="D22" i="18"/>
  <c r="D46" i="18"/>
  <c r="D44" i="18"/>
  <c r="D32" i="18"/>
  <c r="B23" i="18"/>
  <c r="B49" i="18" s="1"/>
  <c r="D43" i="18"/>
  <c r="D11" i="18"/>
  <c r="D14" i="18"/>
  <c r="C23" i="18"/>
  <c r="C49" i="18" s="1"/>
  <c r="D40" i="18"/>
  <c r="D21" i="18"/>
  <c r="D33" i="18"/>
  <c r="D31" i="18"/>
  <c r="D41" i="18"/>
  <c r="D45" i="18"/>
  <c r="D34" i="18"/>
  <c r="D15" i="18"/>
  <c r="D20" i="18"/>
  <c r="D13" i="17"/>
  <c r="D10" i="18"/>
  <c r="D12" i="18"/>
  <c r="D16" i="18"/>
  <c r="D13" i="18"/>
  <c r="F44" i="13"/>
  <c r="F12" i="11"/>
  <c r="D47" i="18" l="1"/>
  <c r="D23" i="18"/>
  <c r="D17" i="18"/>
  <c r="M31" i="15"/>
  <c r="M32" i="15"/>
  <c r="M33" i="15"/>
  <c r="M34" i="15"/>
  <c r="M35" i="15"/>
  <c r="M36" i="15"/>
  <c r="M37" i="15"/>
  <c r="M39" i="15"/>
  <c r="M30" i="15"/>
  <c r="L31" i="15"/>
  <c r="L32" i="15"/>
  <c r="L33" i="15"/>
  <c r="L34" i="15"/>
  <c r="L35" i="15"/>
  <c r="L36" i="15"/>
  <c r="L37" i="15"/>
  <c r="L39" i="15"/>
  <c r="L30" i="15"/>
  <c r="K31" i="15"/>
  <c r="K32" i="15"/>
  <c r="K33" i="15"/>
  <c r="K34" i="15"/>
  <c r="K35" i="15"/>
  <c r="K36" i="15"/>
  <c r="K37" i="15"/>
  <c r="K39" i="15"/>
  <c r="K30" i="15"/>
  <c r="J31" i="15"/>
  <c r="J32" i="15"/>
  <c r="J33" i="15"/>
  <c r="J34" i="15"/>
  <c r="J35" i="15"/>
  <c r="J36" i="15"/>
  <c r="J37" i="15"/>
  <c r="J39" i="15"/>
  <c r="J30" i="15"/>
  <c r="I31" i="15"/>
  <c r="I32" i="15"/>
  <c r="I33" i="15"/>
  <c r="I34" i="15"/>
  <c r="I35" i="15"/>
  <c r="I36" i="15"/>
  <c r="I37" i="15"/>
  <c r="I39" i="15"/>
  <c r="I30" i="15"/>
  <c r="H31" i="15"/>
  <c r="H32" i="15"/>
  <c r="H33" i="15"/>
  <c r="H34" i="15"/>
  <c r="H35" i="15"/>
  <c r="H36" i="15"/>
  <c r="H37" i="15"/>
  <c r="H39" i="15"/>
  <c r="H30" i="15"/>
  <c r="G37" i="15"/>
  <c r="G39" i="15"/>
  <c r="F37" i="15"/>
  <c r="F39" i="15"/>
  <c r="E31" i="15"/>
  <c r="E32" i="15"/>
  <c r="E33" i="15"/>
  <c r="E34" i="15"/>
  <c r="E35" i="15"/>
  <c r="E36" i="15"/>
  <c r="E37" i="15"/>
  <c r="E39" i="15"/>
  <c r="E30" i="15"/>
  <c r="D31" i="15"/>
  <c r="D32" i="15"/>
  <c r="D33" i="15"/>
  <c r="D34" i="15"/>
  <c r="D35" i="15"/>
  <c r="D36" i="15"/>
  <c r="D37" i="15"/>
  <c r="D39" i="15"/>
  <c r="D30" i="15"/>
  <c r="C31" i="15"/>
  <c r="C32" i="15"/>
  <c r="C33" i="15"/>
  <c r="C34" i="15"/>
  <c r="C35" i="15"/>
  <c r="C36" i="15"/>
  <c r="C37" i="15"/>
  <c r="C39" i="15"/>
  <c r="C30" i="15"/>
  <c r="B31" i="15"/>
  <c r="B32" i="15"/>
  <c r="B33" i="15"/>
  <c r="B34" i="15"/>
  <c r="B35" i="15"/>
  <c r="B36" i="15"/>
  <c r="B37" i="15"/>
  <c r="B39" i="15"/>
  <c r="B30" i="15"/>
  <c r="A31" i="15"/>
  <c r="A32" i="15"/>
  <c r="A33" i="15"/>
  <c r="A34" i="15"/>
  <c r="A35" i="15"/>
  <c r="A36" i="15"/>
  <c r="A37" i="15"/>
  <c r="A39" i="15"/>
  <c r="A30" i="15"/>
  <c r="O30" i="15"/>
  <c r="D49" i="18" l="1"/>
  <c r="Q30" i="15"/>
  <c r="F49" i="18"/>
  <c r="E49" i="18"/>
  <c r="N30" i="15"/>
  <c r="C15" i="126"/>
  <c r="D15" i="126"/>
  <c r="E15" i="126"/>
  <c r="F15" i="126"/>
  <c r="G15" i="126"/>
  <c r="H15" i="126"/>
  <c r="B15" i="126"/>
  <c r="C14" i="126"/>
  <c r="D14" i="126"/>
  <c r="E14" i="126"/>
  <c r="F14" i="126"/>
  <c r="G14" i="126"/>
  <c r="H14" i="126"/>
  <c r="B14" i="126"/>
  <c r="C13" i="126"/>
  <c r="D13" i="126"/>
  <c r="E13" i="126"/>
  <c r="F13" i="126"/>
  <c r="G13" i="126"/>
  <c r="H13" i="126"/>
  <c r="B13" i="126"/>
  <c r="P30" i="15" l="1"/>
  <c r="I14" i="126"/>
  <c r="J20" i="8"/>
  <c r="J35" i="8"/>
  <c r="J27" i="8"/>
  <c r="J19" i="8"/>
  <c r="J43" i="8"/>
  <c r="J36" i="8"/>
  <c r="J28" i="8"/>
  <c r="J40" i="8"/>
  <c r="J24" i="8"/>
  <c r="J41" i="8"/>
  <c r="J33" i="8"/>
  <c r="J25" i="8"/>
  <c r="J17" i="8"/>
  <c r="J32" i="8"/>
  <c r="J16" i="8"/>
  <c r="J42" i="8"/>
  <c r="J34" i="8"/>
  <c r="J26" i="8"/>
  <c r="J18" i="8"/>
  <c r="J37" i="8"/>
  <c r="J29" i="8"/>
  <c r="J21" i="8"/>
  <c r="J13" i="8"/>
  <c r="J38" i="8"/>
  <c r="J30" i="8"/>
  <c r="J22" i="8"/>
  <c r="J14" i="8"/>
  <c r="J39" i="8"/>
  <c r="J31" i="8"/>
  <c r="J23" i="8"/>
  <c r="J15" i="8"/>
  <c r="J12" i="8"/>
  <c r="C10" i="3" l="1"/>
  <c r="E10" i="3"/>
  <c r="F10" i="3"/>
  <c r="G10" i="3"/>
  <c r="C11" i="3"/>
  <c r="E11" i="3"/>
  <c r="F11" i="3"/>
  <c r="G11" i="3"/>
  <c r="C12" i="3"/>
  <c r="E12" i="3"/>
  <c r="F12" i="3"/>
  <c r="G12" i="3"/>
  <c r="C13" i="3"/>
  <c r="E13" i="3"/>
  <c r="F13" i="3"/>
  <c r="G13" i="3"/>
  <c r="B11" i="3"/>
  <c r="B12" i="3"/>
  <c r="B13" i="3"/>
  <c r="B10" i="3"/>
  <c r="G73" i="125" l="1"/>
  <c r="I12" i="94"/>
  <c r="I13" i="94" s="1"/>
  <c r="I18" i="94"/>
  <c r="I19" i="94" s="1"/>
  <c r="I16" i="94"/>
  <c r="I17" i="94" s="1"/>
  <c r="I10" i="94"/>
  <c r="B11" i="94" s="1"/>
  <c r="I11" i="94" l="1"/>
  <c r="H22" i="96" l="1"/>
  <c r="H21" i="96"/>
  <c r="H18" i="96"/>
  <c r="H16" i="96"/>
  <c r="H14" i="96"/>
  <c r="H20" i="96"/>
  <c r="H15" i="96"/>
  <c r="H19" i="96"/>
  <c r="H13" i="96"/>
  <c r="H12" i="96"/>
  <c r="H17" i="96"/>
  <c r="C37" i="19" l="1"/>
  <c r="H22" i="19"/>
  <c r="H16" i="19"/>
  <c r="H20" i="19"/>
  <c r="H12" i="19"/>
  <c r="H11" i="19"/>
  <c r="I11" i="19" s="1"/>
  <c r="G39" i="19"/>
  <c r="H21" i="19"/>
  <c r="H17" i="19"/>
  <c r="E37" i="19"/>
  <c r="H19" i="19"/>
  <c r="H18" i="19"/>
  <c r="H15" i="19"/>
  <c r="H14" i="19"/>
  <c r="I19" i="19" l="1"/>
  <c r="I21" i="19"/>
  <c r="I20" i="19"/>
  <c r="I22" i="19"/>
  <c r="N39" i="15"/>
  <c r="N31" i="15"/>
  <c r="O33" i="15"/>
  <c r="N38" i="15"/>
  <c r="O32" i="15"/>
  <c r="O34" i="15"/>
  <c r="O39" i="15"/>
  <c r="N36" i="15"/>
  <c r="O38" i="15"/>
  <c r="N37" i="15"/>
  <c r="O31" i="15"/>
  <c r="N35" i="15"/>
  <c r="O37" i="15"/>
  <c r="N32" i="15"/>
  <c r="N34" i="15"/>
  <c r="O36" i="15"/>
  <c r="N33" i="15"/>
  <c r="O35" i="15"/>
  <c r="C41" i="19"/>
  <c r="C36" i="19"/>
  <c r="E36" i="19"/>
  <c r="F38" i="19"/>
  <c r="E41" i="19"/>
  <c r="C38" i="19"/>
  <c r="C39" i="19"/>
  <c r="E38" i="19"/>
  <c r="E42" i="19"/>
  <c r="C40" i="19"/>
  <c r="G40" i="19"/>
  <c r="C43" i="19"/>
  <c r="E40" i="19"/>
  <c r="C42" i="19"/>
  <c r="H47" i="19"/>
  <c r="B38" i="19"/>
  <c r="B39" i="19"/>
  <c r="B43" i="19"/>
  <c r="B41" i="19"/>
  <c r="I14" i="19"/>
  <c r="B42" i="19"/>
  <c r="I15" i="19"/>
  <c r="B36" i="19"/>
  <c r="I12" i="19"/>
  <c r="G37" i="19"/>
  <c r="I13" i="19"/>
  <c r="I17" i="19"/>
  <c r="I16" i="19"/>
  <c r="B40" i="19"/>
  <c r="G42" i="19"/>
  <c r="G41" i="19"/>
  <c r="E39" i="19"/>
  <c r="E43" i="19"/>
  <c r="I18" i="19"/>
  <c r="F37" i="19"/>
  <c r="F39" i="19"/>
  <c r="F41" i="19"/>
  <c r="F43" i="19"/>
  <c r="F40" i="19"/>
  <c r="G38" i="19"/>
  <c r="G36" i="19"/>
  <c r="F42" i="19"/>
  <c r="B37" i="19"/>
  <c r="F36" i="19"/>
  <c r="G43" i="19"/>
  <c r="D28" i="16"/>
  <c r="D55" i="16" s="1"/>
  <c r="H45" i="19" l="1"/>
  <c r="H46" i="19"/>
  <c r="H44" i="19"/>
  <c r="B49" i="19"/>
  <c r="F28" i="16"/>
  <c r="E28" i="16"/>
  <c r="I24" i="19"/>
  <c r="H39" i="19"/>
  <c r="Q39" i="15"/>
  <c r="Q37" i="15"/>
  <c r="Q36" i="15"/>
  <c r="Q31" i="15"/>
  <c r="Q34" i="15"/>
  <c r="P35" i="15"/>
  <c r="Q38" i="15"/>
  <c r="P32" i="15"/>
  <c r="Q33" i="15"/>
  <c r="Q32" i="15"/>
  <c r="Q35" i="15"/>
  <c r="P34" i="15"/>
  <c r="P31" i="15"/>
  <c r="P36" i="15"/>
  <c r="P33" i="15"/>
  <c r="P37" i="15"/>
  <c r="P39" i="15"/>
  <c r="P38" i="15"/>
  <c r="H37" i="19"/>
  <c r="H38" i="19"/>
  <c r="H41" i="19"/>
  <c r="H42" i="19"/>
  <c r="G49" i="19"/>
  <c r="H40" i="19"/>
  <c r="H36" i="19"/>
  <c r="H43" i="19"/>
  <c r="I45" i="19" l="1"/>
  <c r="I44" i="19"/>
  <c r="I47" i="19"/>
  <c r="I46" i="19"/>
  <c r="I41" i="19"/>
  <c r="I42" i="19"/>
  <c r="I43" i="19"/>
  <c r="I37" i="19"/>
  <c r="I38" i="19"/>
  <c r="I39" i="19"/>
  <c r="I36" i="19"/>
  <c r="I40" i="19"/>
  <c r="G25" i="89"/>
  <c r="H49" i="19"/>
  <c r="I49" i="19" l="1"/>
  <c r="H22" i="89" l="1"/>
  <c r="G48" i="89" s="1"/>
  <c r="H14" i="89"/>
  <c r="G40" i="89" s="1"/>
  <c r="H17" i="89"/>
  <c r="G43" i="89" s="1"/>
  <c r="H20" i="89"/>
  <c r="G46" i="89" s="1"/>
  <c r="H12" i="89"/>
  <c r="H15" i="89"/>
  <c r="G41" i="89" s="1"/>
  <c r="H18" i="89"/>
  <c r="G44" i="89" s="1"/>
  <c r="H13" i="89"/>
  <c r="G39" i="89" s="1"/>
  <c r="H23" i="89"/>
  <c r="G49" i="89" s="1"/>
  <c r="G36" i="89"/>
  <c r="H21" i="89"/>
  <c r="G47" i="89" s="1"/>
  <c r="H24" i="89"/>
  <c r="G50" i="89" s="1"/>
  <c r="H16" i="89"/>
  <c r="G42" i="89" s="1"/>
  <c r="G45" i="89"/>
  <c r="G37" i="89"/>
  <c r="I13" i="36"/>
  <c r="J13" i="36"/>
  <c r="K13" i="36"/>
  <c r="L13" i="36"/>
  <c r="I14" i="36"/>
  <c r="J14" i="36"/>
  <c r="K14" i="36"/>
  <c r="L14" i="36"/>
  <c r="I15" i="36"/>
  <c r="J15" i="36"/>
  <c r="K15" i="36"/>
  <c r="L15" i="36"/>
  <c r="I16" i="36"/>
  <c r="J16" i="36"/>
  <c r="K16" i="36"/>
  <c r="L16" i="36"/>
  <c r="I17" i="36"/>
  <c r="J17" i="36"/>
  <c r="K17" i="36"/>
  <c r="L17" i="36"/>
  <c r="I18" i="36"/>
  <c r="J18" i="36"/>
  <c r="K18" i="36"/>
  <c r="L18" i="36"/>
  <c r="I19" i="36"/>
  <c r="J19" i="36"/>
  <c r="K19" i="36"/>
  <c r="L19" i="36"/>
  <c r="I20" i="36"/>
  <c r="J20" i="36"/>
  <c r="K20" i="36"/>
  <c r="L20" i="36"/>
  <c r="I21" i="36"/>
  <c r="J21" i="36"/>
  <c r="K21" i="36"/>
  <c r="L21" i="36"/>
  <c r="I22" i="36"/>
  <c r="J22" i="36"/>
  <c r="K22" i="36"/>
  <c r="L22" i="36"/>
  <c r="I23" i="36"/>
  <c r="J23" i="36"/>
  <c r="K23" i="36"/>
  <c r="L23" i="36"/>
  <c r="I24" i="36"/>
  <c r="J24" i="36"/>
  <c r="K24" i="36"/>
  <c r="L24" i="36"/>
  <c r="I25" i="36"/>
  <c r="J25" i="36"/>
  <c r="K25" i="36"/>
  <c r="L25" i="36"/>
  <c r="I26" i="36"/>
  <c r="J26" i="36"/>
  <c r="K26" i="36"/>
  <c r="L26" i="36"/>
  <c r="I27" i="36"/>
  <c r="J27" i="36"/>
  <c r="K27" i="36"/>
  <c r="L27" i="36"/>
  <c r="I28" i="36"/>
  <c r="J28" i="36"/>
  <c r="K28" i="36"/>
  <c r="L28" i="36"/>
  <c r="I29" i="36"/>
  <c r="J29" i="36"/>
  <c r="K29" i="36"/>
  <c r="L29" i="36"/>
  <c r="I30" i="36"/>
  <c r="J30" i="36"/>
  <c r="K30" i="36"/>
  <c r="L30" i="36"/>
  <c r="I31" i="36"/>
  <c r="J31" i="36"/>
  <c r="K31" i="36"/>
  <c r="L31" i="36"/>
  <c r="I32" i="36"/>
  <c r="J32" i="36"/>
  <c r="K32" i="36"/>
  <c r="L32" i="36"/>
  <c r="I33" i="36"/>
  <c r="J33" i="36"/>
  <c r="K33" i="36"/>
  <c r="L33" i="36"/>
  <c r="I34" i="36"/>
  <c r="J34" i="36"/>
  <c r="K34" i="36"/>
  <c r="L34" i="36"/>
  <c r="I35" i="36"/>
  <c r="J35" i="36"/>
  <c r="K35" i="36"/>
  <c r="L35" i="36"/>
  <c r="I36" i="36"/>
  <c r="J36" i="36"/>
  <c r="K36" i="36"/>
  <c r="L36" i="36"/>
  <c r="I37" i="36"/>
  <c r="J37" i="36"/>
  <c r="K37" i="36"/>
  <c r="L37" i="36"/>
  <c r="I38" i="36"/>
  <c r="J38" i="36"/>
  <c r="K38" i="36"/>
  <c r="L38" i="36"/>
  <c r="I39" i="36"/>
  <c r="J39" i="36"/>
  <c r="K39" i="36"/>
  <c r="L39" i="36"/>
  <c r="I40" i="36"/>
  <c r="J40" i="36"/>
  <c r="K40" i="36"/>
  <c r="L40" i="36"/>
  <c r="I41" i="36"/>
  <c r="J41" i="36"/>
  <c r="K41" i="36"/>
  <c r="L41" i="36"/>
  <c r="I42" i="36"/>
  <c r="J42" i="36"/>
  <c r="K42" i="36"/>
  <c r="L42" i="36"/>
  <c r="I43" i="36"/>
  <c r="J43" i="36"/>
  <c r="K43" i="36"/>
  <c r="L43" i="36"/>
  <c r="J12" i="36"/>
  <c r="K12" i="36"/>
  <c r="L12" i="36"/>
  <c r="I12" i="36"/>
  <c r="C13" i="36"/>
  <c r="D13" i="36"/>
  <c r="E13" i="36"/>
  <c r="F13" i="36"/>
  <c r="C14" i="36"/>
  <c r="D14" i="36"/>
  <c r="E14" i="36"/>
  <c r="F14" i="36"/>
  <c r="C15" i="36"/>
  <c r="D15" i="36"/>
  <c r="E15" i="36"/>
  <c r="F15" i="36"/>
  <c r="C16" i="36"/>
  <c r="D16" i="36"/>
  <c r="E16" i="36"/>
  <c r="F16" i="36"/>
  <c r="C17" i="36"/>
  <c r="D17" i="36"/>
  <c r="E17" i="36"/>
  <c r="F17" i="36"/>
  <c r="C18" i="36"/>
  <c r="D18" i="36"/>
  <c r="E18" i="36"/>
  <c r="F18" i="36"/>
  <c r="C19" i="36"/>
  <c r="D19" i="36"/>
  <c r="E19" i="36"/>
  <c r="F19" i="36"/>
  <c r="C20" i="36"/>
  <c r="D20" i="36"/>
  <c r="E20" i="36"/>
  <c r="F20" i="36"/>
  <c r="C21" i="36"/>
  <c r="D21" i="36"/>
  <c r="E21" i="36"/>
  <c r="F21" i="36"/>
  <c r="C22" i="36"/>
  <c r="D22" i="36"/>
  <c r="E22" i="36"/>
  <c r="F22" i="36"/>
  <c r="C23" i="36"/>
  <c r="D23" i="36"/>
  <c r="E23" i="36"/>
  <c r="F23" i="36"/>
  <c r="C24" i="36"/>
  <c r="D24" i="36"/>
  <c r="E24" i="36"/>
  <c r="F24" i="36"/>
  <c r="C25" i="36"/>
  <c r="D25" i="36"/>
  <c r="E25" i="36"/>
  <c r="F25" i="36"/>
  <c r="C26" i="36"/>
  <c r="D26" i="36"/>
  <c r="E26" i="36"/>
  <c r="F26" i="36"/>
  <c r="C27" i="36"/>
  <c r="D27" i="36"/>
  <c r="E27" i="36"/>
  <c r="F27" i="36"/>
  <c r="C28" i="36"/>
  <c r="D28" i="36"/>
  <c r="E28" i="36"/>
  <c r="F28" i="36"/>
  <c r="C29" i="36"/>
  <c r="D29" i="36"/>
  <c r="E29" i="36"/>
  <c r="F29" i="36"/>
  <c r="C30" i="36"/>
  <c r="D30" i="36"/>
  <c r="E30" i="36"/>
  <c r="F30" i="36"/>
  <c r="C31" i="36"/>
  <c r="D31" i="36"/>
  <c r="E31" i="36"/>
  <c r="F31" i="36"/>
  <c r="C32" i="36"/>
  <c r="D32" i="36"/>
  <c r="E32" i="36"/>
  <c r="F32" i="36"/>
  <c r="C33" i="36"/>
  <c r="D33" i="36"/>
  <c r="E33" i="36"/>
  <c r="F33" i="36"/>
  <c r="C34" i="36"/>
  <c r="D34" i="36"/>
  <c r="E34" i="36"/>
  <c r="F34" i="36"/>
  <c r="C35" i="36"/>
  <c r="D35" i="36"/>
  <c r="E35" i="36"/>
  <c r="F35" i="36"/>
  <c r="C36" i="36"/>
  <c r="D36" i="36"/>
  <c r="E36" i="36"/>
  <c r="F36" i="36"/>
  <c r="C37" i="36"/>
  <c r="D37" i="36"/>
  <c r="E37" i="36"/>
  <c r="F37" i="36"/>
  <c r="C38" i="36"/>
  <c r="D38" i="36"/>
  <c r="E38" i="36"/>
  <c r="F38" i="36"/>
  <c r="C39" i="36"/>
  <c r="D39" i="36"/>
  <c r="E39" i="36"/>
  <c r="F39" i="36"/>
  <c r="C40" i="36"/>
  <c r="D40" i="36"/>
  <c r="E40" i="36"/>
  <c r="F40" i="36"/>
  <c r="C41" i="36"/>
  <c r="D41" i="36"/>
  <c r="E41" i="36"/>
  <c r="F41" i="36"/>
  <c r="C42" i="36"/>
  <c r="D42" i="36"/>
  <c r="E42" i="36"/>
  <c r="F42" i="36"/>
  <c r="C43" i="36"/>
  <c r="D43" i="36"/>
  <c r="E43" i="36"/>
  <c r="F43" i="36"/>
  <c r="D12" i="36"/>
  <c r="E12" i="36"/>
  <c r="F12" i="36"/>
  <c r="C12" i="36"/>
  <c r="O43" i="36" l="1"/>
  <c r="O41" i="36"/>
  <c r="O39" i="36"/>
  <c r="O37" i="36"/>
  <c r="O35" i="36"/>
  <c r="O33" i="36"/>
  <c r="O31" i="36"/>
  <c r="G38" i="89"/>
  <c r="H25" i="89"/>
  <c r="N43" i="36"/>
  <c r="N41" i="36"/>
  <c r="N39" i="36"/>
  <c r="N37" i="36"/>
  <c r="N35" i="36"/>
  <c r="N33" i="36"/>
  <c r="N31" i="36"/>
  <c r="N29" i="36"/>
  <c r="N27" i="36"/>
  <c r="O29" i="36"/>
  <c r="E44" i="89"/>
  <c r="E37" i="89"/>
  <c r="O27" i="36"/>
  <c r="O25" i="36"/>
  <c r="O23" i="36"/>
  <c r="O21" i="36"/>
  <c r="O19" i="36"/>
  <c r="O17" i="36"/>
  <c r="O15" i="36"/>
  <c r="B39" i="89"/>
  <c r="D38" i="89"/>
  <c r="F45" i="89"/>
  <c r="D36" i="89"/>
  <c r="C39" i="89"/>
  <c r="B37" i="89"/>
  <c r="D39" i="89"/>
  <c r="B45" i="89"/>
  <c r="B41" i="89"/>
  <c r="E41" i="89"/>
  <c r="C37" i="89"/>
  <c r="E39" i="89"/>
  <c r="D37" i="89"/>
  <c r="C41" i="89"/>
  <c r="O13" i="36"/>
  <c r="B43" i="89"/>
  <c r="D47" i="89"/>
  <c r="E49" i="89"/>
  <c r="D43" i="89"/>
  <c r="E50" i="89"/>
  <c r="D50" i="89"/>
  <c r="B49" i="89"/>
  <c r="C46" i="89"/>
  <c r="B40" i="89"/>
  <c r="D48" i="89"/>
  <c r="E46" i="89"/>
  <c r="F38" i="89"/>
  <c r="E40" i="89"/>
  <c r="F37" i="89"/>
  <c r="F42" i="89"/>
  <c r="F47" i="89"/>
  <c r="E48" i="89"/>
  <c r="C48" i="89"/>
  <c r="D40" i="89"/>
  <c r="C42" i="89"/>
  <c r="F40" i="89"/>
  <c r="D44" i="89"/>
  <c r="D49" i="89"/>
  <c r="C43" i="89"/>
  <c r="F49" i="89"/>
  <c r="B42" i="89"/>
  <c r="F43" i="89"/>
  <c r="D42" i="89"/>
  <c r="B46" i="89"/>
  <c r="C38" i="89"/>
  <c r="C36" i="89"/>
  <c r="F44" i="89"/>
  <c r="E38" i="89"/>
  <c r="E36" i="89"/>
  <c r="E43" i="89"/>
  <c r="D45" i="89"/>
  <c r="B44" i="89"/>
  <c r="E42" i="89"/>
  <c r="E47" i="89"/>
  <c r="F39" i="89"/>
  <c r="F46" i="89"/>
  <c r="D46" i="89"/>
  <c r="C40" i="89"/>
  <c r="F36" i="89"/>
  <c r="C45" i="89"/>
  <c r="B47" i="89"/>
  <c r="E45" i="89"/>
  <c r="C44" i="89"/>
  <c r="C49" i="89"/>
  <c r="D41" i="89"/>
  <c r="F48" i="89"/>
  <c r="B48" i="89"/>
  <c r="F41" i="89"/>
  <c r="C50" i="89"/>
  <c r="B50" i="89"/>
  <c r="B36" i="89"/>
  <c r="C47" i="89"/>
  <c r="B38" i="89"/>
  <c r="F50" i="89"/>
  <c r="N25" i="36"/>
  <c r="N23" i="36"/>
  <c r="N21" i="36"/>
  <c r="N19" i="36"/>
  <c r="N17" i="36"/>
  <c r="N15" i="36"/>
  <c r="N13" i="36"/>
  <c r="O42" i="36"/>
  <c r="O40" i="36"/>
  <c r="O38" i="36"/>
  <c r="O36" i="36"/>
  <c r="O34" i="36"/>
  <c r="O32" i="36"/>
  <c r="O30" i="36"/>
  <c r="O28" i="36"/>
  <c r="O26" i="36"/>
  <c r="R11" i="34"/>
  <c r="O24" i="36"/>
  <c r="O22" i="36"/>
  <c r="O20" i="36"/>
  <c r="O18" i="36"/>
  <c r="O16" i="36"/>
  <c r="O14" i="36"/>
  <c r="N42" i="36"/>
  <c r="N40" i="36"/>
  <c r="N38" i="36"/>
  <c r="N36" i="36"/>
  <c r="N34" i="36"/>
  <c r="N32" i="36"/>
  <c r="N30" i="36"/>
  <c r="N28" i="36"/>
  <c r="N26" i="36"/>
  <c r="N24" i="36"/>
  <c r="N22" i="36"/>
  <c r="N20" i="36"/>
  <c r="N18" i="36"/>
  <c r="N16" i="36"/>
  <c r="N14" i="36"/>
  <c r="O12" i="36"/>
  <c r="N12" i="36"/>
  <c r="H17" i="36"/>
  <c r="G39" i="36"/>
  <c r="M39" i="36" s="1"/>
  <c r="G35" i="36"/>
  <c r="M35" i="36" s="1"/>
  <c r="G31" i="36"/>
  <c r="M31" i="36" s="1"/>
  <c r="G27" i="36"/>
  <c r="M27" i="36" s="1"/>
  <c r="G25" i="36"/>
  <c r="M25" i="36" s="1"/>
  <c r="H39" i="36"/>
  <c r="H19" i="36"/>
  <c r="H30" i="36"/>
  <c r="H43" i="36"/>
  <c r="H41" i="36"/>
  <c r="H37" i="36"/>
  <c r="H33" i="36"/>
  <c r="H29" i="36"/>
  <c r="H27" i="36"/>
  <c r="H23" i="36"/>
  <c r="H15" i="36"/>
  <c r="G13" i="36"/>
  <c r="M13" i="36" s="1"/>
  <c r="H16" i="36"/>
  <c r="G19" i="36"/>
  <c r="M19" i="36" s="1"/>
  <c r="G23" i="36"/>
  <c r="M23" i="36" s="1"/>
  <c r="G43" i="36"/>
  <c r="M43" i="36" s="1"/>
  <c r="G29" i="36"/>
  <c r="M29" i="36" s="1"/>
  <c r="G33" i="36"/>
  <c r="M33" i="36" s="1"/>
  <c r="G21" i="36"/>
  <c r="M21" i="36" s="1"/>
  <c r="G17" i="36"/>
  <c r="M17" i="36" s="1"/>
  <c r="G15" i="36"/>
  <c r="M15" i="36" s="1"/>
  <c r="G40" i="36"/>
  <c r="M40" i="36" s="1"/>
  <c r="G38" i="36"/>
  <c r="M38" i="36" s="1"/>
  <c r="G32" i="36"/>
  <c r="M32" i="36" s="1"/>
  <c r="G30" i="36"/>
  <c r="M30" i="36" s="1"/>
  <c r="G28" i="36"/>
  <c r="M28" i="36" s="1"/>
  <c r="G26" i="36"/>
  <c r="M26" i="36" s="1"/>
  <c r="H13" i="36"/>
  <c r="H40" i="36"/>
  <c r="G24" i="36"/>
  <c r="M24" i="36" s="1"/>
  <c r="G22" i="36"/>
  <c r="M22" i="36" s="1"/>
  <c r="G20" i="36"/>
  <c r="M20" i="36" s="1"/>
  <c r="G18" i="36"/>
  <c r="M18" i="36" s="1"/>
  <c r="G16" i="36"/>
  <c r="M16" i="36" s="1"/>
  <c r="G14" i="36"/>
  <c r="M14" i="36" s="1"/>
  <c r="G41" i="36"/>
  <c r="M41" i="36" s="1"/>
  <c r="G37" i="36"/>
  <c r="M37" i="36" s="1"/>
  <c r="H35" i="36"/>
  <c r="H31" i="36"/>
  <c r="H25" i="36"/>
  <c r="H21" i="36"/>
  <c r="H42" i="36"/>
  <c r="H38" i="36"/>
  <c r="H36" i="36"/>
  <c r="H34" i="36"/>
  <c r="H32" i="36"/>
  <c r="H28" i="36"/>
  <c r="H26" i="36"/>
  <c r="H24" i="36"/>
  <c r="H22" i="36"/>
  <c r="H20" i="36"/>
  <c r="H18" i="36"/>
  <c r="H14" i="36"/>
  <c r="G12" i="36"/>
  <c r="M12" i="36" s="1"/>
  <c r="H12" i="36"/>
  <c r="G42" i="36"/>
  <c r="M42" i="36" s="1"/>
  <c r="G36" i="36"/>
  <c r="M36" i="36" s="1"/>
  <c r="G34" i="36"/>
  <c r="M34" i="36" s="1"/>
  <c r="H37" i="89" l="1"/>
  <c r="H39" i="89"/>
  <c r="H45" i="89"/>
  <c r="H38" i="89"/>
  <c r="H41" i="89"/>
  <c r="H48" i="89"/>
  <c r="H50" i="89"/>
  <c r="H42" i="89"/>
  <c r="H40" i="89"/>
  <c r="H47" i="89"/>
  <c r="H49" i="89"/>
  <c r="H43" i="89"/>
  <c r="H44" i="89"/>
  <c r="H46" i="89"/>
  <c r="C12" i="31"/>
  <c r="C13" i="31"/>
  <c r="C14" i="31"/>
  <c r="C15" i="31"/>
  <c r="C16" i="31"/>
  <c r="C17" i="31"/>
  <c r="C18" i="31"/>
  <c r="C19" i="31"/>
  <c r="C20" i="31"/>
  <c r="C21" i="31"/>
  <c r="C22" i="31"/>
  <c r="C23" i="31"/>
  <c r="C24" i="31"/>
  <c r="C25" i="31"/>
  <c r="C26" i="31"/>
  <c r="C27" i="31"/>
  <c r="C28" i="31"/>
  <c r="C29" i="31"/>
  <c r="C30" i="31"/>
  <c r="C31" i="31"/>
  <c r="C32" i="31"/>
  <c r="C33" i="31"/>
  <c r="C34" i="31"/>
  <c r="C35" i="31"/>
  <c r="C36" i="31"/>
  <c r="C37" i="31"/>
  <c r="C38" i="31"/>
  <c r="C39" i="31"/>
  <c r="C40" i="31"/>
  <c r="C41" i="31"/>
  <c r="C42" i="31"/>
  <c r="C43" i="31"/>
  <c r="E38" i="31" l="1"/>
  <c r="E30" i="31"/>
  <c r="E22" i="31"/>
  <c r="E14" i="31"/>
  <c r="E37" i="31"/>
  <c r="E29" i="31"/>
  <c r="E21" i="31"/>
  <c r="E13" i="31"/>
  <c r="E12" i="31"/>
  <c r="E36" i="31"/>
  <c r="E28" i="31"/>
  <c r="E20" i="31"/>
  <c r="E43" i="31"/>
  <c r="E35" i="31"/>
  <c r="E27" i="31"/>
  <c r="E19" i="31"/>
  <c r="E42" i="31"/>
  <c r="E34" i="31"/>
  <c r="E26" i="31"/>
  <c r="E18" i="31"/>
  <c r="E41" i="31"/>
  <c r="E33" i="31"/>
  <c r="E25" i="31"/>
  <c r="E17" i="31"/>
  <c r="E40" i="31"/>
  <c r="E32" i="31"/>
  <c r="E24" i="31"/>
  <c r="E16" i="31"/>
  <c r="E39" i="31"/>
  <c r="E31" i="31"/>
  <c r="E23" i="31"/>
  <c r="E15" i="31"/>
  <c r="F29" i="31"/>
  <c r="F43" i="31"/>
  <c r="F35" i="31"/>
  <c r="F27" i="31"/>
  <c r="F19" i="31"/>
  <c r="F42" i="31"/>
  <c r="F34" i="31"/>
  <c r="F26" i="31"/>
  <c r="F18" i="31"/>
  <c r="F25" i="31"/>
  <c r="F17" i="31"/>
  <c r="F33" i="31"/>
  <c r="F40" i="31"/>
  <c r="F32" i="31"/>
  <c r="F24" i="31"/>
  <c r="F16" i="31"/>
  <c r="F41" i="31"/>
  <c r="F39" i="31"/>
  <c r="F31" i="31"/>
  <c r="F23" i="31"/>
  <c r="F15" i="31"/>
  <c r="F38" i="31"/>
  <c r="F30" i="31"/>
  <c r="F22" i="31"/>
  <c r="F14" i="31"/>
  <c r="F37" i="31"/>
  <c r="F21" i="31"/>
  <c r="F13" i="31"/>
  <c r="F12" i="31"/>
  <c r="F36" i="31"/>
  <c r="F28" i="31"/>
  <c r="F20" i="31"/>
  <c r="C43" i="30"/>
  <c r="E50" i="28"/>
  <c r="E51" i="28"/>
  <c r="E52" i="28"/>
  <c r="E53" i="28"/>
  <c r="E54" i="28"/>
  <c r="E55" i="28"/>
  <c r="E56" i="28"/>
  <c r="E57" i="28"/>
  <c r="E49" i="28"/>
  <c r="D51" i="28"/>
  <c r="D52" i="28"/>
  <c r="D53" i="28"/>
  <c r="D54" i="28"/>
  <c r="D55" i="28"/>
  <c r="D56" i="28"/>
  <c r="D57" i="28"/>
  <c r="D49" i="28"/>
  <c r="C50" i="28"/>
  <c r="C51" i="28"/>
  <c r="C52" i="28"/>
  <c r="C53" i="28"/>
  <c r="C54" i="28"/>
  <c r="C55" i="28"/>
  <c r="C56" i="28"/>
  <c r="C57" i="28"/>
  <c r="B50" i="28"/>
  <c r="B51" i="28"/>
  <c r="B52" i="28"/>
  <c r="B53" i="28"/>
  <c r="B54" i="28"/>
  <c r="B55" i="28"/>
  <c r="B56" i="28"/>
  <c r="B57" i="28"/>
  <c r="C49" i="28"/>
  <c r="B49" i="28"/>
  <c r="C48" i="28"/>
  <c r="F13" i="124" l="1"/>
  <c r="A37" i="22"/>
  <c r="A31" i="25" l="1"/>
  <c r="A24" i="25" l="1"/>
  <c r="B37" i="22"/>
  <c r="D37" i="22"/>
  <c r="E37" i="22"/>
  <c r="C37" i="22"/>
  <c r="A26" i="23"/>
  <c r="A33" i="23"/>
  <c r="F37" i="22" l="1"/>
  <c r="F64" i="7" l="1"/>
  <c r="F11" i="124"/>
  <c r="F12" i="124"/>
  <c r="F14" i="124"/>
  <c r="F10" i="124"/>
  <c r="D16" i="126" l="1"/>
  <c r="I69" i="7"/>
  <c r="I58" i="7"/>
  <c r="J58" i="7" s="1"/>
  <c r="I50" i="7"/>
  <c r="J50" i="7" s="1"/>
  <c r="I49" i="7"/>
  <c r="J49" i="7" s="1"/>
  <c r="I52" i="7"/>
  <c r="J52" i="7" s="1"/>
  <c r="H16" i="126"/>
  <c r="I15" i="126"/>
  <c r="E16" i="126"/>
  <c r="B16" i="126"/>
  <c r="I12" i="126"/>
  <c r="I53" i="7"/>
  <c r="J53" i="7" s="1"/>
  <c r="G16" i="126"/>
  <c r="I56" i="7"/>
  <c r="J56" i="7" s="1"/>
  <c r="C42" i="34"/>
  <c r="I48" i="7"/>
  <c r="J48" i="7" s="1"/>
  <c r="F70" i="7"/>
  <c r="F9" i="7" s="1"/>
  <c r="C16" i="126"/>
  <c r="I59" i="7"/>
  <c r="J59" i="7" s="1"/>
  <c r="I54" i="7"/>
  <c r="J54" i="7" s="1"/>
  <c r="J73" i="7"/>
  <c r="I63" i="7"/>
  <c r="J63" i="7" s="1"/>
  <c r="I68" i="7"/>
  <c r="I55" i="7"/>
  <c r="J55" i="7" s="1"/>
  <c r="J47" i="7"/>
  <c r="I51" i="7"/>
  <c r="J51" i="7" s="1"/>
  <c r="I13" i="126"/>
  <c r="F16" i="126"/>
  <c r="A33" i="11"/>
  <c r="A26" i="11"/>
  <c r="G70" i="7"/>
  <c r="G9" i="7" s="1"/>
  <c r="G64" i="7"/>
  <c r="G14" i="125"/>
  <c r="G23" i="125"/>
  <c r="G24" i="125"/>
  <c r="G40" i="125"/>
  <c r="G17" i="125"/>
  <c r="G25" i="125"/>
  <c r="G33" i="125"/>
  <c r="G41" i="125"/>
  <c r="G13" i="125"/>
  <c r="G26" i="125"/>
  <c r="G27" i="125"/>
  <c r="G43" i="125"/>
  <c r="G44" i="125"/>
  <c r="G19" i="125"/>
  <c r="G35" i="125"/>
  <c r="G20" i="125"/>
  <c r="G28" i="125"/>
  <c r="G36" i="125"/>
  <c r="G42" i="125"/>
  <c r="G18" i="125"/>
  <c r="G21" i="125"/>
  <c r="G29" i="125"/>
  <c r="G37" i="125"/>
  <c r="G22" i="125"/>
  <c r="G34" i="125"/>
  <c r="G30" i="125"/>
  <c r="G15" i="125"/>
  <c r="G39" i="125"/>
  <c r="G38" i="125"/>
  <c r="G31" i="125"/>
  <c r="G16" i="125"/>
  <c r="G32" i="125"/>
  <c r="A34" i="125"/>
  <c r="I70" i="7" l="1"/>
  <c r="I16" i="126"/>
  <c r="H70" i="7"/>
  <c r="H9" i="7" s="1"/>
  <c r="H64" i="7"/>
  <c r="A27" i="125"/>
  <c r="B58" i="125"/>
  <c r="B63" i="125"/>
  <c r="A59" i="125"/>
  <c r="A58" i="125"/>
  <c r="G71" i="125"/>
  <c r="G10" i="125" s="1"/>
  <c r="F10" i="125" l="1"/>
  <c r="E10" i="125"/>
  <c r="C10" i="125"/>
  <c r="D18" i="40" l="1"/>
  <c r="F12" i="17"/>
  <c r="D31" i="40" l="1"/>
  <c r="D32" i="40"/>
  <c r="D34" i="40"/>
  <c r="D35" i="40"/>
  <c r="D37" i="40"/>
  <c r="D33" i="40"/>
  <c r="D38" i="40"/>
  <c r="D36" i="40"/>
  <c r="D30" i="40"/>
  <c r="E12" i="17"/>
  <c r="D39" i="40" l="1"/>
  <c r="A38" i="22" l="1"/>
  <c r="A36" i="22"/>
  <c r="B38" i="22" l="1"/>
  <c r="E36" i="22"/>
  <c r="C38" i="22" l="1"/>
  <c r="D38" i="22"/>
  <c r="E38" i="22"/>
  <c r="D36" i="22"/>
  <c r="C36" i="22"/>
  <c r="B36" i="22"/>
  <c r="F38" i="22" l="1"/>
  <c r="F36" i="22"/>
  <c r="J68" i="7" l="1"/>
  <c r="I43" i="7"/>
  <c r="J43" i="7" s="1"/>
  <c r="I42" i="7"/>
  <c r="J42" i="7" s="1"/>
  <c r="I41" i="7"/>
  <c r="J41" i="7" s="1"/>
  <c r="I40" i="7"/>
  <c r="J40" i="7" s="1"/>
  <c r="I39" i="7"/>
  <c r="J39" i="7" s="1"/>
  <c r="I38" i="7"/>
  <c r="J38" i="7" s="1"/>
  <c r="I37" i="7"/>
  <c r="J37" i="7" s="1"/>
  <c r="I36" i="7"/>
  <c r="J36" i="7" s="1"/>
  <c r="I35" i="7"/>
  <c r="J35" i="7" s="1"/>
  <c r="I34" i="7"/>
  <c r="J34" i="7" s="1"/>
  <c r="I33" i="7"/>
  <c r="J33" i="7" s="1"/>
  <c r="I32" i="7"/>
  <c r="J32" i="7" s="1"/>
  <c r="I31" i="7"/>
  <c r="J31" i="7" s="1"/>
  <c r="I30" i="7"/>
  <c r="J30" i="7" s="1"/>
  <c r="J29" i="7"/>
  <c r="I28" i="7"/>
  <c r="J28" i="7" s="1"/>
  <c r="I26" i="7"/>
  <c r="J26" i="7" s="1"/>
  <c r="I25" i="7"/>
  <c r="J25" i="7" s="1"/>
  <c r="I24" i="7"/>
  <c r="J24" i="7" s="1"/>
  <c r="I23" i="7"/>
  <c r="J23" i="7" s="1"/>
  <c r="I22" i="7"/>
  <c r="J22" i="7" s="1"/>
  <c r="I21" i="7"/>
  <c r="J21" i="7" s="1"/>
  <c r="I20" i="7"/>
  <c r="J20" i="7" s="1"/>
  <c r="I19" i="7"/>
  <c r="J19" i="7" s="1"/>
  <c r="I18" i="7"/>
  <c r="J18" i="7" s="1"/>
  <c r="I17" i="7"/>
  <c r="I16" i="7"/>
  <c r="J16" i="7" s="1"/>
  <c r="I15" i="7"/>
  <c r="J15" i="7" s="1"/>
  <c r="I14" i="7"/>
  <c r="J14" i="7" s="1"/>
  <c r="I13" i="7"/>
  <c r="J13" i="7" l="1"/>
  <c r="I44" i="7"/>
  <c r="J17" i="7"/>
  <c r="J69" i="7"/>
  <c r="J12" i="7"/>
  <c r="J10" i="2"/>
  <c r="J44" i="7" l="1"/>
  <c r="J67" i="7"/>
  <c r="J70" i="7" s="1"/>
  <c r="D49" i="19"/>
  <c r="A36" i="19" l="1"/>
  <c r="A47" i="19"/>
  <c r="A46" i="19"/>
  <c r="A45" i="19"/>
  <c r="A43" i="19"/>
  <c r="A42" i="19"/>
  <c r="A41" i="19"/>
  <c r="A40" i="19"/>
  <c r="A39" i="19"/>
  <c r="A38" i="19"/>
  <c r="A37" i="19"/>
  <c r="A44" i="19" l="1"/>
  <c r="H23" i="96" l="1"/>
  <c r="E23" i="96"/>
  <c r="G23" i="96"/>
  <c r="B23" i="96"/>
  <c r="F23" i="96"/>
  <c r="C23" i="96"/>
  <c r="I13" i="93"/>
  <c r="I12" i="93" l="1"/>
  <c r="I11" i="93"/>
  <c r="B19" i="94" l="1"/>
  <c r="H19" i="94"/>
  <c r="B14" i="93"/>
  <c r="I10" i="93"/>
  <c r="I14" i="93" s="1"/>
  <c r="C14" i="93"/>
  <c r="D14" i="93"/>
  <c r="E14" i="93"/>
  <c r="G14" i="93"/>
  <c r="H14" i="93"/>
  <c r="C19" i="94"/>
  <c r="D19" i="94"/>
  <c r="E19" i="94"/>
  <c r="F19" i="94"/>
  <c r="G19" i="94"/>
  <c r="F24" i="101" l="1"/>
  <c r="G24" i="101" s="1"/>
  <c r="F35" i="101"/>
  <c r="H35" i="101" s="1"/>
  <c r="F27" i="101"/>
  <c r="G27" i="101" s="1"/>
  <c r="F36" i="101"/>
  <c r="H36" i="101" s="1"/>
  <c r="F39" i="101"/>
  <c r="H39" i="101" s="1"/>
  <c r="F41" i="101"/>
  <c r="H41" i="101" s="1"/>
  <c r="F25" i="101"/>
  <c r="G25" i="101" s="1"/>
  <c r="F19" i="101"/>
  <c r="G19" i="101" s="1"/>
  <c r="J72" i="12"/>
  <c r="F12" i="101"/>
  <c r="I12" i="101" s="1"/>
  <c r="C44" i="101"/>
  <c r="F34" i="101"/>
  <c r="G34" i="101" s="1"/>
  <c r="F20" i="101"/>
  <c r="G20" i="101" s="1"/>
  <c r="D44" i="101"/>
  <c r="F17" i="101"/>
  <c r="G17" i="101" s="1"/>
  <c r="F40" i="101"/>
  <c r="H40" i="101" s="1"/>
  <c r="F21" i="101"/>
  <c r="G21" i="101" s="1"/>
  <c r="F23" i="101"/>
  <c r="G23" i="101" s="1"/>
  <c r="F43" i="101"/>
  <c r="H43" i="101" s="1"/>
  <c r="F42" i="101"/>
  <c r="H42" i="101" s="1"/>
  <c r="F37" i="101"/>
  <c r="H37" i="101" s="1"/>
  <c r="F29" i="101"/>
  <c r="G29" i="101" s="1"/>
  <c r="F38" i="101"/>
  <c r="H38" i="101" s="1"/>
  <c r="F26" i="101"/>
  <c r="G26" i="101" s="1"/>
  <c r="F13" i="101"/>
  <c r="I13" i="101" s="1"/>
  <c r="F28" i="101"/>
  <c r="G28" i="101" s="1"/>
  <c r="F33" i="101"/>
  <c r="G33" i="101" s="1"/>
  <c r="F14" i="101"/>
  <c r="H14" i="101" s="1"/>
  <c r="F15" i="101"/>
  <c r="I15" i="101" s="1"/>
  <c r="E44" i="101"/>
  <c r="B16" i="17"/>
  <c r="F18" i="101"/>
  <c r="G18" i="101" s="1"/>
  <c r="C16" i="17"/>
  <c r="F16" i="101"/>
  <c r="I16" i="101" s="1"/>
  <c r="F22" i="101"/>
  <c r="G22" i="101" s="1"/>
  <c r="F32" i="101"/>
  <c r="G32" i="101" s="1"/>
  <c r="F30" i="101"/>
  <c r="H30" i="101" s="1"/>
  <c r="F31" i="101"/>
  <c r="I31" i="101" s="1"/>
  <c r="G17" i="94"/>
  <c r="D17" i="94"/>
  <c r="H17" i="94"/>
  <c r="E17" i="94"/>
  <c r="B17" i="94"/>
  <c r="F17" i="94"/>
  <c r="C17" i="94"/>
  <c r="J10" i="93"/>
  <c r="I36" i="101" l="1"/>
  <c r="I27" i="101"/>
  <c r="H27" i="101"/>
  <c r="I39" i="101"/>
  <c r="I35" i="101"/>
  <c r="G38" i="101"/>
  <c r="H24" i="101"/>
  <c r="I24" i="101"/>
  <c r="I25" i="101"/>
  <c r="I32" i="101"/>
  <c r="H18" i="101"/>
  <c r="I17" i="101"/>
  <c r="I30" i="101"/>
  <c r="G37" i="101"/>
  <c r="H25" i="101"/>
  <c r="G41" i="101"/>
  <c r="I37" i="101"/>
  <c r="I41" i="101"/>
  <c r="I20" i="101"/>
  <c r="I42" i="101"/>
  <c r="H20" i="101"/>
  <c r="I28" i="101"/>
  <c r="G42" i="101"/>
  <c r="G30" i="101"/>
  <c r="I43" i="101"/>
  <c r="G14" i="101"/>
  <c r="H13" i="101"/>
  <c r="I14" i="101"/>
  <c r="G43" i="101"/>
  <c r="H26" i="101"/>
  <c r="H33" i="101"/>
  <c r="G39" i="101"/>
  <c r="H32" i="101"/>
  <c r="G13" i="101"/>
  <c r="G16" i="101"/>
  <c r="D16" i="17"/>
  <c r="G12" i="17" s="1"/>
  <c r="I23" i="101"/>
  <c r="H22" i="101"/>
  <c r="H15" i="101"/>
  <c r="I40" i="101"/>
  <c r="G40" i="101"/>
  <c r="G12" i="101"/>
  <c r="H28" i="101"/>
  <c r="H29" i="101"/>
  <c r="H31" i="101"/>
  <c r="G36" i="101"/>
  <c r="H34" i="101"/>
  <c r="H23" i="101"/>
  <c r="I22" i="101"/>
  <c r="I19" i="101"/>
  <c r="H17" i="101"/>
  <c r="I34" i="101"/>
  <c r="F44" i="101"/>
  <c r="H44" i="101" s="1"/>
  <c r="I38" i="101"/>
  <c r="I21" i="101"/>
  <c r="H16" i="101"/>
  <c r="H12" i="101"/>
  <c r="G35" i="101"/>
  <c r="G31" i="101"/>
  <c r="H21" i="101"/>
  <c r="G15" i="101"/>
  <c r="I18" i="101"/>
  <c r="H19" i="101"/>
  <c r="I29" i="101"/>
  <c r="I33" i="101"/>
  <c r="I26" i="101"/>
  <c r="H13" i="94"/>
  <c r="B13" i="94"/>
  <c r="J14" i="93"/>
  <c r="J13" i="93"/>
  <c r="J12" i="93"/>
  <c r="J11" i="93"/>
  <c r="C13" i="94"/>
  <c r="D13" i="94"/>
  <c r="E13" i="94"/>
  <c r="F13" i="94"/>
  <c r="G13" i="94"/>
  <c r="F16" i="17" l="1"/>
  <c r="G44" i="101"/>
  <c r="I44" i="101"/>
  <c r="H11" i="94"/>
  <c r="C11" i="94"/>
  <c r="D11" i="94"/>
  <c r="E11" i="94"/>
  <c r="F11" i="94"/>
  <c r="G11" i="94"/>
  <c r="F46" i="35" l="1"/>
  <c r="L46" i="35" s="1"/>
  <c r="R33" i="34"/>
  <c r="S33" i="34" s="1"/>
  <c r="R41" i="34"/>
  <c r="S41" i="34" s="1"/>
  <c r="R14" i="34"/>
  <c r="S14" i="34" s="1"/>
  <c r="R27" i="34"/>
  <c r="S27" i="34" s="1"/>
  <c r="R18" i="34"/>
  <c r="S18" i="34" s="1"/>
  <c r="R10" i="34"/>
  <c r="R22" i="34"/>
  <c r="S22" i="34" s="1"/>
  <c r="R13" i="34"/>
  <c r="S13" i="34" s="1"/>
  <c r="R12" i="34"/>
  <c r="S12" i="34" s="1"/>
  <c r="R20" i="34"/>
  <c r="S20" i="34" s="1"/>
  <c r="R28" i="34"/>
  <c r="S28" i="34" s="1"/>
  <c r="R36" i="34"/>
  <c r="S36" i="34" s="1"/>
  <c r="S11" i="34"/>
  <c r="R19" i="34"/>
  <c r="S19" i="34" s="1"/>
  <c r="R35" i="34"/>
  <c r="S35" i="34" s="1"/>
  <c r="R26" i="34"/>
  <c r="S26" i="34" s="1"/>
  <c r="R34" i="34"/>
  <c r="S34" i="34" s="1"/>
  <c r="R17" i="34"/>
  <c r="S17" i="34" s="1"/>
  <c r="R25" i="34"/>
  <c r="S25" i="34" s="1"/>
  <c r="R16" i="34"/>
  <c r="S16" i="34" s="1"/>
  <c r="R24" i="34"/>
  <c r="S24" i="34" s="1"/>
  <c r="R32" i="34"/>
  <c r="S32" i="34" s="1"/>
  <c r="R40" i="34"/>
  <c r="S40" i="34" s="1"/>
  <c r="R15" i="34"/>
  <c r="S15" i="34" s="1"/>
  <c r="R23" i="34"/>
  <c r="S23" i="34" s="1"/>
  <c r="R31" i="34"/>
  <c r="S31" i="34" s="1"/>
  <c r="R39" i="34"/>
  <c r="S39" i="34" s="1"/>
  <c r="R30" i="34"/>
  <c r="S30" i="34" s="1"/>
  <c r="R38" i="34"/>
  <c r="S38" i="34" s="1"/>
  <c r="R21" i="34"/>
  <c r="S21" i="34" s="1"/>
  <c r="R29" i="34"/>
  <c r="S29" i="34" s="1"/>
  <c r="R37" i="34"/>
  <c r="S37" i="34" s="1"/>
  <c r="S10" i="34" l="1"/>
  <c r="R42" i="34"/>
  <c r="G43" i="30"/>
  <c r="F43" i="30"/>
  <c r="H43" i="30"/>
  <c r="E44" i="31" s="1"/>
  <c r="E43" i="30"/>
  <c r="C44" i="31" s="1"/>
  <c r="D44" i="31" s="1"/>
  <c r="F44" i="31" l="1"/>
  <c r="D25" i="89"/>
  <c r="D51" i="89" s="1"/>
  <c r="B25" i="89"/>
  <c r="F25" i="89"/>
  <c r="E25" i="89"/>
  <c r="C25" i="89"/>
  <c r="E40" i="18" l="1"/>
  <c r="F31" i="18"/>
  <c r="F40" i="18"/>
  <c r="H25" i="23"/>
  <c r="H19" i="23"/>
  <c r="H24" i="23"/>
  <c r="H14" i="23"/>
  <c r="H38" i="23"/>
  <c r="H37" i="23"/>
  <c r="H29" i="23"/>
  <c r="H32" i="23"/>
  <c r="H35" i="23"/>
  <c r="H41" i="23"/>
  <c r="H42" i="23"/>
  <c r="H12" i="23"/>
  <c r="H18" i="23"/>
  <c r="H17" i="23"/>
  <c r="H31" i="23"/>
  <c r="H34" i="23"/>
  <c r="H28" i="23"/>
  <c r="H39" i="23"/>
  <c r="H30" i="23"/>
  <c r="H33" i="23"/>
  <c r="H26" i="23"/>
  <c r="H40" i="23"/>
  <c r="H21" i="23"/>
  <c r="H20" i="23"/>
  <c r="H16" i="23"/>
  <c r="H43" i="23"/>
  <c r="H22" i="23"/>
  <c r="H13" i="23"/>
  <c r="H15" i="23"/>
  <c r="H36" i="23"/>
  <c r="H27" i="23"/>
  <c r="H23" i="23"/>
  <c r="F43" i="9"/>
  <c r="F42" i="9"/>
  <c r="F42" i="11"/>
  <c r="G51" i="89"/>
  <c r="B51" i="89" l="1"/>
  <c r="F51" i="89"/>
  <c r="E51" i="89"/>
  <c r="C51" i="89"/>
  <c r="H36" i="89"/>
  <c r="H51" i="89" l="1"/>
  <c r="C57" i="35"/>
  <c r="F47" i="35" l="1"/>
  <c r="L47" i="35" s="1"/>
  <c r="G47" i="35"/>
  <c r="F49" i="35"/>
  <c r="L49" i="35" s="1"/>
  <c r="G49" i="35"/>
  <c r="G51" i="35"/>
  <c r="F53" i="35"/>
  <c r="L53" i="35" s="1"/>
  <c r="G53" i="35"/>
  <c r="G55" i="35"/>
  <c r="G43" i="35"/>
  <c r="F43" i="35"/>
  <c r="L43" i="35" s="1"/>
  <c r="G45" i="35"/>
  <c r="F51" i="35"/>
  <c r="L51" i="35" s="1"/>
  <c r="F42" i="35"/>
  <c r="L42" i="35" s="1"/>
  <c r="G42" i="35" l="1"/>
  <c r="F56" i="35"/>
  <c r="L56" i="35" s="1"/>
  <c r="F55" i="35"/>
  <c r="L55" i="35" s="1"/>
  <c r="F54" i="35"/>
  <c r="L54" i="35" s="1"/>
  <c r="F52" i="35"/>
  <c r="L52" i="35" s="1"/>
  <c r="F50" i="35"/>
  <c r="L50" i="35" s="1"/>
  <c r="F48" i="35"/>
  <c r="L48" i="35" s="1"/>
  <c r="F45" i="35"/>
  <c r="L45" i="35" s="1"/>
  <c r="F44" i="35"/>
  <c r="L44" i="35" s="1"/>
  <c r="G56" i="35"/>
  <c r="G54" i="35"/>
  <c r="G52" i="35"/>
  <c r="G50" i="35"/>
  <c r="G48" i="35"/>
  <c r="G46" i="35"/>
  <c r="G44" i="35"/>
  <c r="F57" i="35" l="1"/>
  <c r="G57" i="35"/>
  <c r="S42" i="34" l="1"/>
  <c r="G10" i="40" l="1"/>
  <c r="E9" i="13"/>
  <c r="E21" i="16"/>
  <c r="F31" i="16"/>
  <c r="E36" i="16"/>
  <c r="E32" i="18"/>
  <c r="E31" i="16"/>
  <c r="F32" i="18"/>
  <c r="F36" i="18"/>
  <c r="E31" i="18"/>
  <c r="C9" i="13"/>
  <c r="D9" i="13"/>
  <c r="F9" i="13"/>
  <c r="C44" i="23" l="1"/>
  <c r="J48" i="8"/>
  <c r="I44" i="8"/>
  <c r="J72" i="8"/>
  <c r="G44" i="23"/>
  <c r="F44" i="23"/>
  <c r="D44" i="23"/>
  <c r="E44" i="23"/>
  <c r="H44" i="23" l="1"/>
  <c r="F23" i="9" l="1"/>
  <c r="F21" i="9"/>
  <c r="H10" i="3" l="1"/>
  <c r="H11" i="3"/>
  <c r="H12" i="3"/>
  <c r="H13" i="3"/>
  <c r="A35" i="22"/>
  <c r="H14" i="3" l="1"/>
  <c r="C35" i="22"/>
  <c r="J70" i="12" l="1"/>
  <c r="E35" i="22"/>
  <c r="B35" i="22"/>
  <c r="D35" i="22"/>
  <c r="F35" i="22" l="1"/>
  <c r="H42" i="25" l="1"/>
  <c r="G42" i="25"/>
  <c r="F42" i="25"/>
  <c r="E42" i="25"/>
  <c r="D42" i="25"/>
  <c r="C42" i="25"/>
  <c r="I42" i="25" l="1"/>
  <c r="A34" i="22" l="1"/>
  <c r="A33" i="22"/>
  <c r="E10" i="16" l="1"/>
  <c r="E14" i="3"/>
  <c r="C44" i="36"/>
  <c r="J44" i="36" l="1"/>
  <c r="P42" i="34"/>
  <c r="I44" i="36"/>
  <c r="Q42" i="34"/>
  <c r="D44" i="36"/>
  <c r="N44" i="36" s="1"/>
  <c r="K44" i="36"/>
  <c r="L44" i="36"/>
  <c r="G44" i="36" l="1"/>
  <c r="M44" i="36" s="1"/>
  <c r="H44" i="36"/>
  <c r="G13" i="40" l="1"/>
  <c r="G17" i="40"/>
  <c r="C18" i="40"/>
  <c r="C30" i="40" s="1"/>
  <c r="F18" i="40"/>
  <c r="F37" i="40" s="1"/>
  <c r="B18" i="40"/>
  <c r="G14" i="40"/>
  <c r="G12" i="40"/>
  <c r="E18" i="40"/>
  <c r="G11" i="40"/>
  <c r="G15" i="40"/>
  <c r="G16" i="40"/>
  <c r="G18" i="40" l="1"/>
  <c r="B33" i="40"/>
  <c r="B30" i="40"/>
  <c r="F36" i="40"/>
  <c r="C34" i="40"/>
  <c r="C33" i="40"/>
  <c r="C38" i="40"/>
  <c r="B36" i="40"/>
  <c r="B31" i="40"/>
  <c r="B37" i="40"/>
  <c r="B32" i="40"/>
  <c r="B34" i="40"/>
  <c r="C32" i="40"/>
  <c r="F30" i="40"/>
  <c r="C37" i="40"/>
  <c r="C35" i="40"/>
  <c r="C31" i="40"/>
  <c r="B38" i="40"/>
  <c r="C36" i="40"/>
  <c r="B35" i="40"/>
  <c r="F34" i="40"/>
  <c r="F31" i="40"/>
  <c r="F38" i="40"/>
  <c r="F35" i="40"/>
  <c r="F32" i="40"/>
  <c r="F33" i="40"/>
  <c r="E32" i="40"/>
  <c r="E37" i="40"/>
  <c r="E33" i="40"/>
  <c r="E38" i="40"/>
  <c r="E35" i="40"/>
  <c r="E30" i="40"/>
  <c r="E34" i="40"/>
  <c r="E36" i="40"/>
  <c r="E31" i="40"/>
  <c r="A30" i="22"/>
  <c r="A31" i="22"/>
  <c r="A32" i="22"/>
  <c r="A29" i="22"/>
  <c r="G33" i="40" l="1"/>
  <c r="G31" i="40"/>
  <c r="C39" i="40"/>
  <c r="G35" i="40"/>
  <c r="B39" i="40"/>
  <c r="F39" i="40"/>
  <c r="G32" i="40"/>
  <c r="G37" i="40"/>
  <c r="E39" i="40"/>
  <c r="G34" i="40"/>
  <c r="G30" i="40"/>
  <c r="G38" i="40"/>
  <c r="G36" i="40"/>
  <c r="B29" i="22"/>
  <c r="C30" i="22"/>
  <c r="D31" i="22"/>
  <c r="D34" i="22" l="1"/>
  <c r="C34" i="22"/>
  <c r="E34" i="22"/>
  <c r="B34" i="22"/>
  <c r="D33" i="22"/>
  <c r="C33" i="22"/>
  <c r="E33" i="22"/>
  <c r="B33" i="22"/>
  <c r="E32" i="22"/>
  <c r="C32" i="22"/>
  <c r="B32" i="22"/>
  <c r="G39" i="40"/>
  <c r="E31" i="22"/>
  <c r="B31" i="22"/>
  <c r="C29" i="22"/>
  <c r="D30" i="22"/>
  <c r="E29" i="22"/>
  <c r="C31" i="22"/>
  <c r="D29" i="22"/>
  <c r="D32" i="22"/>
  <c r="E30" i="22"/>
  <c r="B30" i="22"/>
  <c r="F33" i="22" l="1"/>
  <c r="F34" i="22"/>
  <c r="F32" i="22"/>
  <c r="F31" i="22"/>
  <c r="F29" i="22"/>
  <c r="F41" i="9" l="1"/>
  <c r="F37" i="9"/>
  <c r="F33" i="9"/>
  <c r="F29" i="9"/>
  <c r="F25" i="9"/>
  <c r="F19" i="9"/>
  <c r="F15" i="9"/>
  <c r="F10" i="18"/>
  <c r="E44" i="18"/>
  <c r="F38" i="9"/>
  <c r="F34" i="9"/>
  <c r="F31" i="9"/>
  <c r="F30" i="9"/>
  <c r="F27" i="9"/>
  <c r="F26" i="9"/>
  <c r="F22" i="9"/>
  <c r="F20" i="9"/>
  <c r="F17" i="9"/>
  <c r="F16" i="9"/>
  <c r="F13" i="9"/>
  <c r="J51" i="8"/>
  <c r="J58" i="8"/>
  <c r="J50" i="8"/>
  <c r="J67" i="8"/>
  <c r="J59" i="8"/>
  <c r="F12" i="9"/>
  <c r="J54" i="8"/>
  <c r="J63" i="8"/>
  <c r="J55" i="8"/>
  <c r="J61" i="8"/>
  <c r="J53" i="8"/>
  <c r="J49" i="8"/>
  <c r="G44" i="8"/>
  <c r="J47" i="8"/>
  <c r="J60" i="8"/>
  <c r="J56" i="8"/>
  <c r="J52" i="8"/>
  <c r="D15" i="17"/>
  <c r="E15" i="17" s="1"/>
  <c r="E41" i="18"/>
  <c r="J68" i="8"/>
  <c r="F39" i="9"/>
  <c r="F35" i="9"/>
  <c r="F40" i="9"/>
  <c r="F36" i="9"/>
  <c r="F32" i="9"/>
  <c r="F28" i="9"/>
  <c r="F24" i="9"/>
  <c r="F18" i="9"/>
  <c r="F14" i="9"/>
  <c r="F14" i="18"/>
  <c r="F44" i="18"/>
  <c r="F42" i="18"/>
  <c r="F12" i="18"/>
  <c r="E16" i="18"/>
  <c r="E13" i="18"/>
  <c r="E34" i="18"/>
  <c r="E35" i="18"/>
  <c r="F20" i="18"/>
  <c r="F16" i="18"/>
  <c r="F15" i="18"/>
  <c r="E43" i="18"/>
  <c r="F46" i="18"/>
  <c r="E45" i="18"/>
  <c r="F45" i="18"/>
  <c r="F43" i="18"/>
  <c r="E36" i="18"/>
  <c r="F35" i="18"/>
  <c r="F34" i="18"/>
  <c r="F22" i="18"/>
  <c r="F10" i="16"/>
  <c r="E14" i="18"/>
  <c r="E10" i="18"/>
  <c r="F13" i="18"/>
  <c r="E12" i="18"/>
  <c r="E20" i="18"/>
  <c r="E22" i="18"/>
  <c r="E42" i="18"/>
  <c r="E46" i="18"/>
  <c r="E11" i="18"/>
  <c r="E15" i="18"/>
  <c r="E21" i="18"/>
  <c r="E33" i="18"/>
  <c r="F11" i="18"/>
  <c r="F21" i="18"/>
  <c r="F33" i="18"/>
  <c r="F41" i="18"/>
  <c r="C64" i="12"/>
  <c r="B55" i="16" l="1"/>
  <c r="B57" i="16" s="1"/>
  <c r="J44" i="8"/>
  <c r="C57" i="16"/>
  <c r="F15" i="17"/>
  <c r="E37" i="18"/>
  <c r="F17" i="18"/>
  <c r="F47" i="18"/>
  <c r="F37" i="18"/>
  <c r="E17" i="18"/>
  <c r="E23" i="18"/>
  <c r="F23" i="18"/>
  <c r="E47" i="18"/>
  <c r="D57" i="16" l="1"/>
  <c r="B14" i="3"/>
  <c r="F44" i="36" l="1"/>
  <c r="E44" i="36"/>
  <c r="K57" i="35"/>
  <c r="J57" i="35"/>
  <c r="I57" i="35"/>
  <c r="H57" i="35"/>
  <c r="E57" i="35"/>
  <c r="D57" i="35"/>
  <c r="B57" i="35"/>
  <c r="M57" i="35" s="1"/>
  <c r="O42" i="34"/>
  <c r="N42" i="34"/>
  <c r="M42" i="34"/>
  <c r="L42" i="34"/>
  <c r="K42" i="34"/>
  <c r="J42" i="34"/>
  <c r="H42" i="34"/>
  <c r="G42" i="34"/>
  <c r="F42" i="34"/>
  <c r="E42" i="34"/>
  <c r="D42" i="34"/>
  <c r="P57" i="35" l="1"/>
  <c r="O57" i="35"/>
  <c r="N57" i="35"/>
  <c r="L57" i="35"/>
  <c r="O44" i="36"/>
  <c r="E53" i="16" l="1"/>
  <c r="F52" i="16"/>
  <c r="E52" i="16"/>
  <c r="F51" i="16"/>
  <c r="E51" i="16"/>
  <c r="F50" i="16"/>
  <c r="E50" i="16"/>
  <c r="F46" i="16"/>
  <c r="E46" i="16"/>
  <c r="F45" i="16"/>
  <c r="E45" i="16"/>
  <c r="F44" i="16"/>
  <c r="E44" i="16"/>
  <c r="F43" i="16"/>
  <c r="E43" i="16"/>
  <c r="F42" i="16"/>
  <c r="E42" i="16"/>
  <c r="F41" i="16"/>
  <c r="E41" i="16"/>
  <c r="F36" i="16"/>
  <c r="F35" i="16"/>
  <c r="E35" i="16"/>
  <c r="F34" i="16"/>
  <c r="E34" i="16"/>
  <c r="F33" i="16"/>
  <c r="E33" i="16"/>
  <c r="F32" i="16"/>
  <c r="E32" i="16"/>
  <c r="F22" i="16"/>
  <c r="E22" i="16"/>
  <c r="F21" i="16"/>
  <c r="F20" i="16"/>
  <c r="E20" i="16"/>
  <c r="F16" i="16"/>
  <c r="E16" i="16"/>
  <c r="F15" i="16"/>
  <c r="E15" i="16"/>
  <c r="F14" i="16"/>
  <c r="E14" i="16"/>
  <c r="F13" i="16"/>
  <c r="E13" i="16"/>
  <c r="F12" i="16"/>
  <c r="E12" i="16"/>
  <c r="F11" i="16"/>
  <c r="E11" i="16"/>
  <c r="C70" i="12"/>
  <c r="C9" i="12" s="1"/>
  <c r="J9" i="12" s="1"/>
  <c r="E44" i="11"/>
  <c r="E9" i="11" s="1"/>
  <c r="D44" i="11"/>
  <c r="D9" i="11" s="1"/>
  <c r="C44" i="11"/>
  <c r="C9" i="11" s="1"/>
  <c r="F43" i="11"/>
  <c r="F41" i="11"/>
  <c r="F40" i="11"/>
  <c r="F39" i="11"/>
  <c r="F38" i="11"/>
  <c r="F37" i="11"/>
  <c r="F36" i="11"/>
  <c r="F35" i="11"/>
  <c r="F34" i="11"/>
  <c r="F33" i="11"/>
  <c r="F32" i="11"/>
  <c r="F31" i="11"/>
  <c r="F30" i="11"/>
  <c r="F29" i="11"/>
  <c r="F28" i="11"/>
  <c r="F27" i="11"/>
  <c r="F26" i="11"/>
  <c r="F25" i="11"/>
  <c r="F24" i="11"/>
  <c r="F23" i="11"/>
  <c r="F22" i="11"/>
  <c r="F21" i="11"/>
  <c r="F20" i="11"/>
  <c r="F19" i="11"/>
  <c r="F18" i="11"/>
  <c r="F17" i="11"/>
  <c r="F16" i="11"/>
  <c r="F15" i="11"/>
  <c r="F14" i="11"/>
  <c r="F13" i="11"/>
  <c r="E44" i="9"/>
  <c r="E9" i="9" s="1"/>
  <c r="D44" i="9"/>
  <c r="D9" i="9" s="1"/>
  <c r="C44" i="9"/>
  <c r="C9" i="9" s="1"/>
  <c r="I70" i="8"/>
  <c r="H70" i="8"/>
  <c r="G70" i="8"/>
  <c r="F70" i="8"/>
  <c r="E70" i="8"/>
  <c r="D70" i="8"/>
  <c r="C70" i="8"/>
  <c r="J69" i="8"/>
  <c r="H44" i="8"/>
  <c r="F44" i="8"/>
  <c r="E44" i="8"/>
  <c r="D44" i="8"/>
  <c r="C44" i="8"/>
  <c r="E70" i="7"/>
  <c r="D70" i="7"/>
  <c r="D9" i="7" s="1"/>
  <c r="C70" i="7"/>
  <c r="D64" i="7"/>
  <c r="F14" i="3"/>
  <c r="G14" i="3"/>
  <c r="F44" i="11" l="1"/>
  <c r="F9" i="11" s="1"/>
  <c r="F30" i="22"/>
  <c r="E13" i="17"/>
  <c r="F13" i="17"/>
  <c r="I12" i="3"/>
  <c r="F44" i="9"/>
  <c r="F9" i="9" s="1"/>
  <c r="E17" i="16"/>
  <c r="F53" i="16"/>
  <c r="F47" i="16"/>
  <c r="F37" i="16"/>
  <c r="E23" i="16"/>
  <c r="C14" i="3"/>
  <c r="J70" i="8"/>
  <c r="E47" i="16"/>
  <c r="E37" i="16"/>
  <c r="F23" i="16"/>
  <c r="D11" i="17"/>
  <c r="G11" i="17" s="1"/>
  <c r="D14" i="17"/>
  <c r="D10" i="17"/>
  <c r="G10" i="17" s="1"/>
  <c r="F17" i="16"/>
  <c r="I13" i="3"/>
  <c r="I10" i="3"/>
  <c r="I11" i="3"/>
  <c r="C49" i="19" l="1"/>
  <c r="E49" i="19"/>
  <c r="F49" i="19"/>
  <c r="E11" i="17"/>
  <c r="F11" i="17"/>
  <c r="G16" i="17"/>
  <c r="G15" i="17"/>
  <c r="G14" i="17"/>
  <c r="F14" i="17"/>
  <c r="E14" i="17"/>
  <c r="G13" i="17"/>
  <c r="F10" i="17"/>
  <c r="E10" i="17"/>
  <c r="E55" i="16"/>
  <c r="E16" i="17"/>
  <c r="F57" i="16"/>
  <c r="F55" i="16"/>
  <c r="I14" i="3"/>
  <c r="K14" i="3" s="1"/>
  <c r="J14" i="3" l="1"/>
  <c r="J10" i="3"/>
  <c r="J13" i="3"/>
  <c r="J12" i="3"/>
  <c r="J11" i="3"/>
  <c r="K12" i="3"/>
  <c r="K11" i="3"/>
  <c r="K13" i="3"/>
  <c r="K10" i="3"/>
  <c r="E57" i="16"/>
  <c r="A33" i="7" l="1"/>
  <c r="A26" i="7"/>
  <c r="A60" i="7"/>
  <c r="A58" i="7"/>
  <c r="A26" i="9" l="1"/>
  <c r="A33" i="9"/>
  <c r="C64" i="7" l="1"/>
  <c r="C9" i="7" s="1"/>
  <c r="I61" i="7" l="1"/>
  <c r="J61" i="7" s="1"/>
  <c r="I60" i="7"/>
  <c r="J60" i="7" s="1"/>
  <c r="E57" i="7"/>
  <c r="E62" i="7"/>
  <c r="I62" i="7" l="1"/>
  <c r="J62" i="7" s="1"/>
  <c r="E64" i="7"/>
  <c r="E9" i="7" s="1"/>
  <c r="I57" i="7"/>
  <c r="A26" i="101"/>
  <c r="A33" i="101"/>
  <c r="J57" i="7" l="1"/>
  <c r="J64" i="7" s="1"/>
  <c r="J9" i="7" s="1"/>
  <c r="I64" i="7"/>
  <c r="I9" i="7" s="1"/>
  <c r="F64" i="8" l="1"/>
  <c r="F9" i="8" s="1"/>
  <c r="D64" i="8"/>
  <c r="D9" i="8" s="1"/>
  <c r="I64" i="8"/>
  <c r="I9" i="8" s="1"/>
  <c r="E64" i="8"/>
  <c r="E9" i="8" s="1"/>
  <c r="J62" i="8"/>
  <c r="G64" i="8"/>
  <c r="G9" i="8" s="1"/>
  <c r="H64" i="8"/>
  <c r="H9" i="8" s="1"/>
  <c r="C64" i="8"/>
  <c r="C9" i="8" s="1"/>
  <c r="J57" i="8"/>
  <c r="J64" i="8" l="1"/>
  <c r="J9" i="8" s="1"/>
</calcChain>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00000000-0015-0000-FFFF-FFFF43000000}" keepAlive="1" name="s-srs-v01_pds RAP HFSV_Outcome" type="5" refreshedVersion="6" deleted="1" background="1" saveData="1">
    <dbPr connection="" command="" commandType="3"/>
  </connection>
</connections>
</file>

<file path=xl/sharedStrings.xml><?xml version="1.0" encoding="utf-8"?>
<sst xmlns="http://schemas.openxmlformats.org/spreadsheetml/2006/main" count="33754" uniqueCount="1316">
  <si>
    <t>Fire Safety and Organisational Statistics - Tables and Charts</t>
  </si>
  <si>
    <t>Scottish Fire and Rescue Service</t>
  </si>
  <si>
    <t>(formerly Fire and Rescue Service Statistics Scotland)</t>
  </si>
  <si>
    <t>31st August 2026</t>
  </si>
  <si>
    <t>Version 1.0</t>
  </si>
  <si>
    <t>Fire Safety and Organisational Statistics, Scotland</t>
  </si>
  <si>
    <t>The statistics included in this workbook are classed as Official Statistics. This means that they were produced in complinance with the Code of Practice for Statistics and without political interference.</t>
  </si>
  <si>
    <t>This workbook provides statistics on the Scottish Fire and Rescue Service. Covering:</t>
  </si>
  <si>
    <t xml:space="preserve"> - Geographic Reporting Structure</t>
  </si>
  <si>
    <t xml:space="preserve"> - Fire Stations and Capabilities</t>
  </si>
  <si>
    <t xml:space="preserve"> - Fire and Rescue Vehicles</t>
  </si>
  <si>
    <t xml:space="preserve"> - Workforce</t>
  </si>
  <si>
    <t xml:space="preserve"> - Attacks on Fire and Rescue Personnel</t>
  </si>
  <si>
    <t xml:space="preserve"> - Home Fire Safety Visits</t>
  </si>
  <si>
    <t xml:space="preserve"> - Non-Domestic Fire Safety</t>
  </si>
  <si>
    <t>Updates are published annually in this workbook, please source statistics from the latest version.</t>
  </si>
  <si>
    <t>Please see the most recent Fire Safety and Organisational Statistics publication for commentary on the statistics included in this workbook.</t>
  </si>
  <si>
    <t>Please see the Guidance Notes on Statistics publication for further details on these statistics including definitions and advice on interpretation.</t>
  </si>
  <si>
    <t xml:space="preserve">For enquiries or feedback please contact - </t>
  </si>
  <si>
    <t>National.Statistics@firescotland.gov.uk</t>
  </si>
  <si>
    <t>Table of Contents</t>
  </si>
  <si>
    <t>Click on a hyperlink to select the corresponding worksheet</t>
  </si>
  <si>
    <t>Topic</t>
  </si>
  <si>
    <t>Metric</t>
  </si>
  <si>
    <t>Link</t>
  </si>
  <si>
    <t>Code</t>
  </si>
  <si>
    <t>Geographic Reporting Structure</t>
  </si>
  <si>
    <t>Category</t>
  </si>
  <si>
    <t>link</t>
  </si>
  <si>
    <t>GRS1</t>
  </si>
  <si>
    <t>Fire Stations and Capabilities</t>
  </si>
  <si>
    <t>Crewing Model</t>
  </si>
  <si>
    <t>Sum</t>
  </si>
  <si>
    <t>FS_CM1</t>
  </si>
  <si>
    <t>Local Authority</t>
  </si>
  <si>
    <t>FS_CMLA1</t>
  </si>
  <si>
    <t>Primary Crewing Type</t>
  </si>
  <si>
    <t>FS_PC1</t>
  </si>
  <si>
    <t>FS_PCLA1</t>
  </si>
  <si>
    <t>Target Crewing Level</t>
  </si>
  <si>
    <t>FS_TCL1</t>
  </si>
  <si>
    <t>Capabilities</t>
  </si>
  <si>
    <t>FS_CAP1</t>
  </si>
  <si>
    <t>Fire Station Charts</t>
  </si>
  <si>
    <t>Primary Crewing Type and Crewing Model</t>
  </si>
  <si>
    <t>C_FS_P1</t>
  </si>
  <si>
    <t>C_FS_LAB1</t>
  </si>
  <si>
    <t>Map</t>
  </si>
  <si>
    <t>C_FS_M1</t>
  </si>
  <si>
    <t>Fire and Rescue Vehicles</t>
  </si>
  <si>
    <t>Type of Vehicle</t>
  </si>
  <si>
    <t>FL_TY1</t>
  </si>
  <si>
    <t>FL_LA1</t>
  </si>
  <si>
    <t>Workforce Tables</t>
  </si>
  <si>
    <t>Staff Type</t>
  </si>
  <si>
    <t>Headcount</t>
  </si>
  <si>
    <t>WF_STH1</t>
  </si>
  <si>
    <t>Full Time Equivalent</t>
  </si>
  <si>
    <t>WF_STF1</t>
  </si>
  <si>
    <t>Staff Type - Wholetime Operational</t>
  </si>
  <si>
    <t>Duty System</t>
  </si>
  <si>
    <t>WF_STDSH1</t>
  </si>
  <si>
    <t>Geographic Area</t>
  </si>
  <si>
    <t>WF_STDSLAH1</t>
  </si>
  <si>
    <t>Department</t>
  </si>
  <si>
    <t>WF_STDEH1</t>
  </si>
  <si>
    <t>WF_STDEF1</t>
  </si>
  <si>
    <t>Reporting Structure</t>
  </si>
  <si>
    <t>WF_STRSH1</t>
  </si>
  <si>
    <t>WF_STGAH1</t>
  </si>
  <si>
    <t>Role</t>
  </si>
  <si>
    <t>WF_STRH1</t>
  </si>
  <si>
    <t>WF_STRDSH1</t>
  </si>
  <si>
    <t>WF_STRRSH1</t>
  </si>
  <si>
    <t>WF_WRGAH1</t>
  </si>
  <si>
    <t>Staff Type - Retained Duty System</t>
  </si>
  <si>
    <t>WF_RRGH1</t>
  </si>
  <si>
    <t>Staff Type - Control</t>
  </si>
  <si>
    <t>WF_CRGH1</t>
  </si>
  <si>
    <t>Staff Type - Support Staff</t>
  </si>
  <si>
    <t>WF_SRGH1</t>
  </si>
  <si>
    <t>Staff Type - Volunteers</t>
  </si>
  <si>
    <t>WF_VRGH1</t>
  </si>
  <si>
    <t>WF_WRGF1</t>
  </si>
  <si>
    <t>WF_RRGF1</t>
  </si>
  <si>
    <t>WF_CRGF1</t>
  </si>
  <si>
    <t>WF_SRGF1</t>
  </si>
  <si>
    <t>Sex</t>
  </si>
  <si>
    <t>WF_STGH1</t>
  </si>
  <si>
    <t>WF_STG2H1</t>
  </si>
  <si>
    <t>WF_STGRH1</t>
  </si>
  <si>
    <t>WF_STGRF1</t>
  </si>
  <si>
    <t>Age Range</t>
  </si>
  <si>
    <t>WF_STARH1</t>
  </si>
  <si>
    <t>Percentage</t>
  </si>
  <si>
    <t>WF_STARP1</t>
  </si>
  <si>
    <t>Service Length</t>
  </si>
  <si>
    <t>WF_STSLH1</t>
  </si>
  <si>
    <t>WF_STSLP1</t>
  </si>
  <si>
    <t>Ethnicity</t>
  </si>
  <si>
    <t>WF_STETP1</t>
  </si>
  <si>
    <t>Disability</t>
  </si>
  <si>
    <t>WF_STDIP1</t>
  </si>
  <si>
    <t>Disability - Not Known</t>
  </si>
  <si>
    <t>WF_STDNP1</t>
  </si>
  <si>
    <t>New Entrants</t>
  </si>
  <si>
    <t>WF_NEARS1</t>
  </si>
  <si>
    <t>WF_NEGS1</t>
  </si>
  <si>
    <t>WF_NEETP1</t>
  </si>
  <si>
    <t>WF_NEDIP1</t>
  </si>
  <si>
    <t>Leavers</t>
  </si>
  <si>
    <t>Reason for Leaving</t>
  </si>
  <si>
    <t>WF_LERLP1</t>
  </si>
  <si>
    <t>Workforce Charts</t>
  </si>
  <si>
    <t>C_WF_STH1</t>
  </si>
  <si>
    <t>C_WF_STF1</t>
  </si>
  <si>
    <t>C_WF_STGH1</t>
  </si>
  <si>
    <t>C_WF_STARH1</t>
  </si>
  <si>
    <t>C_WF_STSLH1</t>
  </si>
  <si>
    <t>Attacks on SFRS Personnel</t>
  </si>
  <si>
    <t>Related to Operational Incidents</t>
  </si>
  <si>
    <t>AT_ROIS1</t>
  </si>
  <si>
    <t>Not Related to Operational Incidents</t>
  </si>
  <si>
    <t>AT_NOIS1</t>
  </si>
  <si>
    <t>AT_ROILAS1</t>
  </si>
  <si>
    <t>Attacks on SFRS Personnel Charts</t>
  </si>
  <si>
    <t>Type of Attack</t>
  </si>
  <si>
    <t>C_ATS1</t>
  </si>
  <si>
    <t>Type of Attack Resulting in Injuries</t>
  </si>
  <si>
    <t>C_ATIS1</t>
  </si>
  <si>
    <t>Attacks</t>
  </si>
  <si>
    <t>C_ATSLA1</t>
  </si>
  <si>
    <t>Home Fire Safety Visits</t>
  </si>
  <si>
    <t>Outcome and Smoke Alarms Installed</t>
  </si>
  <si>
    <t>HV_OS1</t>
  </si>
  <si>
    <t>Rate</t>
  </si>
  <si>
    <t>HV_OR1</t>
  </si>
  <si>
    <t>Households Visited</t>
  </si>
  <si>
    <t>Rate of Households</t>
  </si>
  <si>
    <t>HV_HR1</t>
  </si>
  <si>
    <t>Distinct Properties</t>
  </si>
  <si>
    <t>HV_DPS1</t>
  </si>
  <si>
    <t>Alarms Installed</t>
  </si>
  <si>
    <t>HV_DPAIS1</t>
  </si>
  <si>
    <t>HV_DPP1</t>
  </si>
  <si>
    <t>HV_DPAIP1</t>
  </si>
  <si>
    <t>Residents of Households Visited</t>
  </si>
  <si>
    <t>HV_RESARS1</t>
  </si>
  <si>
    <t>HV_RESARP1</t>
  </si>
  <si>
    <t>Tenure</t>
  </si>
  <si>
    <t>HV_TENS1</t>
  </si>
  <si>
    <t>Deprivation</t>
  </si>
  <si>
    <t>HV_DEPS1</t>
  </si>
  <si>
    <t>HV_DEPP1</t>
  </si>
  <si>
    <t>Alarms</t>
  </si>
  <si>
    <t>HV_DEPALS1</t>
  </si>
  <si>
    <t>HV_DEPALR1</t>
  </si>
  <si>
    <t>HV_DEPALPER1</t>
  </si>
  <si>
    <t>Owner Occupied</t>
  </si>
  <si>
    <t>HV_DEPALOOCP1</t>
  </si>
  <si>
    <t>Rurality</t>
  </si>
  <si>
    <t>HV_RURS1</t>
  </si>
  <si>
    <t>HV_RURP1</t>
  </si>
  <si>
    <t>HV_OLAS1</t>
  </si>
  <si>
    <t>HV_OLAP1</t>
  </si>
  <si>
    <t>Outcome</t>
  </si>
  <si>
    <t>HV_OLAR1</t>
  </si>
  <si>
    <t>Home Fire Safety Visit Charts</t>
  </si>
  <si>
    <t>C_HV_OS1</t>
  </si>
  <si>
    <t>C_HV_AIS1</t>
  </si>
  <si>
    <t>C_HV_RESP1</t>
  </si>
  <si>
    <t>C_HV_SIMDP1</t>
  </si>
  <si>
    <t>C_HV_SIMDAP1</t>
  </si>
  <si>
    <t>C_HV_SIMDAR1</t>
  </si>
  <si>
    <t>C_HV_SIMDOOP1</t>
  </si>
  <si>
    <t>Trend</t>
  </si>
  <si>
    <t>C_HV_SIMDOOCT1</t>
  </si>
  <si>
    <t>C_HV_RURP1</t>
  </si>
  <si>
    <t>C_HV_LAP1</t>
  </si>
  <si>
    <t>C_HV_LAM1</t>
  </si>
  <si>
    <t>C_HV_LAALM1</t>
  </si>
  <si>
    <t>C_HV_LAALPM1</t>
  </si>
  <si>
    <t>Non-domestic Fire Safety</t>
  </si>
  <si>
    <t>Workflows</t>
  </si>
  <si>
    <t>ND_WS1</t>
  </si>
  <si>
    <t>Audits</t>
  </si>
  <si>
    <t>Premises Type</t>
  </si>
  <si>
    <t>ND_APTS1</t>
  </si>
  <si>
    <t>ND_APTLA1</t>
  </si>
  <si>
    <t>Outcome and Time for Completion</t>
  </si>
  <si>
    <t>ND_OTS1</t>
  </si>
  <si>
    <t>ND_OTPTS1</t>
  </si>
  <si>
    <t>ND_OTPTLAS1</t>
  </si>
  <si>
    <t>Notices Issued</t>
  </si>
  <si>
    <t>ND_NIS1</t>
  </si>
  <si>
    <t>Risk</t>
  </si>
  <si>
    <t>ND_ARS1</t>
  </si>
  <si>
    <t>ND_ARP1</t>
  </si>
  <si>
    <t>Non-domestic Fire Safety Charts</t>
  </si>
  <si>
    <t>C_ND_WS1</t>
  </si>
  <si>
    <t>C_ND_RS1</t>
  </si>
  <si>
    <t>C_ND_RS2</t>
  </si>
  <si>
    <t>Back to Table of Contents</t>
  </si>
  <si>
    <t>Table code</t>
  </si>
  <si>
    <t>Update frequency</t>
  </si>
  <si>
    <t>Annual</t>
  </si>
  <si>
    <t>Revisions policy</t>
  </si>
  <si>
    <t>Revisions are not anticipated</t>
  </si>
  <si>
    <t>Year</t>
  </si>
  <si>
    <t>LA Code</t>
  </si>
  <si>
    <t>LSO Code</t>
  </si>
  <si>
    <t>SDA Code</t>
  </si>
  <si>
    <t>Service Delivery Area</t>
  </si>
  <si>
    <t>2018-19</t>
  </si>
  <si>
    <t>S12000033</t>
  </si>
  <si>
    <t>Aberdeen City</t>
  </si>
  <si>
    <t>S39000001</t>
  </si>
  <si>
    <t>S40000005</t>
  </si>
  <si>
    <t>North</t>
  </si>
  <si>
    <t>S12000034</t>
  </si>
  <si>
    <t>Aberdeenshire</t>
  </si>
  <si>
    <t>S39000002</t>
  </si>
  <si>
    <t>Aberdeenshire and Moray</t>
  </si>
  <si>
    <t>S12000041</t>
  </si>
  <si>
    <t>Angus</t>
  </si>
  <si>
    <t>S39000018</t>
  </si>
  <si>
    <t>Dundee, Angus, Perth and Kinross</t>
  </si>
  <si>
    <t>S12000035</t>
  </si>
  <si>
    <t>Argyll and Bute</t>
  </si>
  <si>
    <t>S39000003</t>
  </si>
  <si>
    <t>Argyll and Bute, East Dunbartonshire and West Dunbartonshire</t>
  </si>
  <si>
    <t>S40000003</t>
  </si>
  <si>
    <t>West</t>
  </si>
  <si>
    <t>S12000036</t>
  </si>
  <si>
    <t>City of Edinburgh</t>
  </si>
  <si>
    <t>S39000009</t>
  </si>
  <si>
    <t>Edinburgh City</t>
  </si>
  <si>
    <t>S40000004</t>
  </si>
  <si>
    <t>East</t>
  </si>
  <si>
    <t>S12000005</t>
  </si>
  <si>
    <t>Clackmannanshire</t>
  </si>
  <si>
    <t>S39000016</t>
  </si>
  <si>
    <t>Stirling and Clackmannanshire</t>
  </si>
  <si>
    <t>S12000006</t>
  </si>
  <si>
    <t>Dumfries and Galloway</t>
  </si>
  <si>
    <t>S39000004</t>
  </si>
  <si>
    <t>S12000042</t>
  </si>
  <si>
    <t>Dundee City</t>
  </si>
  <si>
    <t>S12000008</t>
  </si>
  <si>
    <t>East Ayrshire</t>
  </si>
  <si>
    <t>S39000006</t>
  </si>
  <si>
    <t>East Ayrshire, North Ayrshire and South Ayrshire</t>
  </si>
  <si>
    <t>S12000045</t>
  </si>
  <si>
    <t>East Dunbartonshire</t>
  </si>
  <si>
    <t>S12000010</t>
  </si>
  <si>
    <t>East Lothian</t>
  </si>
  <si>
    <t>S39000007</t>
  </si>
  <si>
    <t>East Lothian, Midlothian and the Scottish Borders</t>
  </si>
  <si>
    <t>S12000011</t>
  </si>
  <si>
    <t>East Renfrewshire</t>
  </si>
  <si>
    <t>S39000008</t>
  </si>
  <si>
    <t>East Renfrewshire, Renfrewshire and Inverclyde</t>
  </si>
  <si>
    <t>S12000014</t>
  </si>
  <si>
    <t>Falkirk</t>
  </si>
  <si>
    <t>S39000010</t>
  </si>
  <si>
    <t>Falkirk and West Lothian</t>
  </si>
  <si>
    <t>S12000047</t>
  </si>
  <si>
    <t>Fife</t>
  </si>
  <si>
    <t>S39000019</t>
  </si>
  <si>
    <t>S12000046</t>
  </si>
  <si>
    <t>Glasgow City</t>
  </si>
  <si>
    <t>S39000012</t>
  </si>
  <si>
    <t>S12000017</t>
  </si>
  <si>
    <t>Highland</t>
  </si>
  <si>
    <t>S39000013</t>
  </si>
  <si>
    <t>Highlands</t>
  </si>
  <si>
    <t>S12000018</t>
  </si>
  <si>
    <t>Inverclyde</t>
  </si>
  <si>
    <t>S12000019</t>
  </si>
  <si>
    <t>Midlothian</t>
  </si>
  <si>
    <t>S12000020</t>
  </si>
  <si>
    <t>Moray</t>
  </si>
  <si>
    <t>S12000013</t>
  </si>
  <si>
    <t>Na h-Eileanan Siar</t>
  </si>
  <si>
    <t>S39000017</t>
  </si>
  <si>
    <t>Western Isles, Orkney and Shetland Islands</t>
  </si>
  <si>
    <t>S12000021</t>
  </si>
  <si>
    <t>North Ayrshire</t>
  </si>
  <si>
    <t>S12000044</t>
  </si>
  <si>
    <t>North Lanarkshire</t>
  </si>
  <si>
    <t>S39000014</t>
  </si>
  <si>
    <t>S12000023</t>
  </si>
  <si>
    <t>Orkney Islands</t>
  </si>
  <si>
    <t>S12000024</t>
  </si>
  <si>
    <t>Perth and Kinross</t>
  </si>
  <si>
    <t>S12000038</t>
  </si>
  <si>
    <t>Renfrewshire</t>
  </si>
  <si>
    <t>S12000026</t>
  </si>
  <si>
    <t>Scottish Borders</t>
  </si>
  <si>
    <t>S12000027</t>
  </si>
  <si>
    <t>Shetland Islands</t>
  </si>
  <si>
    <t>S12000028</t>
  </si>
  <si>
    <t>South Ayrshire</t>
  </si>
  <si>
    <t>S12000029</t>
  </si>
  <si>
    <t>South Lanarkshire</t>
  </si>
  <si>
    <t>S39000015</t>
  </si>
  <si>
    <t>S12000030</t>
  </si>
  <si>
    <t>Stirling</t>
  </si>
  <si>
    <t>S12000039</t>
  </si>
  <si>
    <t>West Dunbartonshire</t>
  </si>
  <si>
    <t>S12000040</t>
  </si>
  <si>
    <t>West Lothian</t>
  </si>
  <si>
    <t>2019-20</t>
  </si>
  <si>
    <t>Stirling, Clackmannanshire and Fife</t>
  </si>
  <si>
    <t>S12000049</t>
  </si>
  <si>
    <t>S39000020</t>
  </si>
  <si>
    <t>S12000050</t>
  </si>
  <si>
    <t>S39000021</t>
  </si>
  <si>
    <t>2020-21</t>
  </si>
  <si>
    <t>S39000022</t>
  </si>
  <si>
    <t>2021-22</t>
  </si>
  <si>
    <t>S39000023</t>
  </si>
  <si>
    <t>Aberdeen City, Aberdeenshire and Moray</t>
  </si>
  <si>
    <t>S39000024</t>
  </si>
  <si>
    <t>Lanarkshire</t>
  </si>
  <si>
    <t>2022-23</t>
  </si>
  <si>
    <t>2023-24</t>
  </si>
  <si>
    <t>Clackmannanshire, Fife and Stirling</t>
  </si>
  <si>
    <t>2024-25</t>
  </si>
  <si>
    <t>Notes</t>
  </si>
  <si>
    <t>This table maps the geographic areas in the SFRS organisational structure. The 32 Local Authority areas are mapped to the 14 Formal Local Senior Officer Areas and Local Senior Officer Areas in use by SFRS, and 3 Service Delivery Areas.</t>
  </si>
  <si>
    <t>Please note that in 2019-20, SFRS merged the 'Stirling and Clackmannanshire' and 'Fife' LSO areas to form the new 'Stirling, Clackmannanshire and Fife' area. In 2021-22, SFRS merged 'Aberdeen City' and 'Aberdeenshire and Moray' to form the new 'Aberdeen City, Aberdeenshire and Moray area. SFRS also merged 'North Lanarkshire' and 'South Lanarkshire' to from the new 'Lanarkshire' area in 2021-22.</t>
  </si>
  <si>
    <t>In 2023, SFRS changed the name of the LSO Area 'Stirling, Clackmannanshire and Fife' to 'Clackmannanshire, Fife and Stirling'.</t>
  </si>
  <si>
    <t>Fire Station Statistics</t>
  </si>
  <si>
    <t>Fire Stations by Station Crewing Model</t>
  </si>
  <si>
    <t>Wholetime</t>
  </si>
  <si>
    <t>Wholetime and Day</t>
  </si>
  <si>
    <t>Wholetime and Retained</t>
  </si>
  <si>
    <t>Retained</t>
  </si>
  <si>
    <t>Volunteer</t>
  </si>
  <si>
    <t>Total</t>
  </si>
  <si>
    <t>2016-17</t>
  </si>
  <si>
    <t>2017-18</t>
  </si>
  <si>
    <t>In 2019-20 we implemented a methodology change for counting Fire Stations which results in the number of volunteer stations increasing by 1 to 43. This change has been backdated. This follows user consultation in 2019.</t>
  </si>
  <si>
    <t>There are five station crewing models in use in Scotland. These aggregate into the three primary crewing types which are also published. Please see the Guidance Notes publication for definitions and further details.</t>
  </si>
  <si>
    <t>Fire Stations by Crewing Model and Local Authority</t>
  </si>
  <si>
    <t>Number</t>
  </si>
  <si>
    <t>Local Authority Area</t>
  </si>
  <si>
    <t>Scotland (total)</t>
  </si>
  <si>
    <t>In 2019-20, we implemented a methodology change for counting Fire Stations which results in the number of volunteer stations increasing by 1 to 43. This change has been backdated. This follows user consultation in 2019.</t>
  </si>
  <si>
    <t>Row Labels</t>
  </si>
  <si>
    <t>Sum of Wholetime</t>
  </si>
  <si>
    <t>Sum of Wholetime and Retained</t>
  </si>
  <si>
    <t>Sum of Wholetime and Day</t>
  </si>
  <si>
    <t>Sum of Retained</t>
  </si>
  <si>
    <t>Sum of Volunteer</t>
  </si>
  <si>
    <t>Sum of Total</t>
  </si>
  <si>
    <t>Grand Total</t>
  </si>
  <si>
    <t>LA</t>
  </si>
  <si>
    <t>Fire Stations by Primary Crewing Type</t>
  </si>
  <si>
    <t>Day-Crewed</t>
  </si>
  <si>
    <t>Retained Duty System</t>
  </si>
  <si>
    <t>2011-12</t>
  </si>
  <si>
    <t>2012-13</t>
  </si>
  <si>
    <t>2013-14</t>
  </si>
  <si>
    <t>2014-15</t>
  </si>
  <si>
    <t>2015-16</t>
  </si>
  <si>
    <t>Stations which operate with more than one crewing model are counted in the category with the highest level of cover. Please see the Guidance Notes document for definitions and further details.</t>
  </si>
  <si>
    <t>We have implemented a methodology change for counting Fire Stations which results in the number of volunteer stations increasing by 1 to 43. This change has been backdated. This follows user consultation in 2019.</t>
  </si>
  <si>
    <t>Fire Stations by Primary Crewing Type and Local Authority</t>
  </si>
  <si>
    <t>Target Crewing Level By Type</t>
  </si>
  <si>
    <t>Day</t>
  </si>
  <si>
    <t>Wholetime crewing involves 24 hour cover.</t>
  </si>
  <si>
    <t>Day crewing is Wholetime during the day (Monday to Friday 8am to 6pm) and Retained Duty System at night and during the weekends.</t>
  </si>
  <si>
    <t>Retained staff are contracted to be available at agreed periods of time but are typically not in the station during these hours. This is also known as 'on-call'.</t>
  </si>
  <si>
    <t>Volunteer crewing does not involve agreed periods of on-call cover. This is also known as 'on-call'.</t>
  </si>
  <si>
    <t>Fiscal_Yr</t>
  </si>
  <si>
    <t>CapabilityType</t>
  </si>
  <si>
    <t>Capability</t>
  </si>
  <si>
    <t>Value</t>
  </si>
  <si>
    <t>MTA</t>
  </si>
  <si>
    <t>NationalFireResilience</t>
  </si>
  <si>
    <t>CSU</t>
  </si>
  <si>
    <t>DIM</t>
  </si>
  <si>
    <t>Flood</t>
  </si>
  <si>
    <t>HSU</t>
  </si>
  <si>
    <t>Number of Stations with Capability</t>
  </si>
  <si>
    <t>HVP</t>
  </si>
  <si>
    <t>National Fire Resilience</t>
  </si>
  <si>
    <t>MD</t>
  </si>
  <si>
    <t>Specialist</t>
  </si>
  <si>
    <t>SOR</t>
  </si>
  <si>
    <t>Tactical</t>
  </si>
  <si>
    <t>SRT</t>
  </si>
  <si>
    <t>USAR</t>
  </si>
  <si>
    <t>EPU</t>
  </si>
  <si>
    <t>HighR</t>
  </si>
  <si>
    <t>HvR</t>
  </si>
  <si>
    <t>Prime Movers</t>
  </si>
  <si>
    <t>Rope</t>
  </si>
  <si>
    <t>Welfare</t>
  </si>
  <si>
    <t>Foam</t>
  </si>
  <si>
    <t>MOG</t>
  </si>
  <si>
    <t>RRU</t>
  </si>
  <si>
    <t>Water C</t>
  </si>
  <si>
    <t>Wildfire</t>
  </si>
  <si>
    <t>WaterPumping</t>
  </si>
  <si>
    <t>ONE PUMP</t>
  </si>
  <si>
    <t>THREE PUMPS</t>
  </si>
  <si>
    <t>TWO PUMPS</t>
  </si>
  <si>
    <t>PUMPS</t>
  </si>
  <si>
    <t/>
  </si>
  <si>
    <t>2025-26</t>
  </si>
  <si>
    <t>Sum of Value</t>
  </si>
  <si>
    <t>Column Labels</t>
  </si>
  <si>
    <t>(blank)</t>
  </si>
  <si>
    <t>Sum of Number of Stations with Capability</t>
  </si>
  <si>
    <t>Fire Station Capabilities</t>
  </si>
  <si>
    <t>Firefighting Capabilities</t>
  </si>
  <si>
    <t>Water Pumping</t>
  </si>
  <si>
    <t>Tactical Ability within Water Pumping</t>
  </si>
  <si>
    <t>1 Pump</t>
  </si>
  <si>
    <t>2 Pumps</t>
  </si>
  <si>
    <t>3 Pumps</t>
  </si>
  <si>
    <t>Rapid Response Unit</t>
  </si>
  <si>
    <t>Water Carrier</t>
  </si>
  <si>
    <t>Stations with Tactical Capabilities</t>
  </si>
  <si>
    <t>Total Tactical Capabilities</t>
  </si>
  <si>
    <t>SFRS National Fire Resilience Capabilities</t>
  </si>
  <si>
    <t>Flooding</t>
  </si>
  <si>
    <t>Swift Water Response</t>
  </si>
  <si>
    <t>Detection, Identification and Monitoring Unit</t>
  </si>
  <si>
    <t>Hazmat Support Unit</t>
  </si>
  <si>
    <t>Specialist Operational Response</t>
  </si>
  <si>
    <t>Mass Decontamination</t>
  </si>
  <si>
    <t>Urban Search and Rescue</t>
  </si>
  <si>
    <t>Enhanced Logistical support/Command Support Unit</t>
  </si>
  <si>
    <t>High Volume Pump</t>
  </si>
  <si>
    <t>Stations with National Fire Resilience Capabilities</t>
  </si>
  <si>
    <t>Total National Fire Resilience Capabilities</t>
  </si>
  <si>
    <t>Specialist Capabilities</t>
  </si>
  <si>
    <t>Environ-mental Protection Unit</t>
  </si>
  <si>
    <t>High Reach Rescue</t>
  </si>
  <si>
    <t>Rope Rescue</t>
  </si>
  <si>
    <t>Heavy Rescue</t>
  </si>
  <si>
    <t>Stations with Specialist Capabilities</t>
  </si>
  <si>
    <t>Total Specialist Capabilities</t>
  </si>
  <si>
    <t>Capabilities can be determined both by the presence of equipment or vehicles, and trained personnel.</t>
  </si>
  <si>
    <t>A single crew can be trained and resourced for multiple capabilites which are mobiliesed based on need, this 'Dual Crewing' is common place.</t>
  </si>
  <si>
    <t>High Reach Rescue vehicles, while a specialist capability in their own right, can also be used as a tactical capabiltiy in firefighting where water is pumped down onto a fire from height.</t>
  </si>
  <si>
    <t>Please note in 2021-22, chose to categorise Capabilities differently from previous years, introducing the category 'National Fire Resilience Capabilities'. Individual capabilities still have the same definitions as before and are comparable to previous years.</t>
  </si>
  <si>
    <t xml:space="preserve">SFRS have chosen to remove Marine, Foam and Prime Movers as Capabilities in 2021-22. Foam is seen as being a firefighting medium, rather than a capability. Marine response does not have specialist capabilities attributed that are not already included in the existing categories, removing duplication. Prime Movers are used to transport certain capabilities and this removes duplication. </t>
  </si>
  <si>
    <t>Please note SFRS is in the implementation stage of a new Wildfire Strategy. Please see the Wildfire Strategy page on the SFRS website for more information. Please also note the figure for wildfire capabilities includes stations which have specialised vehicles to respond to wildfires, as well as stations where there is additional specialist equipment that is required for wildfire response.</t>
  </si>
  <si>
    <t>Fire Station Types</t>
  </si>
  <si>
    <t>Chart Code</t>
  </si>
  <si>
    <t>Map of Fire Stations by Type</t>
  </si>
  <si>
    <t>Sum of Pumping Appliances</t>
  </si>
  <si>
    <t>Sum of Aerial Appliances</t>
  </si>
  <si>
    <t>Sum of Resilience Appliances</t>
  </si>
  <si>
    <t>Sum of Fire Boats</t>
  </si>
  <si>
    <t>Sum of Vehicles for Rescue Work</t>
  </si>
  <si>
    <t>Sum of Small Firefighting Vehicles</t>
  </si>
  <si>
    <t>Sum of Other</t>
  </si>
  <si>
    <t>Sum of Total Appliances</t>
  </si>
  <si>
    <t>Sum of Officer Response Vehicles</t>
  </si>
  <si>
    <t>Sum of Reserve Appliances</t>
  </si>
  <si>
    <t>Sum of Training Appliances</t>
  </si>
  <si>
    <t>Sum of Other Fleet Vehicles (excl Officer Response Vehicles)</t>
  </si>
  <si>
    <t>Sum of Total Vehicles (incl boats)</t>
  </si>
  <si>
    <t>Pumping Appliances</t>
  </si>
  <si>
    <t>Aerial Appliances</t>
  </si>
  <si>
    <t>Resilience Appliances</t>
  </si>
  <si>
    <t>Fire Boats</t>
  </si>
  <si>
    <t>Vehicles for Rescue Work</t>
  </si>
  <si>
    <t>Small Firefighting Vehicles</t>
  </si>
  <si>
    <t>Other</t>
  </si>
  <si>
    <t>Total Appliances</t>
  </si>
  <si>
    <t>Officer Response Vehicles</t>
  </si>
  <si>
    <t>Reserve Appliances</t>
  </si>
  <si>
    <t>Training Appliances</t>
  </si>
  <si>
    <t>Other Fleet Vehicles (excl Officer Response Vehicles)</t>
  </si>
  <si>
    <t>Total Vehicles (incl boats)</t>
  </si>
  <si>
    <t>Fire and Rescue Vehicles Statistics</t>
  </si>
  <si>
    <t>Fire and Rescue Vehicles by Type</t>
  </si>
  <si>
    <t>Operational</t>
  </si>
  <si>
    <t>Non-Operational</t>
  </si>
  <si>
    <t>Other Appliances</t>
  </si>
  <si>
    <t>Other Fleet Vehicles (excl. Officer Response Vehicles)</t>
  </si>
  <si>
    <t>Total Vehicles (incl. boats)</t>
  </si>
  <si>
    <t>SFRS Fleet data is administed principally for the purpose of managing the lifecycle and maintenance of vehicles. Identifying vehicles as operational, reserve or training is conducted as accurately as possible but may not be exact. Please see Capabilites for details of what is available for operational response.</t>
  </si>
  <si>
    <t>Light greyed cells have quality issues that should be considered before using the statistics.</t>
  </si>
  <si>
    <t>It was not possible to publish data on the number of fire boats in 2013-14. The total appliances figure is consequently lower than other years, this is provided for information and should not be used for comparison between years.</t>
  </si>
  <si>
    <t>The Resilience Appliances figure for 2015-16 is an undercount. Year-to-year comparison in both the Resilience and Other Operational categories is not recommended. The issue stems from a mismatch between the CIPFA categories and those recorded on the national fleet system. This longstanding issue has led to variation in definitions prior to the formation of SFRS. Subsequently, while efforts have been made to mitigate this issue, it is still challenging to match these categories.</t>
  </si>
  <si>
    <t>It was not possible to backdate the Officer Response Vehicles or Other Vehicles categories as we can not determine, according to the CIPFA guidelines,  which cars were used operationaly in 2016-17 or previously. The figure for 2017-18 should be considered a foor value as this was mid way through the rollout of an officer provided car scheme. The count for 2018-19 should also be considered a lower estimate albeit more robust.</t>
  </si>
  <si>
    <t>Sum of Other Operational</t>
  </si>
  <si>
    <t>Other Operational</t>
  </si>
  <si>
    <t>S12000048</t>
  </si>
  <si>
    <t>Fire and Rescue Vehicles by Type, by Local Authority</t>
  </si>
  <si>
    <t>Vehicles Primarily for Rescue Work</t>
  </si>
  <si>
    <t xml:space="preserve">Other Operational </t>
  </si>
  <si>
    <t xml:space="preserve"> Resilience Appliances</t>
  </si>
  <si>
    <t>Operational Total</t>
  </si>
  <si>
    <t>Scotland (excluding boats)</t>
  </si>
  <si>
    <t>SFRS Fleet data is administed principally for the purpose of managing the lifecycle and maintenance of vehicles. Identifying vehicles as operational, reserve or training is conducted as accurately as possible but may not be exact. Please see station capabilites for details of what is available for operational response.</t>
  </si>
  <si>
    <t>Operational Boats are provided at national level only.</t>
  </si>
  <si>
    <t>Sum of WholeTime Operational</t>
  </si>
  <si>
    <t>Sum of Retained Duty System</t>
  </si>
  <si>
    <t>Sum of RDS Fulltime</t>
  </si>
  <si>
    <t>Sum of Control</t>
  </si>
  <si>
    <t>Sum of Support</t>
  </si>
  <si>
    <t>2010-11</t>
  </si>
  <si>
    <t>WholeTime Operational</t>
  </si>
  <si>
    <t>RDS Fulltime</t>
  </si>
  <si>
    <t>Control</t>
  </si>
  <si>
    <t>Support</t>
  </si>
  <si>
    <t>Workforce Statistics</t>
  </si>
  <si>
    <t>SFRS Headcount by Staff Type</t>
  </si>
  <si>
    <t>Wholetime Operational</t>
  </si>
  <si>
    <t>Retained Full-time</t>
  </si>
  <si>
    <t>All staff total</t>
  </si>
  <si>
    <t>All staff (excluding volunteers)</t>
  </si>
  <si>
    <t>In 2020 we introduced a new staff type, Retained Full-time. This staff group work in areas with a cluster of Retained Duty System stations and supplement the local on-call cover, as well as conduct local community engagement.</t>
  </si>
  <si>
    <t>Please note that these headcount figures do not represent our Target Operating Model.</t>
  </si>
  <si>
    <t>SFRS Full-time Equivalent by Staff Type</t>
  </si>
  <si>
    <t>Full Time Equivalent (FTE) counts the ratio of a staff member’s contracted working hours to the standard contract hours for that staff group.</t>
  </si>
  <si>
    <t>FTE is not calculated for Volunteers.</t>
  </si>
  <si>
    <t>FTE statistics are rounded after they are calculated.</t>
  </si>
  <si>
    <t>Sum of Operational Crewing</t>
  </si>
  <si>
    <t>Sum of Incident Command Officers</t>
  </si>
  <si>
    <t>Sum of Office Duties</t>
  </si>
  <si>
    <t>Sum of Trainees</t>
  </si>
  <si>
    <t>Operational Crewing</t>
  </si>
  <si>
    <t>Incident Command Officers</t>
  </si>
  <si>
    <t>Office Duties</t>
  </si>
  <si>
    <t>Trainees</t>
  </si>
  <si>
    <t>Off Station</t>
  </si>
  <si>
    <t>Staff in the Off Station category includes those working in Fire Investigation, Fire Safety Enforcement, Fire Engineering, Community Safety Engagement, Operations, Training, and Safety and Assurance, as well as those involved in planning, projects and in other departments. It is important to note that these staff are trained to carry out operational duties and that, should it be required, they can be called up for operational duty as well.</t>
  </si>
  <si>
    <t>1:LA</t>
  </si>
  <si>
    <t>Dumfries and Gallowa</t>
  </si>
  <si>
    <t>1:LA Total</t>
  </si>
  <si>
    <t>2:LSO</t>
  </si>
  <si>
    <t>2:LSO Total</t>
  </si>
  <si>
    <t>3:SDA</t>
  </si>
  <si>
    <t>3:SDA Total</t>
  </si>
  <si>
    <t>4:National</t>
  </si>
  <si>
    <t>Scotland</t>
  </si>
  <si>
    <t>4:National Total</t>
  </si>
  <si>
    <t>ReportingLevel</t>
  </si>
  <si>
    <t>lvl</t>
  </si>
  <si>
    <t>S92000003</t>
  </si>
  <si>
    <t>Area</t>
  </si>
  <si>
    <t>Scotland Total</t>
  </si>
  <si>
    <t>Local Authority Area (total)</t>
  </si>
  <si>
    <t>Local Senior Officer Area</t>
  </si>
  <si>
    <t>Local Senior Officer Area (total)</t>
  </si>
  <si>
    <t>Service Delivery Area (total)</t>
  </si>
  <si>
    <t>GSS Code</t>
  </si>
  <si>
    <t>National Level</t>
  </si>
  <si>
    <t>Grey shaded cells indicate where area breakdown by staff type is not applicable.</t>
  </si>
  <si>
    <t>Directorate</t>
  </si>
  <si>
    <t>Unit</t>
  </si>
  <si>
    <t>Asset Management</t>
  </si>
  <si>
    <t>Business Support</t>
  </si>
  <si>
    <t>Finance &amp; Procurement</t>
  </si>
  <si>
    <t>Health, Safety and Organisational Wellbeing</t>
  </si>
  <si>
    <t>Human Resources Organisational Development</t>
  </si>
  <si>
    <t xml:space="preserve">Information Communication Technology </t>
  </si>
  <si>
    <t>Prevention and Protection</t>
  </si>
  <si>
    <t>Response and Resilience</t>
  </si>
  <si>
    <t>Senior Leadership Team</t>
  </si>
  <si>
    <t>Service Delivery</t>
  </si>
  <si>
    <t>Service Transformation</t>
  </si>
  <si>
    <t>Strategic Planning Performance and Communication</t>
  </si>
  <si>
    <t>Training and Employee Development</t>
  </si>
  <si>
    <t>Health and Safety</t>
  </si>
  <si>
    <t>People &amp; Organisational Development</t>
  </si>
  <si>
    <t>Finance &amp; Contractual Services</t>
  </si>
  <si>
    <t>People &amp;  Organisational Development</t>
  </si>
  <si>
    <t>Local Senior Officer Areas</t>
  </si>
  <si>
    <t>Operations</t>
  </si>
  <si>
    <t>Prevention &amp; Protection</t>
  </si>
  <si>
    <t>Projects</t>
  </si>
  <si>
    <t>Training</t>
  </si>
  <si>
    <t>Service Development</t>
  </si>
  <si>
    <t>Information Communication Technology</t>
  </si>
  <si>
    <t>Strategic Leadership Team</t>
  </si>
  <si>
    <t>Strategic Planning, Performance &amp; Communication</t>
  </si>
  <si>
    <t>Communications and Engagement</t>
  </si>
  <si>
    <t>Corporate Governance</t>
  </si>
  <si>
    <t>Training, Safety &amp; Assurance</t>
  </si>
  <si>
    <t>Safety &amp; Assurance</t>
  </si>
  <si>
    <t>Operational Delivery</t>
  </si>
  <si>
    <t>People</t>
  </si>
  <si>
    <t xml:space="preserve"> Talent</t>
  </si>
  <si>
    <t xml:space="preserve"> Wellbeing</t>
  </si>
  <si>
    <t>Portfolio Office</t>
  </si>
  <si>
    <t xml:space="preserve"> AASI</t>
  </si>
  <si>
    <t xml:space="preserve"> Programme and Project Delivery</t>
  </si>
  <si>
    <t>PP&amp;P</t>
  </si>
  <si>
    <t xml:space="preserve"> Preparedness</t>
  </si>
  <si>
    <t xml:space="preserve"> Prevention</t>
  </si>
  <si>
    <t xml:space="preserve"> Protection</t>
  </si>
  <si>
    <t>Department' is not a term used internally by SFRS, rather SFRS is split into Directorates, Units and Functions. These departments are a merger of internal structures which have been produced for clarity.</t>
  </si>
  <si>
    <t>Staff Type by Department - Full Time Equivalent</t>
  </si>
  <si>
    <t>Sum of Wholetime Operational</t>
  </si>
  <si>
    <t>Sum of RDS</t>
  </si>
  <si>
    <t>RDS</t>
  </si>
  <si>
    <t>RDS Full-time</t>
  </si>
  <si>
    <t>All Staff Total</t>
  </si>
  <si>
    <t xml:space="preserve">All Staff (excl. volunteers) </t>
  </si>
  <si>
    <t>All Staff (excl. volunteers)</t>
  </si>
  <si>
    <t xml:space="preserve">Local Authority Area </t>
  </si>
  <si>
    <t xml:space="preserve">Local Senior Officer Area </t>
  </si>
  <si>
    <t>National</t>
  </si>
  <si>
    <t>SCOTLAND (total)</t>
  </si>
  <si>
    <t>- in cells indicates where area breakdown by staff type is not applicable.</t>
  </si>
  <si>
    <t>Staff counts are provided at the geographic area appropriate for the staff type and position in the SFRS working structure. For example Wholetime Operational staff crewing an appliance in a fire station are reported at local authority while Wholetime Operational staff who work in prevention would report at Local Senior Officer Area as their work relates to that geographic area. Support staff are reported nationally.</t>
  </si>
  <si>
    <t>S40000002</t>
  </si>
  <si>
    <t>All Staff (excluding volunteers)</t>
  </si>
  <si>
    <t>-</t>
  </si>
  <si>
    <t>Type</t>
  </si>
  <si>
    <t>Brigade Manager</t>
  </si>
  <si>
    <t>Area Manager</t>
  </si>
  <si>
    <t>Group Manager</t>
  </si>
  <si>
    <t>Station Manager</t>
  </si>
  <si>
    <t>Watch Manager</t>
  </si>
  <si>
    <t>Crew Manager</t>
  </si>
  <si>
    <t>Firefighter</t>
  </si>
  <si>
    <t>Vol</t>
  </si>
  <si>
    <t>WT</t>
  </si>
  <si>
    <t>Sum of Brigade Manager</t>
  </si>
  <si>
    <t>Sum of Area Manager</t>
  </si>
  <si>
    <t>Sum of Group Manager</t>
  </si>
  <si>
    <t>Sum of Station Manager</t>
  </si>
  <si>
    <t>Sum of Watch Manager</t>
  </si>
  <si>
    <t>Sum of Crew Manager</t>
  </si>
  <si>
    <t>Sum of Firefighter</t>
  </si>
  <si>
    <t>Uniformed Staff by Role</t>
  </si>
  <si>
    <t>Brigade Commander</t>
  </si>
  <si>
    <t>Area Commander</t>
  </si>
  <si>
    <t>Group Commander</t>
  </si>
  <si>
    <t>Station Commander</t>
  </si>
  <si>
    <t>Watch Commander</t>
  </si>
  <si>
    <t>Crew Commander</t>
  </si>
  <si>
    <t>Wholetime Operational - Number</t>
  </si>
  <si>
    <t>Wholetime Operational - Percent</t>
  </si>
  <si>
    <t>RDS - Number</t>
  </si>
  <si>
    <t>RDS - Percent</t>
  </si>
  <si>
    <t>RDS Full-time - Number</t>
  </si>
  <si>
    <t>RDS Full-time - Percent</t>
  </si>
  <si>
    <t>Control - Number</t>
  </si>
  <si>
    <t>Control - Percent</t>
  </si>
  <si>
    <t>Volunteer - Number</t>
  </si>
  <si>
    <t>Volunteer - Percent</t>
  </si>
  <si>
    <t>The staff role category names were changed in 2020 from 'Manager' to 'Commander' as SFRS changed this language internally, this ensures consistency of language in describing Uniformed Staff Roles in Scotland. There has been no change to the definitions of the roles and they remain comparable with categories used elsewhere, e.g. Area Commander is synonymous with Area Manager.</t>
  </si>
  <si>
    <t>The Brigade Commander category had included Deputy Assistant Chief Officers (DACOs) in 2014-15 and 2015-16, these are now counted in the Area Commander category. This change could not be backdated.</t>
  </si>
  <si>
    <t>Sum of Brigade Commander</t>
  </si>
  <si>
    <t>Sum of Area Commander</t>
  </si>
  <si>
    <t>Sum of Group Commander</t>
  </si>
  <si>
    <t>Sum of Station Commander</t>
  </si>
  <si>
    <t>Sum of Watch Commander</t>
  </si>
  <si>
    <t>Sum of Crew Commander</t>
  </si>
  <si>
    <t>Operational Crews</t>
  </si>
  <si>
    <t>EmployeeGroup</t>
  </si>
  <si>
    <t>Wholetime Operational Staff Total</t>
  </si>
  <si>
    <t>Wholetime Operational Staff</t>
  </si>
  <si>
    <t>The Brigade Manager category had included Deputy Assistant Chief Officers (DACOs) in 2014-15 and 2015-16, these are now counted in the Area manager category. This change could not be backdated.</t>
  </si>
  <si>
    <t>The Station Manager category formerly included a small number of staff at Local Authority level, since 2016-17 they have all been reported at Local Senior Officer Area.</t>
  </si>
  <si>
    <t>All Retained Duty System staff are reported at Local Authority Area for these statistics.</t>
  </si>
  <si>
    <t>Sum of Control Operator</t>
  </si>
  <si>
    <t>Control Operator</t>
  </si>
  <si>
    <t>Sum of Director</t>
  </si>
  <si>
    <t>Sum of Service Manager</t>
  </si>
  <si>
    <t>Sum of Team Leader</t>
  </si>
  <si>
    <t>Sum of Professional</t>
  </si>
  <si>
    <t>Sum of Specialist Technical</t>
  </si>
  <si>
    <t>Sum of Tech Support</t>
  </si>
  <si>
    <t>Sum of Administration</t>
  </si>
  <si>
    <t>Director</t>
  </si>
  <si>
    <t>Service Manager</t>
  </si>
  <si>
    <t>Team Leader</t>
  </si>
  <si>
    <t>Professional</t>
  </si>
  <si>
    <t>Specialist Technical</t>
  </si>
  <si>
    <t>Tech Support</t>
  </si>
  <si>
    <t>Administration</t>
  </si>
  <si>
    <t>Scotland total</t>
  </si>
  <si>
    <t>All control staff are reported nationally for these statistics.</t>
  </si>
  <si>
    <t>Control Operators are also referred to as Firefighters where appropriate</t>
  </si>
  <si>
    <t>Team 
Leader</t>
  </si>
  <si>
    <t>Specialist/ Technical</t>
  </si>
  <si>
    <t>Technical Support</t>
  </si>
  <si>
    <t>Please note that support staff category definitions are not as consistently applied as uniformed role categories.</t>
  </si>
  <si>
    <t>Support staff are reported nationally for these statistics. Reporting at Senior Officer Area and Service Delivery Area has been trialled in previous years however the SFRS support staff structure does not fit well with reporting at that geographic level and so has been removed.</t>
  </si>
  <si>
    <t>Support staff sub-categories changed in 2013-14 to reflect the sub-categories used in the new organisational structure of the Scottish Fire and Rescue Service.</t>
  </si>
  <si>
    <t xml:space="preserve">Until the 2015-16 statistics the Director category in Support Staff had been included in the Service Manager category.  From the 2015-16 publication this has been presented in a separate category. Comparisons with former statistics can be made by adding the Director category to the Service Manager category.  </t>
  </si>
  <si>
    <t>All volunteer staff are reported at Local Authority Area for these statistics.</t>
  </si>
  <si>
    <t>Wholetime Operational Staff by Role and Geographic Area - Full-time Equivalent</t>
  </si>
  <si>
    <t>The Brigade Manager category had included Deputy Assistant Chief Officers (DACOs) in 2014-15 and 2015-16.  This has now been amended so that DACOs are included in the Area manager category and Brigade Manager now includes only Chief Officer, Deputy Chief Officer and Assistant Chief Officer.</t>
  </si>
  <si>
    <t>The Station Manager category included a small number of staff at Local Authority level, since 2016-17 they have all been reported at Local Senior Officer Area.</t>
  </si>
  <si>
    <t>The statistics are rounded after they are calculated.</t>
  </si>
  <si>
    <t>ALL</t>
  </si>
  <si>
    <t>All</t>
  </si>
  <si>
    <t>RDS Staff by Role and Geographic Area - Full-time Equivalent</t>
  </si>
  <si>
    <t>Control Staff by Role and Geographic Area - Full-time Equivalent</t>
  </si>
  <si>
    <t>Support Staff by Role and Geographic Area - Full-time Equivalent</t>
  </si>
  <si>
    <t>Admin-istration</t>
  </si>
  <si>
    <t>Sum of WTFemale</t>
  </si>
  <si>
    <t>Sum of WTMale</t>
  </si>
  <si>
    <t>Sum of RDSFemale</t>
  </si>
  <si>
    <t>Sum of RDSMale</t>
  </si>
  <si>
    <t>Sum of RDS FulltimeFemale</t>
  </si>
  <si>
    <t>Sum of RDS FulltimeMale</t>
  </si>
  <si>
    <t>Sum of ControlFemale</t>
  </si>
  <si>
    <t>Sum of ControlMale</t>
  </si>
  <si>
    <t>Sum of SupportFemale</t>
  </si>
  <si>
    <t>Sum of SupportMale</t>
  </si>
  <si>
    <t>Sum of VolFemale</t>
  </si>
  <si>
    <t>Sum of VolMale</t>
  </si>
  <si>
    <t>WTFemale</t>
  </si>
  <si>
    <t>WTMale</t>
  </si>
  <si>
    <t>RDSFemale</t>
  </si>
  <si>
    <t>RDSMale</t>
  </si>
  <si>
    <t>RDS FulltimeFemale</t>
  </si>
  <si>
    <t>RDS FulltimeMale</t>
  </si>
  <si>
    <t>ControlFemale</t>
  </si>
  <si>
    <t>ControlMale</t>
  </si>
  <si>
    <t>SupportFemale</t>
  </si>
  <si>
    <t>SupportMale</t>
  </si>
  <si>
    <t>VolFemale</t>
  </si>
  <si>
    <t>VolMale</t>
  </si>
  <si>
    <t>Staff Type by Sex Timeseries</t>
  </si>
  <si>
    <t>Support Staff</t>
  </si>
  <si>
    <t>Total (excluding volunteers)</t>
  </si>
  <si>
    <t>Female</t>
  </si>
  <si>
    <t>Male</t>
  </si>
  <si>
    <t>Wholetime operational</t>
  </si>
  <si>
    <t>Note</t>
  </si>
  <si>
    <t>Volunteer staff figures presented in this table differ from that in the headline Staffing table as a methodology revision was not backdated in order to protect privacy.</t>
  </si>
  <si>
    <t>Sum of Female</t>
  </si>
  <si>
    <t>Sum of Male</t>
  </si>
  <si>
    <t>Staff Type by Sex</t>
  </si>
  <si>
    <t>All Staff (total)</t>
  </si>
  <si>
    <t>Control Total</t>
  </si>
  <si>
    <t>RDS Total</t>
  </si>
  <si>
    <t>RDS Fulltime Total</t>
  </si>
  <si>
    <t>Support Total</t>
  </si>
  <si>
    <t>Vol Total</t>
  </si>
  <si>
    <t>WT Total</t>
  </si>
  <si>
    <t>PostConv</t>
  </si>
  <si>
    <t>Watch Manger</t>
  </si>
  <si>
    <t>Watch manager</t>
  </si>
  <si>
    <t>Staff Type by Sex and Role</t>
  </si>
  <si>
    <t>Wholetime Operational (total)</t>
  </si>
  <si>
    <t>Retained Duty System (total)</t>
  </si>
  <si>
    <t>Retained Full Time (total)</t>
  </si>
  <si>
    <t xml:space="preserve">Control </t>
  </si>
  <si>
    <t>Control (total)</t>
  </si>
  <si>
    <t>Specialist/Technical</t>
  </si>
  <si>
    <t>Support Staff (total)</t>
  </si>
  <si>
    <t xml:space="preserve">  Crew Manager</t>
  </si>
  <si>
    <t xml:space="preserve">  Watch Manager</t>
  </si>
  <si>
    <t xml:space="preserve">  Firefighter</t>
  </si>
  <si>
    <t>Volunteer (total)</t>
  </si>
  <si>
    <t xml:space="preserve"> </t>
  </si>
  <si>
    <t>Staff Type by Sex and Role - Full-time Equivalent</t>
  </si>
  <si>
    <t>Retained Fulltime (total)</t>
  </si>
  <si>
    <t>Sum of Retained Full-time</t>
  </si>
  <si>
    <t>Sum of Support Staff</t>
  </si>
  <si>
    <t>20-24</t>
  </si>
  <si>
    <t>25-29</t>
  </si>
  <si>
    <t>30-34</t>
  </si>
  <si>
    <t>35-39</t>
  </si>
  <si>
    <t>40-44</t>
  </si>
  <si>
    <t>45-49</t>
  </si>
  <si>
    <t>50-54</t>
  </si>
  <si>
    <t>55-59</t>
  </si>
  <si>
    <t>60-64</t>
  </si>
  <si>
    <t>65-69</t>
  </si>
  <si>
    <t>70-74</t>
  </si>
  <si>
    <t>Over 75</t>
  </si>
  <si>
    <t>Under 20</t>
  </si>
  <si>
    <t>66 and over</t>
  </si>
  <si>
    <t>30-39</t>
  </si>
  <si>
    <t>20-29</t>
  </si>
  <si>
    <t>55-65</t>
  </si>
  <si>
    <t>Not Recorded</t>
  </si>
  <si>
    <t>Staff Type by Age Range - Headcount</t>
  </si>
  <si>
    <t>All Staff</t>
  </si>
  <si>
    <t>&lt;20</t>
  </si>
  <si>
    <t>Retirement age varies according to type of staffing and individual circumstance.</t>
  </si>
  <si>
    <t>There were 12 volunteers whose age was not known in 2015-16, they have been excluded from the figures.</t>
  </si>
  <si>
    <t>Staff Type by Age Range - Percentage</t>
  </si>
  <si>
    <t>Age range</t>
  </si>
  <si>
    <t>10-14</t>
  </si>
  <si>
    <t>15-19</t>
  </si>
  <si>
    <t>5-9</t>
  </si>
  <si>
    <t>Over 40</t>
  </si>
  <si>
    <t>Under 5</t>
  </si>
  <si>
    <t>Service Length (Years)</t>
  </si>
  <si>
    <t>Staff Type by Service Length - Headcount</t>
  </si>
  <si>
    <t>All Uniformed Staff</t>
  </si>
  <si>
    <t>&lt;5</t>
  </si>
  <si>
    <t>&gt;40</t>
  </si>
  <si>
    <t>Service Length counts the number of full years spent in public service. It is possible for staff to move between Fire and Rescue Services within the UK and keep their accrued service length.</t>
  </si>
  <si>
    <t>Support Staff has been removed from this table due to quality concerns.</t>
  </si>
  <si>
    <t>Staff Type by Service Length - Percentage</t>
  </si>
  <si>
    <t>FisYr</t>
  </si>
  <si>
    <t>White</t>
  </si>
  <si>
    <t>Ethnic Minority</t>
  </si>
  <si>
    <t>Not Stated</t>
  </si>
  <si>
    <t>Total (ex Vol)</t>
  </si>
  <si>
    <t>Total Sum of White</t>
  </si>
  <si>
    <t>Total Sum of Ethnic Minority</t>
  </si>
  <si>
    <t>Total Sum of Not Stated</t>
  </si>
  <si>
    <t>Sum of White</t>
  </si>
  <si>
    <t>Sum of Ethnic Minority</t>
  </si>
  <si>
    <t>Sum of Not Stated</t>
  </si>
  <si>
    <t>Staff Type by Ethnicity - Percentage</t>
  </si>
  <si>
    <t>Total
(excl volunteers)</t>
  </si>
  <si>
    <t>Percentages are calculated based on headcount.</t>
  </si>
  <si>
    <t>It was not possible to backdate Ethnicity figures for Retained Full-time staff to their inception in 2017-18.</t>
  </si>
  <si>
    <t>The merger of HR data from the former Scottish Fire and Rescue services in 2013-14 led to a reduction in reliable ethnicity data for staff. Improvements over recent years stem from data collection on new staff and through the provision of an employee digital self-service tool for HR data.</t>
  </si>
  <si>
    <t>Sum of Retained Fulltime</t>
  </si>
  <si>
    <t>Sum of Total (excluding volunters)</t>
  </si>
  <si>
    <t>Retained Fulltime</t>
  </si>
  <si>
    <t>Total (excluding volunters)</t>
  </si>
  <si>
    <t>Staff Type by Disability Status - Percentage</t>
  </si>
  <si>
    <t>These figures present the ratio of staff headcount where a disability has been recorded, to the total headcount for each staff group.</t>
  </si>
  <si>
    <t>It was not possible to backdate Disability figures for Retained Full-time staff to their inception in 2017-18.</t>
  </si>
  <si>
    <t>Staff Type where Disability Status is Not Known - Percentage</t>
  </si>
  <si>
    <t>Total (excluding Volunteers)</t>
  </si>
  <si>
    <t>These figures present the ratio of staff headcount where SFRS does not know a disability status, to the total headcount for each staff group. Please note this does not include staff who have a record showing no disability.</t>
  </si>
  <si>
    <t>Volunteers</t>
  </si>
  <si>
    <t>Dismissal</t>
  </si>
  <si>
    <t>End of contract</t>
  </si>
  <si>
    <t>Resignation</t>
  </si>
  <si>
    <t>Retirement - 30 Years Service</t>
  </si>
  <si>
    <t>Retirement - Age</t>
  </si>
  <si>
    <t>Retirement - Early</t>
  </si>
  <si>
    <t>Retirement - Health</t>
  </si>
  <si>
    <t>Transfer - To another F&amp;R Service</t>
  </si>
  <si>
    <t>TUPE Transfer</t>
  </si>
  <si>
    <t>Voluntary Severance</t>
  </si>
  <si>
    <t>Redundancy</t>
  </si>
  <si>
    <t>Sum of Volunteers</t>
  </si>
  <si>
    <t>Workforce Leavers by Reason for Leaving</t>
  </si>
  <si>
    <t>TOTAL</t>
  </si>
  <si>
    <t>FiscalYr</t>
  </si>
  <si>
    <t>Sum of WT</t>
  </si>
  <si>
    <t>Sum of Vol</t>
  </si>
  <si>
    <t>Not Known</t>
  </si>
  <si>
    <t>EthStat</t>
  </si>
  <si>
    <t>Gender</t>
  </si>
  <si>
    <t>DisStat</t>
  </si>
  <si>
    <t>Disabled</t>
  </si>
  <si>
    <t>Not Disabled</t>
  </si>
  <si>
    <t>New Entrants by Age Range</t>
  </si>
  <si>
    <t>This table presents the age range of people who joined SFRS in 2018-19. Please note that the difference between those who joined SFRS and those who left is not the same as the change in headcount. It is possible for people to have multiple roles and staff already in the SFRS database will not be counted in these figures.</t>
  </si>
  <si>
    <t>New Entrants by Sex</t>
  </si>
  <si>
    <t>Males</t>
  </si>
  <si>
    <t>ALL STAFF</t>
  </si>
  <si>
    <t>New Entrants by Ethnicity</t>
  </si>
  <si>
    <t>These figures present the ratio of staff headcount by disability response to total headcount for each staff group.</t>
  </si>
  <si>
    <t>Please note that the difference between those who joined SFRS and those who left is not the same as the change in headcount. It is possible for people to have multiple roles and staff already in the SFRS database will not be counted in these figures.</t>
  </si>
  <si>
    <t>New Entrants by Disability</t>
  </si>
  <si>
    <t>Full Time Equivalent by Type of Staffing</t>
  </si>
  <si>
    <t>Sum of Attack against property/equipment</t>
  </si>
  <si>
    <t>Sum of Verbal assault</t>
  </si>
  <si>
    <t>Sum of Physical assault</t>
  </si>
  <si>
    <t>Op</t>
  </si>
  <si>
    <t>FinYear</t>
  </si>
  <si>
    <t>Attack against property/equipment</t>
  </si>
  <si>
    <t>Verbal assault</t>
  </si>
  <si>
    <t>Physical assault</t>
  </si>
  <si>
    <t>Attacks on SFRS Personnel Statistics</t>
  </si>
  <si>
    <t>Attacks Related to Operational Incidents</t>
  </si>
  <si>
    <t>Two previous years are revised at each update</t>
  </si>
  <si>
    <t>Incidents</t>
  </si>
  <si>
    <t>Incidents Resulting in Injuries</t>
  </si>
  <si>
    <t>Attacks against Property/Equipment</t>
  </si>
  <si>
    <t>Verbal Assault</t>
  </si>
  <si>
    <t>Physical Assault</t>
  </si>
  <si>
    <t>An attack on SFRS personnel is recorded as 'Related to Operational Incidents' if it occurred on the way to, at the scene of, or returning from an operational incident, or affects Control Room staff responding to emergency calls.</t>
  </si>
  <si>
    <t>An error due to a system change in 2020-21 caused a number of incidents to be categorised incorrectly. This was corrected in 2022-23.</t>
  </si>
  <si>
    <t>Attacks Not Related to Operational Incidents</t>
  </si>
  <si>
    <t>An attack on SFRS personnel is recorded as 'not Related to Operational Incidents' if it did not occur on the way to, during or returning from an operational incident, however may still affect Control Room staff responding to emergency calls.</t>
  </si>
  <si>
    <t>Sum of 2016-17</t>
  </si>
  <si>
    <t>Sum of 2017-18</t>
  </si>
  <si>
    <t>Sum of 2018-19</t>
  </si>
  <si>
    <t>Sum of 2019-20</t>
  </si>
  <si>
    <t>Sum of 2020-21</t>
  </si>
  <si>
    <t>Sum of 2021-22</t>
  </si>
  <si>
    <t>Sum of 2022-23</t>
  </si>
  <si>
    <t>Sum of 2023-24</t>
  </si>
  <si>
    <t>Sum of 2024-25</t>
  </si>
  <si>
    <t>Sum of 2025-26</t>
  </si>
  <si>
    <t>GEOCode_LA</t>
  </si>
  <si>
    <t>Attacks Related to Operational Incidents by Local Authority</t>
  </si>
  <si>
    <t>Attacks on SFRS Personnel by Type of Attack</t>
  </si>
  <si>
    <t>Attacks on SFRS Personnel Resulting in Injuries by Type of Attack</t>
  </si>
  <si>
    <t>Sum of New</t>
  </si>
  <si>
    <t>Sum of Replacement</t>
  </si>
  <si>
    <t>Sum of Total_Alarms</t>
  </si>
  <si>
    <t>Sum of Total_HFSV</t>
  </si>
  <si>
    <t>Sum of HFSV_AdviceOnly</t>
  </si>
  <si>
    <t>Sum of HFSV_AlarmsInstalled</t>
  </si>
  <si>
    <t>HFSV_AlarmsInstalled</t>
  </si>
  <si>
    <t>HFSV_AdviceOnly</t>
  </si>
  <si>
    <t>Total_HFSV</t>
  </si>
  <si>
    <t>Total_Alarms</t>
  </si>
  <si>
    <t>New</t>
  </si>
  <si>
    <t>Replacement</t>
  </si>
  <si>
    <t>Council</t>
  </si>
  <si>
    <t>Households</t>
  </si>
  <si>
    <t>Sum of Households</t>
  </si>
  <si>
    <t>Home Fire Safety Visit Statistics</t>
  </si>
  <si>
    <t>Home Fire Safety Visits (HFSV) by Outcome and Alarms Installed</t>
  </si>
  <si>
    <t>One Year is revised at each update</t>
  </si>
  <si>
    <t>Of the smoke and heat alarms installed:</t>
  </si>
  <si>
    <t>HFSV - smoke and heat alarms installed</t>
  </si>
  <si>
    <t>HFSV - advice only</t>
  </si>
  <si>
    <t>Total HFSV</t>
  </si>
  <si>
    <t>Smoke and heat alarms installed during HFSV</t>
  </si>
  <si>
    <t>The figure for smoke and heat alarms installed for 2021-22 and 2022-23 should be considered a lower estimate as it has not been possible to fully resolve a data quality issue. The breakdown of 'Total HFSV' into 'HFSV with smoke and heat alarms installed' and 'HFSV with advice only' has also been affected. Figures included have been highlighted in grey to show this. Further breakdowns of these figures have been removed from this publication due to this. Please see Guidance Notes for further details.</t>
  </si>
  <si>
    <t>The 'Smoke and heat alarms installed during HFSV' figures for 2021-22 and 2022-23 have been corrected in 2023-24 as previous figures included Fire Retardant Bedding and Carbon Monoxide Alarms. Please see Statistical News document for futher details.</t>
  </si>
  <si>
    <t>Please note that in 2021-22, 2022-23 and 2023-24, 'HFSV - advice only' includes visits where only carbon monoxide alarms were installed or only fire retardant bedding or blankets were given out, as well as visits where only advice was given. This was done to ensure that HFSV with alarms installed could be fairly compared to previous years. Please see Guidance Notes for futher details.</t>
  </si>
  <si>
    <t>Please note that for 2024-25, there was a system changover midway through the year. This new system does not record whether an alarm was new or replaced, and so, the figures for 'New Alarms' and 'Replaced Alarms' for 2024-25 will not add up to the total alarms installed, as there are a number of alarms that we do not know this information for.</t>
  </si>
  <si>
    <t>Home Fire Safety Visits (HFSV) by Outcome and Alarms Installed - Percentage and Rate</t>
  </si>
  <si>
    <t>Rate of Alarms Installed</t>
  </si>
  <si>
    <t>All visits</t>
  </si>
  <si>
    <t>HFSV - 
smoke and heat alarms installed</t>
  </si>
  <si>
    <t>The figure for smoke and heat alarms installed published in 2021-22 and 2022-23 should be considered a lower estimate as it has not been possible to fully resolve a data quality issue. The breakdown of 'Total HFSV' into 'HFSV with smoke and heat alarms installed' and 'HFSV with advice installed' has also been affected. Figures included have been highlighted in grey to show this. Further breakdowns of these figures have been removed from this publication due to this. Please see Guidance Notes for further details.</t>
  </si>
  <si>
    <t>Please note that in 2021-22, 2022-23 and 2023-24, 'HFSV - advice only' includes visits where only carbon monoxide alarms were installed or only fire retardant bedding or blankets were given out, as well as vistis where only advice was given. This was done to ensure that HFSV with alarms installed could be fairly compared to previous years. Please see Guidance Notes for futher details.</t>
  </si>
  <si>
    <t>Home Fire Safety Visits (HFSV) Percentage of Scottish Households</t>
  </si>
  <si>
    <t>Percentage of Scottish Households</t>
  </si>
  <si>
    <t>HFSV with smoke and heat alarms installed</t>
  </si>
  <si>
    <t xml:space="preserve">Total HFSV </t>
  </si>
  <si>
    <t>Smoke and heat alarms installed</t>
  </si>
  <si>
    <t>The figures for smoke and heat alarm installed published in 2021-22 and 2022-23 should be considered a lower estimate as it has not been possible to fully resolve a data quality issue. The breakdown of 'Total HFSV' into 'HFSV with smoke and heat alarms installed' and 'HFSV with advice only' has also been affected. Figures included have been highlighted in grey to show this. Further breakdowns of these figures have been removed from this publication due to this. Please see Guidance Notes for further details.</t>
  </si>
  <si>
    <r>
      <t xml:space="preserve">Household data comes from </t>
    </r>
    <r>
      <rPr>
        <i/>
        <sz val="11"/>
        <rFont val="Calibri"/>
        <family val="2"/>
        <scheme val="minor"/>
      </rPr>
      <t>National Records of Scotland, Estimates of Households and Dwellings in Scotland</t>
    </r>
  </si>
  <si>
    <t>https://www.nrscotland.gov.uk/statistics-and-data/statistics/statistics-by-theme/households/household-estimates</t>
  </si>
  <si>
    <t>Sum of OneYrDistinct</t>
  </si>
  <si>
    <t>Sum of ThreeYrDistinct</t>
  </si>
  <si>
    <t>Sum of FiveYrDistinct</t>
  </si>
  <si>
    <t>Sum of OneYrDistinctNew</t>
  </si>
  <si>
    <t>withAlarmsInstalled</t>
  </si>
  <si>
    <t>Counted</t>
  </si>
  <si>
    <t>OneYrDistinct</t>
  </si>
  <si>
    <t>ThreeYrDistinct</t>
  </si>
  <si>
    <t>FiveYrDistinct</t>
  </si>
  <si>
    <t>OneYrDistinctNew</t>
  </si>
  <si>
    <t>HouseholdsinYr</t>
  </si>
  <si>
    <t>HouseholdsThreeYrAv</t>
  </si>
  <si>
    <t>HouseholdsFiveYrAv</t>
  </si>
  <si>
    <t>pcOYDH</t>
  </si>
  <si>
    <t>pcTYDH</t>
  </si>
  <si>
    <t>pcFYDH</t>
  </si>
  <si>
    <t>Home Fire Safety Visits to Distinct Properties</t>
  </si>
  <si>
    <t>Distinct Properties Visited</t>
  </si>
  <si>
    <t>In One Year</t>
  </si>
  <si>
    <t>Over Three Years</t>
  </si>
  <si>
    <t>Over Five Years</t>
  </si>
  <si>
    <t>Non-repeat Visits</t>
  </si>
  <si>
    <t>Percentage of Non-repeat Visits</t>
  </si>
  <si>
    <t>A small proportion of Home Fire Safety Visits are to properties which were previously visited within the year. This table provides figures of the numbers of distinct properties visited in a one year, three year and five year period.</t>
  </si>
  <si>
    <t>Non-repeat visits are those where the premises was not visited in the previous three years.</t>
  </si>
  <si>
    <t>Home Fire Safety Visits with Alarms Installed in Distinct Properties</t>
  </si>
  <si>
    <t>Distinct Properties Visited where Alarms were Installed</t>
  </si>
  <si>
    <t>A small proportion of Home Fire Safety Visits are to properties which were previously visited within the year. This table provides figures of the numbers of distinct properties visited in a one year, three year and five year period where smoke and heat alarms were installed.</t>
  </si>
  <si>
    <t>Figures were not reported in 2021-22 and 2022-23 due to known quality issues with alarm data. Please see Guidance Notes and Statistical News for further information.</t>
  </si>
  <si>
    <t>Sum of In One Year</t>
  </si>
  <si>
    <t>Sum of Over Three Years</t>
  </si>
  <si>
    <t>Sum of Over Five Years</t>
  </si>
  <si>
    <t>Percentage of Scottish Households visited in Home Fire Safety Visits</t>
  </si>
  <si>
    <t>Percent of Scottish Housholds Visited</t>
  </si>
  <si>
    <t>These statistics are based on the number of distinct properties visited by SFRS over one year, three years and five years compared to the National Records of Scotland published Households statistics.</t>
  </si>
  <si>
    <t>Percentage of Scottish Households with Alarms Installed in Home Fire Safety Visits</t>
  </si>
  <si>
    <t>Percent of Scottish Households Visited with Alarms Installed</t>
  </si>
  <si>
    <t>These statistics are based on the number of distinct properties visited by SFRS over one year, three years and five years where smoke alarms were installed compared to the National Records of Scotland published Households statistics.</t>
  </si>
  <si>
    <t>Figures were not reported in 2021-22 and 2022-23 due to known quality issues with smoke alarm data. Please see Guidance Notes for further information.</t>
  </si>
  <si>
    <t>Sum of Under 5s</t>
  </si>
  <si>
    <t>Sum of 5 to 10</t>
  </si>
  <si>
    <t>Sum of 11 to 16</t>
  </si>
  <si>
    <t>Sum of 17 to 30</t>
  </si>
  <si>
    <t>Sum of 31 to 60</t>
  </si>
  <si>
    <t>Sum of Over 60</t>
  </si>
  <si>
    <t>Sum of All Residents</t>
  </si>
  <si>
    <t>Under 5s</t>
  </si>
  <si>
    <t>5 to 10</t>
  </si>
  <si>
    <t>11 to 16</t>
  </si>
  <si>
    <t>17 to 30</t>
  </si>
  <si>
    <t>31 to 60</t>
  </si>
  <si>
    <t>Over 60</t>
  </si>
  <si>
    <t>All Residents</t>
  </si>
  <si>
    <t>Residents of Households Visited in Home Fire Safety Visits by Age Range</t>
  </si>
  <si>
    <t>Number of Scottish Population living in Households who had a HFSV</t>
  </si>
  <si>
    <t>This table presents aggregate figures of the residents of households visited. Where two people live in a household where one is aged 31 to 60 and the other aged over 60 then each person would be included in the appropriate total in this table regardless of whether they were in the home at the time of the visit. The total therefore provides the sum of all of the residents of every household which had a home fire safety visit.</t>
  </si>
  <si>
    <t>Residents of Households Visited in Home Fire Safety Visits by Age Range - Percentage of Population</t>
  </si>
  <si>
    <t>Percentage of Scottish Population living in Households who had a HFSV</t>
  </si>
  <si>
    <t>This table presents aggregate figures of the residents of households visited compared to the population of Scotland in each age range. In other words this is the percentage of the Scottish population who live in housholds which had a home fire safety visit by age range.</t>
  </si>
  <si>
    <r>
      <t xml:space="preserve">Population statistics are sourced from the National Records of Scotland </t>
    </r>
    <r>
      <rPr>
        <i/>
        <sz val="11"/>
        <color theme="1"/>
        <rFont val="Calibri"/>
        <family val="2"/>
        <scheme val="minor"/>
      </rPr>
      <t>Mid-year Population Estimates</t>
    </r>
  </si>
  <si>
    <t>https://www.nrscotland.gov.uk/statistics-and-data/statistics/statistics-by-theme/population/population-estimates/mid-year-population-estimates</t>
  </si>
  <si>
    <t>Sum of 2015-16</t>
  </si>
  <si>
    <t>Housing Association</t>
  </si>
  <si>
    <t>Private Let</t>
  </si>
  <si>
    <t>Tenure of Households Visited in Home Fire Safety Visits</t>
  </si>
  <si>
    <t>Visits</t>
  </si>
  <si>
    <t>Percentage of Visits</t>
  </si>
  <si>
    <t>Sum of 1 - Most Deprived 20%</t>
  </si>
  <si>
    <t>Sum of 2</t>
  </si>
  <si>
    <t>Sum of 3</t>
  </si>
  <si>
    <t>Sum of 4</t>
  </si>
  <si>
    <t>Sum of 5 - Least Deprived 20%</t>
  </si>
  <si>
    <t>Sum of NotKnown</t>
  </si>
  <si>
    <t>Sum of All Scotland</t>
  </si>
  <si>
    <t>1 - Most Deprived 20%</t>
  </si>
  <si>
    <t>2</t>
  </si>
  <si>
    <t>3</t>
  </si>
  <si>
    <t>4</t>
  </si>
  <si>
    <t>5 - Least Deprived 20%</t>
  </si>
  <si>
    <t>NotKnown</t>
  </si>
  <si>
    <t>All Scotland</t>
  </si>
  <si>
    <t>Home Fire Safety Visits by Deprivation of Area</t>
  </si>
  <si>
    <t>All years will be revised at the next update</t>
  </si>
  <si>
    <t>Home Fire Safety Visits by SIMD Quintile</t>
  </si>
  <si>
    <t>This table provides the number of Home Fire Safety Visits by the Scottish Index of Multiple Deprivation quintiles where 1 is the 20% most deprived areas and 5 is the 20% least deprived areas.</t>
  </si>
  <si>
    <t>https://www2.gov.scot/Topics/Statistics/SIMD</t>
  </si>
  <si>
    <t>Please note that 'All Scotland' figures do not always equal total Home Fire Safety Visit figures as it is not always possible to find out the SIMD Quintile for every visit.</t>
  </si>
  <si>
    <t>Home Fire Safety Visits by Deprivation of Area - Percentage of Occupied Dwellings</t>
  </si>
  <si>
    <t>Rate of Home Fire Safety Visits per 100 Occupied Dwellings by SIMD Quintile</t>
  </si>
  <si>
    <t>This table provides the rate of home fire safety visits per 100 Occupied Dwellings, by the Scottish Index of Multiple Deprivation quintiles where 1 is the 20% most deprived areas and 5 is the 20% least deprived areas.</t>
  </si>
  <si>
    <t>https://www.nrscotland.gov.uk/statistics-and-data/statistics/statistics-by-theme/households/household-estimates/small-area-statistics-on-households-and-dwellings</t>
  </si>
  <si>
    <t>Home Fire Safety Visits with Alarms Installed by Deprivation of Area</t>
  </si>
  <si>
    <t>HFSV With Alarms Installed by SIMD Quintile</t>
  </si>
  <si>
    <t>This table uses the Scottish Index of Multiple Deprivation quintiles where 1 is the 20% most deprived areas and 5 is the 20% least deprived areas.</t>
  </si>
  <si>
    <t>Figures were not reported in 2021-22 or 2022-23 due to known quality issues with alarm data. Please see Guidance Notes for further information.</t>
  </si>
  <si>
    <t>Please note these figures only include those visits where a smoke or heat alarm was installed, and not visits where only carbon monoxide alarms were installed or fire retardant bedding or blankets were given out.</t>
  </si>
  <si>
    <t>Home Fire Safety Visits with Alarms Installed by Deprivation of Area - Percentage of Occupied Dwellings</t>
  </si>
  <si>
    <t>Rate of Home Fire Safety Visits with Alarms Installed per 100 Occupied Dwellings by SIMD Quintile</t>
  </si>
  <si>
    <t>Sum of pcAlarmsFitted</t>
  </si>
  <si>
    <t>NULL</t>
  </si>
  <si>
    <t>SIMD2020_Quintile</t>
  </si>
  <si>
    <t>WithAlarmsFitted</t>
  </si>
  <si>
    <t>pcAlarmsFitted</t>
  </si>
  <si>
    <t>RateAlarmsFittedper100OccupiedDwellings</t>
  </si>
  <si>
    <t>OccupiedDwellings</t>
  </si>
  <si>
    <t>Percentage of Home Fire Safety Visits with Alarms Installed by Deprivation of Area</t>
  </si>
  <si>
    <t>Percentage of Home Fire Safety Visits with Alarms Installed by SIMD Quintile</t>
  </si>
  <si>
    <t>Percentage of Home Fire Safety Visits with Alarms Installed in Owner Occupied Properties by Deprivation of Area</t>
  </si>
  <si>
    <t>Percentage of Home Fire Safety Visits with Alarms Installed in Owner Occupied Properties by SIMD Quintile</t>
  </si>
  <si>
    <t>Figures were not reported in 2021-22 and 2022-23 due to known quality issues with alarm data. Please see Guidance Notes for further information.</t>
  </si>
  <si>
    <t>Sum of 1 - Large Urban Areas</t>
  </si>
  <si>
    <t>Sum of 2 - Other Urban Areas</t>
  </si>
  <si>
    <t>Sum of 3 - Accessible Small Towns</t>
  </si>
  <si>
    <t>Sum of 4 - Remote Small Towns</t>
  </si>
  <si>
    <t>Sum of 5 - Accessible Rural</t>
  </si>
  <si>
    <t>Sum of 6 - Remote Rural</t>
  </si>
  <si>
    <t>1 - Large Urban Areas</t>
  </si>
  <si>
    <t>2 - Other Urban Areas</t>
  </si>
  <si>
    <t>3 - Accessible Small Towns</t>
  </si>
  <si>
    <t>4 - Remote Small Towns</t>
  </si>
  <si>
    <t>5 - Accessible Rural</t>
  </si>
  <si>
    <t>6 - Remote Rural</t>
  </si>
  <si>
    <t>Home Fire Safety Visits by Rurality</t>
  </si>
  <si>
    <t>HFSVs by Urban Rural 6 Fold Category</t>
  </si>
  <si>
    <t>This table provides the number of home fire safety visits by the Scottish Government published Urban-Rural 6 Fold index.</t>
  </si>
  <si>
    <t>https://www2.gov.scot/Topics/Statistics/About/Methodology/UrbanRuralClassification</t>
  </si>
  <si>
    <t>Please note that 'All Scotland' figures do not always equal total Home Fire Safety Visit figures as it is not always possible to find out the Urban Rural 6 Fold Category for every visit.</t>
  </si>
  <si>
    <t>Home Fire Safety Visits by Rurality - Percentage of Occupied Dwellings</t>
  </si>
  <si>
    <t>Rate of HFSVs per 100 Occupied Dwellings by Urban Rural 6 Fold Category</t>
  </si>
  <si>
    <t>This table provides the rate of home fire safety visits per 100 Occupied Dwellings, by the Scottish Government published Urban-Rural 6 Fold index.</t>
  </si>
  <si>
    <t>Sum of HFSV - alarms installed</t>
  </si>
  <si>
    <t>Sum of HFSV - advice only</t>
  </si>
  <si>
    <t>Sum of Total HFSV</t>
  </si>
  <si>
    <t>Sum of TotalNewAlarms</t>
  </si>
  <si>
    <t>Sum of TotalReplacedAlarms</t>
  </si>
  <si>
    <t>Sum of TotalAlarms</t>
  </si>
  <si>
    <t>Sum of Dwellings</t>
  </si>
  <si>
    <t>Sum of VisitsPer100Dwelling</t>
  </si>
  <si>
    <t>Sum of AlarmsPer100Dwelling</t>
  </si>
  <si>
    <t>Sum of VisitsPer100Household</t>
  </si>
  <si>
    <t>Sum of AlarmsPer100Household</t>
  </si>
  <si>
    <t>GSSCode</t>
  </si>
  <si>
    <t>HFSV - alarms installed</t>
  </si>
  <si>
    <t>TotalNewAlarms</t>
  </si>
  <si>
    <t>TotalReplacedAlarms</t>
  </si>
  <si>
    <t>TotalAlarms</t>
  </si>
  <si>
    <t>Dwellings</t>
  </si>
  <si>
    <t>VisitsPer100Dwelling</t>
  </si>
  <si>
    <t>AlarmsPer100Dwelling</t>
  </si>
  <si>
    <t>VisitsPer100Household</t>
  </si>
  <si>
    <t>AlarmsPer100Household</t>
  </si>
  <si>
    <t>S12000015</t>
  </si>
  <si>
    <t>Home Fire Safety Visits (HFSV) by Outcome and Alarms Installed, by Local Authority</t>
  </si>
  <si>
    <t>HFSV
 - smoke and heat alarms installed</t>
  </si>
  <si>
    <t>HFSV
 - advice only</t>
  </si>
  <si>
    <t>New Alarms</t>
  </si>
  <si>
    <t>Replaced Alarms</t>
  </si>
  <si>
    <t>Alarm figures were not reported in 2021-22 or 2022-23 due to known quality issues with alarm data. The breakdown of 'Total HFSV' to 'HFSV - with smoke and heat alarm installed' and 'HFSV - advice only' has also been affected and so, has not been broken down to local authority area. Please see Guidance Notes and Statistical News for further information.</t>
  </si>
  <si>
    <t>Home Fire Safety Visits (HFSV) by Outcome and Smoke Alarms Installed, by Local Authority - Percentage</t>
  </si>
  <si>
    <t xml:space="preserve">Rate of alarms installed </t>
  </si>
  <si>
    <t>HFSV - 
advice only</t>
  </si>
  <si>
    <t>Home Fire Safety Visits (HFSV) by Outcome, by Local Authority - Percentage of Households</t>
  </si>
  <si>
    <t>Percentage of Households</t>
  </si>
  <si>
    <t>HFSV with alarms installed</t>
  </si>
  <si>
    <t>Total HFSVs</t>
  </si>
  <si>
    <t>Total Alarms Installed</t>
  </si>
  <si>
    <t>Alarm figures were not reported in 2021-22 and 2022-23 due to known quality issues with alarm data. The breakdown of 'Total HFSV' to 'HFSV - with smoke and heat alarms installed' and 'HFSV - advice only' has also been affected and so, has not been broken down to local authority area. Please see Guidance Notes and Statistical News for further information.</t>
  </si>
  <si>
    <t>Home Fire Safety Visits Statistics</t>
  </si>
  <si>
    <t>Home Fire Safety Visits by Outcome</t>
  </si>
  <si>
    <t>Rate of Home Fire Safety Visits by Age Group of Residents</t>
  </si>
  <si>
    <t>Rate of Home Fire Safety Visits by SIMD</t>
  </si>
  <si>
    <t>Rate of Home Fire Safety Visits with Alarms Installed by SIMD Quintile</t>
  </si>
  <si>
    <t>Rate of Home Fire Safety Visits by Rurality</t>
  </si>
  <si>
    <t>Rate of Home Fire Safety Visits by Local Authority</t>
  </si>
  <si>
    <t>Rate of Home Fire Safety Visits per 100 Households by Local Authority - Map</t>
  </si>
  <si>
    <t>Rate of Alarms Installed per 100 Households by Local Authority</t>
  </si>
  <si>
    <t>Percentage of Alarms Installed Home Fire Safety Visits by Local Authority</t>
  </si>
  <si>
    <t>Non-domestic Fire Safety Statistics</t>
  </si>
  <si>
    <t>Non-domestic Fire Safety Workflows</t>
  </si>
  <si>
    <t>Short Post Fire Audits</t>
  </si>
  <si>
    <t>Site Visits</t>
  </si>
  <si>
    <t>Consultations</t>
  </si>
  <si>
    <t>Fire Engineering Consultations</t>
  </si>
  <si>
    <t>Two new categories of work initiated in 2019-20. Post Fire Short Audits take place when a premises which has been fully audited in the last year has a fire incident. Fire Engineering Consultations are provided by a specialist team to advise new building works.</t>
  </si>
  <si>
    <t>Workflow refers to all of the work completed related to non-domestic property. Workflows are counted according to the financial year in which they are fully completed.</t>
  </si>
  <si>
    <t>The 2017-18, 2018-19 and 2019-20 figures for Audits do not include partial audits of the communal areas of multi-story residential buildings of which there were 76, 24 and 5 respectively.</t>
  </si>
  <si>
    <t>In 2022-23, there was found to be an error with Fire Engineering Consultations. All previous years were revised. This affects Total workflows. Please see Statisical News document for details.</t>
  </si>
  <si>
    <t>Sum of Audits</t>
  </si>
  <si>
    <t>Sum of Post Fire Short Audits</t>
  </si>
  <si>
    <t>Sum of Site Visits</t>
  </si>
  <si>
    <t>Sum of Consultations</t>
  </si>
  <si>
    <t>Sum of Count</t>
  </si>
  <si>
    <t>Post Fire Short Audits</t>
  </si>
  <si>
    <t>Count</t>
  </si>
  <si>
    <t>Sum of 2009-10</t>
  </si>
  <si>
    <t>Sum of 2010-11</t>
  </si>
  <si>
    <t>Sum of 2011-12</t>
  </si>
  <si>
    <t>Sum of 2012-13</t>
  </si>
  <si>
    <t>Sum of 2013-14</t>
  </si>
  <si>
    <t>Sum of 2014-15</t>
  </si>
  <si>
    <t>Care Home</t>
  </si>
  <si>
    <t>Factory or Warehouse</t>
  </si>
  <si>
    <t>Further Education</t>
  </si>
  <si>
    <t>HMO</t>
  </si>
  <si>
    <t>Hospital / Prison</t>
  </si>
  <si>
    <t>Hostel</t>
  </si>
  <si>
    <t>Hotel</t>
  </si>
  <si>
    <t>Licensed Premises</t>
  </si>
  <si>
    <t>Office</t>
  </si>
  <si>
    <t>Other Premises Open to Public</t>
  </si>
  <si>
    <t>Other Sleeping Accommodation</t>
  </si>
  <si>
    <t>Other Workplace</t>
  </si>
  <si>
    <t>Public Building</t>
  </si>
  <si>
    <t>School</t>
  </si>
  <si>
    <t>Shop</t>
  </si>
  <si>
    <t>FSEC</t>
  </si>
  <si>
    <t>PremisesType</t>
  </si>
  <si>
    <t>2009-10</t>
  </si>
  <si>
    <t>T</t>
  </si>
  <si>
    <t>R</t>
  </si>
  <si>
    <t>F</t>
  </si>
  <si>
    <t>B</t>
  </si>
  <si>
    <t>P</t>
  </si>
  <si>
    <t>K</t>
  </si>
  <si>
    <t>N</t>
  </si>
  <si>
    <t>J</t>
  </si>
  <si>
    <t>A</t>
  </si>
  <si>
    <t>C</t>
  </si>
  <si>
    <t>S</t>
  </si>
  <si>
    <t>H</t>
  </si>
  <si>
    <t>E</t>
  </si>
  <si>
    <t>L</t>
  </si>
  <si>
    <t>M</t>
  </si>
  <si>
    <t>Non-domestic Fire Safety Audits by Premises Type</t>
  </si>
  <si>
    <t>Total audits without HMOs</t>
  </si>
  <si>
    <t>Total audits including HMOs</t>
  </si>
  <si>
    <t xml:space="preserve">In 2014 SFRS could not return suitable fire safety data and the statistics were not published.  </t>
  </si>
  <si>
    <t>In 2020-21, Remote Audits were introduced due to the Covid-19 pandemic. These accounted for 1,018 of audits reported in 2020-21 and 321 of audits reported in 2021-22. Remote Audit figures for future years have not been included. Please see Guidance Notes for further information.</t>
  </si>
  <si>
    <t>Non-domestic Fire Safety Audits by Premises Type, by Local Authority</t>
  </si>
  <si>
    <t>Hospital/ Prison</t>
  </si>
  <si>
    <t>Other Sleeping Accom.</t>
  </si>
  <si>
    <t>Other Premises open to Public</t>
  </si>
  <si>
    <t>Other workplace</t>
  </si>
  <si>
    <t>Total audits</t>
  </si>
  <si>
    <t>HMO stands for Houses in Multiple Occupation</t>
  </si>
  <si>
    <t>Sum of Hospital / Prison</t>
  </si>
  <si>
    <t>Sum of Care Home</t>
  </si>
  <si>
    <t>Sum of HMO</t>
  </si>
  <si>
    <t>Sum of Hostel</t>
  </si>
  <si>
    <t>Sum of Hotel</t>
  </si>
  <si>
    <t>Sum of Other Sleeping Accomm</t>
  </si>
  <si>
    <t>Sum of Further Education</t>
  </si>
  <si>
    <t>Sum of Public Building</t>
  </si>
  <si>
    <t>Sum of Licensed Premises</t>
  </si>
  <si>
    <t>Sum of School</t>
  </si>
  <si>
    <t>Sum of Shop</t>
  </si>
  <si>
    <t>Sum of Other Premises Open to Public</t>
  </si>
  <si>
    <t>Sum of Factory or Warehouse</t>
  </si>
  <si>
    <t>Sum of Office</t>
  </si>
  <si>
    <t>Sum of Other Workplace</t>
  </si>
  <si>
    <t>Na h-Eileanan an Iar</t>
  </si>
  <si>
    <t>Other Sleeping Accomm</t>
  </si>
  <si>
    <t>ABERDEENSHIRE</t>
  </si>
  <si>
    <t>ARGYLL AND BUTE</t>
  </si>
  <si>
    <t>ANGUS</t>
  </si>
  <si>
    <t>DUMFRIES AND GALLOWAY</t>
  </si>
  <si>
    <t>MIDLOTHIAN</t>
  </si>
  <si>
    <t>ORKNEY ISLANDS</t>
  </si>
  <si>
    <t>NORTH AYRSHIRE</t>
  </si>
  <si>
    <t>EAST LOTHIAN</t>
  </si>
  <si>
    <t>MORAY</t>
  </si>
  <si>
    <t>CITY OF EDINBURGH</t>
  </si>
  <si>
    <t>RENFREWSHIRE</t>
  </si>
  <si>
    <t>Sum of A_Tally</t>
  </si>
  <si>
    <t>Sum of A_Hours</t>
  </si>
  <si>
    <t>Sum of B_Tally</t>
  </si>
  <si>
    <t>Sum of B_Hours</t>
  </si>
  <si>
    <t>Sum of Enforcement_Tally</t>
  </si>
  <si>
    <t>Sum of Enforcement_Hours</t>
  </si>
  <si>
    <t>Sum of Prohibition_Tally</t>
  </si>
  <si>
    <t>Sum of Prohibition_Hours</t>
  </si>
  <si>
    <t>Type of Premises</t>
  </si>
  <si>
    <t>A_Tally</t>
  </si>
  <si>
    <t>A_Hours</t>
  </si>
  <si>
    <t>B_Tally</t>
  </si>
  <si>
    <t>B_Hours</t>
  </si>
  <si>
    <t>Enforcement_Tally</t>
  </si>
  <si>
    <t>Enforcement_Hours</t>
  </si>
  <si>
    <t>Prohibition_Tally</t>
  </si>
  <si>
    <t>Prohibition_Hours</t>
  </si>
  <si>
    <t>Audits by Outcome and Average Time for Completion</t>
  </si>
  <si>
    <t>Audit - Broadly Compliant</t>
  </si>
  <si>
    <t>Audit - Notable Deficiencies</t>
  </si>
  <si>
    <t>Enforcement Notice</t>
  </si>
  <si>
    <t>Prohibition Notice</t>
  </si>
  <si>
    <t>Average time (hours)</t>
  </si>
  <si>
    <t>Hours</t>
  </si>
  <si>
    <t>Percentage Broadly Compliant</t>
  </si>
  <si>
    <t>Enforcement notices</t>
  </si>
  <si>
    <t>Prohibition Notices</t>
  </si>
  <si>
    <t>Due to quality concerns arising from a change in data collection software, hours recorded cannot be reported for 2019-20.</t>
  </si>
  <si>
    <t xml:space="preserve">In 2013-14 the fire safety audit data was not included in the publication due to quality and completeness concerns.  </t>
  </si>
  <si>
    <t>The number of Enforcement and Prohibition Notices provided is the count of workflows fully completed rather than the count of notices issued within the financial year. Workflows which require Formal Notices can take years to fully complete. We also publish a table on notices issued by financial year.</t>
  </si>
  <si>
    <t>Prohibition Notices may be issued without having first completed an audit, they are therefore recorded as Site Visits rather than Audits and are presented here for reader interest.</t>
  </si>
  <si>
    <t>Audits by Outcome and Average Time for Completion, by Premises Type</t>
  </si>
  <si>
    <t>Average Time (hours)</t>
  </si>
  <si>
    <t>Percentage of Type A</t>
  </si>
  <si>
    <t>The number of Enforcement and Prohibition Notices provided is the count of workflows fully completed rather than the count of notices issued within the financial year. Workflows which require formal Notices can take years to fully complete. We also publish a table on the number of Formal Notices issued by financial year.</t>
  </si>
  <si>
    <t>SHETLAND ISLANDS</t>
  </si>
  <si>
    <t>FIFE</t>
  </si>
  <si>
    <t>FALKIRK</t>
  </si>
  <si>
    <t>HIGHLAND</t>
  </si>
  <si>
    <t>Audits by Outcome and Average Time for Completion, by Local Authority</t>
  </si>
  <si>
    <t>Total hours</t>
  </si>
  <si>
    <t>Sum of Enforcement Notice</t>
  </si>
  <si>
    <t>Sum of Prohibition Notice</t>
  </si>
  <si>
    <t>Sum of Alterations Notice</t>
  </si>
  <si>
    <t>Alterations Notice</t>
  </si>
  <si>
    <t>Notices Issued by Type</t>
  </si>
  <si>
    <t>Enforcement Notices</t>
  </si>
  <si>
    <t>Alterations Notices</t>
  </si>
  <si>
    <t>This table was introduced in 2017-18 to provide details of the number of formal Notices issued within the financial year. This contrasts with the number of workflows completed each year which in the Audits Outcome tab.</t>
  </si>
  <si>
    <t>Where a premise had multiple owners who each received a formal Notice, this has been counted only once. The figure therefore reflects the number of unique buildings where a notice has been issued by financial year.</t>
  </si>
  <si>
    <t>Sum of VL</t>
  </si>
  <si>
    <t>Sum of L</t>
  </si>
  <si>
    <t>Sum of M</t>
  </si>
  <si>
    <t>Sum of H</t>
  </si>
  <si>
    <t>Sum of VH</t>
  </si>
  <si>
    <t>Sum of Not Known</t>
  </si>
  <si>
    <t>VL</t>
  </si>
  <si>
    <t>VH</t>
  </si>
  <si>
    <t>Audits by Risk Recorded</t>
  </si>
  <si>
    <t>Premises</t>
  </si>
  <si>
    <t>Very Low</t>
  </si>
  <si>
    <t>Low</t>
  </si>
  <si>
    <t>Medium</t>
  </si>
  <si>
    <t>High</t>
  </si>
  <si>
    <t>Very High</t>
  </si>
  <si>
    <t>Please note that risks should only be compared within category, i.e. a medium risk hotel does not contain the same risk as a medium risk shop.</t>
  </si>
  <si>
    <t>Audits by Risk Recorded - Percentage in Each Premises Type</t>
  </si>
  <si>
    <t>Non-domestic Workflows</t>
  </si>
  <si>
    <t>Audits by Premises Type and Risk</t>
  </si>
  <si>
    <t>Audits by Premises Type and Risk Share</t>
  </si>
  <si>
    <t>EAST DUNBARTONSHIRE</t>
  </si>
  <si>
    <t>Prevention</t>
  </si>
  <si>
    <t xml:space="preserve"> DaTS</t>
  </si>
  <si>
    <t xml:space="preserve"> CSE</t>
  </si>
  <si>
    <t>LACode</t>
  </si>
  <si>
    <t>LSOCode</t>
  </si>
  <si>
    <t>SFRSLSO</t>
  </si>
  <si>
    <t>SDACode</t>
  </si>
  <si>
    <t>Details for Sum of Households - Year: 2011</t>
  </si>
  <si>
    <t>WF_STHND1</t>
  </si>
  <si>
    <t>Staff Headcount (Number of Staff minus Volunteers)</t>
  </si>
  <si>
    <t>Staff Headcount to Crew Appliances (Number of Staff minus Volunteers, Support and Control)</t>
  </si>
  <si>
    <t>Number of Roles</t>
  </si>
  <si>
    <t>Wholetime Operational Staff by Duty System - Number of Roles</t>
  </si>
  <si>
    <t>Wholetime Operational Staff by Duty System and Local Authority - Number of Roles</t>
  </si>
  <si>
    <t>Staff Type by Department  - Number of Roles</t>
  </si>
  <si>
    <t>Staff Type by Geographical Reporting Structure - Number of Roles</t>
  </si>
  <si>
    <t>Staffing Type by Geographic Area - Number of Roles</t>
  </si>
  <si>
    <t>Wholetime Operational Staff by Role and Duty System - Number of Roles</t>
  </si>
  <si>
    <t>Wholetime Operational Staff by Role and Geographical Reporting Structure - Number of Roles</t>
  </si>
  <si>
    <t>Wholetime Operational Staff by Role and Geographical Area - Number of Roles</t>
  </si>
  <si>
    <t>Retained Duty Staff by Role and Geographical Area - Number of Roles</t>
  </si>
  <si>
    <t>Control Staff by Role and Geographic Area  - Number of Roles</t>
  </si>
  <si>
    <t>Support Staff by Role and Geographic Area -  Number of Roles</t>
  </si>
  <si>
    <t>Volunteers by Role and Geographic Area - Number of Roles</t>
  </si>
  <si>
    <t>Staff Type by Age Range - Number of Roles</t>
  </si>
  <si>
    <t>Staff Type by Service Length - Number of Roles</t>
  </si>
  <si>
    <t>Please note that the difference between those who joined SFRS and those who left is not the same as the change in Number of Roles. Staff are recorded as leaving when they are no longer in a post with SFRS.</t>
  </si>
  <si>
    <t>Number of Roles by Type of Staffing</t>
  </si>
  <si>
    <t>Staff Type by Sex - Number of Roles</t>
  </si>
  <si>
    <t>Station Types</t>
  </si>
  <si>
    <t>SFRS Number of Roles Filled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</si>
</sst>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41" formatCode="_-* #,##0_-;\-* #,##0_-;_-* &quot;-&quot;_-;_-@_-"/>
    <numFmt numFmtId="164" formatCode="_(* #,##0_);_(* \(#,##0\);_(* &quot;-&quot;_);_(@_)"/>
    <numFmt numFmtId="165" formatCode="_(* #,##0.00_);_(* \(#,##0.00\);_(* &quot;-&quot;??_);_(@_)"/>
    <numFmt numFmtId="166" formatCode="_-* #,##0_-;\-* #,##0_-;_-* &quot;-&quot;??_-;_-@_-"/>
    <numFmt numFmtId="167" formatCode="#,##0_ ;\-#,##0\ "/>
    <numFmt numFmtId="168" formatCode="0.0%"/>
    <numFmt numFmtId="169" formatCode="_-* #,##0_-;\-* #,##0_-;_-* &quot;- &quot;"/>
    <numFmt numFmtId="170" formatCode="_-* #,##0\ ;\-* #,##0\ ;_-* &quot;-&quot;\ "/>
    <numFmt numFmtId="171" formatCode="_-* #,##0_-;\-* #,##0_-;_-* &quot;- &quot;;_-@_-"/>
    <numFmt numFmtId="172" formatCode="0.0"/>
    <numFmt numFmtId="173" formatCode="#,##0.0"/>
    <numFmt numFmtId="174" formatCode="#,##0;\ \-#,##0;\ &quot;- &quot;"/>
    <numFmt numFmtId="175" formatCode="_-* #,##0.0_-;\-* #,##0.0_-;_-* &quot;- &quot;"/>
    <numFmt numFmtId="176" formatCode="#,##0.00;[Red]\ \ \-\ #,##0.00\ ;&quot;-&quot;"/>
    <numFmt numFmtId="177" formatCode="#,##0.0_ ;\-#,##0.0\ "/>
  </numFmts>
  <fonts count="58" x14ac:knownFonts="1">
    <font>
      <sz val="11"/>
      <color theme="1"/>
      <name val="Calibri"/>
      <family val="2"/>
      <scheme val="minor"/>
    </font>
    <font>
      <sz val="11"/>
      <color theme="1"/>
      <name val="Calibri"/>
      <family val="2"/>
      <scheme val="minor"/>
    </font>
    <font>
      <sz val="12"/>
      <color rgb="FF000000"/>
      <name val="Calibri"/>
      <family val="2"/>
    </font>
    <font>
      <u/>
      <sz val="10"/>
      <color indexed="12"/>
      <name val="Arial"/>
      <family val="2"/>
    </font>
    <font>
      <vertAlign val="superscript"/>
      <sz val="12"/>
      <color rgb="FF000000"/>
      <name val="Calibri"/>
      <family val="2"/>
    </font>
    <font>
      <sz val="10"/>
      <name val="Arial"/>
      <family val="2"/>
    </font>
    <font>
      <sz val="12"/>
      <name val="Arial"/>
      <family val="2"/>
    </font>
    <font>
      <sz val="14"/>
      <name val="Arial"/>
      <family val="2"/>
    </font>
    <font>
      <b/>
      <sz val="12"/>
      <name val="Arial"/>
      <family val="2"/>
    </font>
    <font>
      <b/>
      <sz val="10"/>
      <name val="Arial"/>
      <family val="2"/>
    </font>
    <font>
      <b/>
      <i/>
      <sz val="10"/>
      <name val="Arial"/>
      <family val="2"/>
    </font>
    <font>
      <i/>
      <sz val="10"/>
      <name val="Arial"/>
      <family val="2"/>
    </font>
    <font>
      <sz val="10"/>
      <color rgb="FFFF0000"/>
      <name val="Arial"/>
      <family val="2"/>
    </font>
    <font>
      <sz val="11"/>
      <name val="Arial"/>
      <family val="2"/>
    </font>
    <font>
      <b/>
      <sz val="11"/>
      <name val="Arial"/>
      <family val="2"/>
    </font>
    <font>
      <sz val="10"/>
      <color indexed="8"/>
      <name val="Arial"/>
      <family val="2"/>
    </font>
    <font>
      <b/>
      <sz val="11"/>
      <name val="Calibri"/>
      <family val="2"/>
      <scheme val="minor"/>
    </font>
    <font>
      <b/>
      <sz val="18"/>
      <color indexed="56"/>
      <name val="Arial"/>
      <family val="2"/>
    </font>
    <font>
      <u/>
      <sz val="10"/>
      <name val="Arial"/>
      <family val="2"/>
    </font>
    <font>
      <b/>
      <sz val="9"/>
      <name val="Arial"/>
      <family val="2"/>
    </font>
    <font>
      <b/>
      <sz val="15"/>
      <color indexed="56"/>
      <name val="Calibri"/>
      <family val="2"/>
    </font>
    <font>
      <b/>
      <sz val="13"/>
      <color indexed="56"/>
      <name val="Calibri"/>
      <family val="2"/>
    </font>
    <font>
      <b/>
      <i/>
      <sz val="11"/>
      <name val="Arial"/>
      <family val="2"/>
    </font>
    <font>
      <sz val="10"/>
      <color theme="1"/>
      <name val="Arial"/>
      <family val="2"/>
    </font>
    <font>
      <sz val="12"/>
      <color theme="1"/>
      <name val="Calibri"/>
      <family val="2"/>
      <scheme val="minor"/>
    </font>
    <font>
      <b/>
      <sz val="11"/>
      <color theme="1"/>
      <name val="Calibri"/>
      <family val="2"/>
      <scheme val="minor"/>
    </font>
    <font>
      <sz val="11"/>
      <color theme="0"/>
      <name val="Calibri"/>
      <family val="2"/>
      <scheme val="minor"/>
    </font>
    <font>
      <b/>
      <i/>
      <sz val="9"/>
      <name val="Arial"/>
      <family val="2"/>
    </font>
    <font>
      <b/>
      <sz val="16"/>
      <color theme="1" tint="0.249977111117893"/>
      <name val="Calibri"/>
      <family val="2"/>
      <scheme val="minor"/>
    </font>
    <font>
      <sz val="12"/>
      <color rgb="FF000000"/>
      <name val="Calibri"/>
      <family val="2"/>
      <scheme val="minor"/>
    </font>
    <font>
      <i/>
      <sz val="12"/>
      <color rgb="FF000000"/>
      <name val="Calibri"/>
      <family val="2"/>
      <scheme val="minor"/>
    </font>
    <font>
      <vertAlign val="superscript"/>
      <sz val="12"/>
      <color rgb="FF000000"/>
      <name val="Calibri"/>
      <family val="2"/>
      <scheme val="minor"/>
    </font>
    <font>
      <sz val="11"/>
      <color theme="1"/>
      <name val="Arial"/>
      <family val="2"/>
    </font>
    <font>
      <sz val="11"/>
      <name val="Calibri"/>
      <family val="2"/>
      <scheme val="minor"/>
    </font>
    <font>
      <sz val="11"/>
      <color rgb="FF000000"/>
      <name val="Calibri"/>
      <family val="2"/>
      <scheme val="minor"/>
    </font>
    <font>
      <u/>
      <sz val="11"/>
      <color indexed="12"/>
      <name val="Calibri"/>
      <family val="2"/>
      <scheme val="minor"/>
    </font>
    <font>
      <b/>
      <i/>
      <sz val="11"/>
      <name val="Calibri"/>
      <family val="2"/>
      <scheme val="minor"/>
    </font>
    <font>
      <i/>
      <sz val="11"/>
      <name val="Calibri"/>
      <family val="2"/>
      <scheme val="minor"/>
    </font>
    <font>
      <sz val="11"/>
      <color theme="1"/>
      <name val="Calibri"/>
      <family val="2"/>
    </font>
    <font>
      <u/>
      <sz val="12"/>
      <color indexed="12"/>
      <name val="Calibri"/>
      <family val="2"/>
      <scheme val="minor"/>
    </font>
    <font>
      <b/>
      <sz val="18"/>
      <color theme="1" tint="0.249977111117893"/>
      <name val="Calibri"/>
      <family val="2"/>
      <scheme val="minor"/>
    </font>
    <font>
      <sz val="11"/>
      <color rgb="FFFF0000"/>
      <name val="Calibri"/>
      <family val="2"/>
      <scheme val="minor"/>
    </font>
    <font>
      <b/>
      <u/>
      <sz val="12"/>
      <name val="Arial"/>
      <family val="2"/>
    </font>
    <font>
      <i/>
      <sz val="11"/>
      <color theme="1"/>
      <name val="Calibri"/>
      <family val="2"/>
      <scheme val="minor"/>
    </font>
    <font>
      <b/>
      <i/>
      <u/>
      <sz val="11"/>
      <color theme="1"/>
      <name val="Calibri"/>
      <family val="2"/>
      <scheme val="minor"/>
    </font>
    <font>
      <u/>
      <sz val="11"/>
      <color theme="1"/>
      <name val="Calibri"/>
      <family val="2"/>
      <scheme val="minor"/>
    </font>
    <font>
      <b/>
      <sz val="12"/>
      <color theme="1"/>
      <name val="Calibri"/>
      <family val="2"/>
      <scheme val="minor"/>
    </font>
    <font>
      <b/>
      <sz val="14"/>
      <color theme="1"/>
      <name val="Calibri"/>
      <family val="2"/>
      <scheme val="minor"/>
    </font>
    <font>
      <b/>
      <sz val="10"/>
      <color theme="1"/>
      <name val="Arial"/>
      <family val="2"/>
    </font>
    <font>
      <sz val="14"/>
      <color theme="1"/>
      <name val="Calibri"/>
      <family val="2"/>
      <scheme val="minor"/>
    </font>
    <font>
      <i/>
      <sz val="11"/>
      <name val="Arial"/>
      <family val="2"/>
    </font>
    <font>
      <b/>
      <sz val="12"/>
      <color theme="1"/>
      <name val="Arial"/>
      <family val="2"/>
    </font>
    <font>
      <b/>
      <i/>
      <sz val="11"/>
      <color theme="1"/>
      <name val="Calibri"/>
      <family val="2"/>
      <scheme val="minor"/>
    </font>
    <font>
      <sz val="8"/>
      <name val="Calibri"/>
      <family val="2"/>
      <scheme val="minor"/>
    </font>
    <font>
      <b/>
      <sz val="11"/>
      <color rgb="FF000000"/>
      <name val="Calibri"/>
      <family val="2"/>
      <scheme val="minor"/>
    </font>
    <font>
      <b/>
      <sz val="11"/>
      <color rgb="FF000000"/>
      <name val="Arial"/>
      <family val="2"/>
    </font>
    <font>
      <b/>
      <sz val="10"/>
      <name val="Arial"/>
    </font>
    <font>
      <sz val="10"/>
      <name val="Arial"/>
    </font>
  </fonts>
  <fills count="11">
    <fill>
      <patternFill patternType="none"/>
    </fill>
    <fill>
      <patternFill patternType="gray125"/>
    </fill>
    <fill>
      <patternFill patternType="solid">
        <fgColor theme="0"/>
        <bgColor indexed="64"/>
      </patternFill>
    </fill>
    <fill>
      <patternFill patternType="solid">
        <fgColor theme="0" tint="-0.249977111117893"/>
        <bgColor indexed="64"/>
      </patternFill>
    </fill>
    <fill>
      <patternFill patternType="solid">
        <fgColor theme="0" tint="-0.14999847407452621"/>
        <bgColor indexed="64"/>
      </patternFill>
    </fill>
    <fill>
      <patternFill patternType="solid">
        <fgColor theme="2"/>
        <bgColor indexed="64"/>
      </patternFill>
    </fill>
    <fill>
      <patternFill patternType="solid">
        <fgColor theme="0"/>
        <bgColor theme="4" tint="0.79998168889431442"/>
      </patternFill>
    </fill>
    <fill>
      <patternFill patternType="solid">
        <fgColor theme="2" tint="-9.9978637043366805E-2"/>
        <bgColor indexed="64"/>
      </patternFill>
    </fill>
    <fill>
      <patternFill patternType="solid">
        <fgColor rgb="FFFFFFFF"/>
        <bgColor rgb="FF000000"/>
      </patternFill>
    </fill>
    <fill>
      <patternFill patternType="solid">
        <fgColor theme="0" tint="-4.9989318521683403E-2"/>
        <bgColor indexed="64"/>
      </patternFill>
    </fill>
    <fill>
      <patternFill patternType="solid">
        <fgColor rgb="FFFFFF00"/>
        <bgColor indexed="64"/>
      </patternFill>
    </fill>
  </fills>
  <borders count="39">
    <border>
      <left/>
      <right/>
      <top/>
      <bottom/>
      <diagonal/>
    </border>
    <border>
      <left/>
      <right/>
      <top/>
      <bottom style="thin">
        <color indexed="64"/>
      </bottom>
      <diagonal/>
    </border>
    <border>
      <left/>
      <right/>
      <top style="thin">
        <color indexed="64"/>
      </top>
      <bottom/>
      <diagonal/>
    </border>
    <border>
      <left/>
      <right/>
      <top/>
      <bottom style="medium">
        <color indexed="64"/>
      </bottom>
      <diagonal/>
    </border>
    <border>
      <left/>
      <right/>
      <top style="thin">
        <color indexed="64"/>
      </top>
      <bottom style="medium">
        <color indexed="64"/>
      </bottom>
      <diagonal/>
    </border>
    <border>
      <left/>
      <right/>
      <top style="thin">
        <color indexed="64"/>
      </top>
      <bottom style="thin">
        <color indexed="64"/>
      </bottom>
      <diagonal/>
    </border>
    <border>
      <left/>
      <right/>
      <top style="thin">
        <color theme="4"/>
      </top>
      <bottom/>
      <diagonal/>
    </border>
    <border>
      <left/>
      <right/>
      <top/>
      <bottom style="thick">
        <color indexed="22"/>
      </bottom>
      <diagonal/>
    </border>
    <border>
      <left style="thin">
        <color indexed="64"/>
      </left>
      <right/>
      <top style="thin">
        <color indexed="64"/>
      </top>
      <bottom style="thin">
        <color indexed="64"/>
      </bottom>
      <diagonal/>
    </border>
    <border>
      <left style="thin">
        <color indexed="64"/>
      </left>
      <right/>
      <top/>
      <bottom/>
      <diagonal/>
    </border>
    <border>
      <left style="thin">
        <color indexed="64"/>
      </left>
      <right/>
      <top/>
      <bottom style="thin">
        <color indexed="64"/>
      </bottom>
      <diagonal/>
    </border>
    <border>
      <left style="thin">
        <color indexed="64"/>
      </left>
      <right/>
      <top style="thin">
        <color indexed="64"/>
      </top>
      <bottom style="medium">
        <color indexed="64"/>
      </bottom>
      <diagonal/>
    </border>
    <border>
      <left style="thin">
        <color indexed="64"/>
      </left>
      <right/>
      <top/>
      <bottom style="medium">
        <color indexed="64"/>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right style="thin">
        <color indexed="64"/>
      </right>
      <top/>
      <bottom/>
      <diagonal/>
    </border>
    <border>
      <left/>
      <right style="thin">
        <color indexed="64"/>
      </right>
      <top style="thin">
        <color indexed="64"/>
      </top>
      <bottom/>
      <diagonal/>
    </border>
    <border>
      <left style="thin">
        <color indexed="64"/>
      </left>
      <right/>
      <top style="thin">
        <color indexed="64"/>
      </top>
      <bottom/>
      <diagonal/>
    </border>
    <border>
      <left style="thin">
        <color indexed="64"/>
      </left>
      <right style="thin">
        <color indexed="64"/>
      </right>
      <top style="thin">
        <color indexed="64"/>
      </top>
      <bottom style="thin">
        <color indexed="64"/>
      </bottom>
      <diagonal/>
    </border>
    <border>
      <left/>
      <right style="thin">
        <color indexed="64"/>
      </right>
      <top/>
      <bottom style="thin">
        <color indexed="64"/>
      </bottom>
      <diagonal/>
    </border>
    <border>
      <left style="thin">
        <color indexed="64"/>
      </left>
      <right style="thin">
        <color indexed="64"/>
      </right>
      <top style="thin">
        <color indexed="64"/>
      </top>
      <bottom/>
      <diagonal/>
    </border>
    <border>
      <left/>
      <right/>
      <top style="thin">
        <color theme="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thin">
        <color indexed="64"/>
      </right>
      <top style="thin">
        <color indexed="64"/>
      </top>
      <bottom style="thin">
        <color theme="1"/>
      </bottom>
      <diagonal/>
    </border>
    <border>
      <left/>
      <right/>
      <top style="thin">
        <color indexed="64"/>
      </top>
      <bottom style="thin">
        <color theme="1"/>
      </bottom>
      <diagonal/>
    </border>
    <border>
      <left style="thin">
        <color indexed="64"/>
      </left>
      <right style="thin">
        <color indexed="64"/>
      </right>
      <top style="thin">
        <color theme="1"/>
      </top>
      <bottom/>
      <diagonal/>
    </border>
    <border>
      <left/>
      <right/>
      <top style="medium">
        <color indexed="64"/>
      </top>
      <bottom/>
      <diagonal/>
    </border>
    <border>
      <left/>
      <right style="thin">
        <color indexed="64"/>
      </right>
      <top/>
      <bottom style="medium">
        <color indexed="64"/>
      </bottom>
      <diagonal/>
    </border>
    <border>
      <left/>
      <right/>
      <top/>
      <bottom style="thin">
        <color theme="4" tint="0.39997558519241921"/>
      </bottom>
      <diagonal/>
    </border>
    <border>
      <left/>
      <right style="thin">
        <color indexed="64"/>
      </right>
      <top style="thin">
        <color indexed="64"/>
      </top>
      <bottom style="medium">
        <color indexed="64"/>
      </bottom>
      <diagonal/>
    </border>
    <border>
      <left/>
      <right style="thin">
        <color rgb="FF000000"/>
      </right>
      <top/>
      <bottom style="thin">
        <color rgb="FF000000"/>
      </bottom>
      <diagonal/>
    </border>
    <border>
      <left style="thin">
        <color indexed="64"/>
      </left>
      <right style="thin">
        <color rgb="FF000000"/>
      </right>
      <top/>
      <bottom/>
      <diagonal/>
    </border>
    <border>
      <left style="thin">
        <color rgb="FF000000"/>
      </left>
      <right style="thin">
        <color rgb="FF000000"/>
      </right>
      <top/>
      <bottom/>
      <diagonal/>
    </border>
    <border>
      <left style="thin">
        <color rgb="FF000000"/>
      </left>
      <right style="thin">
        <color rgb="FF000000"/>
      </right>
      <top/>
      <bottom style="thin">
        <color rgb="FF000000"/>
      </bottom>
      <diagonal/>
    </border>
    <border>
      <left style="thin">
        <color rgb="FF000000"/>
      </left>
      <right/>
      <top/>
      <bottom style="thin">
        <color indexed="64"/>
      </bottom>
      <diagonal/>
    </border>
    <border>
      <left style="thin">
        <color rgb="FF000000"/>
      </left>
      <right/>
      <top/>
      <bottom/>
      <diagonal/>
    </border>
    <border>
      <left/>
      <right style="thin">
        <color rgb="FF000000"/>
      </right>
      <top/>
      <bottom/>
      <diagonal/>
    </border>
  </borders>
  <cellStyleXfs count="24">
    <xf numFmtId="0" fontId="0" fillId="0" borderId="0"/>
    <xf numFmtId="165" fontId="1" fillId="0" borderId="0" applyFont="0" applyFill="0" applyBorder="0" applyAlignment="0" applyProtection="0"/>
    <xf numFmtId="9" fontId="1" fillId="0" borderId="0" applyFont="0" applyFill="0" applyBorder="0" applyAlignment="0" applyProtection="0"/>
    <xf numFmtId="0" fontId="3" fillId="0" borderId="0" applyNumberFormat="0" applyFill="0" applyBorder="0" applyAlignment="0" applyProtection="0">
      <alignment vertical="top"/>
      <protection locked="0"/>
    </xf>
    <xf numFmtId="0" fontId="5" fillId="0" borderId="0"/>
    <xf numFmtId="0" fontId="15" fillId="0" borderId="0"/>
    <xf numFmtId="0" fontId="5" fillId="0" borderId="0"/>
    <xf numFmtId="0" fontId="15" fillId="0" borderId="0"/>
    <xf numFmtId="0" fontId="17" fillId="0" borderId="0" applyNumberFormat="0" applyFill="0" applyBorder="0" applyProtection="0">
      <alignment wrapText="1"/>
    </xf>
    <xf numFmtId="0" fontId="15" fillId="0" borderId="0"/>
    <xf numFmtId="0" fontId="15" fillId="0" borderId="0"/>
    <xf numFmtId="0" fontId="20" fillId="0" borderId="0" applyNumberFormat="0" applyFill="0" applyAlignment="0" applyProtection="0"/>
    <xf numFmtId="0" fontId="15" fillId="0" borderId="0"/>
    <xf numFmtId="0" fontId="15" fillId="0" borderId="0"/>
    <xf numFmtId="0" fontId="21" fillId="0" borderId="7" applyNumberFormat="0" applyFill="0" applyAlignment="0" applyProtection="0"/>
    <xf numFmtId="9" fontId="5" fillId="0" borderId="0" applyFont="0" applyFill="0" applyBorder="0" applyAlignment="0" applyProtection="0"/>
    <xf numFmtId="0" fontId="5" fillId="0" borderId="0"/>
    <xf numFmtId="165" fontId="5" fillId="0" borderId="0" applyFont="0" applyFill="0" applyBorder="0" applyAlignment="0" applyProtection="0"/>
    <xf numFmtId="0" fontId="5" fillId="0" borderId="0"/>
    <xf numFmtId="0" fontId="15" fillId="0" borderId="0"/>
    <xf numFmtId="0" fontId="23" fillId="0" borderId="0"/>
    <xf numFmtId="165" fontId="23" fillId="0" borderId="0" applyFont="0" applyFill="0" applyBorder="0" applyAlignment="0" applyProtection="0"/>
    <xf numFmtId="9" fontId="23" fillId="0" borderId="0" applyFont="0" applyFill="0" applyBorder="0" applyAlignment="0" applyProtection="0"/>
    <xf numFmtId="0" fontId="15" fillId="0" borderId="0"/>
  </cellStyleXfs>
  <cellXfs count="1087">
    <xf numFmtId="0" fontId="0" fillId="0" borderId="0" xfId="0"/>
    <xf numFmtId="0" fontId="7" fillId="2" borderId="0" xfId="0" applyFont="1" applyFill="1"/>
    <xf numFmtId="0" fontId="9" fillId="0" borderId="1" xfId="0" applyFont="1" applyBorder="1"/>
    <xf numFmtId="0" fontId="9" fillId="0" borderId="1" xfId="0" applyFont="1" applyBorder="1" applyAlignment="1">
      <alignment horizontal="right" wrapText="1"/>
    </xf>
    <xf numFmtId="0" fontId="9" fillId="0" borderId="0" xfId="0" applyFont="1" applyAlignment="1">
      <alignment horizontal="right" wrapText="1"/>
    </xf>
    <xf numFmtId="0" fontId="9" fillId="0" borderId="0" xfId="0" applyFont="1" applyAlignment="1">
      <alignment horizontal="left"/>
    </xf>
    <xf numFmtId="0" fontId="9" fillId="0" borderId="0" xfId="0" applyFont="1" applyAlignment="1">
      <alignment horizontal="left" vertical="center"/>
    </xf>
    <xf numFmtId="0" fontId="7" fillId="0" borderId="0" xfId="0" applyFont="1"/>
    <xf numFmtId="0" fontId="9" fillId="0" borderId="0" xfId="0" applyFont="1" applyAlignment="1">
      <alignment vertical="center" wrapText="1"/>
    </xf>
    <xf numFmtId="167" fontId="5" fillId="0" borderId="2" xfId="0" applyNumberFormat="1" applyFont="1" applyBorder="1"/>
    <xf numFmtId="0" fontId="10" fillId="0" borderId="3" xfId="0" applyFont="1" applyBorder="1" applyAlignment="1">
      <alignment wrapText="1"/>
    </xf>
    <xf numFmtId="168" fontId="11" fillId="0" borderId="3" xfId="2" applyNumberFormat="1" applyFont="1" applyFill="1" applyBorder="1" applyAlignment="1">
      <alignment horizontal="right" wrapText="1"/>
    </xf>
    <xf numFmtId="0" fontId="9" fillId="0" borderId="0" xfId="0" applyFont="1"/>
    <xf numFmtId="0" fontId="5" fillId="0" borderId="0" xfId="0" applyFont="1" applyAlignment="1">
      <alignment horizontal="right" wrapText="1"/>
    </xf>
    <xf numFmtId="166" fontId="5" fillId="0" borderId="0" xfId="0" applyNumberFormat="1" applyFont="1" applyAlignment="1">
      <alignment horizontal="right" wrapText="1"/>
    </xf>
    <xf numFmtId="0" fontId="5" fillId="0" borderId="0" xfId="0" applyFont="1"/>
    <xf numFmtId="0" fontId="9" fillId="0" borderId="1" xfId="0" applyFont="1" applyBorder="1" applyAlignment="1">
      <alignment horizontal="left"/>
    </xf>
    <xf numFmtId="0" fontId="7" fillId="0" borderId="0" xfId="0" applyFont="1" applyAlignment="1">
      <alignment vertical="center"/>
    </xf>
    <xf numFmtId="3" fontId="9" fillId="0" borderId="0" xfId="0" applyNumberFormat="1" applyFont="1" applyAlignment="1">
      <alignment horizontal="right" vertical="center" wrapText="1"/>
    </xf>
    <xf numFmtId="0" fontId="5" fillId="0" borderId="0" xfId="0" applyFont="1" applyAlignment="1">
      <alignment vertical="center"/>
    </xf>
    <xf numFmtId="0" fontId="5" fillId="0" borderId="1" xfId="0" applyFont="1" applyBorder="1"/>
    <xf numFmtId="0" fontId="9" fillId="0" borderId="0" xfId="0" applyFont="1" applyAlignment="1">
      <alignment wrapText="1"/>
    </xf>
    <xf numFmtId="1" fontId="5" fillId="0" borderId="0" xfId="0" applyNumberFormat="1" applyFont="1"/>
    <xf numFmtId="0" fontId="5" fillId="0" borderId="0" xfId="0" applyFont="1" applyAlignment="1">
      <alignment wrapText="1"/>
    </xf>
    <xf numFmtId="168" fontId="5" fillId="0" borderId="0" xfId="0" applyNumberFormat="1" applyFont="1" applyAlignment="1">
      <alignment horizontal="right" wrapText="1"/>
    </xf>
    <xf numFmtId="0" fontId="5" fillId="2" borderId="0" xfId="0" applyFont="1" applyFill="1"/>
    <xf numFmtId="0" fontId="8" fillId="0" borderId="1" xfId="0" applyFont="1" applyBorder="1" applyAlignment="1">
      <alignment horizontal="left" vertical="center" wrapText="1"/>
    </xf>
    <xf numFmtId="0" fontId="9" fillId="0" borderId="3" xfId="0" applyFont="1" applyBorder="1" applyAlignment="1">
      <alignment vertical="center"/>
    </xf>
    <xf numFmtId="9" fontId="10" fillId="0" borderId="4" xfId="0" applyNumberFormat="1" applyFont="1" applyBorder="1" applyAlignment="1">
      <alignment vertical="center"/>
    </xf>
    <xf numFmtId="0" fontId="9" fillId="0" borderId="0" xfId="0" applyFont="1" applyAlignment="1">
      <alignment vertical="center"/>
    </xf>
    <xf numFmtId="9" fontId="9" fillId="0" borderId="0" xfId="0" applyNumberFormat="1" applyFont="1" applyAlignment="1">
      <alignment vertical="center"/>
    </xf>
    <xf numFmtId="0" fontId="9" fillId="0" borderId="5" xfId="0" applyFont="1" applyBorder="1" applyAlignment="1">
      <alignment horizontal="center" wrapText="1"/>
    </xf>
    <xf numFmtId="0" fontId="9" fillId="0" borderId="2" xfId="0" applyFont="1" applyBorder="1"/>
    <xf numFmtId="0" fontId="9" fillId="0" borderId="4" xfId="0" applyFont="1" applyBorder="1" applyAlignment="1">
      <alignment vertical="center"/>
    </xf>
    <xf numFmtId="0" fontId="9" fillId="0" borderId="3" xfId="0" applyFont="1" applyBorder="1"/>
    <xf numFmtId="0" fontId="13" fillId="2" borderId="0" xfId="0" applyFont="1" applyFill="1"/>
    <xf numFmtId="0" fontId="14" fillId="0" borderId="0" xfId="0" applyFont="1"/>
    <xf numFmtId="0" fontId="9" fillId="0" borderId="0" xfId="5" applyFont="1" applyAlignment="1">
      <alignment horizontal="right" wrapText="1"/>
    </xf>
    <xf numFmtId="0" fontId="14" fillId="0" borderId="4" xfId="5" applyFont="1" applyBorder="1" applyAlignment="1">
      <alignment horizontal="left" vertical="center"/>
    </xf>
    <xf numFmtId="0" fontId="14" fillId="0" borderId="0" xfId="5" applyFont="1" applyAlignment="1">
      <alignment horizontal="left" vertical="center"/>
    </xf>
    <xf numFmtId="3" fontId="9" fillId="0" borderId="0" xfId="5" applyNumberFormat="1" applyFont="1" applyAlignment="1">
      <alignment horizontal="right" vertical="center" wrapText="1"/>
    </xf>
    <xf numFmtId="3" fontId="9" fillId="0" borderId="0" xfId="0" applyNumberFormat="1" applyFont="1" applyAlignment="1">
      <alignment vertical="center"/>
    </xf>
    <xf numFmtId="0" fontId="14" fillId="0" borderId="1" xfId="5" applyFont="1" applyBorder="1" applyAlignment="1">
      <alignment horizontal="left"/>
    </xf>
    <xf numFmtId="3" fontId="9" fillId="0" borderId="1" xfId="5" applyNumberFormat="1" applyFont="1" applyBorder="1" applyAlignment="1">
      <alignment horizontal="right" wrapText="1"/>
    </xf>
    <xf numFmtId="3" fontId="9" fillId="0" borderId="0" xfId="5" applyNumberFormat="1" applyFont="1" applyAlignment="1">
      <alignment horizontal="right" wrapText="1"/>
    </xf>
    <xf numFmtId="0" fontId="9" fillId="0" borderId="6" xfId="5" applyFont="1" applyBorder="1" applyAlignment="1">
      <alignment horizontal="left"/>
    </xf>
    <xf numFmtId="3" fontId="5" fillId="0" borderId="0" xfId="5" applyNumberFormat="1" applyFont="1" applyAlignment="1">
      <alignment horizontal="right" wrapText="1"/>
    </xf>
    <xf numFmtId="3" fontId="9" fillId="0" borderId="0" xfId="0" applyNumberFormat="1" applyFont="1"/>
    <xf numFmtId="0" fontId="9" fillId="0" borderId="0" xfId="5" applyFont="1" applyAlignment="1">
      <alignment horizontal="left"/>
    </xf>
    <xf numFmtId="164" fontId="5" fillId="0" borderId="0" xfId="6" applyNumberFormat="1"/>
    <xf numFmtId="164" fontId="5" fillId="0" borderId="0" xfId="0" applyNumberFormat="1" applyFont="1"/>
    <xf numFmtId="164" fontId="5" fillId="0" borderId="0" xfId="0" applyNumberFormat="1" applyFont="1" applyAlignment="1">
      <alignment horizontal="right"/>
    </xf>
    <xf numFmtId="0" fontId="9" fillId="0" borderId="4" xfId="5" applyFont="1" applyBorder="1" applyAlignment="1">
      <alignment horizontal="left" vertical="center"/>
    </xf>
    <xf numFmtId="3" fontId="9" fillId="0" borderId="4" xfId="5" applyNumberFormat="1" applyFont="1" applyBorder="1" applyAlignment="1">
      <alignment horizontal="right" vertical="center" wrapText="1"/>
    </xf>
    <xf numFmtId="0" fontId="14" fillId="0" borderId="0" xfId="5" applyFont="1" applyAlignment="1">
      <alignment horizontal="left" vertical="center" wrapText="1"/>
    </xf>
    <xf numFmtId="3" fontId="9" fillId="0" borderId="0" xfId="0" applyNumberFormat="1" applyFont="1" applyAlignment="1">
      <alignment horizontal="right" vertical="center"/>
    </xf>
    <xf numFmtId="164" fontId="5" fillId="0" borderId="2" xfId="6" applyNumberFormat="1" applyBorder="1"/>
    <xf numFmtId="49" fontId="9" fillId="0" borderId="0" xfId="5" applyNumberFormat="1" applyFont="1" applyAlignment="1">
      <alignment horizontal="left" vertical="center" wrapText="1"/>
    </xf>
    <xf numFmtId="0" fontId="9" fillId="0" borderId="4" xfId="5" applyFont="1" applyBorder="1" applyAlignment="1">
      <alignment horizontal="left" vertical="center" wrapText="1"/>
    </xf>
    <xf numFmtId="164" fontId="9" fillId="0" borderId="4" xfId="5" applyNumberFormat="1" applyFont="1" applyBorder="1" applyAlignment="1">
      <alignment horizontal="right" vertical="center" wrapText="1"/>
    </xf>
    <xf numFmtId="0" fontId="9" fillId="0" borderId="2" xfId="5" applyFont="1" applyBorder="1" applyAlignment="1">
      <alignment horizontal="left"/>
    </xf>
    <xf numFmtId="3" fontId="9" fillId="0" borderId="2" xfId="0" applyNumberFormat="1" applyFont="1" applyBorder="1"/>
    <xf numFmtId="3" fontId="9" fillId="0" borderId="0" xfId="0" applyNumberFormat="1" applyFont="1" applyAlignment="1">
      <alignment horizontal="right"/>
    </xf>
    <xf numFmtId="0" fontId="14" fillId="0" borderId="4" xfId="0" applyFont="1" applyBorder="1" applyAlignment="1">
      <alignment vertical="center"/>
    </xf>
    <xf numFmtId="3" fontId="14" fillId="0" borderId="4" xfId="0" applyNumberFormat="1" applyFont="1" applyBorder="1" applyAlignment="1">
      <alignment vertical="center"/>
    </xf>
    <xf numFmtId="3" fontId="9" fillId="0" borderId="0" xfId="5" applyNumberFormat="1" applyFont="1" applyAlignment="1">
      <alignment horizontal="center" vertical="center" wrapText="1"/>
    </xf>
    <xf numFmtId="170" fontId="5" fillId="0" borderId="0" xfId="6" applyNumberFormat="1"/>
    <xf numFmtId="170" fontId="9" fillId="0" borderId="0" xfId="0" applyNumberFormat="1" applyFont="1"/>
    <xf numFmtId="3" fontId="5" fillId="0" borderId="0" xfId="0" applyNumberFormat="1" applyFont="1"/>
    <xf numFmtId="164" fontId="9" fillId="0" borderId="0" xfId="0" applyNumberFormat="1" applyFont="1"/>
    <xf numFmtId="164" fontId="9" fillId="0" borderId="4" xfId="0" applyNumberFormat="1" applyFont="1" applyBorder="1" applyAlignment="1">
      <alignment horizontal="right" vertical="center"/>
    </xf>
    <xf numFmtId="164" fontId="9" fillId="0" borderId="0" xfId="0" applyNumberFormat="1" applyFont="1" applyAlignment="1">
      <alignment horizontal="right" vertical="center"/>
    </xf>
    <xf numFmtId="3" fontId="9" fillId="0" borderId="1" xfId="5" applyNumberFormat="1" applyFont="1" applyBorder="1" applyAlignment="1">
      <alignment horizontal="center" wrapText="1"/>
    </xf>
    <xf numFmtId="3" fontId="9" fillId="0" borderId="4" xfId="5" applyNumberFormat="1" applyFont="1" applyBorder="1" applyAlignment="1">
      <alignment horizontal="left" vertical="center"/>
    </xf>
    <xf numFmtId="164" fontId="9" fillId="0" borderId="0" xfId="0" applyNumberFormat="1" applyFont="1" applyAlignment="1">
      <alignment vertical="center"/>
    </xf>
    <xf numFmtId="3" fontId="9" fillId="0" borderId="1" xfId="5" applyNumberFormat="1" applyFont="1" applyBorder="1" applyAlignment="1">
      <alignment horizontal="center" vertical="center" wrapText="1"/>
    </xf>
    <xf numFmtId="3" fontId="14" fillId="0" borderId="4" xfId="0" applyNumberFormat="1" applyFont="1" applyBorder="1" applyAlignment="1">
      <alignment horizontal="left" vertical="center"/>
    </xf>
    <xf numFmtId="0" fontId="2" fillId="0" borderId="0" xfId="0" applyFont="1"/>
    <xf numFmtId="0" fontId="14" fillId="0" borderId="1" xfId="0" applyFont="1" applyBorder="1"/>
    <xf numFmtId="0" fontId="9" fillId="0" borderId="1" xfId="5" applyFont="1" applyBorder="1" applyAlignment="1">
      <alignment horizontal="right" wrapText="1"/>
    </xf>
    <xf numFmtId="0" fontId="14" fillId="0" borderId="3" xfId="5" applyFont="1" applyBorder="1" applyAlignment="1">
      <alignment horizontal="left"/>
    </xf>
    <xf numFmtId="0" fontId="9" fillId="0" borderId="2" xfId="5" applyFont="1" applyBorder="1" applyAlignment="1">
      <alignment horizontal="left" vertical="center"/>
    </xf>
    <xf numFmtId="0" fontId="9" fillId="0" borderId="0" xfId="5" applyFont="1" applyAlignment="1">
      <alignment horizontal="left" vertical="center"/>
    </xf>
    <xf numFmtId="0" fontId="14" fillId="0" borderId="0" xfId="0" applyFont="1" applyAlignment="1">
      <alignment vertical="top" wrapText="1"/>
    </xf>
    <xf numFmtId="0" fontId="9" fillId="0" borderId="1" xfId="5" applyFont="1" applyBorder="1" applyAlignment="1">
      <alignment horizontal="right" vertical="center" wrapText="1"/>
    </xf>
    <xf numFmtId="0" fontId="9" fillId="0" borderId="0" xfId="0" applyFont="1" applyAlignment="1">
      <alignment horizontal="right" vertical="center"/>
    </xf>
    <xf numFmtId="0" fontId="5" fillId="0" borderId="3" xfId="0" applyFont="1" applyBorder="1" applyAlignment="1">
      <alignment vertical="center"/>
    </xf>
    <xf numFmtId="0" fontId="9" fillId="0" borderId="1" xfId="0" applyFont="1" applyBorder="1" applyAlignment="1">
      <alignment horizontal="right" vertical="center"/>
    </xf>
    <xf numFmtId="1" fontId="9" fillId="0" borderId="0" xfId="5" applyNumberFormat="1" applyFont="1" applyAlignment="1">
      <alignment horizontal="right" vertical="center" wrapText="1"/>
    </xf>
    <xf numFmtId="0" fontId="5" fillId="0" borderId="0" xfId="5" applyFont="1" applyAlignment="1">
      <alignment horizontal="left"/>
    </xf>
    <xf numFmtId="3" fontId="9" fillId="0" borderId="3" xfId="0" applyNumberFormat="1" applyFont="1" applyBorder="1"/>
    <xf numFmtId="3" fontId="5" fillId="0" borderId="1" xfId="5" applyNumberFormat="1" applyFont="1" applyBorder="1" applyAlignment="1">
      <alignment horizontal="right" wrapText="1"/>
    </xf>
    <xf numFmtId="164" fontId="5" fillId="0" borderId="1" xfId="6" applyNumberFormat="1" applyBorder="1"/>
    <xf numFmtId="164" fontId="5" fillId="0" borderId="0" xfId="5" applyNumberFormat="1" applyFont="1" applyAlignment="1">
      <alignment horizontal="right" wrapText="1"/>
    </xf>
    <xf numFmtId="164" fontId="9" fillId="0" borderId="0" xfId="6" applyNumberFormat="1" applyFont="1"/>
    <xf numFmtId="0" fontId="5" fillId="0" borderId="0" xfId="0" applyFont="1" applyAlignment="1">
      <alignment vertical="top" wrapText="1"/>
    </xf>
    <xf numFmtId="3" fontId="8" fillId="0" borderId="0" xfId="0" applyNumberFormat="1" applyFont="1"/>
    <xf numFmtId="0" fontId="9" fillId="0" borderId="0" xfId="0" applyFont="1" applyAlignment="1">
      <alignment horizontal="right"/>
    </xf>
    <xf numFmtId="1" fontId="16" fillId="0" borderId="0" xfId="0" applyNumberFormat="1" applyFont="1" applyAlignment="1">
      <alignment vertical="center"/>
    </xf>
    <xf numFmtId="0" fontId="10" fillId="0" borderId="0" xfId="0" applyFont="1"/>
    <xf numFmtId="3" fontId="5" fillId="0" borderId="0" xfId="0" applyNumberFormat="1" applyFont="1" applyAlignment="1">
      <alignment horizontal="right"/>
    </xf>
    <xf numFmtId="9" fontId="10" fillId="0" borderId="0" xfId="2" applyFont="1" applyFill="1" applyBorder="1" applyAlignment="1">
      <alignment horizontal="right"/>
    </xf>
    <xf numFmtId="168" fontId="11" fillId="0" borderId="0" xfId="2" applyNumberFormat="1" applyFont="1" applyFill="1" applyBorder="1" applyAlignment="1">
      <alignment horizontal="right"/>
    </xf>
    <xf numFmtId="168" fontId="11" fillId="0" borderId="1" xfId="2" applyNumberFormat="1" applyFont="1" applyFill="1" applyBorder="1" applyAlignment="1">
      <alignment horizontal="right"/>
    </xf>
    <xf numFmtId="3" fontId="5" fillId="0" borderId="2" xfId="0" applyNumberFormat="1" applyFont="1" applyBorder="1"/>
    <xf numFmtId="0" fontId="8" fillId="2" borderId="1" xfId="8" applyFont="1" applyFill="1" applyBorder="1" applyAlignment="1">
      <alignment horizontal="left" vertical="top" wrapText="1"/>
    </xf>
    <xf numFmtId="0" fontId="10" fillId="2" borderId="1" xfId="8" applyFont="1" applyFill="1" applyBorder="1" applyAlignment="1">
      <alignment horizontal="right" wrapText="1"/>
    </xf>
    <xf numFmtId="0" fontId="9" fillId="2" borderId="0" xfId="0" applyFont="1" applyFill="1" applyAlignment="1">
      <alignment horizontal="right"/>
    </xf>
    <xf numFmtId="0" fontId="14" fillId="2" borderId="1" xfId="7" applyFont="1" applyFill="1" applyBorder="1"/>
    <xf numFmtId="3" fontId="9" fillId="2" borderId="1" xfId="0" applyNumberFormat="1" applyFont="1" applyFill="1" applyBorder="1" applyAlignment="1">
      <alignment horizontal="right"/>
    </xf>
    <xf numFmtId="0" fontId="9" fillId="2" borderId="1" xfId="0" applyFont="1" applyFill="1" applyBorder="1" applyAlignment="1">
      <alignment horizontal="right"/>
    </xf>
    <xf numFmtId="0" fontId="5" fillId="2" borderId="1" xfId="0" applyFont="1" applyFill="1" applyBorder="1"/>
    <xf numFmtId="0" fontId="9" fillId="2" borderId="0" xfId="7" applyFont="1" applyFill="1" applyAlignment="1">
      <alignment horizontal="left" indent="1"/>
    </xf>
    <xf numFmtId="0" fontId="5" fillId="2" borderId="0" xfId="7" applyFont="1" applyFill="1"/>
    <xf numFmtId="164" fontId="5" fillId="2" borderId="0" xfId="9" applyNumberFormat="1" applyFont="1" applyFill="1" applyAlignment="1">
      <alignment horizontal="right" wrapText="1"/>
    </xf>
    <xf numFmtId="168" fontId="11" fillId="2" borderId="0" xfId="2" quotePrefix="1" applyNumberFormat="1" applyFont="1" applyFill="1" applyBorder="1" applyAlignment="1">
      <alignment horizontal="right"/>
    </xf>
    <xf numFmtId="164" fontId="5" fillId="2" borderId="0" xfId="9" quotePrefix="1" applyNumberFormat="1" applyFont="1" applyFill="1" applyAlignment="1">
      <alignment horizontal="right" wrapText="1"/>
    </xf>
    <xf numFmtId="3" fontId="9" fillId="2" borderId="0" xfId="0" applyNumberFormat="1" applyFont="1" applyFill="1" applyAlignment="1">
      <alignment horizontal="right"/>
    </xf>
    <xf numFmtId="0" fontId="9" fillId="2" borderId="0" xfId="7" applyFont="1" applyFill="1" applyAlignment="1">
      <alignment horizontal="left"/>
    </xf>
    <xf numFmtId="0" fontId="9" fillId="2" borderId="4" xfId="7" applyFont="1" applyFill="1" applyBorder="1" applyAlignment="1">
      <alignment vertical="center" wrapText="1"/>
    </xf>
    <xf numFmtId="3" fontId="9" fillId="2" borderId="4" xfId="7" applyNumberFormat="1" applyFont="1" applyFill="1" applyBorder="1" applyAlignment="1">
      <alignment horizontal="right" vertical="center"/>
    </xf>
    <xf numFmtId="168" fontId="10" fillId="2" borderId="4" xfId="2" quotePrefix="1" applyNumberFormat="1" applyFont="1" applyFill="1" applyBorder="1" applyAlignment="1">
      <alignment horizontal="right" vertical="center"/>
    </xf>
    <xf numFmtId="3" fontId="5" fillId="2" borderId="0" xfId="7" applyNumberFormat="1" applyFont="1" applyFill="1" applyAlignment="1">
      <alignment horizontal="right"/>
    </xf>
    <xf numFmtId="3" fontId="5" fillId="2" borderId="0" xfId="0" applyNumberFormat="1" applyFont="1" applyFill="1" applyAlignment="1">
      <alignment horizontal="right"/>
    </xf>
    <xf numFmtId="1" fontId="11" fillId="2" borderId="0" xfId="7" quotePrefix="1" applyNumberFormat="1" applyFont="1" applyFill="1" applyAlignment="1">
      <alignment horizontal="right"/>
    </xf>
    <xf numFmtId="3" fontId="9" fillId="2" borderId="1" xfId="7" applyNumberFormat="1" applyFont="1" applyFill="1" applyBorder="1" applyAlignment="1">
      <alignment horizontal="right"/>
    </xf>
    <xf numFmtId="0" fontId="9" fillId="2" borderId="0" xfId="7" applyFont="1" applyFill="1"/>
    <xf numFmtId="1" fontId="10" fillId="2" borderId="1" xfId="7" quotePrefix="1" applyNumberFormat="1" applyFont="1" applyFill="1" applyBorder="1" applyAlignment="1">
      <alignment horizontal="right"/>
    </xf>
    <xf numFmtId="0" fontId="10" fillId="2" borderId="1" xfId="0" applyFont="1" applyFill="1" applyBorder="1" applyAlignment="1">
      <alignment horizontal="right"/>
    </xf>
    <xf numFmtId="0" fontId="9" fillId="2" borderId="4" xfId="7" applyFont="1" applyFill="1" applyBorder="1" applyAlignment="1">
      <alignment vertical="center"/>
    </xf>
    <xf numFmtId="0" fontId="14" fillId="2" borderId="1" xfId="0" applyFont="1" applyFill="1" applyBorder="1"/>
    <xf numFmtId="0" fontId="9" fillId="2" borderId="0" xfId="0" applyFont="1" applyFill="1"/>
    <xf numFmtId="3" fontId="9" fillId="2" borderId="0" xfId="7" applyNumberFormat="1" applyFont="1" applyFill="1" applyAlignment="1">
      <alignment horizontal="right"/>
    </xf>
    <xf numFmtId="0" fontId="9" fillId="2" borderId="0" xfId="7" applyFont="1" applyFill="1" applyAlignment="1">
      <alignment vertical="center"/>
    </xf>
    <xf numFmtId="3" fontId="9" fillId="2" borderId="0" xfId="7" applyNumberFormat="1" applyFont="1" applyFill="1" applyAlignment="1">
      <alignment horizontal="right" vertical="center"/>
    </xf>
    <xf numFmtId="3" fontId="9" fillId="2" borderId="0" xfId="0" applyNumberFormat="1" applyFont="1" applyFill="1" applyAlignment="1">
      <alignment horizontal="right" vertical="center"/>
    </xf>
    <xf numFmtId="9" fontId="10" fillId="2" borderId="0" xfId="2" quotePrefix="1" applyFont="1" applyFill="1" applyBorder="1" applyAlignment="1">
      <alignment horizontal="right" vertical="center"/>
    </xf>
    <xf numFmtId="0" fontId="14" fillId="2" borderId="4" xfId="0" applyFont="1" applyFill="1" applyBorder="1" applyAlignment="1">
      <alignment vertical="center"/>
    </xf>
    <xf numFmtId="3" fontId="9" fillId="2" borderId="4" xfId="0" applyNumberFormat="1" applyFont="1" applyFill="1" applyBorder="1" applyAlignment="1">
      <alignment vertical="center"/>
    </xf>
    <xf numFmtId="0" fontId="14" fillId="2" borderId="0" xfId="0" applyFont="1" applyFill="1"/>
    <xf numFmtId="3" fontId="9" fillId="2" borderId="0" xfId="0" applyNumberFormat="1" applyFont="1" applyFill="1" applyAlignment="1">
      <alignment vertical="center"/>
    </xf>
    <xf numFmtId="0" fontId="14" fillId="2" borderId="4" xfId="0" applyFont="1" applyFill="1" applyBorder="1" applyAlignment="1">
      <alignment vertical="center" wrapText="1"/>
    </xf>
    <xf numFmtId="0" fontId="5" fillId="2" borderId="0" xfId="0" applyFont="1" applyFill="1" applyAlignment="1">
      <alignment horizontal="right"/>
    </xf>
    <xf numFmtId="172" fontId="5" fillId="2" borderId="0" xfId="0" applyNumberFormat="1" applyFont="1" applyFill="1"/>
    <xf numFmtId="0" fontId="10" fillId="2" borderId="0" xfId="0" applyFont="1" applyFill="1" applyAlignment="1">
      <alignment horizontal="right"/>
    </xf>
    <xf numFmtId="0" fontId="9" fillId="2" borderId="5" xfId="0" applyFont="1" applyFill="1" applyBorder="1" applyAlignment="1">
      <alignment vertical="center"/>
    </xf>
    <xf numFmtId="0" fontId="9" fillId="2" borderId="5" xfId="10" applyFont="1" applyFill="1" applyBorder="1" applyAlignment="1">
      <alignment horizontal="right" vertical="center" wrapText="1"/>
    </xf>
    <xf numFmtId="0" fontId="5" fillId="2" borderId="0" xfId="0" applyFont="1" applyFill="1" applyAlignment="1">
      <alignment vertical="center"/>
    </xf>
    <xf numFmtId="166" fontId="5" fillId="2" borderId="0" xfId="1" applyNumberFormat="1" applyFont="1" applyFill="1" applyAlignment="1"/>
    <xf numFmtId="166" fontId="9" fillId="2" borderId="0" xfId="1" applyNumberFormat="1" applyFont="1" applyFill="1" applyBorder="1" applyAlignment="1"/>
    <xf numFmtId="168" fontId="11" fillId="2" borderId="0" xfId="2" quotePrefix="1" applyNumberFormat="1" applyFont="1" applyFill="1" applyBorder="1" applyAlignment="1"/>
    <xf numFmtId="0" fontId="9" fillId="2" borderId="4" xfId="0" applyFont="1" applyFill="1" applyBorder="1" applyAlignment="1">
      <alignment horizontal="left" vertical="center"/>
    </xf>
    <xf numFmtId="166" fontId="9" fillId="2" borderId="4" xfId="1" applyNumberFormat="1" applyFont="1" applyFill="1" applyBorder="1" applyAlignment="1">
      <alignment horizontal="right" vertical="center"/>
    </xf>
    <xf numFmtId="168" fontId="11" fillId="2" borderId="4" xfId="2" quotePrefix="1" applyNumberFormat="1" applyFont="1" applyFill="1" applyBorder="1" applyAlignment="1">
      <alignment horizontal="right" vertical="center"/>
    </xf>
    <xf numFmtId="0" fontId="9" fillId="0" borderId="1" xfId="7" applyFont="1" applyBorder="1" applyAlignment="1">
      <alignment horizontal="right" wrapText="1"/>
    </xf>
    <xf numFmtId="0" fontId="9" fillId="0" borderId="0" xfId="7" applyFont="1" applyAlignment="1">
      <alignment horizontal="left"/>
    </xf>
    <xf numFmtId="166" fontId="9" fillId="0" borderId="0" xfId="1" applyNumberFormat="1" applyFont="1" applyFill="1" applyBorder="1" applyAlignment="1">
      <alignment horizontal="right"/>
    </xf>
    <xf numFmtId="0" fontId="9" fillId="0" borderId="4" xfId="0" applyFont="1" applyBorder="1" applyAlignment="1">
      <alignment horizontal="left" vertical="center"/>
    </xf>
    <xf numFmtId="3" fontId="9" fillId="0" borderId="4" xfId="0" applyNumberFormat="1" applyFont="1" applyBorder="1" applyAlignment="1">
      <alignment vertical="center"/>
    </xf>
    <xf numFmtId="0" fontId="5" fillId="0" borderId="0" xfId="0" applyFont="1" applyAlignment="1">
      <alignment vertical="center" wrapText="1"/>
    </xf>
    <xf numFmtId="9" fontId="9" fillId="0" borderId="1" xfId="2" applyFont="1" applyFill="1" applyBorder="1" applyAlignment="1">
      <alignment horizontal="right" wrapText="1"/>
    </xf>
    <xf numFmtId="9" fontId="9" fillId="0" borderId="0" xfId="2" applyFont="1" applyFill="1" applyBorder="1" applyAlignment="1">
      <alignment horizontal="left"/>
    </xf>
    <xf numFmtId="168" fontId="5" fillId="0" borderId="0" xfId="2" applyNumberFormat="1" applyFont="1" applyFill="1" applyBorder="1" applyAlignment="1"/>
    <xf numFmtId="168" fontId="9" fillId="0" borderId="0" xfId="2" applyNumberFormat="1" applyFont="1" applyFill="1" applyBorder="1" applyAlignment="1"/>
    <xf numFmtId="9" fontId="9" fillId="0" borderId="0" xfId="2" applyFont="1" applyFill="1" applyBorder="1" applyAlignment="1">
      <alignment horizontal="left" wrapText="1"/>
    </xf>
    <xf numFmtId="9" fontId="9" fillId="0" borderId="4" xfId="2" applyFont="1" applyFill="1" applyBorder="1" applyAlignment="1">
      <alignment horizontal="left" vertical="center"/>
    </xf>
    <xf numFmtId="9" fontId="9" fillId="0" borderId="4" xfId="2" applyFont="1" applyFill="1" applyBorder="1" applyAlignment="1">
      <alignment vertical="center"/>
    </xf>
    <xf numFmtId="9" fontId="11" fillId="0" borderId="0" xfId="2" applyFont="1" applyFill="1" applyBorder="1" applyAlignment="1"/>
    <xf numFmtId="9" fontId="10" fillId="0" borderId="0" xfId="2" applyFont="1" applyFill="1" applyBorder="1" applyAlignment="1"/>
    <xf numFmtId="0" fontId="8" fillId="2" borderId="1" xfId="0" applyFont="1" applyFill="1" applyBorder="1" applyAlignment="1">
      <alignment horizontal="left" vertical="top" wrapText="1"/>
    </xf>
    <xf numFmtId="0" fontId="9" fillId="2" borderId="1" xfId="0" applyFont="1" applyFill="1" applyBorder="1" applyAlignment="1">
      <alignment horizontal="right" wrapText="1"/>
    </xf>
    <xf numFmtId="0" fontId="18" fillId="2" borderId="0" xfId="3" applyFont="1" applyFill="1" applyAlignment="1" applyProtection="1">
      <alignment vertical="top"/>
    </xf>
    <xf numFmtId="0" fontId="9" fillId="2" borderId="0" xfId="0" applyFont="1" applyFill="1" applyAlignment="1">
      <alignment wrapText="1"/>
    </xf>
    <xf numFmtId="0" fontId="9" fillId="2" borderId="1" xfId="0" applyFont="1" applyFill="1" applyBorder="1" applyAlignment="1">
      <alignment wrapText="1"/>
    </xf>
    <xf numFmtId="0" fontId="9" fillId="2" borderId="5" xfId="0" applyFont="1" applyFill="1" applyBorder="1" applyAlignment="1">
      <alignment horizontal="right" wrapText="1"/>
    </xf>
    <xf numFmtId="0" fontId="9" fillId="2" borderId="0" xfId="0" applyFont="1" applyFill="1" applyAlignment="1">
      <alignment horizontal="right" wrapText="1"/>
    </xf>
    <xf numFmtId="0" fontId="9" fillId="2" borderId="0" xfId="0" applyFont="1" applyFill="1" applyAlignment="1">
      <alignment horizontal="left"/>
    </xf>
    <xf numFmtId="172" fontId="11" fillId="2" borderId="0" xfId="0" applyNumberFormat="1" applyFont="1" applyFill="1" applyAlignment="1">
      <alignment horizontal="right"/>
    </xf>
    <xf numFmtId="1" fontId="11" fillId="2" borderId="0" xfId="0" applyNumberFormat="1" applyFont="1" applyFill="1" applyAlignment="1">
      <alignment horizontal="right"/>
    </xf>
    <xf numFmtId="172" fontId="10" fillId="2" borderId="0" xfId="0" applyNumberFormat="1" applyFont="1" applyFill="1" applyAlignment="1">
      <alignment horizontal="right"/>
    </xf>
    <xf numFmtId="172" fontId="10" fillId="2" borderId="0" xfId="0" applyNumberFormat="1" applyFont="1" applyFill="1"/>
    <xf numFmtId="0" fontId="5" fillId="2" borderId="0" xfId="4" applyFill="1"/>
    <xf numFmtId="0" fontId="8" fillId="2" borderId="1" xfId="0" applyFont="1" applyFill="1" applyBorder="1" applyAlignment="1">
      <alignment horizontal="left" vertical="center" wrapText="1"/>
    </xf>
    <xf numFmtId="0" fontId="9" fillId="2" borderId="1" xfId="0" applyFont="1" applyFill="1" applyBorder="1"/>
    <xf numFmtId="0" fontId="9" fillId="2" borderId="3" xfId="0" applyFont="1" applyFill="1" applyBorder="1" applyAlignment="1">
      <alignment horizontal="left"/>
    </xf>
    <xf numFmtId="0" fontId="9" fillId="2" borderId="0" xfId="0" applyFont="1" applyFill="1" applyAlignment="1">
      <alignment horizontal="left" vertical="center"/>
    </xf>
    <xf numFmtId="172" fontId="5" fillId="2" borderId="0" xfId="0" applyNumberFormat="1" applyFont="1" applyFill="1" applyAlignment="1">
      <alignment vertical="center"/>
    </xf>
    <xf numFmtId="0" fontId="6" fillId="2" borderId="0" xfId="0" applyFont="1" applyFill="1"/>
    <xf numFmtId="14" fontId="9" fillId="2" borderId="1" xfId="0" applyNumberFormat="1" applyFont="1" applyFill="1" applyBorder="1" applyAlignment="1" applyProtection="1">
      <alignment horizontal="right"/>
      <protection locked="0"/>
    </xf>
    <xf numFmtId="0" fontId="5" fillId="2" borderId="0" xfId="0" quotePrefix="1" applyFont="1" applyFill="1" applyAlignment="1">
      <alignment horizontal="right"/>
    </xf>
    <xf numFmtId="0" fontId="5" fillId="2" borderId="3" xfId="0" applyFont="1" applyFill="1" applyBorder="1" applyAlignment="1">
      <alignment horizontal="right"/>
    </xf>
    <xf numFmtId="1" fontId="11" fillId="2" borderId="3" xfId="0" applyNumberFormat="1" applyFont="1" applyFill="1" applyBorder="1" applyAlignment="1">
      <alignment horizontal="right"/>
    </xf>
    <xf numFmtId="0" fontId="5" fillId="0" borderId="0" xfId="0" applyFont="1" applyProtection="1">
      <protection locked="0"/>
    </xf>
    <xf numFmtId="0" fontId="5" fillId="0" borderId="1" xfId="0" applyFont="1" applyBorder="1" applyProtection="1">
      <protection locked="0"/>
    </xf>
    <xf numFmtId="164" fontId="9" fillId="0" borderId="2" xfId="0" applyNumberFormat="1" applyFont="1" applyBorder="1"/>
    <xf numFmtId="0" fontId="9" fillId="0" borderId="0" xfId="0" applyFont="1" applyProtection="1">
      <protection locked="0"/>
    </xf>
    <xf numFmtId="0" fontId="9" fillId="0" borderId="0" xfId="0" applyFont="1" applyAlignment="1" applyProtection="1">
      <alignment horizontal="right"/>
      <protection locked="0"/>
    </xf>
    <xf numFmtId="0" fontId="9" fillId="2" borderId="0" xfId="0" applyFont="1" applyFill="1" applyAlignment="1">
      <alignment horizontal="left" vertical="center" wrapText="1"/>
    </xf>
    <xf numFmtId="0" fontId="10" fillId="2" borderId="1" xfId="0" applyFont="1" applyFill="1" applyBorder="1"/>
    <xf numFmtId="0" fontId="14" fillId="2" borderId="1" xfId="0" applyFont="1" applyFill="1" applyBorder="1" applyAlignment="1">
      <alignment vertical="center"/>
    </xf>
    <xf numFmtId="0" fontId="19" fillId="2" borderId="1" xfId="0" applyFont="1" applyFill="1" applyBorder="1"/>
    <xf numFmtId="0" fontId="19" fillId="2" borderId="1" xfId="0" applyFont="1" applyFill="1" applyBorder="1" applyAlignment="1">
      <alignment horizontal="right" wrapText="1"/>
    </xf>
    <xf numFmtId="3" fontId="5" fillId="2" borderId="0" xfId="0" applyNumberFormat="1" applyFont="1" applyFill="1"/>
    <xf numFmtId="14" fontId="9" fillId="0" borderId="1" xfId="0" applyNumberFormat="1" applyFont="1" applyBorder="1" applyAlignment="1">
      <alignment horizontal="right" wrapText="1"/>
    </xf>
    <xf numFmtId="164" fontId="5" fillId="0" borderId="0" xfId="0" applyNumberFormat="1" applyFont="1" applyAlignment="1">
      <alignment horizontal="right" wrapText="1"/>
    </xf>
    <xf numFmtId="164" fontId="9" fillId="0" borderId="0" xfId="0" applyNumberFormat="1" applyFont="1" applyAlignment="1">
      <alignment horizontal="right" wrapText="1"/>
    </xf>
    <xf numFmtId="0" fontId="9" fillId="0" borderId="4" xfId="0" applyFont="1" applyBorder="1" applyAlignment="1">
      <alignment horizontal="left" vertical="center" wrapText="1"/>
    </xf>
    <xf numFmtId="0" fontId="9" fillId="0" borderId="0" xfId="0" applyFont="1" applyAlignment="1">
      <alignment horizontal="right" vertical="center" wrapText="1"/>
    </xf>
    <xf numFmtId="0" fontId="9" fillId="0" borderId="0" xfId="0" applyFont="1" applyAlignment="1">
      <alignment horizontal="center"/>
    </xf>
    <xf numFmtId="0" fontId="9" fillId="0" borderId="5" xfId="0" applyFont="1" applyBorder="1" applyAlignment="1">
      <alignment horizontal="right" wrapText="1"/>
    </xf>
    <xf numFmtId="164" fontId="9" fillId="0" borderId="0" xfId="0" applyNumberFormat="1" applyFont="1" applyAlignment="1">
      <alignment horizontal="right"/>
    </xf>
    <xf numFmtId="164" fontId="5" fillId="0" borderId="0" xfId="13" applyNumberFormat="1" applyFont="1" applyAlignment="1">
      <alignment horizontal="right"/>
    </xf>
    <xf numFmtId="0" fontId="10" fillId="0" borderId="0" xfId="0" applyFont="1" applyAlignment="1">
      <alignment horizontal="right"/>
    </xf>
    <xf numFmtId="0" fontId="12" fillId="2" borderId="0" xfId="0" applyFont="1" applyFill="1"/>
    <xf numFmtId="0" fontId="14" fillId="0" borderId="4" xfId="0" applyFont="1" applyBorder="1" applyAlignment="1">
      <alignment horizontal="left" vertical="center"/>
    </xf>
    <xf numFmtId="0" fontId="14" fillId="0" borderId="0" xfId="0" applyFont="1" applyAlignment="1">
      <alignment horizontal="left" vertical="center"/>
    </xf>
    <xf numFmtId="0" fontId="9" fillId="2" borderId="1" xfId="12" applyFont="1" applyFill="1" applyBorder="1" applyAlignment="1">
      <alignment horizontal="right" wrapText="1"/>
    </xf>
    <xf numFmtId="0" fontId="9" fillId="2" borderId="2" xfId="0" applyFont="1" applyFill="1" applyBorder="1" applyAlignment="1">
      <alignment horizontal="left"/>
    </xf>
    <xf numFmtId="0" fontId="10" fillId="2" borderId="2" xfId="0" applyFont="1" applyFill="1" applyBorder="1" applyAlignment="1">
      <alignment vertical="center" wrapText="1"/>
    </xf>
    <xf numFmtId="0" fontId="10" fillId="2" borderId="3" xfId="0" applyFont="1" applyFill="1" applyBorder="1" applyAlignment="1">
      <alignment vertical="center" wrapText="1"/>
    </xf>
    <xf numFmtId="3" fontId="11" fillId="2" borderId="0" xfId="0" applyNumberFormat="1" applyFont="1" applyFill="1"/>
    <xf numFmtId="0" fontId="22" fillId="2" borderId="1" xfId="0" applyFont="1" applyFill="1" applyBorder="1"/>
    <xf numFmtId="0" fontId="9" fillId="2" borderId="1" xfId="0" applyFont="1" applyFill="1" applyBorder="1" applyAlignment="1">
      <alignment horizontal="left" wrapText="1"/>
    </xf>
    <xf numFmtId="0" fontId="5" fillId="2" borderId="1" xfId="0" applyFont="1" applyFill="1" applyBorder="1" applyAlignment="1">
      <alignment horizontal="right"/>
    </xf>
    <xf numFmtId="3" fontId="9" fillId="2" borderId="5" xfId="0" applyNumberFormat="1" applyFont="1" applyFill="1" applyBorder="1" applyAlignment="1">
      <alignment horizontal="center" wrapText="1"/>
    </xf>
    <xf numFmtId="0" fontId="2" fillId="2" borderId="0" xfId="0" applyFont="1" applyFill="1"/>
    <xf numFmtId="3" fontId="9" fillId="0" borderId="1" xfId="0" applyNumberFormat="1" applyFont="1" applyBorder="1" applyAlignment="1">
      <alignment horizontal="right" wrapText="1"/>
    </xf>
    <xf numFmtId="0" fontId="10" fillId="0" borderId="1" xfId="0" applyFont="1" applyBorder="1"/>
    <xf numFmtId="0" fontId="22" fillId="0" borderId="1" xfId="0" applyFont="1" applyBorder="1" applyAlignment="1">
      <alignment horizontal="right"/>
    </xf>
    <xf numFmtId="172" fontId="9" fillId="0" borderId="0" xfId="0" applyNumberFormat="1" applyFont="1"/>
    <xf numFmtId="172" fontId="9" fillId="0" borderId="0" xfId="0" applyNumberFormat="1" applyFont="1" applyAlignment="1">
      <alignment horizontal="right"/>
    </xf>
    <xf numFmtId="0" fontId="8" fillId="0" borderId="0" xfId="0" applyFont="1" applyAlignment="1">
      <alignment horizontal="left" vertical="center" wrapText="1"/>
    </xf>
    <xf numFmtId="0" fontId="8" fillId="0" borderId="0" xfId="0" applyFont="1" applyAlignment="1">
      <alignment horizontal="left" vertical="top" wrapText="1"/>
    </xf>
    <xf numFmtId="0" fontId="8" fillId="2" borderId="0" xfId="0" applyFont="1" applyFill="1" applyAlignment="1">
      <alignment horizontal="left" vertical="center" wrapText="1"/>
    </xf>
    <xf numFmtId="0" fontId="9" fillId="0" borderId="1" xfId="0" applyFont="1" applyBorder="1" applyAlignment="1">
      <alignment horizontal="center" wrapText="1"/>
    </xf>
    <xf numFmtId="0" fontId="9" fillId="0" borderId="0" xfId="0" applyFont="1" applyAlignment="1">
      <alignment horizontal="center" wrapText="1"/>
    </xf>
    <xf numFmtId="0" fontId="9" fillId="2" borderId="0" xfId="0" applyFont="1" applyFill="1" applyAlignment="1">
      <alignment horizontal="left" wrapText="1"/>
    </xf>
    <xf numFmtId="174" fontId="9" fillId="2" borderId="4" xfId="0" applyNumberFormat="1" applyFont="1" applyFill="1" applyBorder="1" applyAlignment="1">
      <alignment vertical="center"/>
    </xf>
    <xf numFmtId="0" fontId="9" fillId="2" borderId="0" xfId="18" applyFont="1" applyFill="1" applyAlignment="1">
      <alignment horizontal="left" vertical="center" wrapText="1"/>
    </xf>
    <xf numFmtId="166" fontId="9" fillId="2" borderId="0" xfId="0" applyNumberFormat="1" applyFont="1" applyFill="1" applyAlignment="1">
      <alignment vertical="center"/>
    </xf>
    <xf numFmtId="0" fontId="14" fillId="0" borderId="1" xfId="0" applyFont="1" applyBorder="1" applyAlignment="1">
      <alignment wrapText="1"/>
    </xf>
    <xf numFmtId="0" fontId="14" fillId="0" borderId="1" xfId="0" applyFont="1" applyBorder="1" applyAlignment="1">
      <alignment horizontal="right" wrapText="1"/>
    </xf>
    <xf numFmtId="164" fontId="14" fillId="0" borderId="4" xfId="0" applyNumberFormat="1" applyFont="1" applyBorder="1" applyAlignment="1">
      <alignment vertical="center"/>
    </xf>
    <xf numFmtId="0" fontId="5" fillId="0" borderId="0" xfId="0" applyFont="1" applyAlignment="1">
      <alignment horizontal="left" vertical="top" wrapText="1"/>
    </xf>
    <xf numFmtId="169" fontId="5" fillId="0" borderId="0" xfId="17" applyNumberFormat="1" applyFont="1" applyFill="1" applyBorder="1" applyAlignment="1">
      <alignment horizontal="right"/>
    </xf>
    <xf numFmtId="166" fontId="9" fillId="0" borderId="0" xfId="17" applyNumberFormat="1" applyFont="1" applyFill="1" applyBorder="1" applyAlignment="1">
      <alignment horizontal="right"/>
    </xf>
    <xf numFmtId="172" fontId="11" fillId="0" borderId="0" xfId="0" quotePrefix="1" applyNumberFormat="1" applyFont="1" applyAlignment="1">
      <alignment horizontal="right"/>
    </xf>
    <xf numFmtId="0" fontId="9" fillId="0" borderId="1" xfId="19" applyFont="1" applyBorder="1" applyAlignment="1">
      <alignment horizontal="left"/>
    </xf>
    <xf numFmtId="0" fontId="9" fillId="0" borderId="1" xfId="19" applyFont="1" applyBorder="1" applyAlignment="1">
      <alignment horizontal="right"/>
    </xf>
    <xf numFmtId="0" fontId="9" fillId="0" borderId="1" xfId="19" applyFont="1" applyBorder="1" applyAlignment="1">
      <alignment horizontal="right" wrapText="1"/>
    </xf>
    <xf numFmtId="0" fontId="9" fillId="0" borderId="0" xfId="19" applyFont="1"/>
    <xf numFmtId="166" fontId="9" fillId="0" borderId="4" xfId="17" applyNumberFormat="1" applyFont="1" applyFill="1" applyBorder="1" applyAlignment="1">
      <alignment vertical="center"/>
    </xf>
    <xf numFmtId="166" fontId="9" fillId="0" borderId="0" xfId="17" applyNumberFormat="1" applyFont="1" applyFill="1" applyBorder="1" applyAlignment="1">
      <alignment vertical="center"/>
    </xf>
    <xf numFmtId="3" fontId="9" fillId="0" borderId="0" xfId="19" quotePrefix="1" applyNumberFormat="1" applyFont="1" applyAlignment="1">
      <alignment horizontal="right" vertical="center"/>
    </xf>
    <xf numFmtId="1" fontId="9" fillId="0" borderId="0" xfId="0" applyNumberFormat="1" applyFont="1" applyAlignment="1">
      <alignment vertical="center"/>
    </xf>
    <xf numFmtId="165" fontId="10" fillId="0" borderId="0" xfId="0" quotePrefix="1" applyNumberFormat="1" applyFont="1" applyAlignment="1">
      <alignment horizontal="right" vertical="center"/>
    </xf>
    <xf numFmtId="0" fontId="16" fillId="0" borderId="4" xfId="0" applyFont="1" applyBorder="1" applyAlignment="1">
      <alignment vertical="center"/>
    </xf>
    <xf numFmtId="0" fontId="16" fillId="0" borderId="0" xfId="0" applyFont="1" applyAlignment="1">
      <alignment vertical="center"/>
    </xf>
    <xf numFmtId="2" fontId="16" fillId="0" borderId="0" xfId="0" applyNumberFormat="1" applyFont="1" applyAlignment="1">
      <alignment vertical="center"/>
    </xf>
    <xf numFmtId="0" fontId="9" fillId="2" borderId="4" xfId="0" applyFont="1" applyFill="1" applyBorder="1" applyAlignment="1">
      <alignment vertical="center"/>
    </xf>
    <xf numFmtId="0" fontId="24" fillId="0" borderId="0" xfId="0" applyFont="1"/>
    <xf numFmtId="0" fontId="4" fillId="0" borderId="0" xfId="0" applyFont="1" applyAlignment="1">
      <alignment wrapText="1"/>
    </xf>
    <xf numFmtId="166" fontId="5" fillId="0" borderId="0" xfId="21" applyNumberFormat="1" applyFont="1" applyFill="1" applyBorder="1" applyAlignment="1">
      <alignment horizontal="right" wrapText="1"/>
    </xf>
    <xf numFmtId="166" fontId="9" fillId="0" borderId="0" xfId="21" applyNumberFormat="1" applyFont="1" applyFill="1" applyBorder="1" applyAlignment="1">
      <alignment horizontal="right" wrapText="1"/>
    </xf>
    <xf numFmtId="9" fontId="5" fillId="0" borderId="0" xfId="22" applyFont="1" applyFill="1" applyBorder="1"/>
    <xf numFmtId="166" fontId="9" fillId="0" borderId="0" xfId="21" applyNumberFormat="1" applyFont="1" applyFill="1" applyBorder="1" applyAlignment="1">
      <alignment horizontal="right" vertical="center" wrapText="1"/>
    </xf>
    <xf numFmtId="9" fontId="5" fillId="0" borderId="0" xfId="22" applyFont="1" applyFill="1" applyBorder="1" applyAlignment="1">
      <alignment vertical="center"/>
    </xf>
    <xf numFmtId="9" fontId="5" fillId="0" borderId="0" xfId="22" applyFont="1" applyFill="1" applyBorder="1" applyAlignment="1">
      <alignment horizontal="right" wrapText="1"/>
    </xf>
    <xf numFmtId="9" fontId="5" fillId="0" borderId="0" xfId="22" applyFont="1" applyFill="1" applyAlignment="1">
      <alignment horizontal="right" wrapText="1"/>
    </xf>
    <xf numFmtId="168" fontId="11" fillId="0" borderId="3" xfId="22" applyNumberFormat="1" applyFont="1" applyFill="1" applyBorder="1" applyAlignment="1">
      <alignment horizontal="right" wrapText="1"/>
    </xf>
    <xf numFmtId="9" fontId="11" fillId="0" borderId="0" xfId="22" applyFont="1" applyFill="1" applyBorder="1" applyAlignment="1">
      <alignment horizontal="right" wrapText="1"/>
    </xf>
    <xf numFmtId="9" fontId="11" fillId="0" borderId="0" xfId="22" applyFont="1" applyFill="1" applyBorder="1" applyAlignment="1">
      <alignment horizontal="right"/>
    </xf>
    <xf numFmtId="9" fontId="10" fillId="0" borderId="4" xfId="22" applyFont="1" applyFill="1" applyBorder="1" applyAlignment="1">
      <alignment horizontal="right" vertical="center"/>
    </xf>
    <xf numFmtId="9" fontId="10" fillId="0" borderId="0" xfId="22" applyFont="1" applyFill="1" applyBorder="1" applyAlignment="1" applyProtection="1">
      <alignment horizontal="right"/>
      <protection locked="0"/>
    </xf>
    <xf numFmtId="164" fontId="9" fillId="0" borderId="0" xfId="21" applyNumberFormat="1" applyFont="1" applyFill="1" applyBorder="1" applyAlignment="1">
      <alignment vertical="center"/>
    </xf>
    <xf numFmtId="10" fontId="9" fillId="0" borderId="0" xfId="22" applyNumberFormat="1" applyFont="1" applyFill="1" applyBorder="1" applyAlignment="1">
      <alignment vertical="center"/>
    </xf>
    <xf numFmtId="3" fontId="10" fillId="0" borderId="0" xfId="0" applyNumberFormat="1" applyFont="1"/>
    <xf numFmtId="9" fontId="5" fillId="0" borderId="0" xfId="22" applyFont="1" applyFill="1"/>
    <xf numFmtId="166" fontId="5" fillId="0" borderId="0" xfId="21" applyNumberFormat="1" applyFont="1" applyFill="1" applyBorder="1"/>
    <xf numFmtId="166" fontId="9" fillId="0" borderId="0" xfId="21" applyNumberFormat="1" applyFont="1" applyFill="1" applyBorder="1"/>
    <xf numFmtId="166" fontId="16" fillId="0" borderId="4" xfId="21" applyNumberFormat="1" applyFont="1" applyFill="1" applyBorder="1" applyAlignment="1">
      <alignment vertical="center"/>
    </xf>
    <xf numFmtId="166" fontId="16" fillId="0" borderId="0" xfId="21" applyNumberFormat="1" applyFont="1" applyFill="1" applyBorder="1" applyAlignment="1">
      <alignment vertical="center"/>
    </xf>
    <xf numFmtId="9" fontId="16" fillId="0" borderId="0" xfId="22" applyFont="1" applyFill="1" applyBorder="1" applyAlignment="1">
      <alignment vertical="center"/>
    </xf>
    <xf numFmtId="166" fontId="9" fillId="0" borderId="4" xfId="21" applyNumberFormat="1" applyFont="1" applyFill="1" applyBorder="1" applyAlignment="1">
      <alignment vertical="center"/>
    </xf>
    <xf numFmtId="166" fontId="9" fillId="0" borderId="3" xfId="21" applyNumberFormat="1" applyFont="1" applyFill="1" applyBorder="1"/>
    <xf numFmtId="166" fontId="9" fillId="0" borderId="1" xfId="21" applyNumberFormat="1" applyFont="1" applyFill="1" applyBorder="1" applyAlignment="1">
      <alignment horizontal="right" wrapText="1"/>
    </xf>
    <xf numFmtId="166" fontId="9" fillId="0" borderId="4" xfId="21" applyNumberFormat="1" applyFont="1" applyFill="1" applyBorder="1" applyAlignment="1">
      <alignment horizontal="right" vertical="center" wrapText="1"/>
    </xf>
    <xf numFmtId="9" fontId="10" fillId="0" borderId="2" xfId="22" applyFont="1" applyFill="1" applyBorder="1"/>
    <xf numFmtId="9" fontId="10" fillId="0" borderId="0" xfId="22" applyFont="1" applyFill="1" applyBorder="1"/>
    <xf numFmtId="166" fontId="9" fillId="0" borderId="3" xfId="21" applyNumberFormat="1" applyFont="1" applyFill="1" applyBorder="1" applyAlignment="1">
      <alignment vertical="center"/>
    </xf>
    <xf numFmtId="166" fontId="9" fillId="0" borderId="0" xfId="21" applyNumberFormat="1" applyFont="1" applyFill="1" applyBorder="1" applyAlignment="1">
      <alignment vertical="center"/>
    </xf>
    <xf numFmtId="9" fontId="10" fillId="0" borderId="4" xfId="22" applyFont="1" applyFill="1" applyBorder="1" applyAlignment="1">
      <alignment vertical="center"/>
    </xf>
    <xf numFmtId="9" fontId="9" fillId="0" borderId="0" xfId="22" applyFont="1" applyFill="1" applyBorder="1" applyAlignment="1">
      <alignment vertical="center"/>
    </xf>
    <xf numFmtId="168" fontId="11" fillId="0" borderId="1" xfId="22" applyNumberFormat="1" applyFont="1" applyFill="1" applyBorder="1"/>
    <xf numFmtId="9" fontId="11" fillId="0" borderId="1" xfId="22" applyFont="1" applyFill="1" applyBorder="1"/>
    <xf numFmtId="9" fontId="11" fillId="0" borderId="3" xfId="22" applyFont="1" applyFill="1" applyBorder="1"/>
    <xf numFmtId="166" fontId="11" fillId="0" borderId="0" xfId="0" applyNumberFormat="1" applyFont="1"/>
    <xf numFmtId="0" fontId="8" fillId="2" borderId="0" xfId="0" applyFont="1" applyFill="1" applyAlignment="1">
      <alignment horizontal="left" vertical="top" wrapText="1"/>
    </xf>
    <xf numFmtId="170" fontId="5" fillId="0" borderId="2" xfId="6" applyNumberFormat="1" applyBorder="1"/>
    <xf numFmtId="170" fontId="9" fillId="0" borderId="4" xfId="6" applyNumberFormat="1" applyFont="1" applyBorder="1"/>
    <xf numFmtId="0" fontId="0" fillId="0" borderId="1" xfId="0" applyBorder="1"/>
    <xf numFmtId="0" fontId="5" fillId="2" borderId="2" xfId="0" applyFont="1" applyFill="1" applyBorder="1"/>
    <xf numFmtId="168" fontId="11" fillId="2" borderId="2" xfId="2" quotePrefix="1" applyNumberFormat="1" applyFont="1" applyFill="1" applyBorder="1" applyAlignment="1">
      <alignment horizontal="right"/>
    </xf>
    <xf numFmtId="1" fontId="10" fillId="2" borderId="0" xfId="7" quotePrefix="1" applyNumberFormat="1" applyFont="1" applyFill="1" applyAlignment="1">
      <alignment horizontal="right"/>
    </xf>
    <xf numFmtId="3" fontId="9" fillId="2" borderId="2" xfId="0" applyNumberFormat="1" applyFont="1" applyFill="1" applyBorder="1" applyAlignment="1">
      <alignment horizontal="right"/>
    </xf>
    <xf numFmtId="3" fontId="5" fillId="2" borderId="2" xfId="7" applyNumberFormat="1" applyFont="1" applyFill="1" applyBorder="1" applyAlignment="1">
      <alignment horizontal="right"/>
    </xf>
    <xf numFmtId="3" fontId="9" fillId="2" borderId="2" xfId="0" quotePrefix="1" applyNumberFormat="1" applyFont="1" applyFill="1" applyBorder="1" applyAlignment="1">
      <alignment horizontal="right"/>
    </xf>
    <xf numFmtId="0" fontId="14" fillId="2" borderId="0" xfId="7" applyFont="1" applyFill="1"/>
    <xf numFmtId="0" fontId="9" fillId="2" borderId="2" xfId="7" applyFont="1" applyFill="1" applyBorder="1" applyAlignment="1">
      <alignment horizontal="left" indent="1"/>
    </xf>
    <xf numFmtId="164" fontId="5" fillId="2" borderId="2" xfId="9" applyNumberFormat="1" applyFont="1" applyFill="1" applyBorder="1" applyAlignment="1">
      <alignment horizontal="right" wrapText="1"/>
    </xf>
    <xf numFmtId="172" fontId="9" fillId="2" borderId="2" xfId="0" applyNumberFormat="1" applyFont="1" applyFill="1" applyBorder="1" applyAlignment="1">
      <alignment horizontal="right"/>
    </xf>
    <xf numFmtId="172" fontId="11" fillId="2" borderId="2" xfId="0" applyNumberFormat="1" applyFont="1" applyFill="1" applyBorder="1" applyAlignment="1">
      <alignment horizontal="right"/>
    </xf>
    <xf numFmtId="0" fontId="25" fillId="0" borderId="0" xfId="0" applyFont="1"/>
    <xf numFmtId="0" fontId="9" fillId="2" borderId="0" xfId="7" applyFont="1" applyFill="1" applyAlignment="1">
      <alignment horizontal="left" wrapText="1"/>
    </xf>
    <xf numFmtId="164" fontId="9" fillId="0" borderId="4" xfId="0" applyNumberFormat="1" applyFont="1" applyBorder="1"/>
    <xf numFmtId="1" fontId="5" fillId="0" borderId="3" xfId="0" applyNumberFormat="1" applyFont="1" applyBorder="1" applyAlignment="1">
      <alignment vertical="center"/>
    </xf>
    <xf numFmtId="3" fontId="8" fillId="0" borderId="4" xfId="0" applyNumberFormat="1" applyFont="1" applyBorder="1"/>
    <xf numFmtId="166" fontId="9" fillId="0" borderId="4" xfId="0" applyNumberFormat="1" applyFont="1" applyBorder="1" applyAlignment="1">
      <alignment vertical="center"/>
    </xf>
    <xf numFmtId="49" fontId="9" fillId="0" borderId="0" xfId="7" applyNumberFormat="1" applyFont="1" applyAlignment="1">
      <alignment horizontal="left" wrapText="1"/>
    </xf>
    <xf numFmtId="0" fontId="5" fillId="2" borderId="0" xfId="0" applyFont="1" applyFill="1" applyAlignment="1">
      <alignment horizontal="left" vertical="top" wrapText="1"/>
    </xf>
    <xf numFmtId="0" fontId="22" fillId="0" borderId="1" xfId="0" applyFont="1" applyBorder="1"/>
    <xf numFmtId="0" fontId="9" fillId="0" borderId="5" xfId="4" applyFont="1" applyBorder="1" applyAlignment="1">
      <alignment horizontal="center" wrapText="1"/>
    </xf>
    <xf numFmtId="164" fontId="16" fillId="0" borderId="4" xfId="0" applyNumberFormat="1" applyFont="1" applyBorder="1" applyAlignment="1">
      <alignment vertical="center"/>
    </xf>
    <xf numFmtId="0" fontId="27" fillId="2" borderId="1" xfId="0" applyFont="1" applyFill="1" applyBorder="1" applyAlignment="1">
      <alignment horizontal="center" wrapText="1"/>
    </xf>
    <xf numFmtId="164" fontId="9" fillId="0" borderId="4" xfId="0" applyNumberFormat="1" applyFont="1" applyBorder="1" applyAlignment="1">
      <alignment horizontal="right" vertical="center" wrapText="1"/>
    </xf>
    <xf numFmtId="0" fontId="0" fillId="0" borderId="3" xfId="0" applyBorder="1"/>
    <xf numFmtId="0" fontId="28" fillId="0" borderId="0" xfId="0" applyFont="1" applyAlignment="1">
      <alignment vertical="center" wrapText="1"/>
    </xf>
    <xf numFmtId="0" fontId="29" fillId="0" borderId="0" xfId="0" applyFont="1" applyAlignment="1">
      <alignment wrapText="1"/>
    </xf>
    <xf numFmtId="0" fontId="29" fillId="0" borderId="0" xfId="0" applyFont="1" applyAlignment="1">
      <alignment horizontal="center"/>
    </xf>
    <xf numFmtId="0" fontId="30" fillId="0" borderId="0" xfId="0" applyFont="1" applyAlignment="1">
      <alignment wrapText="1"/>
    </xf>
    <xf numFmtId="0" fontId="29" fillId="0" borderId="0" xfId="0" applyFont="1"/>
    <xf numFmtId="0" fontId="29" fillId="0" borderId="0" xfId="0" applyFont="1" applyAlignment="1">
      <alignment horizontal="left"/>
    </xf>
    <xf numFmtId="0" fontId="31" fillId="0" borderId="0" xfId="0" applyFont="1" applyAlignment="1">
      <alignment wrapText="1"/>
    </xf>
    <xf numFmtId="0" fontId="32" fillId="0" borderId="0" xfId="0" applyFont="1"/>
    <xf numFmtId="0" fontId="16" fillId="2" borderId="0" xfId="0" applyFont="1" applyFill="1"/>
    <xf numFmtId="0" fontId="16" fillId="2" borderId="0" xfId="0" applyFont="1" applyFill="1" applyAlignment="1">
      <alignment horizontal="left" vertical="center"/>
    </xf>
    <xf numFmtId="0" fontId="16" fillId="0" borderId="0" xfId="0" applyFont="1"/>
    <xf numFmtId="0" fontId="33" fillId="0" borderId="0" xfId="0" applyFont="1" applyAlignment="1">
      <alignment vertical="center"/>
    </xf>
    <xf numFmtId="0" fontId="33" fillId="0" borderId="0" xfId="0" applyFont="1"/>
    <xf numFmtId="0" fontId="33" fillId="2" borderId="0" xfId="0" applyFont="1" applyFill="1"/>
    <xf numFmtId="0" fontId="33" fillId="2" borderId="0" xfId="0" applyFont="1" applyFill="1" applyAlignment="1">
      <alignment horizontal="right"/>
    </xf>
    <xf numFmtId="172" fontId="33" fillId="2" borderId="0" xfId="0" applyNumberFormat="1" applyFont="1" applyFill="1"/>
    <xf numFmtId="0" fontId="16" fillId="0" borderId="0" xfId="5" applyFont="1" applyAlignment="1">
      <alignment horizontal="left"/>
    </xf>
    <xf numFmtId="1" fontId="16" fillId="0" borderId="0" xfId="5" applyNumberFormat="1" applyFont="1" applyAlignment="1">
      <alignment horizontal="right" wrapText="1"/>
    </xf>
    <xf numFmtId="0" fontId="16" fillId="0" borderId="0" xfId="5" applyFont="1" applyAlignment="1">
      <alignment horizontal="right" wrapText="1"/>
    </xf>
    <xf numFmtId="0" fontId="34" fillId="0" borderId="0" xfId="0" applyFont="1" applyAlignment="1">
      <alignment vertical="center"/>
    </xf>
    <xf numFmtId="0" fontId="34" fillId="0" borderId="0" xfId="0" applyFont="1"/>
    <xf numFmtId="0" fontId="33" fillId="0" borderId="0" xfId="0" applyFont="1" applyAlignment="1">
      <alignment horizontal="left" vertical="top" wrapText="1"/>
    </xf>
    <xf numFmtId="3" fontId="16" fillId="0" borderId="0" xfId="0" applyNumberFormat="1" applyFont="1"/>
    <xf numFmtId="3" fontId="33" fillId="0" borderId="0" xfId="0" applyNumberFormat="1" applyFont="1"/>
    <xf numFmtId="0" fontId="16" fillId="0" borderId="0" xfId="0" applyFont="1" applyAlignment="1">
      <alignment horizontal="left" vertical="top" wrapText="1"/>
    </xf>
    <xf numFmtId="0" fontId="1" fillId="0" borderId="0" xfId="0" applyFont="1"/>
    <xf numFmtId="0" fontId="35" fillId="0" borderId="0" xfId="3" applyFont="1" applyFill="1" applyAlignment="1" applyProtection="1"/>
    <xf numFmtId="0" fontId="16" fillId="0" borderId="0" xfId="3" applyFont="1" applyFill="1" applyAlignment="1" applyProtection="1">
      <protection locked="0"/>
    </xf>
    <xf numFmtId="0" fontId="16" fillId="0" borderId="0" xfId="0" applyFont="1" applyAlignment="1" applyProtection="1">
      <alignment horizontal="right"/>
      <protection locked="0"/>
    </xf>
    <xf numFmtId="0" fontId="33" fillId="0" borderId="0" xfId="0" applyFont="1" applyProtection="1">
      <protection locked="0"/>
    </xf>
    <xf numFmtId="9" fontId="36" fillId="0" borderId="0" xfId="22" applyFont="1" applyFill="1" applyBorder="1" applyAlignment="1" applyProtection="1">
      <alignment horizontal="right"/>
      <protection locked="0"/>
    </xf>
    <xf numFmtId="0" fontId="34" fillId="2" borderId="0" xfId="0" applyFont="1" applyFill="1" applyAlignment="1">
      <alignment vertical="center"/>
    </xf>
    <xf numFmtId="0" fontId="16" fillId="0" borderId="0" xfId="0" applyFont="1" applyAlignment="1">
      <alignment horizontal="left" vertical="center"/>
    </xf>
    <xf numFmtId="164" fontId="33" fillId="0" borderId="0" xfId="13" applyNumberFormat="1" applyFont="1" applyAlignment="1">
      <alignment horizontal="right"/>
    </xf>
    <xf numFmtId="164" fontId="33" fillId="0" borderId="0" xfId="0" applyNumberFormat="1" applyFont="1" applyAlignment="1">
      <alignment vertical="center"/>
    </xf>
    <xf numFmtId="164" fontId="16" fillId="0" borderId="0" xfId="21" applyNumberFormat="1" applyFont="1" applyFill="1" applyBorder="1" applyAlignment="1">
      <alignment vertical="center"/>
    </xf>
    <xf numFmtId="10" fontId="16" fillId="0" borderId="0" xfId="22" applyNumberFormat="1" applyFont="1" applyFill="1" applyBorder="1" applyAlignment="1">
      <alignment vertical="center"/>
    </xf>
    <xf numFmtId="0" fontId="33" fillId="2" borderId="0" xfId="0" applyFont="1" applyFill="1" applyAlignment="1">
      <alignment vertical="top"/>
    </xf>
    <xf numFmtId="0" fontId="34" fillId="2" borderId="0" xfId="0" applyFont="1" applyFill="1"/>
    <xf numFmtId="0" fontId="33" fillId="2" borderId="0" xfId="0" applyFont="1" applyFill="1" applyAlignment="1">
      <alignment vertical="top" wrapText="1"/>
    </xf>
    <xf numFmtId="174" fontId="9" fillId="0" borderId="0" xfId="0" applyNumberFormat="1" applyFont="1" applyAlignment="1">
      <alignment vertical="center"/>
    </xf>
    <xf numFmtId="166" fontId="5" fillId="0" borderId="0" xfId="0" applyNumberFormat="1" applyFont="1"/>
    <xf numFmtId="164" fontId="0" fillId="0" borderId="0" xfId="0" applyNumberFormat="1"/>
    <xf numFmtId="0" fontId="38" fillId="0" borderId="0" xfId="0" applyFont="1" applyAlignment="1">
      <alignment vertical="center"/>
    </xf>
    <xf numFmtId="0" fontId="0" fillId="2" borderId="0" xfId="0" applyFill="1"/>
    <xf numFmtId="0" fontId="33" fillId="0" borderId="0" xfId="0" applyFont="1" applyAlignment="1">
      <alignment vertical="center" wrapText="1"/>
    </xf>
    <xf numFmtId="0" fontId="0" fillId="0" borderId="0" xfId="0" applyAlignment="1">
      <alignment vertical="center" wrapText="1"/>
    </xf>
    <xf numFmtId="0" fontId="16" fillId="0" borderId="0" xfId="5" applyFont="1" applyAlignment="1">
      <alignment horizontal="left" vertical="center"/>
    </xf>
    <xf numFmtId="0" fontId="9" fillId="2" borderId="1" xfId="8" applyFont="1" applyFill="1" applyBorder="1" applyAlignment="1">
      <alignment horizontal="right" wrapText="1"/>
    </xf>
    <xf numFmtId="0" fontId="9" fillId="0" borderId="1" xfId="0" applyFont="1" applyBorder="1" applyAlignment="1" applyProtection="1">
      <alignment horizontal="right"/>
      <protection locked="0"/>
    </xf>
    <xf numFmtId="0" fontId="33" fillId="0" borderId="0" xfId="0" applyFont="1" applyAlignment="1">
      <alignment horizontal="left" vertical="center"/>
    </xf>
    <xf numFmtId="0" fontId="10" fillId="2" borderId="0" xfId="0" applyFont="1" applyFill="1" applyAlignment="1">
      <alignment vertical="center" wrapText="1"/>
    </xf>
    <xf numFmtId="168" fontId="5" fillId="2" borderId="0" xfId="22" applyNumberFormat="1" applyFont="1" applyFill="1" applyBorder="1" applyAlignment="1">
      <alignment vertical="center"/>
    </xf>
    <xf numFmtId="168" fontId="9" fillId="2" borderId="0" xfId="22" applyNumberFormat="1" applyFont="1" applyFill="1" applyBorder="1" applyAlignment="1">
      <alignment vertical="center"/>
    </xf>
    <xf numFmtId="0" fontId="35" fillId="2" borderId="0" xfId="3" applyFont="1" applyFill="1" applyAlignment="1" applyProtection="1">
      <alignment vertical="center" wrapText="1"/>
    </xf>
    <xf numFmtId="0" fontId="39" fillId="0" borderId="0" xfId="3" applyFont="1" applyFill="1" applyBorder="1" applyAlignment="1" applyProtection="1"/>
    <xf numFmtId="0" fontId="39" fillId="0" borderId="0" xfId="3" applyFont="1" applyFill="1" applyBorder="1" applyAlignment="1" applyProtection="1">
      <alignment horizontal="center"/>
    </xf>
    <xf numFmtId="0" fontId="39" fillId="0" borderId="0" xfId="3" applyFont="1" applyAlignment="1" applyProtection="1"/>
    <xf numFmtId="0" fontId="40" fillId="0" borderId="0" xfId="0" applyFont="1" applyAlignment="1">
      <alignment vertical="center" wrapText="1"/>
    </xf>
    <xf numFmtId="0" fontId="40" fillId="0" borderId="0" xfId="0" applyFont="1" applyAlignment="1">
      <alignment horizontal="center" vertical="center"/>
    </xf>
    <xf numFmtId="0" fontId="0" fillId="0" borderId="0" xfId="0" pivotButton="1"/>
    <xf numFmtId="0" fontId="0" fillId="0" borderId="0" xfId="0" applyAlignment="1">
      <alignment horizontal="left"/>
    </xf>
    <xf numFmtId="0" fontId="0" fillId="0" borderId="0" xfId="0" applyAlignment="1">
      <alignment horizontal="left" indent="1"/>
    </xf>
    <xf numFmtId="0" fontId="9" fillId="2" borderId="8" xfId="0" applyFont="1" applyFill="1" applyBorder="1" applyAlignment="1">
      <alignment horizontal="right"/>
    </xf>
    <xf numFmtId="0" fontId="5" fillId="0" borderId="6" xfId="5" applyFont="1" applyBorder="1" applyAlignment="1">
      <alignment horizontal="left"/>
    </xf>
    <xf numFmtId="0" fontId="5" fillId="0" borderId="2" xfId="5" applyFont="1" applyBorder="1" applyAlignment="1">
      <alignment horizontal="left" wrapText="1"/>
    </xf>
    <xf numFmtId="0" fontId="5" fillId="0" borderId="0" xfId="5" applyFont="1" applyAlignment="1">
      <alignment horizontal="left" vertical="center" wrapText="1"/>
    </xf>
    <xf numFmtId="4" fontId="5" fillId="2" borderId="0" xfId="0" applyNumberFormat="1" applyFont="1" applyFill="1" applyAlignment="1">
      <alignment horizontal="right"/>
    </xf>
    <xf numFmtId="4" fontId="9" fillId="2" borderId="0" xfId="0" applyNumberFormat="1" applyFont="1" applyFill="1" applyAlignment="1">
      <alignment horizontal="right"/>
    </xf>
    <xf numFmtId="0" fontId="41" fillId="0" borderId="0" xfId="0" applyFont="1"/>
    <xf numFmtId="164" fontId="9" fillId="2" borderId="2" xfId="9" applyNumberFormat="1" applyFont="1" applyFill="1" applyBorder="1" applyAlignment="1">
      <alignment horizontal="right" wrapText="1"/>
    </xf>
    <xf numFmtId="172" fontId="0" fillId="0" borderId="0" xfId="0" applyNumberFormat="1"/>
    <xf numFmtId="0" fontId="9" fillId="2" borderId="1" xfId="0" applyFont="1" applyFill="1" applyBorder="1" applyAlignment="1">
      <alignment horizontal="left"/>
    </xf>
    <xf numFmtId="1" fontId="10" fillId="2" borderId="9" xfId="0" applyNumberFormat="1" applyFont="1" applyFill="1" applyBorder="1" applyAlignment="1">
      <alignment horizontal="right"/>
    </xf>
    <xf numFmtId="0" fontId="14" fillId="0" borderId="10" xfId="0" applyFont="1" applyBorder="1" applyAlignment="1">
      <alignment horizontal="right" wrapText="1"/>
    </xf>
    <xf numFmtId="164" fontId="14" fillId="0" borderId="11" xfId="0" applyNumberFormat="1" applyFont="1" applyBorder="1" applyAlignment="1">
      <alignment vertical="center"/>
    </xf>
    <xf numFmtId="0" fontId="9" fillId="2" borderId="1" xfId="5" applyFont="1" applyFill="1" applyBorder="1" applyAlignment="1">
      <alignment horizontal="left"/>
    </xf>
    <xf numFmtId="0" fontId="9" fillId="2" borderId="1" xfId="5" applyFont="1" applyFill="1" applyBorder="1" applyAlignment="1">
      <alignment horizontal="right" wrapText="1"/>
    </xf>
    <xf numFmtId="0" fontId="9" fillId="2" borderId="1" xfId="18" applyFont="1" applyFill="1" applyBorder="1" applyAlignment="1">
      <alignment horizontal="right"/>
    </xf>
    <xf numFmtId="0" fontId="9" fillId="2" borderId="0" xfId="5" applyFont="1" applyFill="1"/>
    <xf numFmtId="171" fontId="5" fillId="2" borderId="0" xfId="21" quotePrefix="1" applyNumberFormat="1" applyFont="1" applyFill="1" applyBorder="1" applyAlignment="1">
      <alignment horizontal="right"/>
    </xf>
    <xf numFmtId="166" fontId="9" fillId="2" borderId="0" xfId="21" applyNumberFormat="1" applyFont="1" applyFill="1" applyBorder="1"/>
    <xf numFmtId="166" fontId="9" fillId="2" borderId="4" xfId="21" applyNumberFormat="1" applyFont="1" applyFill="1" applyBorder="1" applyAlignment="1">
      <alignment vertical="center"/>
    </xf>
    <xf numFmtId="0" fontId="33" fillId="2" borderId="0" xfId="18" applyFont="1" applyFill="1"/>
    <xf numFmtId="0" fontId="9" fillId="0" borderId="1" xfId="5" applyFont="1" applyBorder="1" applyAlignment="1">
      <alignment horizontal="left"/>
    </xf>
    <xf numFmtId="0" fontId="9" fillId="0" borderId="0" xfId="5" applyFont="1"/>
    <xf numFmtId="0" fontId="9" fillId="0" borderId="4" xfId="18" applyFont="1" applyBorder="1" applyAlignment="1">
      <alignment vertical="center"/>
    </xf>
    <xf numFmtId="3" fontId="9" fillId="0" borderId="14" xfId="0" applyNumberFormat="1" applyFont="1" applyBorder="1" applyAlignment="1">
      <alignment horizontal="right" wrapText="1"/>
    </xf>
    <xf numFmtId="0" fontId="0" fillId="0" borderId="0" xfId="0" applyAlignment="1">
      <alignment horizontal="left" wrapText="1"/>
    </xf>
    <xf numFmtId="0" fontId="19" fillId="2" borderId="8" xfId="0" applyFont="1" applyFill="1" applyBorder="1" applyAlignment="1">
      <alignment horizontal="right" wrapText="1"/>
    </xf>
    <xf numFmtId="0" fontId="19" fillId="2" borderId="15" xfId="0" applyFont="1" applyFill="1" applyBorder="1" applyAlignment="1">
      <alignment horizontal="right" wrapText="1"/>
    </xf>
    <xf numFmtId="0" fontId="19" fillId="2" borderId="0" xfId="0" applyFont="1" applyFill="1" applyAlignment="1">
      <alignment horizontal="right" vertical="center" wrapText="1"/>
    </xf>
    <xf numFmtId="0" fontId="35" fillId="2" borderId="0" xfId="3" applyFont="1" applyFill="1" applyAlignment="1" applyProtection="1">
      <alignment horizontal="left" vertical="center" wrapText="1"/>
    </xf>
    <xf numFmtId="168" fontId="0" fillId="0" borderId="0" xfId="0" applyNumberFormat="1"/>
    <xf numFmtId="0" fontId="8" fillId="0" borderId="0" xfId="0" applyFont="1" applyAlignment="1">
      <alignment horizontal="left" vertical="center"/>
    </xf>
    <xf numFmtId="0" fontId="33" fillId="0" borderId="0" xfId="0" applyFont="1" applyAlignment="1">
      <alignment horizontal="left" vertical="center" wrapText="1"/>
    </xf>
    <xf numFmtId="0" fontId="33" fillId="0" borderId="0" xfId="5" applyFont="1" applyAlignment="1">
      <alignment horizontal="left" vertical="top" wrapText="1"/>
    </xf>
    <xf numFmtId="0" fontId="9" fillId="0" borderId="5" xfId="0" applyFont="1" applyBorder="1" applyAlignment="1">
      <alignment horizontal="center" vertical="center" wrapText="1"/>
    </xf>
    <xf numFmtId="0" fontId="8" fillId="2" borderId="0" xfId="8" applyFont="1" applyFill="1" applyAlignment="1">
      <alignment horizontal="left" vertical="top" wrapText="1"/>
    </xf>
    <xf numFmtId="0" fontId="8" fillId="2" borderId="0" xfId="0" applyFont="1" applyFill="1" applyAlignment="1">
      <alignment horizontal="left" vertical="center"/>
    </xf>
    <xf numFmtId="0" fontId="9" fillId="2" borderId="0" xfId="0" applyFont="1" applyFill="1" applyAlignment="1">
      <alignment horizontal="center" wrapText="1"/>
    </xf>
    <xf numFmtId="0" fontId="9" fillId="2" borderId="1" xfId="0" applyFont="1" applyFill="1" applyBorder="1" applyAlignment="1">
      <alignment horizontal="center" wrapText="1"/>
    </xf>
    <xf numFmtId="0" fontId="10" fillId="0" borderId="0" xfId="0" applyFont="1" applyAlignment="1">
      <alignment wrapText="1"/>
    </xf>
    <xf numFmtId="168" fontId="11" fillId="0" borderId="0" xfId="22" applyNumberFormat="1" applyFont="1" applyFill="1" applyBorder="1" applyAlignment="1">
      <alignment horizontal="right" wrapText="1"/>
    </xf>
    <xf numFmtId="164" fontId="9" fillId="5" borderId="4" xfId="5" applyNumberFormat="1" applyFont="1" applyFill="1" applyBorder="1" applyAlignment="1">
      <alignment horizontal="right" vertical="center" wrapText="1"/>
    </xf>
    <xf numFmtId="164" fontId="5" fillId="5" borderId="0" xfId="6" applyNumberFormat="1" applyFill="1"/>
    <xf numFmtId="169" fontId="5" fillId="5" borderId="0" xfId="5" applyNumberFormat="1" applyFont="1" applyFill="1" applyAlignment="1">
      <alignment horizontal="right" wrapText="1"/>
    </xf>
    <xf numFmtId="169" fontId="5" fillId="5" borderId="2" xfId="5" applyNumberFormat="1" applyFont="1" applyFill="1" applyBorder="1" applyAlignment="1">
      <alignment horizontal="right" wrapText="1"/>
    </xf>
    <xf numFmtId="170" fontId="5" fillId="5" borderId="2" xfId="6" applyNumberFormat="1" applyFill="1" applyBorder="1"/>
    <xf numFmtId="170" fontId="5" fillId="5" borderId="0" xfId="6" applyNumberFormat="1" applyFill="1"/>
    <xf numFmtId="164" fontId="9" fillId="5" borderId="4" xfId="0" applyNumberFormat="1" applyFont="1" applyFill="1" applyBorder="1" applyAlignment="1">
      <alignment horizontal="right" vertical="center"/>
    </xf>
    <xf numFmtId="3" fontId="14" fillId="0" borderId="0" xfId="5" applyNumberFormat="1" applyFont="1" applyAlignment="1">
      <alignment horizontal="right" vertical="center" wrapText="1"/>
    </xf>
    <xf numFmtId="0" fontId="8" fillId="0" borderId="0" xfId="0" applyFont="1" applyAlignment="1">
      <alignment vertical="center"/>
    </xf>
    <xf numFmtId="0" fontId="14" fillId="0" borderId="0" xfId="5" applyFont="1" applyAlignment="1">
      <alignment horizontal="left" wrapText="1"/>
    </xf>
    <xf numFmtId="0" fontId="42" fillId="0" borderId="0" xfId="0" applyFont="1" applyAlignment="1">
      <alignment horizontal="left" vertical="center" wrapText="1"/>
    </xf>
    <xf numFmtId="0" fontId="8" fillId="0" borderId="1" xfId="0" applyFont="1" applyBorder="1" applyAlignment="1">
      <alignment horizontal="center" vertical="center" wrapText="1"/>
    </xf>
    <xf numFmtId="0" fontId="9" fillId="0" borderId="20" xfId="0" applyFont="1" applyBorder="1" applyAlignment="1">
      <alignment horizontal="center" vertical="center" wrapText="1"/>
    </xf>
    <xf numFmtId="0" fontId="9" fillId="0" borderId="8" xfId="0" applyFont="1" applyBorder="1" applyAlignment="1">
      <alignment horizontal="center" vertical="center" wrapText="1"/>
    </xf>
    <xf numFmtId="9" fontId="10" fillId="0" borderId="3" xfId="0" applyNumberFormat="1" applyFont="1" applyBorder="1" applyAlignment="1">
      <alignment vertical="center"/>
    </xf>
    <xf numFmtId="166" fontId="9" fillId="0" borderId="1" xfId="21" applyNumberFormat="1" applyFont="1" applyFill="1" applyBorder="1"/>
    <xf numFmtId="9" fontId="10" fillId="0" borderId="1" xfId="22" applyFont="1" applyFill="1" applyBorder="1"/>
    <xf numFmtId="1" fontId="16" fillId="0" borderId="0" xfId="5" applyNumberFormat="1" applyFont="1" applyAlignment="1">
      <alignment horizontal="right"/>
    </xf>
    <xf numFmtId="0" fontId="16" fillId="0" borderId="0" xfId="5" applyFont="1" applyAlignment="1">
      <alignment horizontal="right"/>
    </xf>
    <xf numFmtId="1" fontId="16" fillId="0" borderId="0" xfId="0" applyNumberFormat="1" applyFont="1"/>
    <xf numFmtId="0" fontId="33" fillId="0" borderId="0" xfId="5" applyFont="1" applyAlignment="1">
      <alignment horizontal="left" vertical="top"/>
    </xf>
    <xf numFmtId="0" fontId="33" fillId="0" borderId="0" xfId="0" applyFont="1" applyAlignment="1">
      <alignment horizontal="left" vertical="top"/>
    </xf>
    <xf numFmtId="0" fontId="14" fillId="0" borderId="0" xfId="0" applyFont="1" applyAlignment="1">
      <alignment vertical="top"/>
    </xf>
    <xf numFmtId="164" fontId="5" fillId="0" borderId="1" xfId="0" applyNumberFormat="1" applyFont="1" applyBorder="1"/>
    <xf numFmtId="0" fontId="0" fillId="0" borderId="4" xfId="0" applyBorder="1"/>
    <xf numFmtId="171" fontId="9" fillId="5" borderId="4" xfId="0" applyNumberFormat="1" applyFont="1" applyFill="1" applyBorder="1" applyAlignment="1">
      <alignment vertical="center"/>
    </xf>
    <xf numFmtId="166" fontId="9" fillId="0" borderId="0" xfId="0" applyNumberFormat="1" applyFont="1" applyAlignment="1">
      <alignment vertical="center"/>
    </xf>
    <xf numFmtId="0" fontId="0" fillId="0" borderId="0" xfId="0" applyAlignment="1">
      <alignment horizontal="left" vertical="center"/>
    </xf>
    <xf numFmtId="0" fontId="8" fillId="0" borderId="0" xfId="0" applyFont="1" applyAlignment="1">
      <alignment horizontal="left" vertical="top"/>
    </xf>
    <xf numFmtId="0" fontId="0" fillId="0" borderId="0" xfId="0" applyAlignment="1">
      <alignment wrapText="1"/>
    </xf>
    <xf numFmtId="1" fontId="9" fillId="0" borderId="0" xfId="5" applyNumberFormat="1" applyFont="1" applyAlignment="1">
      <alignment horizontal="right"/>
    </xf>
    <xf numFmtId="0" fontId="9" fillId="0" borderId="0" xfId="5" applyFont="1" applyAlignment="1">
      <alignment horizontal="right"/>
    </xf>
    <xf numFmtId="1" fontId="9" fillId="0" borderId="0" xfId="0" applyNumberFormat="1" applyFont="1"/>
    <xf numFmtId="0" fontId="5" fillId="0" borderId="0" xfId="0" applyFont="1" applyAlignment="1">
      <alignment horizontal="left"/>
    </xf>
    <xf numFmtId="0" fontId="38" fillId="0" borderId="0" xfId="0" applyFont="1" applyAlignment="1">
      <alignment horizontal="left" vertical="center"/>
    </xf>
    <xf numFmtId="0" fontId="33" fillId="0" borderId="0" xfId="0" applyFont="1" applyAlignment="1">
      <alignment horizontal="left"/>
    </xf>
    <xf numFmtId="0" fontId="14" fillId="0" borderId="0" xfId="0" applyFont="1" applyAlignment="1">
      <alignment horizontal="left" vertical="top"/>
    </xf>
    <xf numFmtId="0" fontId="9" fillId="0" borderId="19" xfId="0" applyFont="1" applyBorder="1" applyAlignment="1">
      <alignment horizontal="right" vertical="center"/>
    </xf>
    <xf numFmtId="168" fontId="11" fillId="0" borderId="18" xfId="2" applyNumberFormat="1" applyFont="1" applyFill="1" applyBorder="1" applyAlignment="1">
      <alignment horizontal="right"/>
    </xf>
    <xf numFmtId="168" fontId="11" fillId="0" borderId="9" xfId="2" applyNumberFormat="1" applyFont="1" applyFill="1" applyBorder="1" applyAlignment="1">
      <alignment horizontal="right"/>
    </xf>
    <xf numFmtId="0" fontId="9" fillId="0" borderId="5" xfId="0" applyFont="1" applyBorder="1" applyAlignment="1">
      <alignment horizontal="center"/>
    </xf>
    <xf numFmtId="168" fontId="11" fillId="0" borderId="17" xfId="2" applyNumberFormat="1" applyFont="1" applyFill="1" applyBorder="1" applyAlignment="1">
      <alignment horizontal="right"/>
    </xf>
    <xf numFmtId="168" fontId="11" fillId="0" borderId="16" xfId="2" applyNumberFormat="1" applyFont="1" applyFill="1" applyBorder="1" applyAlignment="1">
      <alignment horizontal="right"/>
    </xf>
    <xf numFmtId="168" fontId="11" fillId="0" borderId="20" xfId="2" applyNumberFormat="1" applyFont="1" applyFill="1" applyBorder="1" applyAlignment="1">
      <alignment horizontal="right"/>
    </xf>
    <xf numFmtId="0" fontId="14" fillId="2" borderId="1" xfId="7" applyFont="1" applyFill="1" applyBorder="1" applyAlignment="1">
      <alignment horizontal="left"/>
    </xf>
    <xf numFmtId="1" fontId="25" fillId="2" borderId="0" xfId="0" applyNumberFormat="1" applyFont="1" applyFill="1"/>
    <xf numFmtId="1" fontId="25" fillId="2" borderId="2" xfId="0" applyNumberFormat="1" applyFont="1" applyFill="1" applyBorder="1"/>
    <xf numFmtId="0" fontId="9" fillId="2" borderId="5" xfId="0" applyFont="1" applyFill="1" applyBorder="1" applyAlignment="1">
      <alignment horizontal="right"/>
    </xf>
    <xf numFmtId="172" fontId="9" fillId="2" borderId="5" xfId="0" applyNumberFormat="1" applyFont="1" applyFill="1" applyBorder="1" applyAlignment="1">
      <alignment horizontal="right"/>
    </xf>
    <xf numFmtId="0" fontId="9" fillId="0" borderId="9" xfId="0" applyFont="1" applyBorder="1" applyAlignment="1">
      <alignment horizontal="right" vertical="center"/>
    </xf>
    <xf numFmtId="164" fontId="9" fillId="0" borderId="11" xfId="0" applyNumberFormat="1" applyFont="1" applyBorder="1"/>
    <xf numFmtId="164" fontId="5" fillId="0" borderId="2" xfId="0" applyNumberFormat="1" applyFont="1" applyBorder="1"/>
    <xf numFmtId="0" fontId="9" fillId="2" borderId="8" xfId="10" applyFont="1" applyFill="1" applyBorder="1" applyAlignment="1">
      <alignment horizontal="right" vertical="center" wrapText="1"/>
    </xf>
    <xf numFmtId="168" fontId="11" fillId="2" borderId="9" xfId="2" quotePrefix="1" applyNumberFormat="1" applyFont="1" applyFill="1" applyBorder="1" applyAlignment="1"/>
    <xf numFmtId="0" fontId="33" fillId="2" borderId="0" xfId="0" applyFont="1" applyFill="1" applyAlignment="1">
      <alignment vertical="center" wrapText="1"/>
    </xf>
    <xf numFmtId="0" fontId="9" fillId="2" borderId="8" xfId="0" applyFont="1" applyFill="1" applyBorder="1" applyAlignment="1">
      <alignment horizontal="right" wrapText="1"/>
    </xf>
    <xf numFmtId="0" fontId="9" fillId="2" borderId="15" xfId="0" applyFont="1" applyFill="1" applyBorder="1" applyAlignment="1">
      <alignment horizontal="right" wrapText="1"/>
    </xf>
    <xf numFmtId="172" fontId="11" fillId="2" borderId="2" xfId="0" applyNumberFormat="1" applyFont="1" applyFill="1" applyBorder="1"/>
    <xf numFmtId="172" fontId="11" fillId="2" borderId="17" xfId="0" applyNumberFormat="1" applyFont="1" applyFill="1" applyBorder="1"/>
    <xf numFmtId="172" fontId="11" fillId="2" borderId="16" xfId="0" applyNumberFormat="1" applyFont="1" applyFill="1" applyBorder="1"/>
    <xf numFmtId="172" fontId="11" fillId="2" borderId="17" xfId="0" applyNumberFormat="1" applyFont="1" applyFill="1" applyBorder="1" applyAlignment="1">
      <alignment horizontal="right"/>
    </xf>
    <xf numFmtId="172" fontId="11" fillId="2" borderId="16" xfId="0" applyNumberFormat="1" applyFont="1" applyFill="1" applyBorder="1" applyAlignment="1">
      <alignment horizontal="right"/>
    </xf>
    <xf numFmtId="172" fontId="10" fillId="2" borderId="17" xfId="0" applyNumberFormat="1" applyFont="1" applyFill="1" applyBorder="1"/>
    <xf numFmtId="172" fontId="10" fillId="2" borderId="16" xfId="0" applyNumberFormat="1" applyFont="1" applyFill="1" applyBorder="1"/>
    <xf numFmtId="0" fontId="25" fillId="0" borderId="4" xfId="0" applyFont="1" applyBorder="1"/>
    <xf numFmtId="0" fontId="25" fillId="0" borderId="1" xfId="0" applyFont="1" applyBorder="1" applyAlignment="1">
      <alignment wrapText="1"/>
    </xf>
    <xf numFmtId="0" fontId="44" fillId="0" borderId="0" xfId="0" applyFont="1"/>
    <xf numFmtId="172" fontId="11" fillId="2" borderId="1" xfId="0" applyNumberFormat="1" applyFont="1" applyFill="1" applyBorder="1" applyAlignment="1">
      <alignment horizontal="right"/>
    </xf>
    <xf numFmtId="0" fontId="3" fillId="0" borderId="0" xfId="3" applyAlignment="1" applyProtection="1"/>
    <xf numFmtId="0" fontId="8" fillId="0" borderId="0" xfId="11" applyFont="1" applyFill="1" applyAlignment="1">
      <alignment horizontal="left" vertical="center" wrapText="1"/>
    </xf>
    <xf numFmtId="0" fontId="5" fillId="0" borderId="2" xfId="5" applyFont="1" applyBorder="1" applyAlignment="1">
      <alignment horizontal="left"/>
    </xf>
    <xf numFmtId="0" fontId="22" fillId="2" borderId="1" xfId="0" applyFont="1" applyFill="1" applyBorder="1" applyAlignment="1">
      <alignment horizontal="right"/>
    </xf>
    <xf numFmtId="0" fontId="25" fillId="0" borderId="1" xfId="0" applyFont="1" applyBorder="1" applyAlignment="1">
      <alignment horizontal="center" wrapText="1"/>
    </xf>
    <xf numFmtId="0" fontId="9" fillId="2" borderId="0" xfId="7" applyFont="1" applyFill="1" applyAlignment="1">
      <alignment horizontal="center" wrapText="1"/>
    </xf>
    <xf numFmtId="0" fontId="5" fillId="2" borderId="3" xfId="0" quotePrefix="1" applyFont="1" applyFill="1" applyBorder="1" applyAlignment="1">
      <alignment horizontal="right"/>
    </xf>
    <xf numFmtId="0" fontId="9" fillId="2" borderId="3" xfId="0" applyFont="1" applyFill="1" applyBorder="1"/>
    <xf numFmtId="0" fontId="14" fillId="0" borderId="1" xfId="5" applyFont="1" applyBorder="1" applyAlignment="1">
      <alignment horizontal="left" wrapText="1"/>
    </xf>
    <xf numFmtId="14" fontId="9" fillId="0" borderId="5" xfId="0" applyNumberFormat="1" applyFont="1" applyBorder="1" applyAlignment="1">
      <alignment horizontal="right" wrapText="1"/>
    </xf>
    <xf numFmtId="0" fontId="10" fillId="0" borderId="1" xfId="0" applyFont="1" applyBorder="1" applyProtection="1">
      <protection locked="0"/>
    </xf>
    <xf numFmtId="14" fontId="9" fillId="0" borderId="8" xfId="0" applyNumberFormat="1" applyFont="1" applyBorder="1" applyAlignment="1">
      <alignment horizontal="right" wrapText="1"/>
    </xf>
    <xf numFmtId="9" fontId="11" fillId="0" borderId="9" xfId="22" applyFont="1" applyFill="1" applyBorder="1" applyAlignment="1">
      <alignment horizontal="right"/>
    </xf>
    <xf numFmtId="9" fontId="10" fillId="0" borderId="11" xfId="22" applyFont="1" applyFill="1" applyBorder="1" applyAlignment="1">
      <alignment horizontal="right" vertical="center"/>
    </xf>
    <xf numFmtId="0" fontId="26" fillId="0" borderId="0" xfId="0" applyFont="1"/>
    <xf numFmtId="0" fontId="42" fillId="0" borderId="0" xfId="0" applyFont="1" applyAlignment="1">
      <alignment vertical="center"/>
    </xf>
    <xf numFmtId="0" fontId="8" fillId="2" borderId="0" xfId="0" applyFont="1" applyFill="1" applyAlignment="1">
      <alignment vertical="center"/>
    </xf>
    <xf numFmtId="0" fontId="33" fillId="2" borderId="0" xfId="0" applyFont="1" applyFill="1" applyAlignment="1">
      <alignment horizontal="left" vertical="top"/>
    </xf>
    <xf numFmtId="3" fontId="10" fillId="2" borderId="0" xfId="0" applyNumberFormat="1" applyFont="1" applyFill="1"/>
    <xf numFmtId="173" fontId="11" fillId="2" borderId="0" xfId="0" applyNumberFormat="1" applyFont="1" applyFill="1"/>
    <xf numFmtId="0" fontId="0" fillId="0" borderId="1" xfId="0" applyBorder="1" applyAlignment="1">
      <alignment wrapText="1"/>
    </xf>
    <xf numFmtId="0" fontId="0" fillId="0" borderId="8" xfId="0" applyBorder="1" applyAlignment="1">
      <alignment wrapText="1"/>
    </xf>
    <xf numFmtId="0" fontId="0" fillId="0" borderId="5" xfId="0" applyBorder="1" applyAlignment="1">
      <alignment wrapText="1"/>
    </xf>
    <xf numFmtId="0" fontId="0" fillId="0" borderId="10" xfId="0" applyBorder="1" applyAlignment="1">
      <alignment wrapText="1"/>
    </xf>
    <xf numFmtId="0" fontId="8" fillId="0" borderId="0" xfId="11" applyFont="1" applyFill="1" applyAlignment="1">
      <alignment vertical="center"/>
    </xf>
    <xf numFmtId="0" fontId="45" fillId="0" borderId="0" xfId="0" applyFont="1"/>
    <xf numFmtId="0" fontId="25" fillId="0" borderId="3" xfId="0" applyFont="1" applyBorder="1"/>
    <xf numFmtId="0" fontId="25" fillId="0" borderId="1" xfId="0" applyFont="1" applyBorder="1"/>
    <xf numFmtId="0" fontId="25" fillId="0" borderId="1" xfId="0" applyFont="1" applyBorder="1" applyAlignment="1">
      <alignment horizontal="center"/>
    </xf>
    <xf numFmtId="0" fontId="25" fillId="0" borderId="0" xfId="0" applyFont="1" applyAlignment="1">
      <alignment horizontal="center"/>
    </xf>
    <xf numFmtId="0" fontId="45" fillId="0" borderId="0" xfId="0" applyFont="1" applyAlignment="1">
      <alignment horizontal="center"/>
    </xf>
    <xf numFmtId="3" fontId="9" fillId="0" borderId="18" xfId="0" applyNumberFormat="1" applyFont="1" applyBorder="1" applyAlignment="1">
      <alignment horizontal="right" wrapText="1"/>
    </xf>
    <xf numFmtId="3" fontId="9" fillId="0" borderId="8" xfId="0" applyNumberFormat="1" applyFont="1" applyBorder="1" applyAlignment="1">
      <alignment horizontal="right" wrapText="1"/>
    </xf>
    <xf numFmtId="3" fontId="9" fillId="0" borderId="22" xfId="0" applyNumberFormat="1" applyFont="1" applyBorder="1" applyAlignment="1">
      <alignment horizontal="right" wrapText="1"/>
    </xf>
    <xf numFmtId="3" fontId="9" fillId="0" borderId="10" xfId="0" applyNumberFormat="1" applyFont="1" applyBorder="1" applyAlignment="1">
      <alignment horizontal="right" wrapText="1"/>
    </xf>
    <xf numFmtId="164" fontId="5" fillId="4" borderId="9" xfId="0" applyNumberFormat="1" applyFont="1" applyFill="1" applyBorder="1" applyAlignment="1">
      <alignment horizontal="right"/>
    </xf>
    <xf numFmtId="4" fontId="5" fillId="2" borderId="9" xfId="0" applyNumberFormat="1" applyFont="1" applyFill="1" applyBorder="1"/>
    <xf numFmtId="0" fontId="14" fillId="0" borderId="10" xfId="0" applyFont="1" applyBorder="1" applyAlignment="1">
      <alignment horizontal="right"/>
    </xf>
    <xf numFmtId="3" fontId="9" fillId="0" borderId="9" xfId="0" applyNumberFormat="1" applyFont="1" applyBorder="1" applyAlignment="1">
      <alignment horizontal="right" wrapText="1"/>
    </xf>
    <xf numFmtId="3" fontId="9" fillId="0" borderId="19" xfId="0" applyNumberFormat="1" applyFont="1" applyBorder="1" applyAlignment="1">
      <alignment horizontal="right" wrapText="1"/>
    </xf>
    <xf numFmtId="0" fontId="14" fillId="0" borderId="3" xfId="0" applyFont="1" applyBorder="1" applyAlignment="1">
      <alignment horizontal="left" vertical="center"/>
    </xf>
    <xf numFmtId="0" fontId="25" fillId="0" borderId="0" xfId="0" applyFont="1" applyAlignment="1">
      <alignment horizontal="left"/>
    </xf>
    <xf numFmtId="0" fontId="25" fillId="0" borderId="1" xfId="0" applyFont="1" applyBorder="1" applyAlignment="1">
      <alignment horizontal="left"/>
    </xf>
    <xf numFmtId="0" fontId="9" fillId="0" borderId="8" xfId="4" applyFont="1" applyBorder="1" applyAlignment="1">
      <alignment horizontal="center" wrapText="1"/>
    </xf>
    <xf numFmtId="172" fontId="11" fillId="0" borderId="13" xfId="0" quotePrefix="1" applyNumberFormat="1" applyFont="1" applyBorder="1" applyAlignment="1">
      <alignment horizontal="right"/>
    </xf>
    <xf numFmtId="172" fontId="9" fillId="0" borderId="23" xfId="22" applyNumberFormat="1" applyFont="1" applyFill="1" applyBorder="1" applyAlignment="1">
      <alignment vertical="center"/>
    </xf>
    <xf numFmtId="0" fontId="9" fillId="0" borderId="10" xfId="19" applyFont="1" applyBorder="1" applyAlignment="1">
      <alignment horizontal="right"/>
    </xf>
    <xf numFmtId="166" fontId="9" fillId="0" borderId="11" xfId="17" applyNumberFormat="1" applyFont="1" applyFill="1" applyBorder="1" applyAlignment="1">
      <alignment vertical="center"/>
    </xf>
    <xf numFmtId="0" fontId="9" fillId="0" borderId="1" xfId="4" applyFont="1" applyBorder="1"/>
    <xf numFmtId="0" fontId="10" fillId="0" borderId="25" xfId="4" applyFont="1" applyBorder="1" applyAlignment="1">
      <alignment horizontal="center" wrapText="1"/>
    </xf>
    <xf numFmtId="0" fontId="9" fillId="0" borderId="26" xfId="4" applyFont="1" applyBorder="1" applyAlignment="1">
      <alignment horizontal="center" wrapText="1"/>
    </xf>
    <xf numFmtId="0" fontId="14" fillId="2" borderId="0" xfId="0" applyFont="1" applyFill="1" applyAlignment="1">
      <alignment vertical="center"/>
    </xf>
    <xf numFmtId="0" fontId="19" fillId="2" borderId="1" xfId="0" applyFont="1" applyFill="1" applyBorder="1" applyAlignment="1">
      <alignment horizontal="left"/>
    </xf>
    <xf numFmtId="0" fontId="14" fillId="2" borderId="18" xfId="0" applyFont="1" applyFill="1" applyBorder="1" applyAlignment="1">
      <alignment vertical="center"/>
    </xf>
    <xf numFmtId="0" fontId="19" fillId="2" borderId="19" xfId="0" applyFont="1" applyFill="1" applyBorder="1" applyAlignment="1">
      <alignment horizontal="right" wrapText="1"/>
    </xf>
    <xf numFmtId="0" fontId="19" fillId="2" borderId="19" xfId="0" applyFont="1" applyFill="1" applyBorder="1" applyAlignment="1">
      <alignment horizontal="right" vertical="center" wrapText="1"/>
    </xf>
    <xf numFmtId="0" fontId="22" fillId="0" borderId="0" xfId="0" applyFont="1" applyAlignment="1">
      <alignment horizontal="right"/>
    </xf>
    <xf numFmtId="3" fontId="9" fillId="0" borderId="5" xfId="0" applyNumberFormat="1" applyFont="1" applyBorder="1" applyAlignment="1">
      <alignment horizontal="right" wrapText="1"/>
    </xf>
    <xf numFmtId="0" fontId="29" fillId="0" borderId="0" xfId="0" applyFont="1" applyAlignment="1">
      <alignment horizontal="left" vertical="center" wrapText="1"/>
    </xf>
    <xf numFmtId="0" fontId="33" fillId="2" borderId="0" xfId="0" applyFont="1" applyFill="1" applyAlignment="1">
      <alignment horizontal="left" vertical="top" wrapText="1"/>
    </xf>
    <xf numFmtId="0" fontId="33" fillId="2" borderId="0" xfId="0" applyFont="1" applyFill="1" applyAlignment="1">
      <alignment horizontal="left" wrapText="1"/>
    </xf>
    <xf numFmtId="0" fontId="29" fillId="0" borderId="0" xfId="0" applyFont="1" applyAlignment="1">
      <alignment horizontal="left" vertical="center"/>
    </xf>
    <xf numFmtId="0" fontId="43" fillId="0" borderId="0" xfId="0" applyFont="1"/>
    <xf numFmtId="0" fontId="34" fillId="0" borderId="0" xfId="0" quotePrefix="1" applyFont="1" applyAlignment="1">
      <alignment vertical="center"/>
    </xf>
    <xf numFmtId="0" fontId="33" fillId="0" borderId="0" xfId="5" applyFont="1" applyAlignment="1">
      <alignment horizontal="left"/>
    </xf>
    <xf numFmtId="0" fontId="3" fillId="0" borderId="0" xfId="3" applyAlignment="1" applyProtection="1">
      <alignment vertical="center"/>
    </xf>
    <xf numFmtId="0" fontId="30" fillId="0" borderId="0" xfId="0" quotePrefix="1" applyFont="1" applyAlignment="1">
      <alignment horizontal="center"/>
    </xf>
    <xf numFmtId="0" fontId="10" fillId="0" borderId="0" xfId="0" applyFont="1" applyAlignment="1">
      <alignment horizontal="left" wrapText="1"/>
    </xf>
    <xf numFmtId="164" fontId="8" fillId="0" borderId="0" xfId="11" applyNumberFormat="1" applyFont="1" applyFill="1" applyAlignment="1">
      <alignment horizontal="left" vertical="center" wrapText="1"/>
    </xf>
    <xf numFmtId="168" fontId="8" fillId="0" borderId="0" xfId="2" applyNumberFormat="1" applyFont="1" applyFill="1" applyBorder="1" applyAlignment="1">
      <alignment horizontal="left" vertical="center" wrapText="1"/>
    </xf>
    <xf numFmtId="0" fontId="33" fillId="0" borderId="0" xfId="0" applyFont="1" applyAlignment="1" applyProtection="1">
      <alignment horizontal="left" wrapText="1"/>
      <protection locked="0"/>
    </xf>
    <xf numFmtId="0" fontId="0" fillId="2" borderId="0" xfId="0" applyFill="1" applyAlignment="1">
      <alignment horizontal="left" wrapText="1"/>
    </xf>
    <xf numFmtId="0" fontId="33" fillId="0" borderId="0" xfId="0" applyFont="1" applyAlignment="1">
      <alignment horizontal="left" wrapText="1"/>
    </xf>
    <xf numFmtId="0" fontId="46" fillId="0" borderId="0" xfId="0" applyFont="1"/>
    <xf numFmtId="0" fontId="47" fillId="0" borderId="0" xfId="0" applyFont="1"/>
    <xf numFmtId="0" fontId="0" fillId="0" borderId="20" xfId="0" applyBorder="1" applyAlignment="1">
      <alignment wrapText="1"/>
    </xf>
    <xf numFmtId="0" fontId="0" fillId="0" borderId="19" xfId="0" applyBorder="1" applyAlignment="1">
      <alignment wrapText="1"/>
    </xf>
    <xf numFmtId="0" fontId="0" fillId="0" borderId="15" xfId="0" applyBorder="1" applyAlignment="1">
      <alignment wrapText="1"/>
    </xf>
    <xf numFmtId="0" fontId="0" fillId="0" borderId="9" xfId="0" applyBorder="1"/>
    <xf numFmtId="0" fontId="10" fillId="0" borderId="1" xfId="0" applyFont="1" applyBorder="1" applyAlignment="1">
      <alignment horizontal="right"/>
    </xf>
    <xf numFmtId="0" fontId="9" fillId="2" borderId="3" xfId="0" applyFont="1" applyFill="1" applyBorder="1" applyAlignment="1">
      <alignment horizontal="right"/>
    </xf>
    <xf numFmtId="0" fontId="0" fillId="0" borderId="0" xfId="0" applyAlignment="1">
      <alignment horizontal="right"/>
    </xf>
    <xf numFmtId="0" fontId="42" fillId="0" borderId="0" xfId="0" applyFont="1" applyAlignment="1">
      <alignment horizontal="right" vertical="center" wrapText="1"/>
    </xf>
    <xf numFmtId="0" fontId="25" fillId="0" borderId="0" xfId="0" applyFont="1" applyAlignment="1">
      <alignment horizontal="right"/>
    </xf>
    <xf numFmtId="0" fontId="48" fillId="0" borderId="0" xfId="0" applyFont="1"/>
    <xf numFmtId="0" fontId="23" fillId="0" borderId="0" xfId="0" applyFont="1" applyAlignment="1">
      <alignment horizontal="right"/>
    </xf>
    <xf numFmtId="0" fontId="48" fillId="0" borderId="0" xfId="0" applyFont="1" applyAlignment="1">
      <alignment horizontal="right"/>
    </xf>
    <xf numFmtId="0" fontId="48" fillId="0" borderId="20" xfId="0" applyFont="1" applyBorder="1"/>
    <xf numFmtId="0" fontId="48" fillId="0" borderId="8" xfId="0" applyFont="1" applyBorder="1" applyAlignment="1">
      <alignment horizontal="right"/>
    </xf>
    <xf numFmtId="0" fontId="48" fillId="0" borderId="5" xfId="0" applyFont="1" applyBorder="1" applyAlignment="1">
      <alignment horizontal="right"/>
    </xf>
    <xf numFmtId="0" fontId="48" fillId="0" borderId="15" xfId="0" applyFont="1" applyBorder="1" applyAlignment="1">
      <alignment horizontal="right"/>
    </xf>
    <xf numFmtId="0" fontId="25" fillId="0" borderId="19" xfId="0" applyFont="1" applyBorder="1" applyAlignment="1">
      <alignment wrapText="1"/>
    </xf>
    <xf numFmtId="0" fontId="3" fillId="0" borderId="0" xfId="3" applyFill="1" applyAlignment="1" applyProtection="1"/>
    <xf numFmtId="0" fontId="14" fillId="0" borderId="0" xfId="0" applyFont="1" applyAlignment="1">
      <alignment wrapText="1"/>
    </xf>
    <xf numFmtId="0" fontId="33" fillId="0" borderId="0" xfId="0" applyFont="1" applyAlignment="1">
      <alignment wrapText="1"/>
    </xf>
    <xf numFmtId="0" fontId="49" fillId="0" borderId="0" xfId="0" applyFont="1"/>
    <xf numFmtId="0" fontId="16" fillId="0" borderId="0" xfId="0" applyFont="1" applyAlignment="1">
      <alignment horizontal="center" vertical="top" wrapText="1"/>
    </xf>
    <xf numFmtId="0" fontId="25" fillId="2" borderId="0" xfId="0" applyFont="1" applyFill="1"/>
    <xf numFmtId="3" fontId="9" fillId="2" borderId="0" xfId="0" applyNumberFormat="1" applyFont="1" applyFill="1"/>
    <xf numFmtId="0" fontId="0" fillId="4" borderId="0" xfId="0" applyFill="1"/>
    <xf numFmtId="0" fontId="25" fillId="2" borderId="1" xfId="0" applyFont="1" applyFill="1" applyBorder="1" applyAlignment="1">
      <alignment wrapText="1"/>
    </xf>
    <xf numFmtId="3" fontId="5" fillId="0" borderId="2" xfId="16" applyNumberFormat="1" applyBorder="1"/>
    <xf numFmtId="0" fontId="25" fillId="0" borderId="20" xfId="0" applyFont="1" applyBorder="1"/>
    <xf numFmtId="41" fontId="0" fillId="0" borderId="0" xfId="0" applyNumberFormat="1"/>
    <xf numFmtId="41" fontId="25" fillId="0" borderId="0" xfId="0" applyNumberFormat="1" applyFont="1"/>
    <xf numFmtId="0" fontId="9" fillId="0" borderId="5" xfId="19" applyFont="1" applyBorder="1" applyAlignment="1">
      <alignment horizontal="right"/>
    </xf>
    <xf numFmtId="0" fontId="9" fillId="0" borderId="5" xfId="19" applyFont="1" applyBorder="1" applyAlignment="1">
      <alignment horizontal="right" wrapText="1"/>
    </xf>
    <xf numFmtId="0" fontId="9" fillId="0" borderId="15" xfId="19" applyFont="1" applyBorder="1" applyAlignment="1">
      <alignment horizontal="right"/>
    </xf>
    <xf numFmtId="41" fontId="0" fillId="0" borderId="3" xfId="0" applyNumberFormat="1" applyBorder="1"/>
    <xf numFmtId="41" fontId="0" fillId="0" borderId="16" xfId="0" applyNumberFormat="1" applyBorder="1"/>
    <xf numFmtId="172" fontId="13" fillId="0" borderId="9" xfId="0" applyNumberFormat="1" applyFont="1" applyBorder="1"/>
    <xf numFmtId="41" fontId="0" fillId="0" borderId="0" xfId="0" applyNumberFormat="1" applyAlignment="1">
      <alignment horizontal="right"/>
    </xf>
    <xf numFmtId="41" fontId="25" fillId="0" borderId="0" xfId="0" applyNumberFormat="1" applyFont="1" applyAlignment="1">
      <alignment horizontal="right"/>
    </xf>
    <xf numFmtId="0" fontId="9" fillId="2" borderId="0" xfId="7" applyFont="1" applyFill="1" applyAlignment="1">
      <alignment vertical="center" wrapText="1"/>
    </xf>
    <xf numFmtId="168" fontId="10" fillId="2" borderId="0" xfId="2" quotePrefix="1" applyNumberFormat="1" applyFont="1" applyFill="1" applyBorder="1" applyAlignment="1">
      <alignment horizontal="right" vertical="center"/>
    </xf>
    <xf numFmtId="0" fontId="9" fillId="2" borderId="1" xfId="7" applyFont="1" applyFill="1" applyBorder="1" applyAlignment="1">
      <alignment vertical="center" wrapText="1"/>
    </xf>
    <xf numFmtId="3" fontId="9" fillId="2" borderId="1" xfId="7" applyNumberFormat="1" applyFont="1" applyFill="1" applyBorder="1" applyAlignment="1">
      <alignment horizontal="right" vertical="center"/>
    </xf>
    <xf numFmtId="168" fontId="10" fillId="2" borderId="1" xfId="2" quotePrefix="1" applyNumberFormat="1" applyFont="1" applyFill="1" applyBorder="1" applyAlignment="1">
      <alignment horizontal="right" vertical="center"/>
    </xf>
    <xf numFmtId="0" fontId="9" fillId="2" borderId="5" xfId="7" applyFont="1" applyFill="1" applyBorder="1" applyAlignment="1">
      <alignment vertical="center" wrapText="1"/>
    </xf>
    <xf numFmtId="3" fontId="5" fillId="2" borderId="5" xfId="7" applyNumberFormat="1" applyFont="1" applyFill="1" applyBorder="1" applyAlignment="1">
      <alignment horizontal="right" vertical="center"/>
    </xf>
    <xf numFmtId="168" fontId="11" fillId="2" borderId="5" xfId="2" quotePrefix="1" applyNumberFormat="1" applyFont="1" applyFill="1" applyBorder="1" applyAlignment="1">
      <alignment horizontal="right"/>
    </xf>
    <xf numFmtId="168" fontId="10" fillId="2" borderId="4" xfId="2" quotePrefix="1" applyNumberFormat="1" applyFont="1" applyFill="1" applyBorder="1" applyAlignment="1">
      <alignment horizontal="right"/>
    </xf>
    <xf numFmtId="0" fontId="9" fillId="0" borderId="21" xfId="0" applyFont="1" applyBorder="1" applyAlignment="1">
      <alignment horizontal="right" vertical="center"/>
    </xf>
    <xf numFmtId="0" fontId="5" fillId="0" borderId="0" xfId="0" applyFont="1" applyAlignment="1">
      <alignment horizontal="right" vertical="center" wrapText="1"/>
    </xf>
    <xf numFmtId="164" fontId="9" fillId="0" borderId="3" xfId="0" applyNumberFormat="1" applyFont="1" applyBorder="1" applyAlignment="1">
      <alignment horizontal="right" vertical="center"/>
    </xf>
    <xf numFmtId="0" fontId="9" fillId="0" borderId="3" xfId="5" applyFont="1" applyBorder="1" applyAlignment="1">
      <alignment horizontal="left" vertical="center"/>
    </xf>
    <xf numFmtId="170" fontId="5" fillId="0" borderId="1" xfId="6" applyNumberFormat="1" applyBorder="1"/>
    <xf numFmtId="0" fontId="14" fillId="0" borderId="1" xfId="5" applyFont="1" applyBorder="1" applyAlignment="1">
      <alignment horizontal="left" vertical="center" wrapText="1"/>
    </xf>
    <xf numFmtId="0" fontId="9" fillId="0" borderId="3" xfId="5" applyFont="1" applyBorder="1" applyAlignment="1">
      <alignment horizontal="left" vertical="center" wrapText="1"/>
    </xf>
    <xf numFmtId="49" fontId="9" fillId="0" borderId="1" xfId="5" applyNumberFormat="1" applyFont="1" applyBorder="1" applyAlignment="1">
      <alignment horizontal="left" vertical="center" wrapText="1"/>
    </xf>
    <xf numFmtId="41" fontId="0" fillId="0" borderId="1" xfId="0" applyNumberFormat="1" applyBorder="1"/>
    <xf numFmtId="164" fontId="9" fillId="2" borderId="4" xfId="0" applyNumberFormat="1" applyFont="1" applyFill="1" applyBorder="1" applyAlignment="1">
      <alignment horizontal="right" vertical="center"/>
    </xf>
    <xf numFmtId="3" fontId="8" fillId="0" borderId="28" xfId="0" applyNumberFormat="1" applyFont="1" applyBorder="1"/>
    <xf numFmtId="164" fontId="9" fillId="2" borderId="4" xfId="9" applyNumberFormat="1" applyFont="1" applyFill="1" applyBorder="1" applyAlignment="1">
      <alignment horizontal="right" wrapText="1"/>
    </xf>
    <xf numFmtId="164" fontId="9" fillId="2" borderId="0" xfId="9" applyNumberFormat="1" applyFont="1" applyFill="1" applyAlignment="1">
      <alignment horizontal="right" wrapText="1"/>
    </xf>
    <xf numFmtId="0" fontId="9" fillId="2" borderId="18" xfId="0" applyFont="1" applyFill="1" applyBorder="1" applyAlignment="1">
      <alignment horizontal="right" wrapText="1"/>
    </xf>
    <xf numFmtId="0" fontId="9" fillId="2" borderId="2" xfId="0" applyFont="1" applyFill="1" applyBorder="1" applyAlignment="1">
      <alignment horizontal="right" wrapText="1"/>
    </xf>
    <xf numFmtId="0" fontId="9" fillId="2" borderId="17" xfId="0" applyFont="1" applyFill="1" applyBorder="1" applyAlignment="1">
      <alignment horizontal="right" wrapText="1"/>
    </xf>
    <xf numFmtId="0" fontId="9" fillId="2" borderId="17" xfId="0" applyFont="1" applyFill="1" applyBorder="1" applyAlignment="1">
      <alignment horizontal="left"/>
    </xf>
    <xf numFmtId="0" fontId="9" fillId="2" borderId="16" xfId="0" applyFont="1" applyFill="1" applyBorder="1" applyAlignment="1">
      <alignment horizontal="left"/>
    </xf>
    <xf numFmtId="172" fontId="11" fillId="2" borderId="2" xfId="22" applyNumberFormat="1" applyFont="1" applyFill="1" applyBorder="1"/>
    <xf numFmtId="172" fontId="11" fillId="2" borderId="17" xfId="22" applyNumberFormat="1" applyFont="1" applyFill="1" applyBorder="1"/>
    <xf numFmtId="172" fontId="11" fillId="2" borderId="0" xfId="22" applyNumberFormat="1" applyFont="1" applyFill="1" applyBorder="1"/>
    <xf numFmtId="172" fontId="11" fillId="2" borderId="16" xfId="22" applyNumberFormat="1" applyFont="1" applyFill="1" applyBorder="1"/>
    <xf numFmtId="0" fontId="19" fillId="2" borderId="20" xfId="0" applyFont="1" applyFill="1" applyBorder="1" applyAlignment="1">
      <alignment horizontal="right" wrapText="1"/>
    </xf>
    <xf numFmtId="0" fontId="25" fillId="0" borderId="1" xfId="0" applyFont="1" applyBorder="1" applyAlignment="1">
      <alignment horizontal="right" wrapText="1"/>
    </xf>
    <xf numFmtId="0" fontId="25" fillId="6" borderId="30" xfId="0" applyFont="1" applyFill="1" applyBorder="1"/>
    <xf numFmtId="0" fontId="25" fillId="6" borderId="0" xfId="0" applyFont="1" applyFill="1"/>
    <xf numFmtId="164" fontId="9" fillId="0" borderId="0" xfId="13" applyNumberFormat="1" applyFont="1" applyAlignment="1">
      <alignment horizontal="left"/>
    </xf>
    <xf numFmtId="0" fontId="25" fillId="0" borderId="1" xfId="0" applyFont="1" applyBorder="1" applyAlignment="1">
      <alignment horizontal="right"/>
    </xf>
    <xf numFmtId="0" fontId="0" fillId="0" borderId="0" xfId="0" applyAlignment="1">
      <alignment horizontal="left" vertical="center" wrapText="1"/>
    </xf>
    <xf numFmtId="0" fontId="10" fillId="0" borderId="1" xfId="0" applyFont="1" applyBorder="1" applyAlignment="1">
      <alignment horizontal="left" wrapText="1"/>
    </xf>
    <xf numFmtId="41" fontId="5" fillId="2" borderId="0" xfId="0" applyNumberFormat="1" applyFont="1" applyFill="1" applyAlignment="1">
      <alignment horizontal="right"/>
    </xf>
    <xf numFmtId="41" fontId="9" fillId="2" borderId="9" xfId="0" applyNumberFormat="1" applyFont="1" applyFill="1" applyBorder="1"/>
    <xf numFmtId="41" fontId="9" fillId="0" borderId="9" xfId="0" applyNumberFormat="1" applyFont="1" applyBorder="1"/>
    <xf numFmtId="41" fontId="5" fillId="0" borderId="3" xfId="0" applyNumberFormat="1" applyFont="1" applyBorder="1" applyAlignment="1">
      <alignment horizontal="right"/>
    </xf>
    <xf numFmtId="41" fontId="5" fillId="2" borderId="3" xfId="0" applyNumberFormat="1" applyFont="1" applyFill="1" applyBorder="1" applyAlignment="1">
      <alignment horizontal="right"/>
    </xf>
    <xf numFmtId="41" fontId="5" fillId="0" borderId="0" xfId="0" applyNumberFormat="1" applyFont="1" applyAlignment="1">
      <alignment horizontal="right"/>
    </xf>
    <xf numFmtId="41" fontId="9" fillId="0" borderId="0" xfId="0" applyNumberFormat="1" applyFont="1"/>
    <xf numFmtId="1" fontId="10" fillId="2" borderId="0" xfId="0" applyNumberFormat="1" applyFont="1" applyFill="1" applyAlignment="1">
      <alignment horizontal="right"/>
    </xf>
    <xf numFmtId="0" fontId="9" fillId="2" borderId="3" xfId="0" applyFont="1" applyFill="1" applyBorder="1" applyAlignment="1">
      <alignment wrapText="1"/>
    </xf>
    <xf numFmtId="176" fontId="33" fillId="0" borderId="0" xfId="0" applyNumberFormat="1" applyFont="1" applyAlignment="1">
      <alignment vertical="center"/>
    </xf>
    <xf numFmtId="0" fontId="9" fillId="2" borderId="0" xfId="0" applyFont="1" applyFill="1" applyAlignment="1">
      <alignment vertical="center" wrapText="1"/>
    </xf>
    <xf numFmtId="0" fontId="0" fillId="0" borderId="19" xfId="0" applyBorder="1"/>
    <xf numFmtId="0" fontId="25" fillId="0" borderId="5" xfId="0" applyFont="1" applyBorder="1"/>
    <xf numFmtId="0" fontId="0" fillId="0" borderId="5" xfId="0" applyBorder="1"/>
    <xf numFmtId="0" fontId="25" fillId="0" borderId="5" xfId="0" applyFont="1" applyBorder="1" applyAlignment="1">
      <alignment wrapText="1"/>
    </xf>
    <xf numFmtId="0" fontId="9" fillId="0" borderId="0" xfId="5" applyFont="1" applyAlignment="1">
      <alignment horizontal="left" wrapText="1"/>
    </xf>
    <xf numFmtId="0" fontId="9" fillId="0" borderId="0" xfId="5" applyFont="1" applyAlignment="1">
      <alignment horizontal="left" vertical="center" wrapText="1"/>
    </xf>
    <xf numFmtId="170" fontId="5" fillId="0" borderId="0" xfId="6" applyNumberFormat="1" applyAlignment="1">
      <alignment horizontal="right"/>
    </xf>
    <xf numFmtId="164" fontId="9" fillId="0" borderId="2" xfId="0" applyNumberFormat="1" applyFont="1" applyBorder="1" applyAlignment="1">
      <alignment horizontal="right" vertical="center"/>
    </xf>
    <xf numFmtId="0" fontId="9" fillId="0" borderId="2" xfId="5" applyFont="1" applyBorder="1" applyAlignment="1">
      <alignment horizontal="left" wrapText="1"/>
    </xf>
    <xf numFmtId="164" fontId="5" fillId="0" borderId="0" xfId="6" applyNumberFormat="1" applyAlignment="1">
      <alignment horizontal="right"/>
    </xf>
    <xf numFmtId="0" fontId="5" fillId="0" borderId="0" xfId="5" applyFont="1" applyAlignment="1">
      <alignment horizontal="left" wrapText="1"/>
    </xf>
    <xf numFmtId="164" fontId="5" fillId="0" borderId="2" xfId="6" applyNumberFormat="1" applyBorder="1" applyAlignment="1">
      <alignment horizontal="right"/>
    </xf>
    <xf numFmtId="169" fontId="5" fillId="0" borderId="0" xfId="5" applyNumberFormat="1" applyFont="1" applyAlignment="1">
      <alignment horizontal="right" wrapText="1"/>
    </xf>
    <xf numFmtId="169" fontId="5" fillId="4" borderId="0" xfId="5" applyNumberFormat="1" applyFont="1" applyFill="1" applyAlignment="1">
      <alignment horizontal="right" wrapText="1"/>
    </xf>
    <xf numFmtId="170" fontId="5" fillId="5" borderId="0" xfId="6" applyNumberFormat="1" applyFill="1" applyAlignment="1">
      <alignment horizontal="right"/>
    </xf>
    <xf numFmtId="0" fontId="51" fillId="0" borderId="0" xfId="0" applyFont="1"/>
    <xf numFmtId="170" fontId="5" fillId="5" borderId="2" xfId="6" applyNumberFormat="1" applyFill="1" applyBorder="1" applyAlignment="1">
      <alignment horizontal="right"/>
    </xf>
    <xf numFmtId="41" fontId="25" fillId="0" borderId="4" xfId="0" applyNumberFormat="1" applyFont="1" applyBorder="1"/>
    <xf numFmtId="0" fontId="9" fillId="2" borderId="16" xfId="0" applyFont="1" applyFill="1" applyBorder="1"/>
    <xf numFmtId="172" fontId="10" fillId="2" borderId="16" xfId="0" applyNumberFormat="1" applyFont="1" applyFill="1" applyBorder="1" applyAlignment="1">
      <alignment horizontal="right"/>
    </xf>
    <xf numFmtId="41" fontId="9" fillId="0" borderId="0" xfId="7" applyNumberFormat="1" applyFont="1" applyAlignment="1">
      <alignment horizontal="left"/>
    </xf>
    <xf numFmtId="41" fontId="9" fillId="0" borderId="0" xfId="7" applyNumberFormat="1" applyFont="1" applyAlignment="1">
      <alignment horizontal="left" wrapText="1"/>
    </xf>
    <xf numFmtId="164" fontId="9" fillId="0" borderId="4" xfId="0" applyNumberFormat="1" applyFont="1" applyBorder="1" applyAlignment="1">
      <alignment vertical="center"/>
    </xf>
    <xf numFmtId="0" fontId="9" fillId="2" borderId="3" xfId="0" applyFont="1" applyFill="1" applyBorder="1" applyAlignment="1">
      <alignment horizontal="left" wrapText="1"/>
    </xf>
    <xf numFmtId="164" fontId="5" fillId="4" borderId="21" xfId="0" applyNumberFormat="1" applyFont="1" applyFill="1" applyBorder="1" applyAlignment="1">
      <alignment horizontal="right"/>
    </xf>
    <xf numFmtId="4" fontId="5" fillId="2" borderId="13" xfId="0" applyNumberFormat="1" applyFont="1" applyFill="1" applyBorder="1"/>
    <xf numFmtId="4" fontId="5" fillId="4" borderId="0" xfId="0" applyNumberFormat="1" applyFont="1" applyFill="1" applyAlignment="1">
      <alignment horizontal="right"/>
    </xf>
    <xf numFmtId="0" fontId="25" fillId="0" borderId="8" xfId="0" applyFont="1" applyBorder="1" applyAlignment="1">
      <alignment wrapText="1"/>
    </xf>
    <xf numFmtId="168" fontId="43" fillId="0" borderId="16" xfId="0" applyNumberFormat="1" applyFont="1" applyBorder="1"/>
    <xf numFmtId="168" fontId="43" fillId="0" borderId="29" xfId="0" applyNumberFormat="1" applyFont="1" applyBorder="1"/>
    <xf numFmtId="0" fontId="25" fillId="0" borderId="19" xfId="0" applyFont="1" applyBorder="1"/>
    <xf numFmtId="0" fontId="25" fillId="0" borderId="15" xfId="0" applyFont="1" applyBorder="1"/>
    <xf numFmtId="168" fontId="43" fillId="0" borderId="0" xfId="0" applyNumberFormat="1" applyFont="1"/>
    <xf numFmtId="168" fontId="43" fillId="4" borderId="0" xfId="0" applyNumberFormat="1" applyFont="1" applyFill="1"/>
    <xf numFmtId="168" fontId="43" fillId="4" borderId="17" xfId="0" applyNumberFormat="1" applyFont="1" applyFill="1" applyBorder="1"/>
    <xf numFmtId="168" fontId="43" fillId="4" borderId="16" xfId="0" applyNumberFormat="1" applyFont="1" applyFill="1" applyBorder="1"/>
    <xf numFmtId="168" fontId="43" fillId="0" borderId="3" xfId="0" applyNumberFormat="1" applyFont="1" applyBorder="1"/>
    <xf numFmtId="0" fontId="33" fillId="0" borderId="0" xfId="3" applyFont="1" applyAlignment="1" applyProtection="1">
      <alignment vertical="center"/>
    </xf>
    <xf numFmtId="173" fontId="11" fillId="2" borderId="0" xfId="0" applyNumberFormat="1" applyFont="1" applyFill="1" applyAlignment="1">
      <alignment horizontal="right"/>
    </xf>
    <xf numFmtId="41" fontId="0" fillId="4" borderId="0" xfId="0" applyNumberFormat="1" applyFill="1"/>
    <xf numFmtId="41" fontId="9" fillId="0" borderId="0" xfId="21" applyNumberFormat="1" applyFont="1" applyFill="1" applyBorder="1" applyAlignment="1">
      <alignment horizontal="right" wrapText="1"/>
    </xf>
    <xf numFmtId="41" fontId="9" fillId="0" borderId="0" xfId="21" applyNumberFormat="1" applyFont="1" applyFill="1" applyBorder="1" applyAlignment="1">
      <alignment horizontal="right" vertical="center" wrapText="1"/>
    </xf>
    <xf numFmtId="41" fontId="9" fillId="0" borderId="0" xfId="22" applyNumberFormat="1" applyFont="1" applyFill="1" applyBorder="1" applyAlignment="1">
      <alignment horizontal="right" vertical="center" wrapText="1"/>
    </xf>
    <xf numFmtId="41" fontId="5" fillId="2" borderId="0" xfId="0" applyNumberFormat="1" applyFont="1" applyFill="1"/>
    <xf numFmtId="41" fontId="5" fillId="2" borderId="17" xfId="0" applyNumberFormat="1" applyFont="1" applyFill="1" applyBorder="1"/>
    <xf numFmtId="41" fontId="0" fillId="3" borderId="21" xfId="0" applyNumberFormat="1" applyFill="1" applyBorder="1"/>
    <xf numFmtId="41" fontId="5" fillId="4" borderId="21" xfId="0" applyNumberFormat="1" applyFont="1" applyFill="1" applyBorder="1"/>
    <xf numFmtId="41" fontId="5" fillId="2" borderId="16" xfId="0" applyNumberFormat="1" applyFont="1" applyFill="1" applyBorder="1"/>
    <xf numFmtId="41" fontId="5" fillId="4" borderId="13" xfId="0" applyNumberFormat="1" applyFont="1" applyFill="1" applyBorder="1"/>
    <xf numFmtId="41" fontId="0" fillId="3" borderId="13" xfId="0" applyNumberFormat="1" applyFill="1" applyBorder="1"/>
    <xf numFmtId="41" fontId="5" fillId="4" borderId="16" xfId="0" applyNumberFormat="1" applyFont="1" applyFill="1" applyBorder="1"/>
    <xf numFmtId="41" fontId="5" fillId="2" borderId="3" xfId="0" applyNumberFormat="1" applyFont="1" applyFill="1" applyBorder="1"/>
    <xf numFmtId="41" fontId="5" fillId="2" borderId="29" xfId="0" applyNumberFormat="1" applyFont="1" applyFill="1" applyBorder="1"/>
    <xf numFmtId="41" fontId="0" fillId="4" borderId="0" xfId="0" applyNumberFormat="1" applyFill="1" applyAlignment="1">
      <alignment horizontal="right"/>
    </xf>
    <xf numFmtId="0" fontId="9" fillId="0" borderId="4" xfId="0" applyFont="1" applyBorder="1" applyAlignment="1">
      <alignment horizontal="left"/>
    </xf>
    <xf numFmtId="166" fontId="9" fillId="0" borderId="4" xfId="21" applyNumberFormat="1" applyFont="1" applyFill="1" applyBorder="1" applyAlignment="1">
      <alignment horizontal="right" wrapText="1"/>
    </xf>
    <xf numFmtId="168" fontId="11" fillId="2" borderId="11" xfId="2" quotePrefix="1" applyNumberFormat="1" applyFont="1" applyFill="1" applyBorder="1" applyAlignment="1">
      <alignment horizontal="right" vertical="center"/>
    </xf>
    <xf numFmtId="0" fontId="25" fillId="0" borderId="16" xfId="0" applyFont="1" applyBorder="1"/>
    <xf numFmtId="0" fontId="14" fillId="0" borderId="29" xfId="0" applyFont="1" applyBorder="1" applyAlignment="1">
      <alignment horizontal="left" vertical="center"/>
    </xf>
    <xf numFmtId="172" fontId="9" fillId="2" borderId="1" xfId="7" applyNumberFormat="1" applyFont="1" applyFill="1" applyBorder="1" applyAlignment="1">
      <alignment horizontal="center" wrapText="1"/>
    </xf>
    <xf numFmtId="172" fontId="43" fillId="0" borderId="0" xfId="0" applyNumberFormat="1" applyFont="1" applyAlignment="1">
      <alignment horizontal="right"/>
    </xf>
    <xf numFmtId="172" fontId="43" fillId="0" borderId="1" xfId="0" applyNumberFormat="1" applyFont="1" applyBorder="1" applyAlignment="1">
      <alignment horizontal="right"/>
    </xf>
    <xf numFmtId="172" fontId="0" fillId="0" borderId="9" xfId="0" applyNumberFormat="1" applyBorder="1" applyAlignment="1">
      <alignment horizontal="right"/>
    </xf>
    <xf numFmtId="172" fontId="5" fillId="0" borderId="0" xfId="0" applyNumberFormat="1" applyFont="1" applyAlignment="1">
      <alignment horizontal="right" vertical="center" wrapText="1"/>
    </xf>
    <xf numFmtId="172" fontId="0" fillId="0" borderId="10" xfId="0" applyNumberFormat="1" applyBorder="1" applyAlignment="1">
      <alignment horizontal="right"/>
    </xf>
    <xf numFmtId="164" fontId="9" fillId="0" borderId="3" xfId="0" applyNumberFormat="1" applyFont="1" applyBorder="1"/>
    <xf numFmtId="164" fontId="9" fillId="0" borderId="0" xfId="5" applyNumberFormat="1" applyFont="1" applyAlignment="1">
      <alignment horizontal="right" wrapText="1"/>
    </xf>
    <xf numFmtId="164" fontId="9" fillId="0" borderId="1" xfId="5" applyNumberFormat="1" applyFont="1" applyBorder="1" applyAlignment="1">
      <alignment horizontal="right" wrapText="1"/>
    </xf>
    <xf numFmtId="164" fontId="9" fillId="0" borderId="0" xfId="21" applyNumberFormat="1" applyFont="1" applyFill="1" applyBorder="1" applyAlignment="1">
      <alignment horizontal="right" wrapText="1"/>
    </xf>
    <xf numFmtId="168" fontId="10" fillId="2" borderId="0" xfId="2" quotePrefix="1" applyNumberFormat="1" applyFont="1" applyFill="1" applyBorder="1" applyAlignment="1">
      <alignment horizontal="right"/>
    </xf>
    <xf numFmtId="164" fontId="9" fillId="2" borderId="0" xfId="9" quotePrefix="1" applyNumberFormat="1" applyFont="1" applyFill="1" applyAlignment="1">
      <alignment horizontal="right" wrapText="1"/>
    </xf>
    <xf numFmtId="164" fontId="9" fillId="2" borderId="4" xfId="7" applyNumberFormat="1" applyFont="1" applyFill="1" applyBorder="1" applyAlignment="1">
      <alignment horizontal="right" vertical="center"/>
    </xf>
    <xf numFmtId="164" fontId="5" fillId="2" borderId="0" xfId="7" applyNumberFormat="1" applyFont="1" applyFill="1" applyAlignment="1">
      <alignment horizontal="right"/>
    </xf>
    <xf numFmtId="164" fontId="9" fillId="2" borderId="0" xfId="1" applyNumberFormat="1" applyFont="1" applyFill="1" applyBorder="1" applyAlignment="1">
      <alignment horizontal="right"/>
    </xf>
    <xf numFmtId="164" fontId="9" fillId="2" borderId="0" xfId="7" applyNumberFormat="1" applyFont="1" applyFill="1" applyAlignment="1">
      <alignment horizontal="right"/>
    </xf>
    <xf numFmtId="164" fontId="5" fillId="2" borderId="2" xfId="0" applyNumberFormat="1" applyFont="1" applyFill="1" applyBorder="1" applyAlignment="1">
      <alignment horizontal="right"/>
    </xf>
    <xf numFmtId="164" fontId="9" fillId="2" borderId="2" xfId="1" applyNumberFormat="1" applyFont="1" applyFill="1" applyBorder="1" applyAlignment="1">
      <alignment horizontal="right" wrapText="1"/>
    </xf>
    <xf numFmtId="164" fontId="5" fillId="2" borderId="0" xfId="0" applyNumberFormat="1" applyFont="1" applyFill="1" applyAlignment="1">
      <alignment horizontal="right"/>
    </xf>
    <xf numFmtId="164" fontId="9" fillId="2" borderId="0" xfId="1" applyNumberFormat="1" applyFont="1" applyFill="1" applyBorder="1" applyAlignment="1">
      <alignment horizontal="right" wrapText="1"/>
    </xf>
    <xf numFmtId="164" fontId="9" fillId="2" borderId="1" xfId="1" applyNumberFormat="1" applyFont="1" applyFill="1" applyBorder="1" applyAlignment="1">
      <alignment horizontal="right" wrapText="1"/>
    </xf>
    <xf numFmtId="164" fontId="9" fillId="2" borderId="0" xfId="7" applyNumberFormat="1" applyFont="1" applyFill="1" applyAlignment="1">
      <alignment horizontal="right" vertical="center"/>
    </xf>
    <xf numFmtId="164" fontId="9" fillId="2" borderId="1" xfId="7" applyNumberFormat="1" applyFont="1" applyFill="1" applyBorder="1" applyAlignment="1">
      <alignment horizontal="right" vertical="center"/>
    </xf>
    <xf numFmtId="164" fontId="5" fillId="2" borderId="0" xfId="7" applyNumberFormat="1" applyFont="1" applyFill="1" applyAlignment="1">
      <alignment horizontal="right" vertical="center"/>
    </xf>
    <xf numFmtId="164" fontId="9" fillId="2" borderId="0" xfId="0" applyNumberFormat="1" applyFont="1" applyFill="1" applyAlignment="1">
      <alignment horizontal="right"/>
    </xf>
    <xf numFmtId="41" fontId="5" fillId="2" borderId="16" xfId="0" applyNumberFormat="1" applyFont="1" applyFill="1" applyBorder="1" applyAlignment="1">
      <alignment horizontal="right"/>
    </xf>
    <xf numFmtId="1" fontId="11" fillId="2" borderId="16" xfId="0" applyNumberFormat="1" applyFont="1" applyFill="1" applyBorder="1" applyAlignment="1">
      <alignment horizontal="right"/>
    </xf>
    <xf numFmtId="41" fontId="9" fillId="2" borderId="13" xfId="0" applyNumberFormat="1" applyFont="1" applyFill="1" applyBorder="1"/>
    <xf numFmtId="41" fontId="9" fillId="2" borderId="24" xfId="0" applyNumberFormat="1" applyFont="1" applyFill="1" applyBorder="1"/>
    <xf numFmtId="164" fontId="25" fillId="0" borderId="0" xfId="0" applyNumberFormat="1" applyFont="1"/>
    <xf numFmtId="0" fontId="14" fillId="2" borderId="0" xfId="0" applyFont="1" applyFill="1" applyAlignment="1">
      <alignment horizontal="left" vertical="center" wrapText="1"/>
    </xf>
    <xf numFmtId="172" fontId="43" fillId="0" borderId="0" xfId="0" applyNumberFormat="1" applyFont="1"/>
    <xf numFmtId="172" fontId="52" fillId="0" borderId="0" xfId="0" applyNumberFormat="1" applyFont="1"/>
    <xf numFmtId="172" fontId="43" fillId="0" borderId="3" xfId="0" applyNumberFormat="1" applyFont="1" applyBorder="1"/>
    <xf numFmtId="172" fontId="52" fillId="0" borderId="3" xfId="0" applyNumberFormat="1" applyFont="1" applyBorder="1"/>
    <xf numFmtId="164" fontId="0" fillId="0" borderId="3" xfId="0" applyNumberFormat="1" applyBorder="1"/>
    <xf numFmtId="173" fontId="11" fillId="0" borderId="0" xfId="0" applyNumberFormat="1" applyFont="1" applyAlignment="1">
      <alignment horizontal="right" vertical="center"/>
    </xf>
    <xf numFmtId="172" fontId="11" fillId="0" borderId="2" xfId="0" applyNumberFormat="1" applyFont="1" applyBorder="1" applyAlignment="1">
      <alignment horizontal="right"/>
    </xf>
    <xf numFmtId="172" fontId="11" fillId="0" borderId="21" xfId="0" applyNumberFormat="1" applyFont="1" applyBorder="1" applyAlignment="1">
      <alignment horizontal="right"/>
    </xf>
    <xf numFmtId="172" fontId="11" fillId="0" borderId="0" xfId="0" applyNumberFormat="1" applyFont="1" applyAlignment="1">
      <alignment horizontal="right"/>
    </xf>
    <xf numFmtId="172" fontId="11" fillId="0" borderId="13" xfId="0" applyNumberFormat="1" applyFont="1" applyBorder="1" applyAlignment="1">
      <alignment horizontal="right"/>
    </xf>
    <xf numFmtId="172" fontId="10" fillId="0" borderId="4" xfId="0" applyNumberFormat="1" applyFont="1" applyBorder="1" applyAlignment="1">
      <alignment horizontal="right"/>
    </xf>
    <xf numFmtId="164" fontId="9" fillId="0" borderId="9" xfId="0" applyNumberFormat="1" applyFont="1" applyBorder="1"/>
    <xf numFmtId="172" fontId="11" fillId="0" borderId="27" xfId="22" applyNumberFormat="1" applyFont="1" applyFill="1" applyBorder="1" applyAlignment="1">
      <alignment horizontal="right"/>
    </xf>
    <xf numFmtId="172" fontId="11" fillId="0" borderId="13" xfId="22" applyNumberFormat="1" applyFont="1" applyFill="1" applyBorder="1" applyAlignment="1">
      <alignment horizontal="right"/>
    </xf>
    <xf numFmtId="172" fontId="10" fillId="0" borderId="23" xfId="22" applyNumberFormat="1" applyFont="1" applyFill="1" applyBorder="1" applyAlignment="1">
      <alignment horizontal="right"/>
    </xf>
    <xf numFmtId="1" fontId="11" fillId="0" borderId="0" xfId="22" quotePrefix="1" applyNumberFormat="1" applyFont="1" applyFill="1" applyBorder="1" applyAlignment="1">
      <alignment horizontal="right"/>
    </xf>
    <xf numFmtId="1" fontId="10" fillId="0" borderId="0" xfId="22" applyNumberFormat="1" applyFont="1" applyFill="1" applyBorder="1"/>
    <xf numFmtId="1" fontId="10" fillId="2" borderId="4" xfId="22" applyNumberFormat="1" applyFont="1" applyFill="1" applyBorder="1" applyAlignment="1">
      <alignment vertical="center"/>
    </xf>
    <xf numFmtId="1" fontId="10" fillId="0" borderId="4" xfId="22" quotePrefix="1" applyNumberFormat="1" applyFont="1" applyFill="1" applyBorder="1" applyAlignment="1">
      <alignment horizontal="right"/>
    </xf>
    <xf numFmtId="1" fontId="10" fillId="0" borderId="4" xfId="22" applyNumberFormat="1" applyFont="1" applyFill="1" applyBorder="1" applyAlignment="1">
      <alignment vertical="center"/>
    </xf>
    <xf numFmtId="0" fontId="10" fillId="2" borderId="0" xfId="0" applyFont="1" applyFill="1" applyAlignment="1">
      <alignment horizontal="left" wrapText="1"/>
    </xf>
    <xf numFmtId="4" fontId="5" fillId="4" borderId="0" xfId="0" applyNumberFormat="1" applyFont="1" applyFill="1"/>
    <xf numFmtId="4" fontId="5" fillId="4" borderId="13" xfId="0" applyNumberFormat="1" applyFont="1" applyFill="1" applyBorder="1"/>
    <xf numFmtId="4" fontId="9" fillId="4" borderId="0" xfId="0" applyNumberFormat="1" applyFont="1" applyFill="1" applyAlignment="1">
      <alignment horizontal="right"/>
    </xf>
    <xf numFmtId="4" fontId="5" fillId="0" borderId="0" xfId="0" applyNumberFormat="1" applyFont="1" applyAlignment="1">
      <alignment horizontal="right"/>
    </xf>
    <xf numFmtId="4" fontId="9" fillId="0" borderId="0" xfId="0" applyNumberFormat="1" applyFont="1" applyAlignment="1">
      <alignment horizontal="right"/>
    </xf>
    <xf numFmtId="172" fontId="13" fillId="0" borderId="10" xfId="0" applyNumberFormat="1" applyFont="1" applyBorder="1"/>
    <xf numFmtId="172" fontId="13" fillId="0" borderId="1" xfId="0" applyNumberFormat="1" applyFont="1" applyBorder="1"/>
    <xf numFmtId="0" fontId="14" fillId="2" borderId="15" xfId="0" applyFont="1" applyFill="1" applyBorder="1" applyAlignment="1">
      <alignment vertical="center"/>
    </xf>
    <xf numFmtId="0" fontId="27" fillId="2" borderId="0" xfId="0" applyFont="1" applyFill="1" applyAlignment="1">
      <alignment horizontal="center" wrapText="1"/>
    </xf>
    <xf numFmtId="0" fontId="27" fillId="2" borderId="10" xfId="0" applyFont="1" applyFill="1" applyBorder="1" applyAlignment="1">
      <alignment horizontal="center" wrapText="1"/>
    </xf>
    <xf numFmtId="0" fontId="25" fillId="0" borderId="29" xfId="0" applyFont="1" applyBorder="1"/>
    <xf numFmtId="0" fontId="25" fillId="0" borderId="3" xfId="0" applyFont="1" applyBorder="1" applyAlignment="1">
      <alignment wrapText="1"/>
    </xf>
    <xf numFmtId="0" fontId="25" fillId="0" borderId="2" xfId="0" applyFont="1" applyBorder="1"/>
    <xf numFmtId="41" fontId="8" fillId="0" borderId="0" xfId="11" applyNumberFormat="1" applyFont="1" applyFill="1" applyAlignment="1">
      <alignment horizontal="left" vertical="center" wrapText="1"/>
    </xf>
    <xf numFmtId="41" fontId="16" fillId="0" borderId="0" xfId="11" applyNumberFormat="1" applyFont="1" applyFill="1" applyAlignment="1">
      <alignment horizontal="right" vertical="center" wrapText="1"/>
    </xf>
    <xf numFmtId="41" fontId="33" fillId="0" borderId="0" xfId="11" applyNumberFormat="1" applyFont="1" applyFill="1" applyAlignment="1">
      <alignment horizontal="right" vertical="center" wrapText="1"/>
    </xf>
    <xf numFmtId="41" fontId="16" fillId="0" borderId="3" xfId="11" applyNumberFormat="1" applyFont="1" applyFill="1" applyBorder="1" applyAlignment="1">
      <alignment horizontal="right" vertical="center" wrapText="1"/>
    </xf>
    <xf numFmtId="0" fontId="33" fillId="2" borderId="0" xfId="0" applyFont="1" applyFill="1" applyAlignment="1">
      <alignment wrapText="1"/>
    </xf>
    <xf numFmtId="0" fontId="3" fillId="2" borderId="0" xfId="3" applyFill="1" applyAlignment="1" applyProtection="1"/>
    <xf numFmtId="0" fontId="38" fillId="2" borderId="0" xfId="0" applyFont="1" applyFill="1" applyAlignment="1">
      <alignment vertical="center"/>
    </xf>
    <xf numFmtId="168" fontId="5" fillId="0" borderId="0" xfId="2" applyNumberFormat="1" applyFont="1" applyFill="1" applyBorder="1" applyAlignment="1">
      <alignment horizontal="right"/>
    </xf>
    <xf numFmtId="41" fontId="9" fillId="0" borderId="0" xfId="2" applyNumberFormat="1" applyFont="1" applyFill="1" applyBorder="1" applyAlignment="1">
      <alignment horizontal="left"/>
    </xf>
    <xf numFmtId="41" fontId="5" fillId="0" borderId="0" xfId="0" applyNumberFormat="1" applyFont="1" applyAlignment="1">
      <alignment horizontal="right" vertical="center"/>
    </xf>
    <xf numFmtId="41" fontId="9" fillId="0" borderId="21" xfId="0" applyNumberFormat="1" applyFont="1" applyBorder="1" applyAlignment="1">
      <alignment horizontal="right" vertical="center"/>
    </xf>
    <xf numFmtId="41" fontId="5" fillId="0" borderId="21" xfId="0" applyNumberFormat="1" applyFont="1" applyBorder="1" applyAlignment="1">
      <alignment horizontal="right" vertical="center"/>
    </xf>
    <xf numFmtId="0" fontId="9" fillId="0" borderId="15" xfId="4" applyFont="1" applyBorder="1" applyAlignment="1">
      <alignment horizontal="center" wrapText="1"/>
    </xf>
    <xf numFmtId="172" fontId="13" fillId="0" borderId="17" xfId="0" applyNumberFormat="1" applyFont="1" applyBorder="1"/>
    <xf numFmtId="172" fontId="13" fillId="0" borderId="16" xfId="0" applyNumberFormat="1" applyFont="1" applyBorder="1"/>
    <xf numFmtId="172" fontId="13" fillId="0" borderId="20" xfId="0" applyNumberFormat="1" applyFont="1" applyBorder="1"/>
    <xf numFmtId="41" fontId="5" fillId="4" borderId="0" xfId="0" applyNumberFormat="1" applyFont="1" applyFill="1"/>
    <xf numFmtId="41" fontId="5" fillId="0" borderId="13" xfId="0" applyNumberFormat="1" applyFont="1" applyBorder="1"/>
    <xf numFmtId="41" fontId="5" fillId="0" borderId="24" xfId="0" applyNumberFormat="1" applyFont="1" applyBorder="1"/>
    <xf numFmtId="41" fontId="9" fillId="2" borderId="21" xfId="0" applyNumberFormat="1" applyFont="1" applyFill="1" applyBorder="1"/>
    <xf numFmtId="0" fontId="16" fillId="0" borderId="0" xfId="0" applyFont="1" applyAlignment="1">
      <alignment horizontal="left" wrapText="1"/>
    </xf>
    <xf numFmtId="172" fontId="13" fillId="0" borderId="0" xfId="0" applyNumberFormat="1" applyFont="1"/>
    <xf numFmtId="0" fontId="10" fillId="0" borderId="8" xfId="4" applyFont="1" applyBorder="1" applyAlignment="1">
      <alignment horizontal="center" wrapText="1"/>
    </xf>
    <xf numFmtId="172" fontId="50" fillId="0" borderId="0" xfId="0" quotePrefix="1" applyNumberFormat="1" applyFont="1" applyAlignment="1">
      <alignment horizontal="right"/>
    </xf>
    <xf numFmtId="41" fontId="0" fillId="4" borderId="16" xfId="0" applyNumberFormat="1" applyFill="1" applyBorder="1"/>
    <xf numFmtId="0" fontId="33" fillId="4" borderId="0" xfId="0" applyFont="1" applyFill="1"/>
    <xf numFmtId="0" fontId="0" fillId="0" borderId="0" xfId="0" applyAlignment="1">
      <alignment vertical="center"/>
    </xf>
    <xf numFmtId="0" fontId="25" fillId="0" borderId="5" xfId="0" applyFont="1" applyBorder="1" applyAlignment="1">
      <alignment horizontal="center" vertical="center"/>
    </xf>
    <xf numFmtId="0" fontId="25" fillId="0" borderId="10" xfId="0" applyFont="1" applyBorder="1" applyAlignment="1">
      <alignment horizontal="right"/>
    </xf>
    <xf numFmtId="0" fontId="25" fillId="0" borderId="20" xfId="0" applyFont="1" applyBorder="1" applyAlignment="1">
      <alignment horizontal="right"/>
    </xf>
    <xf numFmtId="0" fontId="25" fillId="0" borderId="9" xfId="0" applyFont="1" applyBorder="1" applyAlignment="1">
      <alignment horizontal="right"/>
    </xf>
    <xf numFmtId="0" fontId="25" fillId="0" borderId="16" xfId="0" applyFont="1" applyBorder="1" applyAlignment="1">
      <alignment horizontal="right"/>
    </xf>
    <xf numFmtId="41" fontId="25" fillId="0" borderId="9" xfId="0" applyNumberFormat="1" applyFont="1" applyBorder="1" applyAlignment="1">
      <alignment horizontal="right"/>
    </xf>
    <xf numFmtId="41" fontId="0" fillId="0" borderId="1" xfId="0" applyNumberFormat="1" applyBorder="1" applyAlignment="1">
      <alignment horizontal="right"/>
    </xf>
    <xf numFmtId="41" fontId="25" fillId="0" borderId="10" xfId="0" applyNumberFormat="1" applyFont="1" applyBorder="1" applyAlignment="1">
      <alignment horizontal="right"/>
    </xf>
    <xf numFmtId="172" fontId="11" fillId="2" borderId="0" xfId="0" applyNumberFormat="1" applyFont="1" applyFill="1"/>
    <xf numFmtId="172" fontId="10" fillId="2" borderId="2" xfId="0" applyNumberFormat="1" applyFont="1" applyFill="1" applyBorder="1" applyAlignment="1">
      <alignment horizontal="right"/>
    </xf>
    <xf numFmtId="172" fontId="10" fillId="2" borderId="2" xfId="0" applyNumberFormat="1" applyFont="1" applyFill="1" applyBorder="1"/>
    <xf numFmtId="172" fontId="10" fillId="2" borderId="17" xfId="0" applyNumberFormat="1" applyFont="1" applyFill="1" applyBorder="1" applyAlignment="1">
      <alignment horizontal="right"/>
    </xf>
    <xf numFmtId="0" fontId="10" fillId="2" borderId="0" xfId="0" applyFont="1" applyFill="1" applyAlignment="1">
      <alignment horizontal="right" vertical="center" wrapText="1"/>
    </xf>
    <xf numFmtId="0" fontId="25" fillId="0" borderId="5" xfId="0" applyFont="1" applyBorder="1" applyAlignment="1">
      <alignment horizontal="right" wrapText="1"/>
    </xf>
    <xf numFmtId="0" fontId="25" fillId="0" borderId="15" xfId="0" applyFont="1" applyBorder="1" applyAlignment="1">
      <alignment horizontal="right"/>
    </xf>
    <xf numFmtId="0" fontId="25" fillId="0" borderId="13" xfId="0" applyFont="1" applyBorder="1"/>
    <xf numFmtId="0" fontId="25" fillId="0" borderId="14" xfId="0" applyFont="1" applyBorder="1"/>
    <xf numFmtId="41" fontId="25" fillId="0" borderId="16" xfId="0" applyNumberFormat="1" applyFont="1" applyBorder="1" applyAlignment="1">
      <alignment horizontal="right"/>
    </xf>
    <xf numFmtId="41" fontId="25" fillId="0" borderId="20" xfId="0" applyNumberFormat="1" applyFont="1" applyBorder="1" applyAlignment="1">
      <alignment horizontal="right"/>
    </xf>
    <xf numFmtId="0" fontId="9" fillId="0" borderId="2" xfId="0" applyFont="1" applyBorder="1" applyAlignment="1">
      <alignment wrapText="1"/>
    </xf>
    <xf numFmtId="0" fontId="9" fillId="2" borderId="20" xfId="0" applyFont="1" applyFill="1" applyBorder="1"/>
    <xf numFmtId="172" fontId="11" fillId="2" borderId="1" xfId="22" applyNumberFormat="1" applyFont="1" applyFill="1" applyBorder="1"/>
    <xf numFmtId="172" fontId="11" fillId="2" borderId="20" xfId="22" applyNumberFormat="1" applyFont="1" applyFill="1" applyBorder="1"/>
    <xf numFmtId="172" fontId="11" fillId="2" borderId="1" xfId="0" applyNumberFormat="1" applyFont="1" applyFill="1" applyBorder="1"/>
    <xf numFmtId="172" fontId="11" fillId="2" borderId="20" xfId="0" applyNumberFormat="1" applyFont="1" applyFill="1" applyBorder="1"/>
    <xf numFmtId="172" fontId="11" fillId="2" borderId="20" xfId="0" applyNumberFormat="1" applyFont="1" applyFill="1" applyBorder="1" applyAlignment="1">
      <alignment horizontal="right"/>
    </xf>
    <xf numFmtId="172" fontId="10" fillId="2" borderId="1" xfId="0" applyNumberFormat="1" applyFont="1" applyFill="1" applyBorder="1" applyAlignment="1">
      <alignment horizontal="right"/>
    </xf>
    <xf numFmtId="172" fontId="10" fillId="2" borderId="20" xfId="0" applyNumberFormat="1" applyFont="1" applyFill="1" applyBorder="1" applyAlignment="1">
      <alignment horizontal="right"/>
    </xf>
    <xf numFmtId="172" fontId="10" fillId="2" borderId="1" xfId="0" applyNumberFormat="1" applyFont="1" applyFill="1" applyBorder="1"/>
    <xf numFmtId="172" fontId="10" fillId="2" borderId="20" xfId="0" applyNumberFormat="1" applyFont="1" applyFill="1" applyBorder="1"/>
    <xf numFmtId="0" fontId="16" fillId="2" borderId="3" xfId="0" applyFont="1" applyFill="1" applyBorder="1"/>
    <xf numFmtId="0" fontId="9" fillId="2" borderId="3" xfId="0" applyFont="1" applyFill="1" applyBorder="1" applyAlignment="1">
      <alignment horizontal="left" vertical="center"/>
    </xf>
    <xf numFmtId="172" fontId="11" fillId="2" borderId="3" xfId="0" applyNumberFormat="1" applyFont="1" applyFill="1" applyBorder="1" applyAlignment="1">
      <alignment vertical="center"/>
    </xf>
    <xf numFmtId="172" fontId="10" fillId="2" borderId="3" xfId="0" applyNumberFormat="1" applyFont="1" applyFill="1" applyBorder="1" applyAlignment="1">
      <alignment vertical="center"/>
    </xf>
    <xf numFmtId="164" fontId="5" fillId="2" borderId="1" xfId="7" applyNumberFormat="1" applyFont="1" applyFill="1" applyBorder="1" applyAlignment="1">
      <alignment horizontal="right" vertical="center"/>
    </xf>
    <xf numFmtId="164" fontId="0" fillId="0" borderId="0" xfId="0" applyNumberFormat="1" applyAlignment="1">
      <alignment horizontal="right"/>
    </xf>
    <xf numFmtId="164" fontId="25" fillId="0" borderId="4" xfId="0" applyNumberFormat="1" applyFont="1" applyBorder="1"/>
    <xf numFmtId="3" fontId="9" fillId="2" borderId="0" xfId="0" quotePrefix="1" applyNumberFormat="1" applyFont="1" applyFill="1" applyAlignment="1">
      <alignment horizontal="right"/>
    </xf>
    <xf numFmtId="1" fontId="0" fillId="2" borderId="5" xfId="0" applyNumberFormat="1" applyFill="1" applyBorder="1" applyAlignment="1">
      <alignment horizontal="right"/>
    </xf>
    <xf numFmtId="164" fontId="0" fillId="2" borderId="5" xfId="0" applyNumberFormat="1" applyFill="1" applyBorder="1" applyAlignment="1">
      <alignment horizontal="right"/>
    </xf>
    <xf numFmtId="1" fontId="25" fillId="2" borderId="0" xfId="0" applyNumberFormat="1" applyFont="1" applyFill="1" applyAlignment="1">
      <alignment horizontal="right"/>
    </xf>
    <xf numFmtId="0" fontId="16" fillId="2" borderId="0" xfId="0" applyFont="1" applyFill="1" applyAlignment="1">
      <alignment horizontal="left"/>
    </xf>
    <xf numFmtId="3" fontId="5" fillId="2" borderId="2" xfId="0" applyNumberFormat="1" applyFont="1" applyFill="1" applyBorder="1" applyAlignment="1">
      <alignment vertical="center"/>
    </xf>
    <xf numFmtId="168" fontId="11" fillId="2" borderId="3" xfId="22" applyNumberFormat="1" applyFont="1" applyFill="1" applyBorder="1" applyAlignment="1">
      <alignment vertical="center"/>
    </xf>
    <xf numFmtId="0" fontId="0" fillId="2" borderId="2" xfId="0" applyFill="1" applyBorder="1"/>
    <xf numFmtId="0" fontId="0" fillId="2" borderId="3" xfId="0" applyFill="1" applyBorder="1"/>
    <xf numFmtId="4" fontId="5" fillId="2" borderId="24" xfId="0" applyNumberFormat="1" applyFont="1" applyFill="1" applyBorder="1"/>
    <xf numFmtId="4" fontId="5" fillId="2" borderId="29" xfId="0" applyNumberFormat="1" applyFont="1" applyFill="1" applyBorder="1"/>
    <xf numFmtId="4" fontId="5" fillId="2" borderId="3" xfId="0" applyNumberFormat="1" applyFont="1" applyFill="1" applyBorder="1" applyAlignment="1">
      <alignment horizontal="right"/>
    </xf>
    <xf numFmtId="4" fontId="9" fillId="2" borderId="3" xfId="0" applyNumberFormat="1" applyFont="1" applyFill="1" applyBorder="1" applyAlignment="1">
      <alignment horizontal="right"/>
    </xf>
    <xf numFmtId="0" fontId="0" fillId="0" borderId="2" xfId="0" applyBorder="1"/>
    <xf numFmtId="164" fontId="0" fillId="4" borderId="0" xfId="0" applyNumberFormat="1" applyFill="1"/>
    <xf numFmtId="173" fontId="11" fillId="2" borderId="3" xfId="0" applyNumberFormat="1" applyFont="1" applyFill="1" applyBorder="1" applyAlignment="1">
      <alignment horizontal="right"/>
    </xf>
    <xf numFmtId="173" fontId="11" fillId="4" borderId="0" xfId="0" applyNumberFormat="1" applyFont="1" applyFill="1" applyAlignment="1">
      <alignment horizontal="right"/>
    </xf>
    <xf numFmtId="3" fontId="9" fillId="0" borderId="4" xfId="16" applyNumberFormat="1" applyFont="1" applyBorder="1" applyAlignment="1">
      <alignment vertical="center"/>
    </xf>
    <xf numFmtId="172" fontId="11" fillId="0" borderId="4" xfId="0" applyNumberFormat="1" applyFont="1" applyBorder="1" applyAlignment="1">
      <alignment horizontal="right"/>
    </xf>
    <xf numFmtId="172" fontId="11" fillId="0" borderId="23" xfId="0" applyNumberFormat="1" applyFont="1" applyBorder="1" applyAlignment="1">
      <alignment horizontal="right"/>
    </xf>
    <xf numFmtId="0" fontId="25" fillId="0" borderId="5" xfId="0" applyFont="1" applyBorder="1" applyAlignment="1">
      <alignment horizontal="right"/>
    </xf>
    <xf numFmtId="0" fontId="16" fillId="0" borderId="5" xfId="11" applyFont="1" applyFill="1" applyBorder="1" applyAlignment="1">
      <alignment horizontal="right" wrapText="1"/>
    </xf>
    <xf numFmtId="41" fontId="33" fillId="0" borderId="3" xfId="11" applyNumberFormat="1" applyFont="1" applyFill="1" applyBorder="1" applyAlignment="1">
      <alignment horizontal="right" vertical="center" wrapText="1"/>
    </xf>
    <xf numFmtId="0" fontId="16" fillId="0" borderId="3" xfId="18" applyFont="1" applyBorder="1" applyAlignment="1">
      <alignment horizontal="left" vertical="center" wrapText="1"/>
    </xf>
    <xf numFmtId="0" fontId="10" fillId="0" borderId="19" xfId="4" applyFont="1" applyBorder="1" applyAlignment="1">
      <alignment horizontal="center" wrapText="1"/>
    </xf>
    <xf numFmtId="175" fontId="9" fillId="0" borderId="11" xfId="17" applyNumberFormat="1" applyFont="1" applyFill="1" applyBorder="1" applyAlignment="1">
      <alignment horizontal="right"/>
    </xf>
    <xf numFmtId="175" fontId="9" fillId="0" borderId="4" xfId="17" applyNumberFormat="1" applyFont="1" applyFill="1" applyBorder="1" applyAlignment="1">
      <alignment horizontal="right"/>
    </xf>
    <xf numFmtId="175" fontId="11" fillId="0" borderId="9" xfId="17" applyNumberFormat="1" applyFont="1" applyFill="1" applyBorder="1" applyAlignment="1">
      <alignment horizontal="right"/>
    </xf>
    <xf numFmtId="175" fontId="11" fillId="0" borderId="0" xfId="17" applyNumberFormat="1" applyFont="1" applyFill="1" applyBorder="1" applyAlignment="1">
      <alignment horizontal="right"/>
    </xf>
    <xf numFmtId="172" fontId="43" fillId="4" borderId="0" xfId="0" applyNumberFormat="1" applyFont="1" applyFill="1"/>
    <xf numFmtId="164" fontId="25" fillId="0" borderId="3" xfId="0" applyNumberFormat="1" applyFont="1" applyBorder="1"/>
    <xf numFmtId="0" fontId="43" fillId="0" borderId="3" xfId="0" applyFont="1" applyBorder="1"/>
    <xf numFmtId="0" fontId="52" fillId="0" borderId="0" xfId="0" applyFont="1"/>
    <xf numFmtId="0" fontId="52" fillId="0" borderId="3" xfId="0" applyFont="1" applyBorder="1"/>
    <xf numFmtId="164" fontId="25" fillId="4" borderId="0" xfId="0" applyNumberFormat="1" applyFont="1" applyFill="1"/>
    <xf numFmtId="177" fontId="43" fillId="0" borderId="0" xfId="0" applyNumberFormat="1" applyFont="1"/>
    <xf numFmtId="164" fontId="43" fillId="4" borderId="0" xfId="0" applyNumberFormat="1" applyFont="1" applyFill="1"/>
    <xf numFmtId="177" fontId="43" fillId="0" borderId="3" xfId="0" applyNumberFormat="1" applyFont="1" applyBorder="1"/>
    <xf numFmtId="177" fontId="52" fillId="0" borderId="0" xfId="0" applyNumberFormat="1" applyFont="1"/>
    <xf numFmtId="164" fontId="52" fillId="4" borderId="0" xfId="0" applyNumberFormat="1" applyFont="1" applyFill="1"/>
    <xf numFmtId="177" fontId="52" fillId="0" borderId="3" xfId="0" applyNumberFormat="1" applyFont="1" applyBorder="1"/>
    <xf numFmtId="41" fontId="25" fillId="0" borderId="3" xfId="0" applyNumberFormat="1" applyFont="1" applyBorder="1"/>
    <xf numFmtId="0" fontId="43" fillId="0" borderId="0" xfId="0" applyFont="1" applyAlignment="1">
      <alignment horizontal="right"/>
    </xf>
    <xf numFmtId="177" fontId="43" fillId="0" borderId="0" xfId="0" applyNumberFormat="1" applyFont="1" applyAlignment="1">
      <alignment horizontal="right"/>
    </xf>
    <xf numFmtId="0" fontId="52" fillId="0" borderId="0" xfId="0" applyFont="1" applyAlignment="1">
      <alignment horizontal="right"/>
    </xf>
    <xf numFmtId="177" fontId="52" fillId="0" borderId="0" xfId="0" applyNumberFormat="1" applyFont="1" applyAlignment="1">
      <alignment horizontal="right"/>
    </xf>
    <xf numFmtId="173" fontId="10" fillId="0" borderId="4" xfId="0" applyNumberFormat="1" applyFont="1" applyBorder="1" applyAlignment="1">
      <alignment horizontal="right" vertical="center"/>
    </xf>
    <xf numFmtId="173" fontId="10" fillId="0" borderId="31" xfId="0" applyNumberFormat="1" applyFont="1" applyBorder="1" applyAlignment="1">
      <alignment horizontal="right" vertical="center"/>
    </xf>
    <xf numFmtId="172" fontId="25" fillId="0" borderId="12" xfId="0" applyNumberFormat="1" applyFont="1" applyBorder="1" applyAlignment="1">
      <alignment horizontal="right"/>
    </xf>
    <xf numFmtId="172" fontId="9" fillId="0" borderId="4" xfId="0" applyNumberFormat="1" applyFont="1" applyBorder="1" applyAlignment="1">
      <alignment horizontal="right" vertical="center" wrapText="1"/>
    </xf>
    <xf numFmtId="164" fontId="33" fillId="0" borderId="0" xfId="11" applyNumberFormat="1" applyFont="1" applyFill="1" applyAlignment="1">
      <alignment horizontal="right" vertical="center" wrapText="1"/>
    </xf>
    <xf numFmtId="164" fontId="8" fillId="4" borderId="0" xfId="11" applyNumberFormat="1" applyFont="1" applyFill="1" applyAlignment="1">
      <alignment horizontal="left" vertical="center" wrapText="1"/>
    </xf>
    <xf numFmtId="164" fontId="33" fillId="0" borderId="3" xfId="11" applyNumberFormat="1" applyFont="1" applyFill="1" applyBorder="1" applyAlignment="1">
      <alignment horizontal="right" vertical="center" wrapText="1"/>
    </xf>
    <xf numFmtId="0" fontId="16" fillId="0" borderId="15" xfId="11" applyFont="1" applyFill="1" applyBorder="1" applyAlignment="1">
      <alignment horizontal="left" vertical="center" wrapText="1"/>
    </xf>
    <xf numFmtId="0" fontId="16" fillId="0" borderId="19" xfId="11" applyFont="1" applyFill="1" applyBorder="1" applyAlignment="1">
      <alignment horizontal="left" vertical="center" wrapText="1"/>
    </xf>
    <xf numFmtId="164" fontId="8" fillId="4" borderId="17" xfId="11" applyNumberFormat="1" applyFont="1" applyFill="1" applyBorder="1" applyAlignment="1">
      <alignment horizontal="left" vertical="center" wrapText="1"/>
    </xf>
    <xf numFmtId="164" fontId="8" fillId="4" borderId="16" xfId="11" applyNumberFormat="1" applyFont="1" applyFill="1" applyBorder="1" applyAlignment="1">
      <alignment horizontal="left" vertical="center" wrapText="1"/>
    </xf>
    <xf numFmtId="164" fontId="33" fillId="0" borderId="16" xfId="11" applyNumberFormat="1" applyFont="1" applyFill="1" applyBorder="1" applyAlignment="1">
      <alignment horizontal="right" vertical="center" wrapText="1"/>
    </xf>
    <xf numFmtId="164" fontId="33" fillId="0" borderId="29" xfId="11" applyNumberFormat="1" applyFont="1" applyFill="1" applyBorder="1" applyAlignment="1">
      <alignment horizontal="right" vertical="center" wrapText="1"/>
    </xf>
    <xf numFmtId="0" fontId="25" fillId="0" borderId="17" xfId="0" applyFont="1" applyBorder="1"/>
    <xf numFmtId="0" fontId="8" fillId="4" borderId="0" xfId="11" applyFont="1" applyFill="1" applyAlignment="1">
      <alignment horizontal="left" vertical="center" wrapText="1"/>
    </xf>
    <xf numFmtId="168" fontId="37" fillId="0" borderId="16" xfId="11" applyNumberFormat="1" applyFont="1" applyFill="1" applyBorder="1" applyAlignment="1">
      <alignment horizontal="right" vertical="center" wrapText="1"/>
    </xf>
    <xf numFmtId="166" fontId="33" fillId="0" borderId="0" xfId="11" applyNumberFormat="1" applyFont="1" applyFill="1" applyAlignment="1">
      <alignment horizontal="right" vertical="center" wrapText="1"/>
    </xf>
    <xf numFmtId="0" fontId="8" fillId="4" borderId="17" xfId="11" applyFont="1" applyFill="1" applyBorder="1" applyAlignment="1">
      <alignment horizontal="left" vertical="center" wrapText="1"/>
    </xf>
    <xf numFmtId="0" fontId="8" fillId="4" borderId="16" xfId="11" applyFont="1" applyFill="1" applyBorder="1" applyAlignment="1">
      <alignment horizontal="left" vertical="center" wrapText="1"/>
    </xf>
    <xf numFmtId="168" fontId="37" fillId="0" borderId="29" xfId="11" applyNumberFormat="1" applyFont="1" applyFill="1" applyBorder="1" applyAlignment="1">
      <alignment horizontal="right" vertical="center" wrapText="1"/>
    </xf>
    <xf numFmtId="173" fontId="11" fillId="4" borderId="16" xfId="0" applyNumberFormat="1" applyFont="1" applyFill="1" applyBorder="1" applyAlignment="1">
      <alignment horizontal="right"/>
    </xf>
    <xf numFmtId="173" fontId="11" fillId="2" borderId="29" xfId="0" applyNumberFormat="1" applyFont="1" applyFill="1" applyBorder="1" applyAlignment="1">
      <alignment horizontal="right"/>
    </xf>
    <xf numFmtId="41" fontId="0" fillId="2" borderId="0" xfId="0" applyNumberFormat="1" applyFill="1"/>
    <xf numFmtId="41" fontId="0" fillId="2" borderId="3" xfId="0" applyNumberFormat="1" applyFill="1" applyBorder="1"/>
    <xf numFmtId="41" fontId="11" fillId="0" borderId="0" xfId="22" applyNumberFormat="1" applyFont="1" applyFill="1" applyBorder="1"/>
    <xf numFmtId="41" fontId="10" fillId="0" borderId="0" xfId="22" applyNumberFormat="1" applyFont="1" applyFill="1" applyBorder="1"/>
    <xf numFmtId="164" fontId="5" fillId="0" borderId="0" xfId="9" quotePrefix="1" applyNumberFormat="1" applyFont="1" applyAlignment="1">
      <alignment horizontal="right" wrapText="1"/>
    </xf>
    <xf numFmtId="41" fontId="5" fillId="0" borderId="1" xfId="7" applyNumberFormat="1" applyFont="1" applyBorder="1" applyAlignment="1">
      <alignment horizontal="right" vertical="center"/>
    </xf>
    <xf numFmtId="3" fontId="5" fillId="0" borderId="1" xfId="7" applyNumberFormat="1" applyFont="1" applyBorder="1" applyAlignment="1">
      <alignment horizontal="right" vertical="center"/>
    </xf>
    <xf numFmtId="164" fontId="5" fillId="0" borderId="0" xfId="9" applyNumberFormat="1" applyFont="1" applyAlignment="1">
      <alignment horizontal="right" wrapText="1"/>
    </xf>
    <xf numFmtId="3" fontId="5" fillId="0" borderId="2" xfId="0" applyNumberFormat="1" applyFont="1" applyBorder="1" applyAlignment="1">
      <alignment horizontal="right"/>
    </xf>
    <xf numFmtId="3" fontId="5" fillId="0" borderId="0" xfId="7" applyNumberFormat="1" applyFont="1" applyAlignment="1">
      <alignment horizontal="right"/>
    </xf>
    <xf numFmtId="164" fontId="9" fillId="0" borderId="0" xfId="7" applyNumberFormat="1" applyFont="1" applyAlignment="1">
      <alignment horizontal="right" vertical="center"/>
    </xf>
    <xf numFmtId="164" fontId="5" fillId="0" borderId="0" xfId="7" applyNumberFormat="1" applyFont="1" applyAlignment="1">
      <alignment horizontal="right" vertical="center"/>
    </xf>
    <xf numFmtId="164" fontId="5" fillId="0" borderId="2" xfId="9" applyNumberFormat="1" applyFont="1" applyBorder="1" applyAlignment="1">
      <alignment horizontal="right" wrapText="1"/>
    </xf>
    <xf numFmtId="41" fontId="5" fillId="2" borderId="13" xfId="0" applyNumberFormat="1" applyFont="1" applyFill="1" applyBorder="1"/>
    <xf numFmtId="41" fontId="5" fillId="2" borderId="24" xfId="0" applyNumberFormat="1" applyFont="1" applyFill="1" applyBorder="1"/>
    <xf numFmtId="168" fontId="11" fillId="0" borderId="3" xfId="22" applyNumberFormat="1" applyFont="1" applyFill="1" applyBorder="1" applyAlignment="1">
      <alignment vertical="center"/>
    </xf>
    <xf numFmtId="173" fontId="11" fillId="2" borderId="16" xfId="0" applyNumberFormat="1" applyFont="1" applyFill="1" applyBorder="1" applyAlignment="1">
      <alignment horizontal="right"/>
    </xf>
    <xf numFmtId="4" fontId="5" fillId="2" borderId="16" xfId="0" applyNumberFormat="1" applyFont="1" applyFill="1" applyBorder="1"/>
    <xf numFmtId="4" fontId="5" fillId="0" borderId="0" xfId="0" applyNumberFormat="1" applyFont="1"/>
    <xf numFmtId="172" fontId="43" fillId="0" borderId="1" xfId="0" applyNumberFormat="1" applyFont="1" applyBorder="1"/>
    <xf numFmtId="1" fontId="0" fillId="0" borderId="0" xfId="0" applyNumberFormat="1"/>
    <xf numFmtId="3" fontId="5" fillId="0" borderId="0" xfId="16" applyNumberFormat="1"/>
    <xf numFmtId="0" fontId="16" fillId="0" borderId="16" xfId="0" applyFont="1" applyBorder="1"/>
    <xf numFmtId="0" fontId="16" fillId="0" borderId="32" xfId="0" applyFont="1" applyBorder="1"/>
    <xf numFmtId="0" fontId="25" fillId="0" borderId="33" xfId="0" applyFont="1" applyBorder="1"/>
    <xf numFmtId="0" fontId="16" fillId="0" borderId="34" xfId="0" applyFont="1" applyBorder="1"/>
    <xf numFmtId="0" fontId="16" fillId="0" borderId="35" xfId="0" applyFont="1" applyBorder="1"/>
    <xf numFmtId="0" fontId="25" fillId="0" borderId="34" xfId="0" applyFont="1" applyBorder="1"/>
    <xf numFmtId="41" fontId="0" fillId="0" borderId="36" xfId="0" applyNumberFormat="1" applyBorder="1"/>
    <xf numFmtId="41" fontId="25" fillId="0" borderId="16" xfId="0" applyNumberFormat="1" applyFont="1" applyBorder="1"/>
    <xf numFmtId="41" fontId="25" fillId="0" borderId="20" xfId="0" applyNumberFormat="1" applyFont="1" applyBorder="1"/>
    <xf numFmtId="0" fontId="54" fillId="0" borderId="3" xfId="0" applyFont="1" applyBorder="1"/>
    <xf numFmtId="0" fontId="54" fillId="0" borderId="3" xfId="0" applyFont="1" applyBorder="1" applyAlignment="1">
      <alignment horizontal="right"/>
    </xf>
    <xf numFmtId="41" fontId="0" fillId="7" borderId="0" xfId="0" applyNumberFormat="1" applyFill="1"/>
    <xf numFmtId="0" fontId="0" fillId="7" borderId="0" xfId="0" applyFill="1"/>
    <xf numFmtId="174" fontId="9" fillId="7" borderId="4" xfId="0" applyNumberFormat="1" applyFont="1" applyFill="1" applyBorder="1" applyAlignment="1">
      <alignment vertical="center"/>
    </xf>
    <xf numFmtId="3" fontId="9" fillId="7" borderId="0" xfId="0" applyNumberFormat="1" applyFont="1" applyFill="1" applyAlignment="1">
      <alignment horizontal="right"/>
    </xf>
    <xf numFmtId="166" fontId="5" fillId="7" borderId="4" xfId="17" applyNumberFormat="1" applyFont="1" applyFill="1" applyBorder="1" applyAlignment="1">
      <alignment horizontal="right"/>
    </xf>
    <xf numFmtId="0" fontId="9" fillId="8" borderId="4" xfId="0" applyFont="1" applyFill="1" applyBorder="1" applyAlignment="1">
      <alignment horizontal="left" vertical="center" wrapText="1"/>
    </xf>
    <xf numFmtId="0" fontId="55" fillId="0" borderId="1" xfId="0" applyFont="1" applyBorder="1"/>
    <xf numFmtId="0" fontId="54" fillId="0" borderId="0" xfId="0" applyFont="1"/>
    <xf numFmtId="172" fontId="50" fillId="0" borderId="1" xfId="0" quotePrefix="1" applyNumberFormat="1" applyFont="1" applyBorder="1" applyAlignment="1">
      <alignment horizontal="right"/>
    </xf>
    <xf numFmtId="172" fontId="13" fillId="0" borderId="9" xfId="0" applyNumberFormat="1" applyFont="1" applyBorder="1" applyAlignment="1">
      <alignment horizontal="right"/>
    </xf>
    <xf numFmtId="172" fontId="13" fillId="0" borderId="0" xfId="0" applyNumberFormat="1" applyFont="1" applyAlignment="1">
      <alignment horizontal="right"/>
    </xf>
    <xf numFmtId="172" fontId="13" fillId="0" borderId="16" xfId="0" applyNumberFormat="1" applyFont="1" applyBorder="1" applyAlignment="1">
      <alignment horizontal="right"/>
    </xf>
    <xf numFmtId="0" fontId="16" fillId="0" borderId="1" xfId="19" applyFont="1" applyBorder="1"/>
    <xf numFmtId="164" fontId="0" fillId="0" borderId="17" xfId="0" applyNumberFormat="1" applyBorder="1"/>
    <xf numFmtId="164" fontId="0" fillId="0" borderId="16" xfId="0" applyNumberFormat="1" applyBorder="1"/>
    <xf numFmtId="164" fontId="0" fillId="0" borderId="1" xfId="0" applyNumberFormat="1" applyBorder="1"/>
    <xf numFmtId="164" fontId="0" fillId="0" borderId="20" xfId="0" applyNumberFormat="1" applyBorder="1"/>
    <xf numFmtId="169" fontId="5" fillId="0" borderId="2" xfId="17" applyNumberFormat="1" applyFont="1" applyFill="1" applyBorder="1" applyAlignment="1">
      <alignment horizontal="right"/>
    </xf>
    <xf numFmtId="166" fontId="9" fillId="0" borderId="17" xfId="17" applyNumberFormat="1" applyFont="1" applyFill="1" applyBorder="1" applyAlignment="1">
      <alignment horizontal="right"/>
    </xf>
    <xf numFmtId="166" fontId="9" fillId="0" borderId="16" xfId="17" applyNumberFormat="1" applyFont="1" applyFill="1" applyBorder="1" applyAlignment="1">
      <alignment horizontal="right"/>
    </xf>
    <xf numFmtId="166" fontId="9" fillId="0" borderId="16" xfId="17" applyNumberFormat="1" applyFont="1" applyFill="1" applyBorder="1" applyAlignment="1"/>
    <xf numFmtId="166" fontId="9" fillId="0" borderId="20" xfId="17" applyNumberFormat="1" applyFont="1" applyFill="1" applyBorder="1" applyAlignment="1"/>
    <xf numFmtId="0" fontId="16" fillId="0" borderId="0" xfId="18" applyFont="1" applyAlignment="1">
      <alignment horizontal="left" vertical="center" wrapText="1"/>
    </xf>
    <xf numFmtId="41" fontId="5" fillId="0" borderId="0" xfId="0" applyNumberFormat="1" applyFont="1" applyAlignment="1">
      <alignment horizontal="right" vertical="center" wrapText="1"/>
    </xf>
    <xf numFmtId="41" fontId="9" fillId="0" borderId="0" xfId="0" applyNumberFormat="1" applyFont="1" applyAlignment="1">
      <alignment horizontal="right" vertical="center" wrapText="1"/>
    </xf>
    <xf numFmtId="0" fontId="0" fillId="4" borderId="29" xfId="0" applyFill="1" applyBorder="1"/>
    <xf numFmtId="41" fontId="5" fillId="2" borderId="29" xfId="0" applyNumberFormat="1" applyFont="1" applyFill="1" applyBorder="1" applyAlignment="1">
      <alignment horizontal="right"/>
    </xf>
    <xf numFmtId="41" fontId="9" fillId="0" borderId="3" xfId="0" applyNumberFormat="1" applyFont="1" applyBorder="1"/>
    <xf numFmtId="1" fontId="10" fillId="2" borderId="3" xfId="0" applyNumberFormat="1" applyFont="1" applyFill="1" applyBorder="1" applyAlignment="1">
      <alignment horizontal="right"/>
    </xf>
    <xf numFmtId="1" fontId="11" fillId="2" borderId="29" xfId="0" applyNumberFormat="1" applyFont="1" applyFill="1" applyBorder="1" applyAlignment="1">
      <alignment horizontal="right"/>
    </xf>
    <xf numFmtId="41" fontId="0" fillId="0" borderId="16" xfId="0" applyNumberFormat="1" applyBorder="1" applyAlignment="1">
      <alignment horizontal="right"/>
    </xf>
    <xf numFmtId="172" fontId="11" fillId="2" borderId="10" xfId="22" applyNumberFormat="1" applyFont="1" applyFill="1" applyBorder="1"/>
    <xf numFmtId="172" fontId="11" fillId="2" borderId="0" xfId="0" applyNumberFormat="1" applyFont="1" applyFill="1" applyAlignment="1">
      <alignment vertical="center"/>
    </xf>
    <xf numFmtId="172" fontId="10" fillId="2" borderId="0" xfId="0" applyNumberFormat="1" applyFont="1" applyFill="1" applyAlignment="1">
      <alignment vertical="center"/>
    </xf>
    <xf numFmtId="166" fontId="5" fillId="0" borderId="4" xfId="21" applyNumberFormat="1" applyFont="1" applyFill="1" applyBorder="1" applyAlignment="1">
      <alignment vertical="center"/>
    </xf>
    <xf numFmtId="41" fontId="9" fillId="0" borderId="13" xfId="0" applyNumberFormat="1" applyFont="1" applyBorder="1" applyAlignment="1">
      <alignment horizontal="right" vertical="center"/>
    </xf>
    <xf numFmtId="41" fontId="5" fillId="0" borderId="13" xfId="0" applyNumberFormat="1" applyFont="1" applyBorder="1" applyAlignment="1">
      <alignment horizontal="right" vertical="center"/>
    </xf>
    <xf numFmtId="41" fontId="9" fillId="0" borderId="14" xfId="0" applyNumberFormat="1" applyFont="1" applyBorder="1" applyAlignment="1">
      <alignment horizontal="right" vertical="center"/>
    </xf>
    <xf numFmtId="41" fontId="5" fillId="0" borderId="14" xfId="0" applyNumberFormat="1" applyFont="1" applyBorder="1" applyAlignment="1">
      <alignment horizontal="right" vertical="center"/>
    </xf>
    <xf numFmtId="0" fontId="16" fillId="2" borderId="1" xfId="0" applyFont="1" applyFill="1" applyBorder="1"/>
    <xf numFmtId="41" fontId="0" fillId="9" borderId="0" xfId="0" applyNumberFormat="1" applyFill="1" applyAlignment="1">
      <alignment horizontal="right"/>
    </xf>
    <xf numFmtId="41" fontId="0" fillId="9" borderId="0" xfId="0" applyNumberFormat="1" applyFill="1"/>
    <xf numFmtId="0" fontId="0" fillId="4" borderId="3" xfId="0" applyFill="1" applyBorder="1"/>
    <xf numFmtId="41" fontId="5" fillId="2" borderId="12" xfId="0" applyNumberFormat="1" applyFont="1" applyFill="1" applyBorder="1"/>
    <xf numFmtId="41" fontId="5" fillId="2" borderId="9" xfId="0" applyNumberFormat="1" applyFont="1" applyFill="1" applyBorder="1"/>
    <xf numFmtId="41" fontId="0" fillId="0" borderId="37" xfId="0" applyNumberFormat="1" applyBorder="1"/>
    <xf numFmtId="0" fontId="16" fillId="0" borderId="38" xfId="0" applyFont="1" applyBorder="1"/>
    <xf numFmtId="2" fontId="0" fillId="0" borderId="0" xfId="0" applyNumberFormat="1"/>
    <xf numFmtId="41" fontId="9" fillId="0" borderId="4" xfId="0" applyNumberFormat="1" applyFont="1" applyBorder="1" applyAlignment="1">
      <alignment vertical="center"/>
    </xf>
    <xf numFmtId="41" fontId="9" fillId="0" borderId="23" xfId="0" applyNumberFormat="1" applyFont="1" applyBorder="1" applyAlignment="1">
      <alignment vertical="center"/>
    </xf>
    <xf numFmtId="3" fontId="5" fillId="0" borderId="2" xfId="0" applyNumberFormat="1" applyFont="1" applyBorder="1" applyAlignment="1">
      <alignment vertical="center"/>
    </xf>
    <xf numFmtId="41" fontId="56" fillId="0" borderId="1" xfId="21" applyNumberFormat="1" applyFont="1" applyBorder="1" applyAlignment="1">
      <alignment horizontal="right" wrapText="1"/>
    </xf>
    <xf numFmtId="41" fontId="56" fillId="0" borderId="1" xfId="22" applyNumberFormat="1" applyFont="1" applyBorder="1" applyAlignment="1">
      <alignment horizontal="right" vertical="center" wrapText="1"/>
    </xf>
    <xf numFmtId="0" fontId="16" fillId="0" borderId="1" xfId="0" applyFont="1" applyBorder="1" applyAlignment="1">
      <alignment horizontal="left" vertical="center"/>
    </xf>
    <xf numFmtId="41" fontId="57" fillId="0" borderId="1" xfId="0" applyNumberFormat="1" applyFont="1" applyBorder="1" applyAlignment="1">
      <alignment horizontal="right" vertical="center" wrapText="1"/>
    </xf>
    <xf numFmtId="41" fontId="56" fillId="0" borderId="1" xfId="0" applyNumberFormat="1" applyFont="1" applyBorder="1" applyAlignment="1">
      <alignment horizontal="right" vertical="center" wrapText="1"/>
    </xf>
    <xf numFmtId="166" fontId="56" fillId="0" borderId="3" xfId="21" applyNumberFormat="1" applyFont="1" applyBorder="1" applyAlignment="1">
      <alignment horizontal="right" vertical="center" wrapText="1"/>
    </xf>
    <xf numFmtId="166" fontId="56" fillId="0" borderId="0" xfId="21" applyNumberFormat="1" applyFont="1" applyAlignment="1">
      <alignment horizontal="right" vertical="center" wrapText="1"/>
    </xf>
    <xf numFmtId="166" fontId="33" fillId="0" borderId="12" xfId="11" applyNumberFormat="1" applyFont="1" applyFill="1" applyBorder="1" applyAlignment="1">
      <alignment horizontal="right" vertical="center" wrapText="1"/>
    </xf>
    <xf numFmtId="0" fontId="0" fillId="4" borderId="16" xfId="0" applyFill="1" applyBorder="1"/>
    <xf numFmtId="0" fontId="0" fillId="2" borderId="0" xfId="0" quotePrefix="1" applyFill="1" applyAlignment="1">
      <alignment horizontal="left" wrapText="1"/>
    </xf>
    <xf numFmtId="0" fontId="25" fillId="2" borderId="3" xfId="0" applyFont="1" applyFill="1" applyBorder="1"/>
    <xf numFmtId="0" fontId="5" fillId="2" borderId="5" xfId="0" applyFont="1" applyFill="1" applyBorder="1"/>
    <xf numFmtId="0" fontId="16" fillId="0" borderId="0" xfId="19" applyFont="1"/>
    <xf numFmtId="172" fontId="50" fillId="0" borderId="13" xfId="0" quotePrefix="1" applyNumberFormat="1" applyFont="1" applyBorder="1" applyAlignment="1">
      <alignment horizontal="right"/>
    </xf>
    <xf numFmtId="166" fontId="9" fillId="2" borderId="4" xfId="21" applyNumberFormat="1" applyFont="1" applyFill="1" applyBorder="1" applyAlignment="1">
      <alignment horizontal="right" wrapText="1"/>
    </xf>
    <xf numFmtId="166" fontId="9" fillId="10" borderId="0" xfId="21" applyNumberFormat="1" applyFont="1" applyFill="1" applyBorder="1"/>
    <xf numFmtId="166" fontId="5" fillId="2" borderId="0" xfId="21" applyNumberFormat="1" applyFont="1" applyFill="1" applyBorder="1"/>
    <xf numFmtId="41" fontId="0" fillId="2" borderId="1" xfId="0" applyNumberFormat="1" applyFill="1" applyBorder="1"/>
    <xf numFmtId="164" fontId="0" fillId="2" borderId="12" xfId="0" applyNumberFormat="1" applyFill="1" applyBorder="1"/>
    <xf numFmtId="41" fontId="0" fillId="2" borderId="12" xfId="0" applyNumberFormat="1" applyFill="1" applyBorder="1"/>
    <xf numFmtId="0" fontId="25" fillId="2" borderId="1" xfId="0" applyFont="1" applyFill="1" applyBorder="1" applyAlignment="1">
      <alignment horizontal="center" wrapText="1"/>
    </xf>
    <xf numFmtId="164" fontId="0" fillId="2" borderId="0" xfId="0" applyNumberFormat="1" applyFill="1"/>
    <xf numFmtId="164" fontId="0" fillId="2" borderId="0" xfId="0" applyNumberFormat="1" applyFill="1" applyAlignment="1">
      <alignment horizontal="right"/>
    </xf>
    <xf numFmtId="172" fontId="11" fillId="0" borderId="1" xfId="0" applyNumberFormat="1" applyFont="1" applyBorder="1"/>
    <xf numFmtId="172" fontId="11" fillId="0" borderId="20" xfId="0" applyNumberFormat="1" applyFont="1" applyBorder="1"/>
    <xf numFmtId="0" fontId="29" fillId="0" borderId="0" xfId="0" applyFont="1" applyAlignment="1">
      <alignment horizontal="left" vertical="center" wrapText="1"/>
    </xf>
    <xf numFmtId="0" fontId="24" fillId="0" borderId="0" xfId="0" applyFont="1" applyAlignment="1">
      <alignment horizontal="left"/>
    </xf>
    <xf numFmtId="0" fontId="29" fillId="0" borderId="0" xfId="0" applyFont="1" applyAlignment="1">
      <alignment horizontal="left" wrapText="1"/>
    </xf>
    <xf numFmtId="0" fontId="0" fillId="0" borderId="0" xfId="0" applyAlignment="1">
      <alignment horizontal="left" wrapText="1"/>
    </xf>
    <xf numFmtId="0" fontId="42" fillId="0" borderId="0" xfId="0" applyFont="1" applyAlignment="1">
      <alignment horizontal="left" vertical="center" wrapText="1"/>
    </xf>
    <xf numFmtId="0" fontId="8" fillId="2" borderId="0" xfId="0" applyFont="1" applyFill="1" applyAlignment="1">
      <alignment horizontal="left" vertical="center" wrapText="1"/>
    </xf>
    <xf numFmtId="0" fontId="33" fillId="0" borderId="0" xfId="0" applyFont="1" applyAlignment="1" applyProtection="1">
      <alignment horizontal="left" wrapText="1"/>
      <protection locked="0"/>
    </xf>
    <xf numFmtId="0" fontId="33" fillId="2" borderId="0" xfId="0" applyFont="1" applyFill="1" applyAlignment="1">
      <alignment horizontal="left" wrapText="1"/>
    </xf>
    <xf numFmtId="0" fontId="25" fillId="0" borderId="17" xfId="0" applyFont="1" applyBorder="1" applyAlignment="1">
      <alignment horizontal="center"/>
    </xf>
    <xf numFmtId="0" fontId="25" fillId="0" borderId="20" xfId="0" applyFont="1" applyBorder="1" applyAlignment="1">
      <alignment horizontal="center"/>
    </xf>
    <xf numFmtId="0" fontId="0" fillId="0" borderId="8" xfId="0" applyBorder="1" applyAlignment="1">
      <alignment horizontal="center"/>
    </xf>
    <xf numFmtId="0" fontId="0" fillId="0" borderId="5" xfId="0" applyBorder="1" applyAlignment="1">
      <alignment horizontal="center"/>
    </xf>
    <xf numFmtId="0" fontId="0" fillId="0" borderId="15" xfId="0" applyBorder="1" applyAlignment="1">
      <alignment horizontal="center"/>
    </xf>
    <xf numFmtId="0" fontId="25" fillId="0" borderId="0" xfId="0" applyFont="1" applyAlignment="1">
      <alignment horizontal="center"/>
    </xf>
    <xf numFmtId="0" fontId="33" fillId="0" borderId="0" xfId="0" applyFont="1" applyAlignment="1">
      <alignment horizontal="left" wrapText="1"/>
    </xf>
    <xf numFmtId="0" fontId="8" fillId="0" borderId="0" xfId="0" applyFont="1" applyAlignment="1">
      <alignment horizontal="left" vertical="center" wrapText="1"/>
    </xf>
    <xf numFmtId="0" fontId="0" fillId="0" borderId="0" xfId="0" applyAlignment="1">
      <alignment horizontal="left" vertical="center" wrapText="1"/>
    </xf>
    <xf numFmtId="0" fontId="0" fillId="2" borderId="0" xfId="0" quotePrefix="1" applyFill="1" applyAlignment="1">
      <alignment horizontal="left" wrapText="1"/>
    </xf>
    <xf numFmtId="0" fontId="0" fillId="2" borderId="0" xfId="0" applyFill="1" applyAlignment="1">
      <alignment horizontal="left" vertical="center" wrapText="1"/>
    </xf>
    <xf numFmtId="0" fontId="42" fillId="2" borderId="0" xfId="0" applyFont="1" applyFill="1" applyAlignment="1">
      <alignment horizontal="left" wrapText="1"/>
    </xf>
    <xf numFmtId="0" fontId="8" fillId="2" borderId="0" xfId="0" applyFont="1" applyFill="1" applyAlignment="1">
      <alignment horizontal="left" wrapText="1"/>
    </xf>
    <xf numFmtId="0" fontId="34" fillId="0" borderId="0" xfId="0" applyFont="1" applyAlignment="1">
      <alignment horizontal="left" vertical="center" wrapText="1"/>
    </xf>
    <xf numFmtId="0" fontId="33" fillId="0" borderId="0" xfId="0" applyFont="1" applyAlignment="1">
      <alignment horizontal="left" vertical="center" wrapText="1"/>
    </xf>
    <xf numFmtId="0" fontId="10" fillId="0" borderId="1" xfId="0" applyFont="1" applyBorder="1" applyAlignment="1">
      <alignment horizontal="left" wrapText="1"/>
    </xf>
    <xf numFmtId="0" fontId="10" fillId="0" borderId="0" xfId="0" applyFont="1" applyAlignment="1">
      <alignment horizontal="left" wrapText="1"/>
    </xf>
    <xf numFmtId="0" fontId="9" fillId="0" borderId="19" xfId="0" applyFont="1" applyBorder="1" applyAlignment="1">
      <alignment horizontal="center" vertical="center" wrapText="1"/>
    </xf>
    <xf numFmtId="0" fontId="9" fillId="0" borderId="19" xfId="7" applyFont="1" applyBorder="1" applyAlignment="1">
      <alignment horizontal="center" vertical="center" wrapText="1"/>
    </xf>
    <xf numFmtId="0" fontId="25" fillId="0" borderId="8" xfId="0" applyFont="1" applyBorder="1" applyAlignment="1">
      <alignment horizontal="center" vertical="center"/>
    </xf>
    <xf numFmtId="0" fontId="25" fillId="0" borderId="5" xfId="0" applyFont="1" applyBorder="1" applyAlignment="1">
      <alignment horizontal="center" vertical="center"/>
    </xf>
    <xf numFmtId="0" fontId="25" fillId="0" borderId="8" xfId="0" applyFont="1" applyBorder="1" applyAlignment="1">
      <alignment horizontal="center" vertical="center" wrapText="1"/>
    </xf>
    <xf numFmtId="0" fontId="25" fillId="0" borderId="15" xfId="0" applyFont="1" applyBorder="1" applyAlignment="1">
      <alignment horizontal="center" vertical="center" wrapText="1"/>
    </xf>
    <xf numFmtId="0" fontId="9" fillId="0" borderId="8" xfId="0" applyFont="1" applyBorder="1" applyAlignment="1">
      <alignment horizontal="center" vertical="center" wrapText="1"/>
    </xf>
    <xf numFmtId="0" fontId="9" fillId="0" borderId="15" xfId="0" applyFont="1" applyBorder="1" applyAlignment="1">
      <alignment horizontal="center" vertical="center" wrapText="1"/>
    </xf>
    <xf numFmtId="0" fontId="8" fillId="0" borderId="0" xfId="0" applyFont="1" applyAlignment="1">
      <alignment horizontal="left" vertical="center"/>
    </xf>
    <xf numFmtId="0" fontId="9" fillId="0" borderId="8" xfId="7" applyFont="1" applyBorder="1" applyAlignment="1">
      <alignment horizontal="center" vertical="center" wrapText="1"/>
    </xf>
    <xf numFmtId="0" fontId="9" fillId="0" borderId="15" xfId="7" applyFont="1" applyBorder="1" applyAlignment="1">
      <alignment horizontal="center" vertical="center" wrapText="1"/>
    </xf>
    <xf numFmtId="0" fontId="8" fillId="2" borderId="0" xfId="0" applyFont="1" applyFill="1" applyAlignment="1">
      <alignment horizontal="left" vertical="top" wrapText="1"/>
    </xf>
    <xf numFmtId="0" fontId="8" fillId="2" borderId="0" xfId="8" applyFont="1" applyFill="1" applyAlignment="1">
      <alignment horizontal="left" vertical="top" wrapText="1"/>
    </xf>
    <xf numFmtId="0" fontId="33" fillId="2" borderId="0" xfId="0" applyFont="1" applyFill="1" applyAlignment="1">
      <alignment horizontal="left" vertical="top" wrapText="1"/>
    </xf>
    <xf numFmtId="0" fontId="33" fillId="2" borderId="0" xfId="0" applyFont="1" applyFill="1" applyAlignment="1">
      <alignment horizontal="left" vertical="center" wrapText="1"/>
    </xf>
    <xf numFmtId="0" fontId="0" fillId="0" borderId="0" xfId="0" applyAlignment="1">
      <alignment wrapText="1"/>
    </xf>
    <xf numFmtId="0" fontId="8" fillId="2" borderId="0" xfId="0" applyFont="1" applyFill="1" applyAlignment="1">
      <alignment horizontal="left" vertical="center"/>
    </xf>
    <xf numFmtId="0" fontId="9" fillId="2" borderId="19" xfId="0" applyFont="1" applyFill="1" applyBorder="1" applyAlignment="1">
      <alignment horizontal="center" wrapText="1"/>
    </xf>
    <xf numFmtId="0" fontId="9" fillId="0" borderId="19" xfId="0" applyFont="1" applyBorder="1" applyAlignment="1">
      <alignment horizontal="center" wrapText="1"/>
    </xf>
    <xf numFmtId="0" fontId="0" fillId="2" borderId="0" xfId="0" applyFill="1" applyAlignment="1">
      <alignment horizontal="left" wrapText="1"/>
    </xf>
    <xf numFmtId="0" fontId="33" fillId="10" borderId="0" xfId="0" applyFont="1" applyFill="1" applyAlignment="1">
      <alignment horizontal="left" wrapText="1"/>
    </xf>
    <xf numFmtId="0" fontId="8" fillId="0" borderId="0" xfId="11" applyFont="1" applyFill="1" applyAlignment="1">
      <alignment horizontal="left" vertical="center" wrapText="1"/>
    </xf>
    <xf numFmtId="0" fontId="9" fillId="0" borderId="0" xfId="0" applyFont="1" applyAlignment="1">
      <alignment horizontal="left"/>
    </xf>
    <xf numFmtId="0" fontId="8" fillId="0" borderId="0" xfId="11" applyFont="1" applyFill="1" applyAlignment="1">
      <alignment horizontal="left" wrapText="1"/>
    </xf>
    <xf numFmtId="0" fontId="9" fillId="2" borderId="0" xfId="0" applyFont="1" applyFill="1" applyAlignment="1">
      <alignment horizontal="left"/>
    </xf>
    <xf numFmtId="0" fontId="0" fillId="3" borderId="0" xfId="0" applyFill="1" applyAlignment="1">
      <alignment horizontal="left" wrapText="1"/>
    </xf>
    <xf numFmtId="0" fontId="33" fillId="9" borderId="0" xfId="0" applyFont="1" applyFill="1" applyAlignment="1">
      <alignment horizontal="left" wrapText="1"/>
    </xf>
    <xf numFmtId="0" fontId="8" fillId="0" borderId="0" xfId="0" applyFont="1" applyAlignment="1">
      <alignment horizontal="left" vertical="top" wrapText="1"/>
    </xf>
    <xf numFmtId="0" fontId="16" fillId="0" borderId="0" xfId="11" applyFont="1" applyFill="1" applyAlignment="1">
      <alignment horizontal="center" vertical="center" wrapText="1"/>
    </xf>
    <xf numFmtId="0" fontId="22" fillId="0" borderId="1" xfId="0" applyFont="1" applyBorder="1" applyAlignment="1">
      <alignment horizontal="right" wrapText="1"/>
    </xf>
    <xf numFmtId="0" fontId="16" fillId="0" borderId="0" xfId="18" applyFont="1" applyAlignment="1">
      <alignment horizontal="left" vertical="top" wrapText="1"/>
    </xf>
    <xf numFmtId="0" fontId="9" fillId="0" borderId="1" xfId="0" applyFont="1" applyBorder="1" applyAlignment="1">
      <alignment horizontal="center" wrapText="1"/>
    </xf>
    <xf numFmtId="0" fontId="9" fillId="0" borderId="1" xfId="4" applyFont="1" applyBorder="1" applyAlignment="1">
      <alignment horizontal="right"/>
    </xf>
    <xf numFmtId="0" fontId="9" fillId="0" borderId="1" xfId="0" applyFont="1" applyBorder="1" applyAlignment="1">
      <alignment horizontal="center"/>
    </xf>
    <xf numFmtId="0" fontId="33" fillId="0" borderId="0" xfId="0" applyFont="1" applyAlignment="1">
      <alignment horizontal="left" vertical="top" wrapText="1"/>
    </xf>
    <xf numFmtId="0" fontId="9" fillId="0" borderId="10" xfId="0" applyFont="1" applyBorder="1" applyAlignment="1">
      <alignment horizontal="center"/>
    </xf>
  </cellXfs>
  <cellStyles count="24">
    <cellStyle name="Comma" xfId="1" builtinId="3"/>
    <cellStyle name="Comma 2" xfId="21" xr:uid="{00000000-0005-0000-0000-000001000000}"/>
    <cellStyle name="Comma 2 3" xfId="17" xr:uid="{00000000-0005-0000-0000-000002000000}"/>
    <cellStyle name="Heading 1 2" xfId="11" xr:uid="{00000000-0005-0000-0000-000003000000}"/>
    <cellStyle name="Heading 2 2" xfId="14" xr:uid="{00000000-0005-0000-0000-000004000000}"/>
    <cellStyle name="Hyperlink" xfId="3" builtinId="8"/>
    <cellStyle name="Normal" xfId="0" builtinId="0"/>
    <cellStyle name="Normal 16" xfId="18" xr:uid="{00000000-0005-0000-0000-000007000000}"/>
    <cellStyle name="Normal 2" xfId="20" xr:uid="{00000000-0005-0000-0000-000008000000}"/>
    <cellStyle name="Normal 2 2 3" xfId="4" xr:uid="{00000000-0005-0000-0000-000009000000}"/>
    <cellStyle name="Normal 2_Age" xfId="23" xr:uid="{363C7251-E28F-4BCB-8C68-071998E58FAD}"/>
    <cellStyle name="Normal 3 2" xfId="16" xr:uid="{00000000-0005-0000-0000-00000A000000}"/>
    <cellStyle name="Normal 4" xfId="6" xr:uid="{00000000-0005-0000-0000-00000B000000}"/>
    <cellStyle name="Normal_Attacks Scotland" xfId="13" xr:uid="{00000000-0005-0000-0000-00000C000000}"/>
    <cellStyle name="Normal_Ethnicity" xfId="10" xr:uid="{00000000-0005-0000-0000-00000D000000}"/>
    <cellStyle name="Normal_new attacks" xfId="12" xr:uid="{00000000-0005-0000-0000-00000E000000}"/>
    <cellStyle name="Normal_Sheet1" xfId="5" xr:uid="{00000000-0005-0000-0000-00000F000000}"/>
    <cellStyle name="Normal_Sheet2" xfId="7" xr:uid="{00000000-0005-0000-0000-000010000000}"/>
    <cellStyle name="Normal_Sheet7" xfId="19" xr:uid="{00000000-0005-0000-0000-000011000000}"/>
    <cellStyle name="Normal_Table 2a" xfId="9" xr:uid="{00000000-0005-0000-0000-000012000000}"/>
    <cellStyle name="Per cent" xfId="2" builtinId="5"/>
    <cellStyle name="Percent 2" xfId="15" xr:uid="{00000000-0005-0000-0000-000014000000}"/>
    <cellStyle name="Percent 3" xfId="22" xr:uid="{00000000-0005-0000-0000-000015000000}"/>
    <cellStyle name="Title 2" xfId="8" xr:uid="{00000000-0005-0000-0000-000016000000}"/>
  </cellStyles>
  <dxfs count="274">
    <dxf>
      <font>
        <color rgb="FF9C0006"/>
      </font>
      <fill>
        <patternFill>
          <bgColor rgb="FFFFC7CE"/>
        </patternFill>
      </fil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1" formatCode="0"/>
    </dxf>
    <dxf>
      <numFmt numFmtId="0" formatCode="General"/>
    </dxf>
    <dxf>
      <numFmt numFmtId="1" formatCode="0"/>
    </dxf>
    <dxf>
      <numFmt numFmtId="0" formatCode="General"/>
    </dxf>
    <dxf>
      <numFmt numFmtId="1" formatCode="0"/>
    </dxf>
    <dxf>
      <numFmt numFmtId="0" formatCode="General"/>
    </dxf>
    <dxf>
      <numFmt numFmtId="1" formatCode="0"/>
    </dxf>
    <dxf>
      <numFmt numFmtId="0" formatCode="General"/>
    </dxf>
    <dxf>
      <numFmt numFmtId="1" formatCode="0"/>
    </dxf>
    <dxf>
      <numFmt numFmtId="0" formatCode="General"/>
    </dxf>
    <dxf>
      <numFmt numFmtId="1" formatCode="0"/>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33" formatCode="_-* #,##0_-;\-* #,##0_-;_-* &quot;-&quot;_-;_-@_-"/>
    </dxf>
    <dxf>
      <numFmt numFmtId="33" formatCode="_-* #,##0_-;\-* #,##0_-;_-* &quot;-&quot;_-;_-@_-"/>
      <alignment horizontal="right" vertical="bottom" textRotation="0" wrapText="0" indent="0" justifyLastLine="0" shrinkToFit="0" readingOrder="0"/>
    </dxf>
    <dxf>
      <numFmt numFmtId="33" formatCode="_-* #,##0_-;\-* #,##0_-;_-* &quot;-&quot;_-;_-@_-"/>
    </dxf>
    <dxf>
      <font>
        <b/>
      </font>
      <numFmt numFmtId="33" formatCode="_-* #,##0_-;\-* #,##0_-;_-* &quot;-&quot;_-;_-@_-"/>
    </dxf>
    <dxf>
      <numFmt numFmtId="33" formatCode="_-* #,##0_-;\-* #,##0_-;_-* &quot;-&quot;_-;_-@_-"/>
    </dxf>
    <dxf>
      <numFmt numFmtId="33" formatCode="_-* #,##0_-;\-* #,##0_-;_-* &quot;-&quot;_-;_-@_-"/>
    </dxf>
    <dxf>
      <font>
        <b/>
      </font>
      <fill>
        <patternFill patternType="solid">
          <fgColor indexed="64"/>
          <bgColor theme="0"/>
        </patternFill>
      </fill>
    </dxf>
    <dxf>
      <border outline="0">
        <bottom style="thin">
          <color indexed="64"/>
        </bottom>
      </border>
    </dxf>
    <dxf>
      <border>
        <bottom style="thin">
          <color indexed="64"/>
        </bottom>
      </border>
    </dxf>
    <dxf>
      <font>
        <b/>
      </font>
      <alignment vertical="bottom" textRotation="0" wrapText="1" indent="0" justifyLastLine="0" shrinkToFit="0" readingOrder="0"/>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2" formatCode="0.00"/>
    </dxf>
    <dxf>
      <numFmt numFmtId="2" formatCode="0.00"/>
    </dxf>
    <dxf>
      <numFmt numFmtId="2" formatCode="0.00"/>
    </dxf>
    <dxf>
      <numFmt numFmtId="2" formatCode="0.00"/>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font>
        <b/>
        <i/>
      </font>
      <numFmt numFmtId="172" formatCode="0.0"/>
      <border diagonalUp="0" diagonalDown="0" outline="0">
        <left/>
        <right/>
        <top/>
        <bottom style="thin">
          <color indexed="64"/>
        </bottom>
      </border>
    </dxf>
    <dxf>
      <font>
        <b/>
        <i/>
      </font>
      <numFmt numFmtId="172" formatCode="0.0"/>
      <border diagonalUp="0" diagonalDown="0" outline="0">
        <left/>
        <right/>
        <top/>
        <bottom style="thin">
          <color indexed="64"/>
        </bottom>
      </border>
    </dxf>
    <dxf>
      <font>
        <i/>
      </font>
      <numFmt numFmtId="172" formatCode="0.0"/>
      <border diagonalUp="0" diagonalDown="0" outline="0">
        <left/>
        <right/>
        <top/>
        <bottom style="thin">
          <color indexed="64"/>
        </bottom>
      </border>
    </dxf>
    <dxf>
      <font>
        <i/>
      </font>
      <numFmt numFmtId="172" formatCode="0.0"/>
      <border diagonalUp="0" diagonalDown="0" outline="0">
        <left/>
        <right/>
        <top/>
        <bottom style="thin">
          <color indexed="64"/>
        </bottom>
      </border>
    </dxf>
    <dxf>
      <font>
        <i/>
      </font>
      <numFmt numFmtId="172" formatCode="0.0"/>
      <border diagonalUp="0" diagonalDown="0" outline="0">
        <left/>
        <right/>
        <top/>
        <bottom style="thin">
          <color indexed="64"/>
        </bottom>
      </border>
    </dxf>
    <dxf>
      <font>
        <i/>
      </font>
      <numFmt numFmtId="172" formatCode="0.0"/>
      <border diagonalUp="0" diagonalDown="0" outline="0">
        <left/>
        <right/>
        <top/>
        <bottom style="thin">
          <color indexed="64"/>
        </bottom>
      </border>
    </dxf>
    <dxf>
      <font>
        <i/>
      </font>
      <numFmt numFmtId="172" formatCode="0.0"/>
      <border diagonalUp="0" diagonalDown="0" outline="0">
        <left/>
        <right/>
        <top/>
        <bottom style="thin">
          <color indexed="64"/>
        </bottom>
      </border>
    </dxf>
    <dxf>
      <font>
        <i/>
      </font>
      <numFmt numFmtId="172" formatCode="0.0"/>
      <border diagonalUp="0" diagonalDown="0" outline="0">
        <left/>
        <right/>
        <top/>
        <bottom style="thin">
          <color indexed="64"/>
        </bottom>
      </border>
    </dxf>
    <dxf>
      <font>
        <b/>
      </font>
    </dxf>
    <dxf>
      <border>
        <bottom style="thin">
          <color indexed="64"/>
        </bottom>
      </border>
    </dxf>
    <dxf>
      <font>
        <b/>
      </font>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font>
        <b/>
        <i val="0"/>
        <strike val="0"/>
        <condense val="0"/>
        <extend val="0"/>
        <outline val="0"/>
        <shadow val="0"/>
        <u val="none"/>
        <vertAlign val="baseline"/>
        <sz val="10"/>
        <color auto="1"/>
        <name val="Arial"/>
        <family val="2"/>
        <scheme val="none"/>
      </font>
      <numFmt numFmtId="3" formatCode="#,##0"/>
      <fill>
        <patternFill patternType="none">
          <fgColor indexed="64"/>
          <bgColor indexed="65"/>
        </patternFill>
      </fill>
    </dxf>
    <dxf>
      <font>
        <b/>
        <i val="0"/>
        <strike val="0"/>
        <condense val="0"/>
        <extend val="0"/>
        <outline val="0"/>
        <shadow val="0"/>
        <u val="none"/>
        <vertAlign val="baseline"/>
        <sz val="10"/>
        <color auto="1"/>
        <name val="Arial"/>
        <family val="2"/>
        <scheme val="none"/>
      </font>
      <numFmt numFmtId="164" formatCode="_(* #,##0_);_(* \(#,##0\);_(* &quot;-&quot;_);_(@_)"/>
      <fill>
        <patternFill patternType="solid">
          <fgColor indexed="64"/>
          <bgColor theme="0" tint="-0.14999847407452621"/>
        </patternFill>
      </fill>
      <alignment horizontal="general" vertical="bottom" textRotation="0" wrapText="0" indent="0" justifyLastLine="0" shrinkToFit="0" readingOrder="0"/>
    </dxf>
    <dxf>
      <font>
        <b val="0"/>
        <i val="0"/>
        <strike val="0"/>
        <condense val="0"/>
        <extend val="0"/>
        <outline val="0"/>
        <shadow val="0"/>
        <u val="none"/>
        <vertAlign val="baseline"/>
        <sz val="10"/>
        <color auto="1"/>
        <name val="Arial"/>
        <family val="2"/>
        <scheme val="none"/>
      </font>
      <numFmt numFmtId="1" formatCode="0"/>
      <fill>
        <patternFill patternType="none">
          <fgColor indexed="64"/>
          <bgColor auto="1"/>
        </patternFill>
      </fill>
      <alignment horizontal="general" vertical="bottom" textRotation="0" wrapText="0" indent="0" justifyLastLine="0" shrinkToFit="0" readingOrder="0"/>
    </dxf>
    <dxf>
      <font>
        <b val="0"/>
        <i val="0"/>
        <strike val="0"/>
        <condense val="0"/>
        <extend val="0"/>
        <outline val="0"/>
        <shadow val="0"/>
        <u val="none"/>
        <vertAlign val="baseline"/>
        <sz val="10"/>
        <color auto="1"/>
        <name val="Arial"/>
        <family val="2"/>
        <scheme val="none"/>
      </font>
      <numFmt numFmtId="169" formatCode="_-* #,##0_-;\-* #,##0_-;_-* &quot;- &quot;"/>
      <fill>
        <patternFill patternType="solid">
          <fgColor indexed="64"/>
          <bgColor theme="2"/>
        </patternFill>
      </fill>
      <alignment horizontal="right" vertical="bottom" textRotation="0" wrapText="1" indent="0" justifyLastLine="0" shrinkToFit="0" readingOrder="0"/>
    </dxf>
    <dxf>
      <font>
        <b val="0"/>
        <i val="0"/>
        <strike val="0"/>
        <condense val="0"/>
        <extend val="0"/>
        <outline val="0"/>
        <shadow val="0"/>
        <u val="none"/>
        <vertAlign val="baseline"/>
        <sz val="10"/>
        <color auto="1"/>
        <name val="Arial"/>
        <scheme val="none"/>
      </font>
      <numFmt numFmtId="169" formatCode="_-* #,##0_-;\-* #,##0_-;_-* &quot;- &quot;"/>
      <fill>
        <patternFill patternType="solid">
          <fgColor indexed="64"/>
          <bgColor theme="2"/>
        </patternFill>
      </fill>
      <alignment horizontal="right" vertical="bottom" textRotation="0" wrapText="1" indent="0" justifyLastLine="0" shrinkToFit="0" readingOrder="0"/>
    </dxf>
    <dxf>
      <font>
        <b val="0"/>
        <i val="0"/>
        <strike val="0"/>
        <condense val="0"/>
        <extend val="0"/>
        <outline val="0"/>
        <shadow val="0"/>
        <u val="none"/>
        <vertAlign val="baseline"/>
        <sz val="10"/>
        <color auto="1"/>
        <name val="Arial"/>
        <scheme val="none"/>
      </font>
      <numFmt numFmtId="169" formatCode="_-* #,##0_-;\-* #,##0_-;_-* &quot;- &quot;"/>
      <fill>
        <patternFill patternType="solid">
          <fgColor indexed="64"/>
          <bgColor theme="2"/>
        </patternFill>
      </fill>
      <alignment horizontal="right" vertical="bottom" textRotation="0" wrapText="1" indent="0" justifyLastLine="0" shrinkToFit="0" readingOrder="0"/>
    </dxf>
    <dxf>
      <font>
        <b val="0"/>
        <i val="0"/>
        <strike val="0"/>
        <condense val="0"/>
        <extend val="0"/>
        <outline val="0"/>
        <shadow val="0"/>
        <u val="none"/>
        <vertAlign val="baseline"/>
        <sz val="10"/>
        <color auto="1"/>
        <name val="Arial"/>
        <scheme val="none"/>
      </font>
      <numFmt numFmtId="164" formatCode="_(* #,##0_);_(* \(#,##0\);_(* &quot;-&quot;_);_(@_)"/>
      <fill>
        <patternFill patternType="none">
          <fgColor indexed="64"/>
          <bgColor indexed="65"/>
        </patternFill>
      </fill>
      <alignment horizontal="general" vertical="bottom" textRotation="0" wrapText="0" indent="0" justifyLastLine="0" shrinkToFit="0" readingOrder="0"/>
    </dxf>
    <dxf>
      <font>
        <b/>
        <i val="0"/>
        <strike val="0"/>
        <condense val="0"/>
        <extend val="0"/>
        <outline val="0"/>
        <shadow val="0"/>
        <u val="none"/>
        <vertAlign val="baseline"/>
        <sz val="10"/>
        <color auto="1"/>
        <name val="Arial"/>
        <scheme val="none"/>
      </font>
      <numFmt numFmtId="0" formatCode="General"/>
      <fill>
        <patternFill patternType="none">
          <fgColor indexed="64"/>
          <bgColor indexed="65"/>
        </patternFill>
      </fill>
      <alignment horizontal="left" vertical="bottom" textRotation="0" wrapText="0" indent="0" justifyLastLine="0" shrinkToFit="0" readingOrder="0"/>
    </dxf>
    <dxf>
      <font>
        <b val="0"/>
        <i val="0"/>
        <strike val="0"/>
        <condense val="0"/>
        <extend val="0"/>
        <outline val="0"/>
        <shadow val="0"/>
        <u val="none"/>
        <vertAlign val="baseline"/>
        <sz val="10"/>
        <color auto="1"/>
        <name val="Arial"/>
        <scheme val="none"/>
      </font>
      <numFmt numFmtId="0" formatCode="General"/>
      <fill>
        <patternFill patternType="none">
          <fgColor indexed="64"/>
          <bgColor indexed="65"/>
        </patternFill>
      </fill>
      <alignment horizontal="left" vertical="bottom" textRotation="0" wrapText="0" indent="0" justifyLastLine="0" shrinkToFit="0" readingOrder="0"/>
    </dxf>
    <dxf>
      <font>
        <b/>
        <i val="0"/>
        <strike val="0"/>
        <condense val="0"/>
        <extend val="0"/>
        <outline val="0"/>
        <shadow val="0"/>
        <u val="none"/>
        <vertAlign val="baseline"/>
        <sz val="10"/>
        <color auto="1"/>
        <name val="Arial"/>
        <scheme val="none"/>
      </font>
      <fill>
        <patternFill patternType="none">
          <fgColor indexed="64"/>
          <bgColor indexed="65"/>
        </patternFill>
      </fill>
      <alignment horizontal="right" vertical="bottom" textRotation="0" wrapText="1" indent="0" justifyLastLine="0" shrinkToFit="0" readingOrder="0"/>
    </dxf>
    <dxf>
      <font>
        <b/>
        <i val="0"/>
        <strike val="0"/>
        <condense val="0"/>
        <extend val="0"/>
        <outline val="0"/>
        <shadow val="0"/>
        <u val="none"/>
        <vertAlign val="baseline"/>
        <sz val="10"/>
        <color auto="1"/>
        <name val="Arial"/>
        <family val="2"/>
        <scheme val="none"/>
      </font>
      <numFmt numFmtId="3" formatCode="#,##0"/>
      <fill>
        <patternFill patternType="none">
          <fgColor indexed="64"/>
          <bgColor indexed="65"/>
        </patternFill>
      </fill>
    </dxf>
    <dxf>
      <font>
        <b/>
        <i val="0"/>
        <strike val="0"/>
        <condense val="0"/>
        <extend val="0"/>
        <outline val="0"/>
        <shadow val="0"/>
        <u val="none"/>
        <vertAlign val="baseline"/>
        <sz val="10"/>
        <color auto="1"/>
        <name val="Arial"/>
        <family val="2"/>
        <scheme val="none"/>
      </font>
      <numFmt numFmtId="164" formatCode="_(* #,##0_);_(* \(#,##0\);_(* &quot;-&quot;_);_(@_)"/>
      <fill>
        <patternFill patternType="solid">
          <fgColor indexed="64"/>
          <bgColor theme="2"/>
        </patternFill>
      </fill>
      <alignment horizontal="general" vertical="bottom" textRotation="0" wrapText="0" indent="0" justifyLastLine="0" shrinkToFit="0" readingOrder="0"/>
    </dxf>
    <dxf>
      <font>
        <b val="0"/>
        <i val="0"/>
        <strike val="0"/>
        <condense val="0"/>
        <extend val="0"/>
        <outline val="0"/>
        <shadow val="0"/>
        <u val="none"/>
        <vertAlign val="baseline"/>
        <sz val="10"/>
        <color auto="1"/>
        <name val="Arial"/>
        <family val="2"/>
        <scheme val="none"/>
      </font>
      <numFmt numFmtId="164" formatCode="_(* #,##0_);_(* \(#,##0\);_(* &quot;-&quot;_);_(@_)"/>
      <fill>
        <patternFill patternType="solid">
          <fgColor indexed="64"/>
          <bgColor theme="2"/>
        </patternFill>
      </fill>
      <alignment horizontal="general" vertical="center" textRotation="0" wrapText="0" indent="0" justifyLastLine="0" shrinkToFit="0" readingOrder="0"/>
    </dxf>
    <dxf>
      <font>
        <b val="0"/>
        <i val="0"/>
        <strike val="0"/>
        <condense val="0"/>
        <extend val="0"/>
        <outline val="0"/>
        <shadow val="0"/>
        <u val="none"/>
        <vertAlign val="baseline"/>
        <sz val="10"/>
        <color auto="1"/>
        <name val="Arial"/>
        <family val="2"/>
        <scheme val="none"/>
      </font>
      <numFmt numFmtId="169" formatCode="_-* #,##0_-;\-* #,##0_-;_-* &quot;- &quot;"/>
      <fill>
        <patternFill patternType="solid">
          <fgColor indexed="64"/>
          <bgColor theme="2"/>
        </patternFill>
      </fill>
      <alignment horizontal="right" vertical="bottom" textRotation="0" wrapText="1" indent="0" justifyLastLine="0" shrinkToFit="0" readingOrder="0"/>
    </dxf>
    <dxf>
      <font>
        <b val="0"/>
        <i val="0"/>
        <strike val="0"/>
        <condense val="0"/>
        <extend val="0"/>
        <outline val="0"/>
        <shadow val="0"/>
        <u val="none"/>
        <vertAlign val="baseline"/>
        <sz val="10"/>
        <color auto="1"/>
        <name val="Arial"/>
        <family val="2"/>
        <scheme val="none"/>
      </font>
      <numFmt numFmtId="164" formatCode="_(* #,##0_);_(* \(#,##0\);_(* &quot;-&quot;_);_(@_)"/>
      <fill>
        <patternFill patternType="none">
          <fgColor indexed="64"/>
          <bgColor indexed="65"/>
        </patternFill>
      </fill>
      <alignment horizontal="right" vertical="bottom" textRotation="0" wrapText="0" indent="0" justifyLastLine="0" shrinkToFit="0" readingOrder="0"/>
    </dxf>
    <dxf>
      <font>
        <b val="0"/>
        <i val="0"/>
        <strike val="0"/>
        <condense val="0"/>
        <extend val="0"/>
        <outline val="0"/>
        <shadow val="0"/>
        <u val="none"/>
        <vertAlign val="baseline"/>
        <sz val="10"/>
        <color auto="1"/>
        <name val="Arial"/>
        <scheme val="none"/>
      </font>
      <numFmt numFmtId="169" formatCode="_-* #,##0_-;\-* #,##0_-;_-* &quot;- &quot;"/>
      <fill>
        <patternFill patternType="solid">
          <fgColor indexed="64"/>
          <bgColor theme="2"/>
        </patternFill>
      </fill>
      <alignment horizontal="right" vertical="bottom" textRotation="0" wrapText="1" indent="0" justifyLastLine="0" shrinkToFit="0" readingOrder="0"/>
    </dxf>
    <dxf>
      <font>
        <b val="0"/>
        <i val="0"/>
        <strike val="0"/>
        <condense val="0"/>
        <extend val="0"/>
        <outline val="0"/>
        <shadow val="0"/>
        <u val="none"/>
        <vertAlign val="baseline"/>
        <sz val="10"/>
        <color auto="1"/>
        <name val="Arial"/>
        <scheme val="none"/>
      </font>
      <numFmt numFmtId="164" formatCode="_(* #,##0_);_(* \(#,##0\);_(* &quot;-&quot;_);_(@_)"/>
      <fill>
        <patternFill patternType="none">
          <fgColor indexed="64"/>
          <bgColor indexed="65"/>
        </patternFill>
      </fill>
      <alignment horizontal="general" vertical="bottom" textRotation="0" wrapText="0" indent="0" justifyLastLine="0" shrinkToFit="0" readingOrder="0"/>
    </dxf>
    <dxf>
      <font>
        <b/>
        <i val="0"/>
        <strike val="0"/>
        <condense val="0"/>
        <extend val="0"/>
        <outline val="0"/>
        <shadow val="0"/>
        <u val="none"/>
        <vertAlign val="baseline"/>
        <sz val="10"/>
        <color auto="1"/>
        <name val="Arial"/>
        <family val="2"/>
        <scheme val="none"/>
      </font>
      <numFmt numFmtId="0" formatCode="General"/>
      <fill>
        <patternFill patternType="none">
          <fgColor indexed="64"/>
          <bgColor indexed="65"/>
        </patternFill>
      </fill>
      <alignment horizontal="left" vertical="center" textRotation="0" wrapText="1" indent="0" justifyLastLine="0" shrinkToFit="0" readingOrder="0"/>
    </dxf>
    <dxf>
      <font>
        <b val="0"/>
        <i val="0"/>
        <strike val="0"/>
        <condense val="0"/>
        <extend val="0"/>
        <outline val="0"/>
        <shadow val="0"/>
        <u val="none"/>
        <vertAlign val="baseline"/>
        <sz val="10"/>
        <color auto="1"/>
        <name val="Arial"/>
        <family val="2"/>
        <scheme val="none"/>
      </font>
      <fill>
        <patternFill patternType="none">
          <fgColor indexed="64"/>
          <bgColor indexed="65"/>
        </patternFill>
      </fill>
      <alignment horizontal="left" vertical="center" textRotation="0" wrapText="1" indent="0" justifyLastLine="0" shrinkToFit="0" readingOrder="0"/>
    </dxf>
    <dxf>
      <font>
        <b/>
        <i val="0"/>
        <strike val="0"/>
        <condense val="0"/>
        <extend val="0"/>
        <outline val="0"/>
        <shadow val="0"/>
        <u val="none"/>
        <vertAlign val="baseline"/>
        <sz val="10"/>
        <color auto="1"/>
        <name val="Arial"/>
        <scheme val="none"/>
      </font>
      <fill>
        <patternFill patternType="none">
          <fgColor indexed="64"/>
          <bgColor indexed="65"/>
        </patternFill>
      </fill>
      <alignment horizontal="right" vertical="bottom" textRotation="0" wrapText="1" indent="0" justifyLastLine="0" shrinkToFit="0" readingOrder="0"/>
    </dxf>
    <dxf>
      <font>
        <b/>
        <i val="0"/>
        <strike val="0"/>
        <condense val="0"/>
        <extend val="0"/>
        <outline val="0"/>
        <shadow val="0"/>
        <u val="none"/>
        <vertAlign val="baseline"/>
        <sz val="10"/>
        <color auto="1"/>
        <name val="Arial"/>
        <family val="2"/>
        <scheme val="none"/>
      </font>
      <numFmt numFmtId="3" formatCode="#,##0"/>
      <fill>
        <patternFill patternType="none">
          <fgColor indexed="64"/>
          <bgColor indexed="65"/>
        </patternFill>
      </fill>
    </dxf>
    <dxf>
      <font>
        <b/>
        <i val="0"/>
        <strike val="0"/>
        <condense val="0"/>
        <extend val="0"/>
        <outline val="0"/>
        <shadow val="0"/>
        <u val="none"/>
        <vertAlign val="baseline"/>
        <sz val="10"/>
        <color auto="1"/>
        <name val="Arial"/>
        <family val="2"/>
        <scheme val="none"/>
      </font>
      <numFmt numFmtId="164" formatCode="_(* #,##0_);_(* \(#,##0\);_(* &quot;-&quot;_);_(@_)"/>
      <fill>
        <patternFill patternType="none">
          <fgColor indexed="64"/>
          <bgColor indexed="65"/>
        </patternFill>
      </fill>
      <alignment horizontal="general" vertical="bottom" textRotation="0" wrapText="0" indent="0" justifyLastLine="0" shrinkToFit="0" readingOrder="0"/>
    </dxf>
    <dxf>
      <font>
        <b val="0"/>
        <i val="0"/>
        <strike val="0"/>
        <condense val="0"/>
        <extend val="0"/>
        <outline val="0"/>
        <shadow val="0"/>
        <u val="none"/>
        <vertAlign val="baseline"/>
        <sz val="10"/>
        <color auto="1"/>
        <name val="Arial"/>
        <family val="2"/>
        <scheme val="none"/>
      </font>
      <numFmt numFmtId="164" formatCode="_(* #,##0_);_(* \(#,##0\);_(* &quot;-&quot;_);_(@_)"/>
      <fill>
        <patternFill patternType="solid">
          <fgColor indexed="64"/>
          <bgColor theme="2"/>
        </patternFill>
      </fill>
      <alignment horizontal="general" vertical="bottom" textRotation="0" wrapText="0" indent="0" justifyLastLine="0" shrinkToFit="0" readingOrder="0"/>
    </dxf>
    <dxf>
      <font>
        <b val="0"/>
        <i val="0"/>
        <strike val="0"/>
        <condense val="0"/>
        <extend val="0"/>
        <outline val="0"/>
        <shadow val="0"/>
        <u val="none"/>
        <vertAlign val="baseline"/>
        <sz val="10"/>
        <color auto="1"/>
        <name val="Arial"/>
        <family val="2"/>
        <scheme val="none"/>
      </font>
      <numFmt numFmtId="164" formatCode="_(* #,##0_);_(* \(#,##0\);_(* &quot;-&quot;_);_(@_)"/>
      <fill>
        <patternFill patternType="solid">
          <fgColor indexed="64"/>
          <bgColor theme="2"/>
        </patternFill>
      </fill>
      <alignment horizontal="general" vertical="bottom" textRotation="0" wrapText="0" indent="0" justifyLastLine="0" shrinkToFit="0" readingOrder="0"/>
    </dxf>
    <dxf>
      <font>
        <b val="0"/>
        <i val="0"/>
        <strike val="0"/>
        <condense val="0"/>
        <extend val="0"/>
        <outline val="0"/>
        <shadow val="0"/>
        <u val="none"/>
        <vertAlign val="baseline"/>
        <sz val="10"/>
        <color auto="1"/>
        <name val="Arial"/>
        <scheme val="none"/>
      </font>
      <numFmt numFmtId="164" formatCode="_(* #,##0_);_(* \(#,##0\);_(* &quot;-&quot;_);_(@_)"/>
      <fill>
        <patternFill patternType="solid">
          <fgColor indexed="64"/>
          <bgColor theme="2"/>
        </patternFill>
      </fill>
      <alignment horizontal="general" vertical="bottom" textRotation="0" wrapText="0" indent="0" justifyLastLine="0" shrinkToFit="0" readingOrder="0"/>
    </dxf>
    <dxf>
      <font>
        <b val="0"/>
        <i val="0"/>
        <strike val="0"/>
        <condense val="0"/>
        <extend val="0"/>
        <outline val="0"/>
        <shadow val="0"/>
        <u val="none"/>
        <vertAlign val="baseline"/>
        <sz val="10"/>
        <color auto="1"/>
        <name val="Arial"/>
        <scheme val="none"/>
      </font>
      <numFmt numFmtId="164" formatCode="_(* #,##0_);_(* \(#,##0\);_(* &quot;-&quot;_);_(@_)"/>
      <fill>
        <patternFill patternType="none">
          <fgColor indexed="64"/>
          <bgColor indexed="65"/>
        </patternFill>
      </fill>
      <alignment horizontal="general" vertical="bottom" textRotation="0" wrapText="0" indent="0" justifyLastLine="0" shrinkToFit="0" readingOrder="0"/>
    </dxf>
    <dxf>
      <font>
        <b val="0"/>
        <i val="0"/>
        <strike val="0"/>
        <condense val="0"/>
        <extend val="0"/>
        <outline val="0"/>
        <shadow val="0"/>
        <u val="none"/>
        <vertAlign val="baseline"/>
        <sz val="10"/>
        <color auto="1"/>
        <name val="Arial"/>
        <scheme val="none"/>
      </font>
      <numFmt numFmtId="164" formatCode="_(* #,##0_);_(* \(#,##0\);_(* &quot;-&quot;_);_(@_)"/>
      <fill>
        <patternFill patternType="none">
          <fgColor indexed="64"/>
          <bgColor indexed="65"/>
        </patternFill>
      </fill>
      <alignment horizontal="general" vertical="bottom" textRotation="0" wrapText="0" indent="0" justifyLastLine="0" shrinkToFit="0" readingOrder="0"/>
    </dxf>
    <dxf>
      <font>
        <b/>
        <i val="0"/>
        <strike val="0"/>
        <condense val="0"/>
        <extend val="0"/>
        <outline val="0"/>
        <shadow val="0"/>
        <u val="none"/>
        <vertAlign val="baseline"/>
        <sz val="10"/>
        <color auto="1"/>
        <name val="Arial"/>
        <scheme val="none"/>
      </font>
      <numFmt numFmtId="0" formatCode="General"/>
      <fill>
        <patternFill patternType="none">
          <fgColor indexed="64"/>
          <bgColor indexed="65"/>
        </patternFill>
      </fill>
      <alignment horizontal="left" vertical="bottom" textRotation="0" wrapText="0" indent="0" justifyLastLine="0" shrinkToFit="0" readingOrder="0"/>
    </dxf>
    <dxf>
      <font>
        <b val="0"/>
        <i val="0"/>
        <strike val="0"/>
        <condense val="0"/>
        <extend val="0"/>
        <outline val="0"/>
        <shadow val="0"/>
        <u val="none"/>
        <vertAlign val="baseline"/>
        <sz val="10"/>
        <color auto="1"/>
        <name val="Arial"/>
        <scheme val="none"/>
      </font>
      <numFmt numFmtId="0" formatCode="General"/>
      <fill>
        <patternFill patternType="none">
          <fgColor indexed="64"/>
          <bgColor indexed="65"/>
        </patternFill>
      </fill>
      <alignment horizontal="left" vertical="bottom" textRotation="0" wrapText="0" indent="0" justifyLastLine="0" shrinkToFit="0" readingOrder="0"/>
    </dxf>
    <dxf>
      <font>
        <b/>
        <i val="0"/>
        <strike val="0"/>
        <condense val="0"/>
        <extend val="0"/>
        <outline val="0"/>
        <shadow val="0"/>
        <u val="none"/>
        <vertAlign val="baseline"/>
        <sz val="10"/>
        <color auto="1"/>
        <name val="Arial"/>
        <scheme val="none"/>
      </font>
      <fill>
        <patternFill patternType="none">
          <fgColor indexed="64"/>
          <bgColor indexed="65"/>
        </patternFill>
      </fill>
    </dxf>
    <dxf>
      <border outline="0">
        <bottom style="thin">
          <color indexed="64"/>
        </bottom>
      </border>
    </dxf>
    <dxf>
      <font>
        <b/>
        <i val="0"/>
        <strike val="0"/>
        <condense val="0"/>
        <extend val="0"/>
        <outline val="0"/>
        <shadow val="0"/>
        <u val="none"/>
        <vertAlign val="baseline"/>
        <sz val="10"/>
        <color auto="1"/>
        <name val="Arial"/>
        <scheme val="none"/>
      </font>
      <fill>
        <patternFill patternType="none">
          <fgColor indexed="64"/>
          <bgColor indexed="65"/>
        </patternFill>
      </fill>
      <alignment horizontal="right" vertical="bottom" textRotation="0" wrapText="1" indent="0" justifyLastLine="0" shrinkToFit="0" readingOrder="0"/>
    </dxf>
    <dxf>
      <numFmt numFmtId="0" formatCode="General"/>
    </dxf>
    <dxf>
      <numFmt numFmtId="0" formatCode="General"/>
    </dxf>
    <dxf>
      <numFmt numFmtId="0" formatCode="General"/>
    </dxf>
    <dxf>
      <numFmt numFmtId="0" formatCode="General"/>
    </dxf>
    <dxf>
      <numFmt numFmtId="0" formatCode="General"/>
    </dxf>
    <dxf>
      <numFmt numFmtId="0" formatCode="General"/>
    </dxf>
    <dxf>
      <fill>
        <patternFill patternType="solid">
          <fgColor indexed="64"/>
          <bgColor theme="0"/>
        </patternFill>
      </fill>
    </dxf>
    <dxf>
      <fill>
        <patternFill patternType="solid">
          <fgColor indexed="64"/>
          <bgColor theme="0"/>
        </patternFill>
      </fill>
    </dxf>
    <dxf>
      <fill>
        <patternFill patternType="solid">
          <fgColor indexed="64"/>
          <bgColor theme="0"/>
        </patternFill>
      </fill>
    </dxf>
    <dxf>
      <fill>
        <patternFill patternType="solid">
          <fgColor indexed="64"/>
          <bgColor theme="0"/>
        </patternFill>
      </fill>
    </dxf>
    <dxf>
      <fill>
        <patternFill patternType="solid">
          <fgColor indexed="64"/>
          <bgColor theme="0"/>
        </patternFill>
      </fill>
    </dxf>
    <dxf>
      <numFmt numFmtId="0" formatCode="General"/>
      <fill>
        <patternFill patternType="solid">
          <fgColor indexed="64"/>
          <bgColor theme="0"/>
        </patternFill>
      </fill>
    </dxf>
    <dxf>
      <numFmt numFmtId="0" formatCode="General"/>
      <fill>
        <patternFill patternType="solid">
          <fgColor indexed="64"/>
          <bgColor theme="0"/>
        </patternFill>
      </fill>
    </dxf>
    <dxf>
      <font>
        <b/>
      </font>
      <numFmt numFmtId="0" formatCode="General"/>
      <fill>
        <patternFill patternType="solid">
          <fgColor indexed="64"/>
          <bgColor theme="0"/>
        </patternFill>
      </fill>
    </dxf>
    <dxf>
      <fill>
        <patternFill patternType="solid">
          <fgColor indexed="64"/>
          <bgColor theme="0"/>
        </patternFill>
      </fill>
    </dxf>
    <dxf>
      <border>
        <bottom style="thin">
          <color indexed="64"/>
        </bottom>
      </border>
    </dxf>
    <dxf>
      <font>
        <b/>
        <strike val="0"/>
        <outline val="0"/>
        <shadow val="0"/>
        <u val="none"/>
        <vertAlign val="baseline"/>
        <sz val="11"/>
        <color auto="1"/>
        <name val="Calibri"/>
        <family val="2"/>
        <scheme val="minor"/>
      </font>
      <fill>
        <patternFill patternType="solid">
          <fgColor indexed="64"/>
          <bgColor theme="0"/>
        </patternFill>
      </fill>
    </dxf>
    <dxf>
      <numFmt numFmtId="33" formatCode="_-* #,##0_-;\-* #,##0_-;_-* &quot;-&quot;_-;_-@_-"/>
      <fill>
        <patternFill patternType="solid">
          <fgColor indexed="64"/>
          <bgColor theme="0"/>
        </patternFill>
      </fill>
    </dxf>
    <dxf>
      <numFmt numFmtId="33" formatCode="_-* #,##0_-;\-* #,##0_-;_-* &quot;-&quot;_-;_-@_-"/>
      <fill>
        <patternFill patternType="solid">
          <fgColor indexed="64"/>
          <bgColor theme="0"/>
        </patternFill>
      </fill>
    </dxf>
    <dxf>
      <numFmt numFmtId="33" formatCode="_-* #,##0_-;\-* #,##0_-;_-* &quot;-&quot;_-;_-@_-"/>
      <fill>
        <patternFill patternType="solid">
          <fgColor indexed="64"/>
          <bgColor theme="0"/>
        </patternFill>
      </fill>
    </dxf>
    <dxf>
      <numFmt numFmtId="33" formatCode="_-* #,##0_-;\-* #,##0_-;_-* &quot;-&quot;_-;_-@_-"/>
      <fill>
        <patternFill patternType="solid">
          <fgColor indexed="64"/>
          <bgColor theme="0"/>
        </patternFill>
      </fill>
    </dxf>
    <dxf>
      <numFmt numFmtId="33" formatCode="_-* #,##0_-;\-* #,##0_-;_-* &quot;-&quot;_-;_-@_-"/>
      <fill>
        <patternFill patternType="solid">
          <fgColor indexed="64"/>
          <bgColor theme="0"/>
        </patternFill>
      </fill>
    </dxf>
    <dxf>
      <numFmt numFmtId="33" formatCode="_-* #,##0_-;\-* #,##0_-;_-* &quot;-&quot;_-;_-@_-"/>
      <fill>
        <patternFill patternType="solid">
          <fgColor indexed="64"/>
          <bgColor theme="0"/>
        </patternFill>
      </fill>
    </dxf>
    <dxf>
      <numFmt numFmtId="0" formatCode="General"/>
      <fill>
        <patternFill patternType="solid">
          <fgColor indexed="64"/>
          <bgColor theme="0"/>
        </patternFill>
      </fill>
    </dxf>
    <dxf>
      <numFmt numFmtId="0" formatCode="General"/>
      <fill>
        <patternFill patternType="solid">
          <fgColor indexed="64"/>
          <bgColor theme="0"/>
        </patternFill>
      </fill>
    </dxf>
    <dxf>
      <font>
        <b/>
      </font>
      <numFmt numFmtId="0" formatCode="General"/>
      <fill>
        <patternFill patternType="solid">
          <fgColor indexed="64"/>
          <bgColor theme="0"/>
        </patternFill>
      </fill>
    </dxf>
    <dxf>
      <fill>
        <patternFill patternType="solid">
          <fgColor indexed="64"/>
          <bgColor theme="0"/>
        </patternFill>
      </fill>
    </dxf>
    <dxf>
      <border>
        <bottom style="thin">
          <color indexed="64"/>
        </bottom>
      </border>
    </dxf>
    <dxf>
      <font>
        <b/>
        <strike val="0"/>
        <outline val="0"/>
        <shadow val="0"/>
        <u val="none"/>
        <vertAlign val="baseline"/>
        <sz val="11"/>
        <color auto="1"/>
        <name val="Calibri"/>
        <family val="2"/>
        <scheme val="minor"/>
      </font>
      <fill>
        <patternFill patternType="solid">
          <fgColor indexed="64"/>
          <bgColor theme="0"/>
        </patternFill>
      </fill>
    </dxf>
    <dxf>
      <numFmt numFmtId="33" formatCode="_-* #,##0_-;\-* #,##0_-;_-* &quot;-&quot;_-;_-@_-"/>
      <border diagonalUp="0" diagonalDown="0">
        <left/>
        <right/>
        <top/>
        <bottom style="medium">
          <color indexed="64"/>
        </bottom>
        <vertical/>
        <horizontal/>
      </border>
    </dxf>
    <dxf>
      <numFmt numFmtId="33" formatCode="_-* #,##0_-;\-* #,##0_-;_-* &quot;-&quot;_-;_-@_-"/>
      <border diagonalUp="0" diagonalDown="0">
        <left/>
        <right/>
        <top/>
        <bottom style="medium">
          <color indexed="64"/>
        </bottom>
        <vertical/>
        <horizontal/>
      </border>
    </dxf>
    <dxf>
      <numFmt numFmtId="33" formatCode="_-* #,##0_-;\-* #,##0_-;_-* &quot;-&quot;_-;_-@_-"/>
      <border diagonalUp="0" diagonalDown="0">
        <left/>
        <right/>
        <top/>
        <bottom style="medium">
          <color indexed="64"/>
        </bottom>
        <vertical/>
        <horizontal/>
      </border>
    </dxf>
    <dxf>
      <numFmt numFmtId="33" formatCode="_-* #,##0_-;\-* #,##0_-;_-* &quot;-&quot;_-;_-@_-"/>
      <border diagonalUp="0" diagonalDown="0">
        <left/>
        <right/>
        <top/>
        <bottom style="medium">
          <color indexed="64"/>
        </bottom>
        <vertical/>
        <horizontal/>
      </border>
    </dxf>
    <dxf>
      <numFmt numFmtId="33" formatCode="_-* #,##0_-;\-* #,##0_-;_-* &quot;-&quot;_-;_-@_-"/>
      <border diagonalUp="0" diagonalDown="0">
        <left/>
        <right/>
        <top/>
        <bottom style="medium">
          <color indexed="64"/>
        </bottom>
        <vertical/>
        <horizontal/>
      </border>
    </dxf>
    <dxf>
      <numFmt numFmtId="33" formatCode="_-* #,##0_-;\-* #,##0_-;_-* &quot;-&quot;_-;_-@_-"/>
      <border diagonalUp="0" diagonalDown="0">
        <left/>
        <right/>
        <top/>
        <bottom style="medium">
          <color indexed="64"/>
        </bottom>
        <vertical/>
        <horizontal/>
      </border>
    </dxf>
    <dxf>
      <font>
        <b/>
      </font>
      <numFmt numFmtId="0" formatCode="General"/>
      <border diagonalUp="0" diagonalDown="0">
        <left/>
        <right/>
        <top/>
        <bottom style="medium">
          <color indexed="64"/>
        </bottom>
        <vertical/>
        <horizontal/>
      </border>
    </dxf>
    <dxf>
      <border>
        <bottom style="thin">
          <color indexed="64"/>
        </bottom>
      </border>
    </dxf>
    <dxf>
      <font>
        <b/>
      </font>
    </dxf>
    <dxf>
      <font>
        <b/>
      </font>
      <numFmt numFmtId="33" formatCode="_-* #,##0_-;\-* #,##0_-;_-* &quot;-&quot;_-;_-@_-"/>
      <border diagonalUp="0" diagonalDown="0">
        <left/>
        <right/>
        <top/>
        <bottom style="thin">
          <color indexed="64"/>
        </bottom>
        <vertical/>
        <horizontal/>
      </border>
    </dxf>
    <dxf>
      <numFmt numFmtId="33" formatCode="_-* #,##0_-;\-* #,##0_-;_-* &quot;-&quot;_-;_-@_-"/>
      <border diagonalUp="0" diagonalDown="0">
        <left/>
        <right/>
        <top/>
        <bottom style="thin">
          <color indexed="64"/>
        </bottom>
        <vertical/>
        <horizontal/>
      </border>
    </dxf>
    <dxf>
      <numFmt numFmtId="33" formatCode="_-* #,##0_-;\-* #,##0_-;_-* &quot;-&quot;_-;_-@_-"/>
      <border diagonalUp="0" diagonalDown="0">
        <left/>
        <right/>
        <top/>
        <bottom style="thin">
          <color indexed="64"/>
        </bottom>
        <vertical/>
        <horizontal/>
      </border>
    </dxf>
    <dxf>
      <numFmt numFmtId="33" formatCode="_-* #,##0_-;\-* #,##0_-;_-* &quot;-&quot;_-;_-@_-"/>
      <border diagonalUp="0" diagonalDown="0">
        <left/>
        <right/>
        <top/>
        <bottom style="thin">
          <color indexed="64"/>
        </bottom>
        <vertical/>
        <horizontal/>
      </border>
    </dxf>
    <dxf>
      <numFmt numFmtId="33" formatCode="_-* #,##0_-;\-* #,##0_-;_-* &quot;-&quot;_-;_-@_-"/>
      <border diagonalUp="0" diagonalDown="0">
        <left/>
        <right/>
        <top/>
        <bottom style="thin">
          <color indexed="64"/>
        </bottom>
        <vertical/>
        <horizontal/>
      </border>
    </dxf>
    <dxf>
      <numFmt numFmtId="33" formatCode="_-* #,##0_-;\-* #,##0_-;_-* &quot;-&quot;_-;_-@_-"/>
      <border diagonalUp="0" diagonalDown="0">
        <left/>
        <right/>
        <top/>
        <bottom style="thin">
          <color indexed="64"/>
        </bottom>
        <vertical/>
        <horizontal/>
      </border>
    </dxf>
    <dxf>
      <font>
        <b/>
      </font>
      <numFmt numFmtId="0" formatCode="General"/>
      <border diagonalUp="0" diagonalDown="0">
        <left/>
        <right/>
        <top/>
        <bottom style="thin">
          <color indexed="64"/>
        </bottom>
        <vertical/>
        <horizontal/>
      </border>
    </dxf>
    <dxf>
      <border outline="0">
        <bottom style="thin">
          <color indexed="64"/>
        </bottom>
      </border>
    </dxf>
    <dxf>
      <font>
        <b/>
        <i val="0"/>
        <strike val="0"/>
        <condense val="0"/>
        <extend val="0"/>
        <outline val="0"/>
        <shadow val="0"/>
        <u val="none"/>
        <vertAlign val="baseline"/>
        <sz val="11"/>
        <color theme="1"/>
        <name val="Calibri"/>
        <family val="2"/>
        <scheme val="minor"/>
      </font>
      <alignment horizontal="right" vertical="bottom" textRotation="0" wrapText="1" indent="0" justifyLastLine="0" shrinkToFit="0" readingOrder="0"/>
    </dxf>
    <dxf>
      <numFmt numFmtId="0" formatCode="General"/>
    </dxf>
    <dxf>
      <numFmt numFmtId="0" formatCode="General"/>
    </dxf>
    <dxf>
      <numFmt numFmtId="0" formatCode="General"/>
    </dxf>
    <dxf>
      <numFmt numFmtId="0" formatCode="General"/>
    </dxf>
    <dxf>
      <numFmt numFmtId="33" formatCode="_-* #,##0_-;\-* #,##0_-;_-* &quot;-&quot;_-;_-@_-"/>
      <border diagonalUp="0" diagonalDown="0">
        <left/>
        <right/>
        <top/>
        <bottom style="thin">
          <color indexed="64"/>
        </bottom>
        <vertical/>
        <horizontal/>
      </border>
    </dxf>
    <dxf>
      <numFmt numFmtId="33" formatCode="_-* #,##0_-;\-* #,##0_-;_-* &quot;-&quot;_-;_-@_-"/>
      <border diagonalUp="0" diagonalDown="0">
        <left/>
        <right/>
        <top/>
        <bottom style="thin">
          <color indexed="64"/>
        </bottom>
        <vertical/>
        <horizontal/>
      </border>
    </dxf>
    <dxf>
      <numFmt numFmtId="33" formatCode="_-* #,##0_-;\-* #,##0_-;_-* &quot;-&quot;_-;_-@_-"/>
      <border diagonalUp="0" diagonalDown="0">
        <left/>
        <right/>
        <top/>
        <bottom style="thin">
          <color indexed="64"/>
        </bottom>
        <vertical/>
        <horizontal/>
      </border>
    </dxf>
    <dxf>
      <numFmt numFmtId="33" formatCode="_-* #,##0_-;\-* #,##0_-;_-* &quot;-&quot;_-;_-@_-"/>
      <border diagonalUp="0" diagonalDown="0">
        <left/>
        <right/>
        <top/>
        <bottom style="thin">
          <color indexed="64"/>
        </bottom>
        <vertical/>
        <horizontal/>
      </border>
    </dxf>
    <dxf>
      <font>
        <b/>
      </font>
      <numFmt numFmtId="0" formatCode="General"/>
      <border diagonalUp="0" diagonalDown="0">
        <left/>
        <right/>
        <top/>
        <bottom style="thin">
          <color indexed="64"/>
        </bottom>
        <vertical/>
        <horizontal/>
      </border>
    </dxf>
    <dxf>
      <border>
        <bottom style="thin">
          <color indexed="64"/>
        </bottom>
      </border>
    </dxf>
    <dxf>
      <font>
        <b/>
      </font>
    </dxf>
    <dxf>
      <numFmt numFmtId="0" formatCode="General"/>
    </dxf>
    <dxf>
      <fill>
        <patternFill patternType="solid">
          <fgColor indexed="64"/>
          <bgColor theme="0"/>
        </patternFill>
      </fill>
    </dxf>
    <dxf>
      <numFmt numFmtId="0" formatCode="General"/>
      <fill>
        <patternFill patternType="solid">
          <fgColor indexed="64"/>
          <bgColor theme="0"/>
        </patternFill>
      </fill>
    </dxf>
    <dxf>
      <fill>
        <patternFill patternType="solid">
          <fgColor indexed="64"/>
          <bgColor theme="0"/>
        </patternFill>
      </fill>
    </dxf>
    <dxf>
      <fill>
        <patternFill patternType="solid">
          <fgColor indexed="64"/>
          <bgColor theme="0"/>
        </patternFill>
      </fill>
    </dxf>
    <dxf>
      <numFmt numFmtId="0" formatCode="General"/>
      <fill>
        <patternFill patternType="solid">
          <fgColor indexed="64"/>
          <bgColor theme="0"/>
        </patternFill>
      </fill>
    </dxf>
    <dxf>
      <fill>
        <patternFill patternType="solid">
          <fgColor indexed="64"/>
          <bgColor theme="0"/>
        </patternFill>
      </fil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numFmt numFmtId="0" formatCode="General"/>
    </dxf>
    <dxf>
      <font>
        <b/>
      </font>
      <numFmt numFmtId="0" formatCode="General"/>
    </dxf>
    <dxf>
      <border>
        <bottom style="thin">
          <color indexed="64"/>
        </bottom>
      </border>
    </dxf>
    <dxf>
      <font>
        <b/>
      </font>
    </dxf>
  </dxfs>
  <tableStyles count="0" defaultTableStyle="TableStyleMedium2" defaultPivotStyle="PivotStyleLight16"/>
  <colors>
    <mruColors>
      <color rgb="FF86C45C"/>
      <color rgb="FFD06800"/>
      <color rgb="FFEE9F00"/>
      <color rgb="FF74B943"/>
      <color rgb="FF81C1B0"/>
      <color rgb="FF4E7AB0"/>
      <color rgb="FF8486B4"/>
      <color rgb="FF99252E"/>
      <color rgb="FFFFAFF0"/>
      <color rgb="FFCF9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connections" Target="connections.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170" Type="http://schemas.openxmlformats.org/officeDocument/2006/relationships/worksheet" Target="worksheets/sheet170.xml"/><Relationship Id="rId226" Type="http://schemas.openxmlformats.org/officeDocument/2006/relationships/pivotCacheDefinition" Target="pivotCache/pivotCacheDefinition32.xml"/><Relationship Id="rId268" Type="http://schemas.microsoft.com/office/2007/relationships/slicerCache" Target="slicerCaches/slicerCache7.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pivotCacheDefinition" Target="pivotCache/pivotCacheDefinition43.xml"/><Relationship Id="rId279" Type="http://schemas.microsoft.com/office/2007/relationships/slicerCache" Target="slicerCaches/slicerCache18.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microsoft.com/office/2007/relationships/slicerCache" Target="slicerCaches/slicerCache29.xml"/><Relationship Id="rId304" Type="http://schemas.openxmlformats.org/officeDocument/2006/relationships/customXml" Target="../customXml/item2.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pivotCacheDefinition" Target="pivotCache/pivotCacheDefinition12.xml"/><Relationship Id="rId248" Type="http://schemas.openxmlformats.org/officeDocument/2006/relationships/pivotCacheDefinition" Target="pivotCache/pivotCacheDefinition54.xml"/><Relationship Id="rId12" Type="http://schemas.openxmlformats.org/officeDocument/2006/relationships/worksheet" Target="worksheets/sheet12.xml"/><Relationship Id="rId108" Type="http://schemas.openxmlformats.org/officeDocument/2006/relationships/worksheet" Target="worksheets/sheet108.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pivotCacheDefinition" Target="pivotCache/pivotCacheDefinition23.xml"/><Relationship Id="rId259" Type="http://schemas.openxmlformats.org/officeDocument/2006/relationships/pivotCacheDefinition" Target="pivotCache/pivotCacheDefinition65.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microsoft.com/office/2007/relationships/slicerCache" Target="slicerCaches/slicerCache9.xml"/><Relationship Id="rId291" Type="http://schemas.microsoft.com/office/2007/relationships/slicerCache" Target="slicerCaches/slicerCache30.xml"/><Relationship Id="rId305" Type="http://schemas.openxmlformats.org/officeDocument/2006/relationships/customXml" Target="../customXml/item3.xml"/><Relationship Id="rId44" Type="http://schemas.openxmlformats.org/officeDocument/2006/relationships/worksheet" Target="worksheets/sheet44.xml"/><Relationship Id="rId65" Type="http://schemas.openxmlformats.org/officeDocument/2006/relationships/worksheet" Target="worksheets/sheet65.xml"/><Relationship Id="rId86" Type="http://schemas.openxmlformats.org/officeDocument/2006/relationships/worksheet" Target="worksheets/sheet86.xml"/><Relationship Id="rId130" Type="http://schemas.openxmlformats.org/officeDocument/2006/relationships/worksheet" Target="worksheets/sheet130.xml"/><Relationship Id="rId151" Type="http://schemas.openxmlformats.org/officeDocument/2006/relationships/worksheet" Target="worksheets/sheet151.xml"/><Relationship Id="rId172" Type="http://schemas.openxmlformats.org/officeDocument/2006/relationships/worksheet" Target="worksheets/sheet172.xml"/><Relationship Id="rId193" Type="http://schemas.openxmlformats.org/officeDocument/2006/relationships/worksheet" Target="worksheets/sheet193.xml"/><Relationship Id="rId207" Type="http://schemas.openxmlformats.org/officeDocument/2006/relationships/pivotCacheDefinition" Target="pivotCache/pivotCacheDefinition13.xml"/><Relationship Id="rId228" Type="http://schemas.openxmlformats.org/officeDocument/2006/relationships/pivotCacheDefinition" Target="pivotCache/pivotCacheDefinition34.xml"/><Relationship Id="rId249" Type="http://schemas.openxmlformats.org/officeDocument/2006/relationships/pivotCacheDefinition" Target="pivotCache/pivotCacheDefinition55.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pivotCacheDefinition" Target="pivotCache/pivotCacheDefinition66.xml"/><Relationship Id="rId281" Type="http://schemas.microsoft.com/office/2007/relationships/slicerCache" Target="slicerCaches/slicerCache20.xml"/><Relationship Id="rId34" Type="http://schemas.openxmlformats.org/officeDocument/2006/relationships/worksheet" Target="worksheets/sheet34.xml"/><Relationship Id="rId55" Type="http://schemas.openxmlformats.org/officeDocument/2006/relationships/worksheet" Target="worksheets/sheet55.xml"/><Relationship Id="rId76" Type="http://schemas.openxmlformats.org/officeDocument/2006/relationships/worksheet" Target="worksheets/sheet76.xml"/><Relationship Id="rId97" Type="http://schemas.openxmlformats.org/officeDocument/2006/relationships/worksheet" Target="worksheets/sheet97.xml"/><Relationship Id="rId120" Type="http://schemas.openxmlformats.org/officeDocument/2006/relationships/worksheet" Target="worksheets/sheet120.xml"/><Relationship Id="rId141" Type="http://schemas.openxmlformats.org/officeDocument/2006/relationships/worksheet" Target="worksheets/sheet141.xml"/><Relationship Id="rId7" Type="http://schemas.openxmlformats.org/officeDocument/2006/relationships/worksheet" Target="worksheets/sheet7.xml"/><Relationship Id="rId162" Type="http://schemas.openxmlformats.org/officeDocument/2006/relationships/worksheet" Target="worksheets/sheet162.xml"/><Relationship Id="rId183" Type="http://schemas.openxmlformats.org/officeDocument/2006/relationships/worksheet" Target="worksheets/sheet183.xml"/><Relationship Id="rId218" Type="http://schemas.openxmlformats.org/officeDocument/2006/relationships/pivotCacheDefinition" Target="pivotCache/pivotCacheDefinition24.xml"/><Relationship Id="rId239" Type="http://schemas.openxmlformats.org/officeDocument/2006/relationships/pivotCacheDefinition" Target="pivotCache/pivotCacheDefinition45.xml"/><Relationship Id="rId250" Type="http://schemas.openxmlformats.org/officeDocument/2006/relationships/pivotCacheDefinition" Target="pivotCache/pivotCacheDefinition56.xml"/><Relationship Id="rId271" Type="http://schemas.microsoft.com/office/2007/relationships/slicerCache" Target="slicerCaches/slicerCache10.xml"/><Relationship Id="rId292" Type="http://schemas.microsoft.com/office/2007/relationships/slicerCache" Target="slicerCaches/slicerCache31.xml"/><Relationship Id="rId306" Type="http://schemas.openxmlformats.org/officeDocument/2006/relationships/customXml" Target="../customXml/item4.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pivotCacheDefinition" Target="pivotCache/pivotCacheDefinition14.xml"/><Relationship Id="rId229" Type="http://schemas.openxmlformats.org/officeDocument/2006/relationships/pivotCacheDefinition" Target="pivotCache/pivotCacheDefinition35.xml"/><Relationship Id="rId240" Type="http://schemas.openxmlformats.org/officeDocument/2006/relationships/pivotCacheDefinition" Target="pivotCache/pivotCacheDefinition46.xml"/><Relationship Id="rId261" Type="http://schemas.openxmlformats.org/officeDocument/2006/relationships/pivotCacheDefinition" Target="pivotCache/pivotCacheDefinition67.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microsoft.com/office/2007/relationships/slicerCache" Target="slicerCaches/slicerCache21.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pivotCacheDefinition" Target="pivotCache/pivotCacheDefinition25.xml"/><Relationship Id="rId230" Type="http://schemas.openxmlformats.org/officeDocument/2006/relationships/pivotCacheDefinition" Target="pivotCache/pivotCacheDefinition36.xml"/><Relationship Id="rId251" Type="http://schemas.openxmlformats.org/officeDocument/2006/relationships/pivotCacheDefinition" Target="pivotCache/pivotCacheDefinition57.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microsoft.com/office/2007/relationships/slicerCache" Target="slicerCaches/slicerCache11.xml"/><Relationship Id="rId293" Type="http://schemas.microsoft.com/office/2007/relationships/slicerCache" Target="slicerCaches/slicerCache32.xml"/><Relationship Id="rId307" Type="http://schemas.openxmlformats.org/officeDocument/2006/relationships/customXml" Target="../customXml/item5.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pivotCacheDefinition" Target="pivotCache/pivotCacheDefinition1.xml"/><Relationship Id="rId209" Type="http://schemas.openxmlformats.org/officeDocument/2006/relationships/pivotCacheDefinition" Target="pivotCache/pivotCacheDefinition15.xml"/><Relationship Id="rId220" Type="http://schemas.openxmlformats.org/officeDocument/2006/relationships/pivotCacheDefinition" Target="pivotCache/pivotCacheDefinition26.xml"/><Relationship Id="rId241" Type="http://schemas.openxmlformats.org/officeDocument/2006/relationships/pivotCacheDefinition" Target="pivotCache/pivotCacheDefinition47.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microsoft.com/office/2007/relationships/slicerCache" Target="slicerCaches/slicerCache1.xml"/><Relationship Id="rId283" Type="http://schemas.microsoft.com/office/2007/relationships/slicerCache" Target="slicerCaches/slicerCache22.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pivotCacheDefinition" Target="pivotCache/pivotCacheDefinition16.xml"/><Relationship Id="rId26" Type="http://schemas.openxmlformats.org/officeDocument/2006/relationships/worksheet" Target="worksheets/sheet26.xml"/><Relationship Id="rId231" Type="http://schemas.openxmlformats.org/officeDocument/2006/relationships/pivotCacheDefinition" Target="pivotCache/pivotCacheDefinition37.xml"/><Relationship Id="rId252" Type="http://schemas.openxmlformats.org/officeDocument/2006/relationships/pivotCacheDefinition" Target="pivotCache/pivotCacheDefinition58.xml"/><Relationship Id="rId273" Type="http://schemas.microsoft.com/office/2007/relationships/slicerCache" Target="slicerCaches/slicerCache12.xml"/><Relationship Id="rId294" Type="http://schemas.microsoft.com/office/2007/relationships/slicerCache" Target="slicerCaches/slicerCache33.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pivotCacheDefinition" Target="pivotCache/pivotCacheDefinition2.xml"/><Relationship Id="rId200" Type="http://schemas.openxmlformats.org/officeDocument/2006/relationships/pivotCacheDefinition" Target="pivotCache/pivotCacheDefinition6.xml"/><Relationship Id="rId16" Type="http://schemas.openxmlformats.org/officeDocument/2006/relationships/worksheet" Target="worksheets/sheet16.xml"/><Relationship Id="rId221" Type="http://schemas.openxmlformats.org/officeDocument/2006/relationships/pivotCacheDefinition" Target="pivotCache/pivotCacheDefinition27.xml"/><Relationship Id="rId242" Type="http://schemas.openxmlformats.org/officeDocument/2006/relationships/pivotCacheDefinition" Target="pivotCache/pivotCacheDefinition48.xml"/><Relationship Id="rId263" Type="http://schemas.microsoft.com/office/2007/relationships/slicerCache" Target="slicerCaches/slicerCache2.xml"/><Relationship Id="rId284" Type="http://schemas.microsoft.com/office/2007/relationships/slicerCache" Target="slicerCaches/slicerCache23.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pivotCacheDefinition" Target="pivotCache/pivotCacheDefinition17.xml"/><Relationship Id="rId232" Type="http://schemas.openxmlformats.org/officeDocument/2006/relationships/pivotCacheDefinition" Target="pivotCache/pivotCacheDefinition38.xml"/><Relationship Id="rId253" Type="http://schemas.openxmlformats.org/officeDocument/2006/relationships/pivotCacheDefinition" Target="pivotCache/pivotCacheDefinition59.xml"/><Relationship Id="rId274" Type="http://schemas.microsoft.com/office/2007/relationships/slicerCache" Target="slicerCaches/slicerCache13.xml"/><Relationship Id="rId295" Type="http://schemas.microsoft.com/office/2007/relationships/slicerCache" Target="slicerCaches/slicerCache34.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pivotCacheDefinition" Target="pivotCache/pivotCacheDefinition3.xml"/><Relationship Id="rId201" Type="http://schemas.openxmlformats.org/officeDocument/2006/relationships/pivotCacheDefinition" Target="pivotCache/pivotCacheDefinition7.xml"/><Relationship Id="rId222" Type="http://schemas.openxmlformats.org/officeDocument/2006/relationships/pivotCacheDefinition" Target="pivotCache/pivotCacheDefinition28.xml"/><Relationship Id="rId243" Type="http://schemas.openxmlformats.org/officeDocument/2006/relationships/pivotCacheDefinition" Target="pivotCache/pivotCacheDefinition49.xml"/><Relationship Id="rId264" Type="http://schemas.microsoft.com/office/2007/relationships/slicerCache" Target="slicerCaches/slicerCache3.xml"/><Relationship Id="rId285" Type="http://schemas.microsoft.com/office/2007/relationships/slicerCache" Target="slicerCaches/slicerCache24.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pivotCacheDefinition" Target="pivotCache/pivotCacheDefinition18.xml"/><Relationship Id="rId233" Type="http://schemas.openxmlformats.org/officeDocument/2006/relationships/pivotCacheDefinition" Target="pivotCache/pivotCacheDefinition39.xml"/><Relationship Id="rId254" Type="http://schemas.openxmlformats.org/officeDocument/2006/relationships/pivotCacheDefinition" Target="pivotCache/pivotCacheDefinition60.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microsoft.com/office/2007/relationships/slicerCache" Target="slicerCaches/slicerCache14.xml"/><Relationship Id="rId296" Type="http://schemas.microsoft.com/office/2007/relationships/slicerCache" Target="slicerCaches/slicerCache35.xml"/><Relationship Id="rId300" Type="http://schemas.openxmlformats.org/officeDocument/2006/relationships/styles" Target="styles.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pivotCacheDefinition" Target="pivotCache/pivotCacheDefinition4.xml"/><Relationship Id="rId202" Type="http://schemas.openxmlformats.org/officeDocument/2006/relationships/pivotCacheDefinition" Target="pivotCache/pivotCacheDefinition8.xml"/><Relationship Id="rId223" Type="http://schemas.openxmlformats.org/officeDocument/2006/relationships/pivotCacheDefinition" Target="pivotCache/pivotCacheDefinition29.xml"/><Relationship Id="rId244" Type="http://schemas.openxmlformats.org/officeDocument/2006/relationships/pivotCacheDefinition" Target="pivotCache/pivotCacheDefinition50.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microsoft.com/office/2007/relationships/slicerCache" Target="slicerCaches/slicerCache4.xml"/><Relationship Id="rId286" Type="http://schemas.microsoft.com/office/2007/relationships/slicerCache" Target="slicerCaches/slicerCache25.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pivotCacheDefinition" Target="pivotCache/pivotCacheDefinition19.xml"/><Relationship Id="rId234" Type="http://schemas.openxmlformats.org/officeDocument/2006/relationships/pivotCacheDefinition" Target="pivotCache/pivotCacheDefinition40.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pivotCacheDefinition" Target="pivotCache/pivotCacheDefinition61.xml"/><Relationship Id="rId276" Type="http://schemas.microsoft.com/office/2007/relationships/slicerCache" Target="slicerCaches/slicerCache15.xml"/><Relationship Id="rId297" Type="http://schemas.microsoft.com/office/2007/relationships/slicerCache" Target="slicerCaches/slicerCache36.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sharedStrings" Target="sharedStrings.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pivotCacheDefinition" Target="pivotCache/pivotCacheDefinition5.xml"/><Relationship Id="rId203" Type="http://schemas.openxmlformats.org/officeDocument/2006/relationships/pivotCacheDefinition" Target="pivotCache/pivotCacheDefinition9.xml"/><Relationship Id="rId19" Type="http://schemas.openxmlformats.org/officeDocument/2006/relationships/worksheet" Target="worksheets/sheet19.xml"/><Relationship Id="rId224" Type="http://schemas.openxmlformats.org/officeDocument/2006/relationships/pivotCacheDefinition" Target="pivotCache/pivotCacheDefinition30.xml"/><Relationship Id="rId245" Type="http://schemas.openxmlformats.org/officeDocument/2006/relationships/pivotCacheDefinition" Target="pivotCache/pivotCacheDefinition51.xml"/><Relationship Id="rId266" Type="http://schemas.microsoft.com/office/2007/relationships/slicerCache" Target="slicerCaches/slicerCache5.xml"/><Relationship Id="rId287" Type="http://schemas.microsoft.com/office/2007/relationships/slicerCache" Target="slicerCaches/slicerCache26.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pivotCacheDefinition" Target="pivotCache/pivotCacheDefinition20.xml"/><Relationship Id="rId235" Type="http://schemas.openxmlformats.org/officeDocument/2006/relationships/pivotCacheDefinition" Target="pivotCache/pivotCacheDefinition41.xml"/><Relationship Id="rId256" Type="http://schemas.openxmlformats.org/officeDocument/2006/relationships/pivotCacheDefinition" Target="pivotCache/pivotCacheDefinition62.xml"/><Relationship Id="rId277" Type="http://schemas.microsoft.com/office/2007/relationships/slicerCache" Target="slicerCaches/slicerCache16.xml"/><Relationship Id="rId298" Type="http://schemas.openxmlformats.org/officeDocument/2006/relationships/theme" Target="theme/theme1.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calcChain" Target="calcChain.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pivotCacheDefinition" Target="pivotCache/pivotCacheDefinition10.xml"/><Relationship Id="rId225" Type="http://schemas.openxmlformats.org/officeDocument/2006/relationships/pivotCacheDefinition" Target="pivotCache/pivotCacheDefinition31.xml"/><Relationship Id="rId246" Type="http://schemas.openxmlformats.org/officeDocument/2006/relationships/pivotCacheDefinition" Target="pivotCache/pivotCacheDefinition52.xml"/><Relationship Id="rId267" Type="http://schemas.microsoft.com/office/2007/relationships/slicerCache" Target="slicerCaches/slicerCache6.xml"/><Relationship Id="rId288" Type="http://schemas.microsoft.com/office/2007/relationships/slicerCache" Target="slicerCaches/slicerCache27.xml"/><Relationship Id="rId106" Type="http://schemas.openxmlformats.org/officeDocument/2006/relationships/worksheet" Target="worksheets/sheet106.xml"/><Relationship Id="rId127" Type="http://schemas.openxmlformats.org/officeDocument/2006/relationships/worksheet" Target="worksheets/sheet127.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pivotCacheDefinition" Target="pivotCache/pivotCacheDefinition21.xml"/><Relationship Id="rId236" Type="http://schemas.openxmlformats.org/officeDocument/2006/relationships/pivotCacheDefinition" Target="pivotCache/pivotCacheDefinition42.xml"/><Relationship Id="rId257" Type="http://schemas.openxmlformats.org/officeDocument/2006/relationships/pivotCacheDefinition" Target="pivotCache/pivotCacheDefinition63.xml"/><Relationship Id="rId278" Type="http://schemas.microsoft.com/office/2007/relationships/slicerCache" Target="slicerCaches/slicerCache17.xml"/><Relationship Id="rId303" Type="http://schemas.openxmlformats.org/officeDocument/2006/relationships/customXml" Target="../customXml/item1.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pivotCacheDefinition" Target="pivotCache/pivotCacheDefinition11.xml"/><Relationship Id="rId247" Type="http://schemas.openxmlformats.org/officeDocument/2006/relationships/pivotCacheDefinition" Target="pivotCache/pivotCacheDefinition53.xml"/><Relationship Id="rId107" Type="http://schemas.openxmlformats.org/officeDocument/2006/relationships/worksheet" Target="worksheets/sheet107.xml"/><Relationship Id="rId289" Type="http://schemas.microsoft.com/office/2007/relationships/slicerCache" Target="slicerCaches/slicerCache28.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pivotCacheDefinition" Target="pivotCache/pivotCacheDefinition22.xml"/><Relationship Id="rId258" Type="http://schemas.openxmlformats.org/officeDocument/2006/relationships/pivotCacheDefinition" Target="pivotCache/pivotCacheDefinition64.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171" Type="http://schemas.openxmlformats.org/officeDocument/2006/relationships/worksheet" Target="worksheets/sheet171.xml"/><Relationship Id="rId227" Type="http://schemas.openxmlformats.org/officeDocument/2006/relationships/pivotCacheDefinition" Target="pivotCache/pivotCacheDefinition33.xml"/><Relationship Id="rId269" Type="http://schemas.microsoft.com/office/2007/relationships/slicerCache" Target="slicerCaches/slicerCache8.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microsoft.com/office/2007/relationships/slicerCache" Target="slicerCaches/slicerCache19.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pivotCacheDefinition" Target="pivotCache/pivotCacheDefinition44.xml"/></Relationships>
</file>

<file path=xl/drawings/_rels/drawing6.xml.rels><?xml version="1.0" encoding="UTF-8" standalone="yes"?>
<Relationships xmlns="http://schemas.openxmlformats.org/package/2006/relationships"><Relationship Id="rId1" Type="http://schemas.openxmlformats.org/officeDocument/2006/relationships/image" Target="../media/image1.jpg"/></Relationships>
</file>

<file path=xl/drawings/_rels/drawing7.xml.rels><?xml version="1.0" encoding="UTF-8" standalone="yes"?>
<Relationships xmlns="http://schemas.openxmlformats.org/package/2006/relationships"><Relationship Id="rId1" Type="http://schemas.openxmlformats.org/officeDocument/2006/relationships/image" Target="../media/image2.png"/></Relationships>
</file>

<file path=xl/drawings/_rels/drawing8.xml.rels><?xml version="1.0" encoding="UTF-8" standalone="yes"?>
<Relationships xmlns="http://schemas.openxmlformats.org/package/2006/relationships"><Relationship Id="rId1" Type="http://schemas.openxmlformats.org/officeDocument/2006/relationships/image" Target="../media/image3.png"/></Relationships>
</file>

<file path=xl/drawings/_rels/drawing54.xml.rels><?xml version="1.0" encoding="UTF-8" standalone="yes"?>
<Relationships xmlns="http://schemas.openxmlformats.org/package/2006/relationships"><Relationship Id="rId3" Type="http://schemas.openxmlformats.org/officeDocument/2006/relationships/image" Target="../media/image6.jpeg"/><Relationship Id="rId2" Type="http://schemas.openxmlformats.org/officeDocument/2006/relationships/image" Target="../media/image5.jpeg"/><Relationship Id="rId1" Type="http://schemas.openxmlformats.org/officeDocument/2006/relationships/image" Target="../media/image4.jpeg"/><Relationship Id="rId6" Type="http://schemas.openxmlformats.org/officeDocument/2006/relationships/image" Target="../media/image9.jpeg"/><Relationship Id="rId5" Type="http://schemas.openxmlformats.org/officeDocument/2006/relationships/image" Target="../media/image8.jpeg"/><Relationship Id="rId4" Type="http://schemas.openxmlformats.org/officeDocument/2006/relationships/image" Target="../media/image7.jpeg"/></Relationships>
</file>

<file path=xl/drawings/_rels/drawing55.xml.rels><?xml version="1.0" encoding="UTF-8" standalone="yes"?>
<Relationships xmlns="http://schemas.openxmlformats.org/package/2006/relationships"><Relationship Id="rId3" Type="http://schemas.openxmlformats.org/officeDocument/2006/relationships/image" Target="../media/image12.jpeg"/><Relationship Id="rId2" Type="http://schemas.openxmlformats.org/officeDocument/2006/relationships/image" Target="../media/image11.jpeg"/><Relationship Id="rId1" Type="http://schemas.openxmlformats.org/officeDocument/2006/relationships/image" Target="../media/image10.jpeg"/><Relationship Id="rId5" Type="http://schemas.openxmlformats.org/officeDocument/2006/relationships/image" Target="../media/image14.jpeg"/><Relationship Id="rId4" Type="http://schemas.openxmlformats.org/officeDocument/2006/relationships/image" Target="../media/image13.jpeg"/></Relationships>
</file>

<file path=xl/drawings/_rels/drawing56.xml.rels><?xml version="1.0" encoding="UTF-8" standalone="yes"?>
<Relationships xmlns="http://schemas.openxmlformats.org/package/2006/relationships"><Relationship Id="rId2" Type="http://schemas.openxmlformats.org/officeDocument/2006/relationships/image" Target="../media/image16.jpeg"/><Relationship Id="rId1" Type="http://schemas.openxmlformats.org/officeDocument/2006/relationships/image" Target="../media/image15.jpeg"/></Relationships>
</file>

<file path=xl/drawings/_rels/drawing57.xml.rels><?xml version="1.0" encoding="UTF-8" standalone="yes"?>
<Relationships xmlns="http://schemas.openxmlformats.org/package/2006/relationships"><Relationship Id="rId3" Type="http://schemas.openxmlformats.org/officeDocument/2006/relationships/image" Target="../media/image19.jpeg"/><Relationship Id="rId2" Type="http://schemas.openxmlformats.org/officeDocument/2006/relationships/image" Target="../media/image18.jpeg"/><Relationship Id="rId1" Type="http://schemas.openxmlformats.org/officeDocument/2006/relationships/image" Target="../media/image17.jpeg"/><Relationship Id="rId6" Type="http://schemas.openxmlformats.org/officeDocument/2006/relationships/image" Target="../media/image22.jpeg"/><Relationship Id="rId5" Type="http://schemas.openxmlformats.org/officeDocument/2006/relationships/image" Target="../media/image21.jpeg"/><Relationship Id="rId4" Type="http://schemas.openxmlformats.org/officeDocument/2006/relationships/image" Target="../media/image20.jpeg"/></Relationships>
</file>

<file path=xl/drawings/_rels/drawing58.xml.rels><?xml version="1.0" encoding="UTF-8" standalone="yes"?>
<Relationships xmlns="http://schemas.openxmlformats.org/package/2006/relationships"><Relationship Id="rId3" Type="http://schemas.openxmlformats.org/officeDocument/2006/relationships/image" Target="../media/image25.jpeg"/><Relationship Id="rId2" Type="http://schemas.openxmlformats.org/officeDocument/2006/relationships/image" Target="../media/image24.jpeg"/><Relationship Id="rId1" Type="http://schemas.openxmlformats.org/officeDocument/2006/relationships/image" Target="../media/image23.jpeg"/><Relationship Id="rId5" Type="http://schemas.openxmlformats.org/officeDocument/2006/relationships/image" Target="../media/image27.jpeg"/><Relationship Id="rId4" Type="http://schemas.openxmlformats.org/officeDocument/2006/relationships/image" Target="../media/image26.jpeg"/></Relationships>
</file>

<file path=xl/drawings/_rels/drawing59.xml.rels><?xml version="1.0" encoding="UTF-8" standalone="yes"?>
<Relationships xmlns="http://schemas.openxmlformats.org/package/2006/relationships"><Relationship Id="rId3" Type="http://schemas.openxmlformats.org/officeDocument/2006/relationships/image" Target="../media/image30.jpeg"/><Relationship Id="rId2" Type="http://schemas.openxmlformats.org/officeDocument/2006/relationships/image" Target="../media/image29.jpeg"/><Relationship Id="rId1" Type="http://schemas.openxmlformats.org/officeDocument/2006/relationships/image" Target="../media/image28.jpeg"/><Relationship Id="rId4" Type="http://schemas.openxmlformats.org/officeDocument/2006/relationships/image" Target="../media/image31.jpeg"/></Relationships>
</file>

<file path=xl/drawings/_rels/drawing60.xml.rels><?xml version="1.0" encoding="UTF-8" standalone="yes"?>
<Relationships xmlns="http://schemas.openxmlformats.org/package/2006/relationships"><Relationship Id="rId3" Type="http://schemas.openxmlformats.org/officeDocument/2006/relationships/image" Target="../media/image34.jpeg"/><Relationship Id="rId2" Type="http://schemas.openxmlformats.org/officeDocument/2006/relationships/image" Target="../media/image33.jpeg"/><Relationship Id="rId1" Type="http://schemas.openxmlformats.org/officeDocument/2006/relationships/image" Target="../media/image32.jpeg"/><Relationship Id="rId4" Type="http://schemas.openxmlformats.org/officeDocument/2006/relationships/image" Target="../media/image35.jpeg"/></Relationships>
</file>

<file path=xl/drawings/_rels/drawing61.xml.rels><?xml version="1.0" encoding="UTF-8" standalone="yes"?>
<Relationships xmlns="http://schemas.openxmlformats.org/package/2006/relationships"><Relationship Id="rId1" Type="http://schemas.openxmlformats.org/officeDocument/2006/relationships/image" Target="../media/image36.jpeg"/></Relationships>
</file>

<file path=xl/drawings/_rels/drawing66.xml.rels><?xml version="1.0" encoding="UTF-8" standalone="yes"?>
<Relationships xmlns="http://schemas.openxmlformats.org/package/2006/relationships"><Relationship Id="rId1" Type="http://schemas.openxmlformats.org/officeDocument/2006/relationships/image" Target="../media/image37.jpeg"/></Relationships>
</file>

<file path=xl/drawings/_rels/drawing67.xml.rels><?xml version="1.0" encoding="UTF-8" standalone="yes"?>
<Relationships xmlns="http://schemas.openxmlformats.org/package/2006/relationships"><Relationship Id="rId1" Type="http://schemas.openxmlformats.org/officeDocument/2006/relationships/image" Target="../media/image38.jpeg"/></Relationships>
</file>

<file path=xl/drawings/_rels/drawing68.xml.rels><?xml version="1.0" encoding="UTF-8" standalone="yes"?>
<Relationships xmlns="http://schemas.openxmlformats.org/package/2006/relationships"><Relationship Id="rId1" Type="http://schemas.openxmlformats.org/officeDocument/2006/relationships/image" Target="../media/image39.jpg"/></Relationships>
</file>

<file path=xl/drawings/_rels/drawing69.xml.rels><?xml version="1.0" encoding="UTF-8" standalone="yes"?>
<Relationships xmlns="http://schemas.openxmlformats.org/package/2006/relationships"><Relationship Id="rId1" Type="http://schemas.openxmlformats.org/officeDocument/2006/relationships/image" Target="../media/image40.jpg"/></Relationships>
</file>

<file path=xl/drawings/_rels/drawing70.xml.rels><?xml version="1.0" encoding="UTF-8" standalone="yes"?>
<Relationships xmlns="http://schemas.openxmlformats.org/package/2006/relationships"><Relationship Id="rId1" Type="http://schemas.openxmlformats.org/officeDocument/2006/relationships/image" Target="../media/image41.jpg"/></Relationships>
</file>

<file path=xl/drawings/_rels/drawing71.xml.rels><?xml version="1.0" encoding="UTF-8" standalone="yes"?>
<Relationships xmlns="http://schemas.openxmlformats.org/package/2006/relationships"><Relationship Id="rId1" Type="http://schemas.openxmlformats.org/officeDocument/2006/relationships/image" Target="../media/image42.jpg"/></Relationships>
</file>

<file path=xl/drawings/_rels/drawing72.xml.rels><?xml version="1.0" encoding="UTF-8" standalone="yes"?>
<Relationships xmlns="http://schemas.openxmlformats.org/package/2006/relationships"><Relationship Id="rId3" Type="http://schemas.openxmlformats.org/officeDocument/2006/relationships/image" Target="../media/image45.jpeg"/><Relationship Id="rId2" Type="http://schemas.openxmlformats.org/officeDocument/2006/relationships/image" Target="../media/image44.jpeg"/><Relationship Id="rId1" Type="http://schemas.openxmlformats.org/officeDocument/2006/relationships/image" Target="../media/image43.jpeg"/><Relationship Id="rId5" Type="http://schemas.openxmlformats.org/officeDocument/2006/relationships/image" Target="../media/image47.jpeg"/><Relationship Id="rId4" Type="http://schemas.openxmlformats.org/officeDocument/2006/relationships/image" Target="../media/image46.jpeg"/></Relationships>
</file>

<file path=xl/drawings/_rels/drawing73.xml.rels><?xml version="1.0" encoding="UTF-8" standalone="yes"?>
<Relationships xmlns="http://schemas.openxmlformats.org/package/2006/relationships"><Relationship Id="rId1" Type="http://schemas.openxmlformats.org/officeDocument/2006/relationships/image" Target="../media/image48.jpeg"/></Relationships>
</file>

<file path=xl/drawings/_rels/drawing74.xml.rels><?xml version="1.0" encoding="UTF-8" standalone="yes"?>
<Relationships xmlns="http://schemas.openxmlformats.org/package/2006/relationships"><Relationship Id="rId1" Type="http://schemas.openxmlformats.org/officeDocument/2006/relationships/image" Target="../media/image49.jpeg"/></Relationships>
</file>

<file path=xl/drawings/_rels/drawing75.xml.rels><?xml version="1.0" encoding="UTF-8" standalone="yes"?>
<Relationships xmlns="http://schemas.openxmlformats.org/package/2006/relationships"><Relationship Id="rId1" Type="http://schemas.openxmlformats.org/officeDocument/2006/relationships/image" Target="../media/image50.jpeg"/></Relationships>
</file>

<file path=xl/drawings/_rels/drawing76.xml.rels><?xml version="1.0" encoding="UTF-8" standalone="yes"?>
<Relationships xmlns="http://schemas.openxmlformats.org/package/2006/relationships"><Relationship Id="rId1" Type="http://schemas.openxmlformats.org/officeDocument/2006/relationships/image" Target="../media/image51.jpeg"/></Relationships>
</file>

<file path=xl/drawings/_rels/drawing77.xml.rels><?xml version="1.0" encoding="UTF-8" standalone="yes"?>
<Relationships xmlns="http://schemas.openxmlformats.org/package/2006/relationships"><Relationship Id="rId2" Type="http://schemas.openxmlformats.org/officeDocument/2006/relationships/image" Target="../media/image53.png"/><Relationship Id="rId1" Type="http://schemas.openxmlformats.org/officeDocument/2006/relationships/image" Target="../media/image52.png"/></Relationships>
</file>

<file path=xl/drawings/_rels/drawing86.xml.rels><?xml version="1.0" encoding="UTF-8" standalone="yes"?>
<Relationships xmlns="http://schemas.openxmlformats.org/package/2006/relationships"><Relationship Id="rId3" Type="http://schemas.openxmlformats.org/officeDocument/2006/relationships/image" Target="../media/image56.jpeg"/><Relationship Id="rId2" Type="http://schemas.openxmlformats.org/officeDocument/2006/relationships/image" Target="../media/image55.jpeg"/><Relationship Id="rId1" Type="http://schemas.openxmlformats.org/officeDocument/2006/relationships/image" Target="../media/image54.jpeg"/></Relationships>
</file>

<file path=xl/drawings/_rels/drawing87.xml.rels><?xml version="1.0" encoding="UTF-8" standalone="yes"?>
<Relationships xmlns="http://schemas.openxmlformats.org/package/2006/relationships"><Relationship Id="rId1" Type="http://schemas.openxmlformats.org/officeDocument/2006/relationships/image" Target="../media/image57.jpeg"/></Relationships>
</file>

<file path=xl/drawings/_rels/drawing88.xml.rels><?xml version="1.0" encoding="UTF-8" standalone="yes"?>
<Relationships xmlns="http://schemas.openxmlformats.org/package/2006/relationships"><Relationship Id="rId1" Type="http://schemas.openxmlformats.org/officeDocument/2006/relationships/image" Target="../media/image58.png"/></Relationships>
</file>

<file path=xl/drawings/drawing1.xml><?xml version="1.0" encoding="utf-8"?>
<xdr:wsDr xmlns:xdr="http://schemas.openxmlformats.org/drawingml/2006/spreadsheetDrawing" xmlns:a="http://schemas.openxmlformats.org/drawingml/2006/main">
  <xdr:twoCellAnchor editAs="absolute">
    <xdr:from>
      <xdr:col>4</xdr:col>
      <xdr:colOff>705343</xdr:colOff>
      <xdr:row>2</xdr:row>
      <xdr:rowOff>93027</xdr:rowOff>
    </xdr:from>
    <xdr:to>
      <xdr:col>5</xdr:col>
      <xdr:colOff>1693333</xdr:colOff>
      <xdr:row>4</xdr:row>
      <xdr:rowOff>136525</xdr:rowOff>
    </xdr:to>
    <mc:AlternateContent xmlns:mc="http://schemas.openxmlformats.org/markup-compatibility/2006" xmlns:sle15="http://schemas.microsoft.com/office/drawing/2012/slicer">
      <mc:Choice Requires="sle15">
        <xdr:graphicFrame macro="">
          <xdr:nvGraphicFramePr>
            <xdr:cNvPr id="3" name="FisYr 16">
              <a:extLst>
                <a:ext uri="{FF2B5EF4-FFF2-40B4-BE49-F238E27FC236}">
                  <a16:creationId xmlns:a16="http://schemas.microsoft.com/office/drawing/2014/main" id="{27CA9CFA-6B65-45A8-8A64-5B4327D76BB1}"/>
                </a:ext>
              </a:extLst>
            </xdr:cNvPr>
            <xdr:cNvGraphicFramePr/>
          </xdr:nvGraphicFramePr>
          <xdr:xfrm>
            <a:off x="0" y="0"/>
            <a:ext cx="0" cy="0"/>
          </xdr:xfrm>
          <a:graphic>
            <a:graphicData uri="http://schemas.microsoft.com/office/drawing/2010/slicer">
              <sle:slicer xmlns:sle="http://schemas.microsoft.com/office/drawing/2010/slicer" name="FisYr 16"/>
            </a:graphicData>
          </a:graphic>
        </xdr:graphicFrame>
      </mc:Choice>
      <mc:Fallback xmlns="">
        <xdr:sp macro="" textlink="">
          <xdr:nvSpPr>
            <xdr:cNvPr id="0" name=""/>
            <xdr:cNvSpPr>
              <a:spLocks noTextEdit="1"/>
            </xdr:cNvSpPr>
          </xdr:nvSpPr>
          <xdr:spPr>
            <a:xfrm>
              <a:off x="4151841" y="461962"/>
              <a:ext cx="3543476" cy="481719"/>
            </a:xfrm>
            <a:prstGeom prst="rect">
              <a:avLst/>
            </a:prstGeom>
            <a:solidFill>
              <a:prstClr val="white"/>
            </a:solidFill>
            <a:ln w="1">
              <a:solidFill>
                <a:prstClr val="green"/>
              </a:solidFill>
            </a:ln>
          </xdr:spPr>
          <xdr:txBody>
            <a:bodyPr vertOverflow="clip" horzOverflow="clip"/>
            <a:lstStyle/>
            <a:p>
              <a:r>
                <a:rPr lang="en-GB" sz="1100"/>
                <a:t>This shape represents a table slicer. Table slicers are supported in Excel or later.
If the shape was modified in an earlier version of Excel, or if the workbook was saved in Excel 2007 or earlier, the slicer can't be used.</a:t>
              </a:r>
            </a:p>
          </xdr:txBody>
        </xdr:sp>
      </mc:Fallback>
    </mc:AlternateContent>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359410</xdr:colOff>
      <xdr:row>11</xdr:row>
      <xdr:rowOff>16511</xdr:rowOff>
    </xdr:from>
    <xdr:to>
      <xdr:col>6</xdr:col>
      <xdr:colOff>441960</xdr:colOff>
      <xdr:row>18</xdr:row>
      <xdr:rowOff>57150</xdr:rowOff>
    </xdr:to>
    <mc:AlternateContent xmlns:mc="http://schemas.openxmlformats.org/markup-compatibility/2006" xmlns:a14="http://schemas.microsoft.com/office/drawing/2010/main">
      <mc:Choice Requires="a14">
        <xdr:graphicFrame macro="">
          <xdr:nvGraphicFramePr>
            <xdr:cNvPr id="2" name="Year 58">
              <a:extLst>
                <a:ext uri="{FF2B5EF4-FFF2-40B4-BE49-F238E27FC236}">
                  <a16:creationId xmlns:a16="http://schemas.microsoft.com/office/drawing/2014/main" id="{41D05978-8FCE-43FC-A13F-B19FE6F5AB66}"/>
                </a:ext>
              </a:extLst>
            </xdr:cNvPr>
            <xdr:cNvGraphicFramePr/>
          </xdr:nvGraphicFramePr>
          <xdr:xfrm>
            <a:off x="0" y="0"/>
            <a:ext cx="0" cy="0"/>
          </xdr:xfrm>
          <a:graphic>
            <a:graphicData uri="http://schemas.microsoft.com/office/drawing/2010/slicer">
              <sle:slicer xmlns:sle="http://schemas.microsoft.com/office/drawing/2010/slicer" name="Year 58"/>
            </a:graphicData>
          </a:graphic>
        </xdr:graphicFrame>
      </mc:Choice>
      <mc:Fallback xmlns="">
        <xdr:sp macro="" textlink="">
          <xdr:nvSpPr>
            <xdr:cNvPr id="0" name=""/>
            <xdr:cNvSpPr>
              <a:spLocks noTextEdit="1"/>
            </xdr:cNvSpPr>
          </xdr:nvSpPr>
          <xdr:spPr>
            <a:xfrm>
              <a:off x="4902200" y="2038351"/>
              <a:ext cx="3187700" cy="742950"/>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3.xml><?xml version="1.0" encoding="utf-8"?>
<xdr:wsDr xmlns:xdr="http://schemas.openxmlformats.org/drawingml/2006/spreadsheetDrawing" xmlns:a="http://schemas.openxmlformats.org/drawingml/2006/main">
  <xdr:twoCellAnchor editAs="oneCell">
    <xdr:from>
      <xdr:col>3</xdr:col>
      <xdr:colOff>457200</xdr:colOff>
      <xdr:row>3</xdr:row>
      <xdr:rowOff>142875</xdr:rowOff>
    </xdr:from>
    <xdr:to>
      <xdr:col>10</xdr:col>
      <xdr:colOff>88900</xdr:colOff>
      <xdr:row>5</xdr:row>
      <xdr:rowOff>180269</xdr:rowOff>
    </xdr:to>
    <mc:AlternateContent xmlns:mc="http://schemas.openxmlformats.org/markup-compatibility/2006" xmlns:a14="http://schemas.microsoft.com/office/drawing/2010/main">
      <mc:Choice Requires="a14">
        <xdr:graphicFrame macro="">
          <xdr:nvGraphicFramePr>
            <xdr:cNvPr id="4" name="Year 59">
              <a:extLst>
                <a:ext uri="{FF2B5EF4-FFF2-40B4-BE49-F238E27FC236}">
                  <a16:creationId xmlns:a16="http://schemas.microsoft.com/office/drawing/2014/main" id="{7A79FE86-2504-45BC-AC8B-58702A8E4ACF}"/>
                </a:ext>
              </a:extLst>
            </xdr:cNvPr>
            <xdr:cNvGraphicFramePr/>
          </xdr:nvGraphicFramePr>
          <xdr:xfrm>
            <a:off x="0" y="0"/>
            <a:ext cx="0" cy="0"/>
          </xdr:xfrm>
          <a:graphic>
            <a:graphicData uri="http://schemas.microsoft.com/office/drawing/2010/slicer">
              <sle:slicer xmlns:sle="http://schemas.microsoft.com/office/drawing/2010/slicer" name="Year 59"/>
            </a:graphicData>
          </a:graphic>
        </xdr:graphicFrame>
      </mc:Choice>
      <mc:Fallback xmlns="">
        <xdr:sp macro="" textlink="">
          <xdr:nvSpPr>
            <xdr:cNvPr id="0" name=""/>
            <xdr:cNvSpPr>
              <a:spLocks noTextEdit="1"/>
            </xdr:cNvSpPr>
          </xdr:nvSpPr>
          <xdr:spPr>
            <a:xfrm>
              <a:off x="4438650" y="736600"/>
              <a:ext cx="3187700" cy="635000"/>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4.xml><?xml version="1.0" encoding="utf-8"?>
<xdr:wsDr xmlns:xdr="http://schemas.openxmlformats.org/drawingml/2006/spreadsheetDrawing" xmlns:a="http://schemas.openxmlformats.org/drawingml/2006/main">
  <xdr:twoCellAnchor editAs="oneCell">
    <xdr:from>
      <xdr:col>5</xdr:col>
      <xdr:colOff>347980</xdr:colOff>
      <xdr:row>19</xdr:row>
      <xdr:rowOff>153671</xdr:rowOff>
    </xdr:from>
    <xdr:to>
      <xdr:col>17</xdr:col>
      <xdr:colOff>140970</xdr:colOff>
      <xdr:row>26</xdr:row>
      <xdr:rowOff>38100</xdr:rowOff>
    </xdr:to>
    <mc:AlternateContent xmlns:mc="http://schemas.openxmlformats.org/markup-compatibility/2006" xmlns:a14="http://schemas.microsoft.com/office/drawing/2010/main">
      <mc:Choice Requires="a14">
        <xdr:graphicFrame macro="">
          <xdr:nvGraphicFramePr>
            <xdr:cNvPr id="2" name="Year 60">
              <a:extLst>
                <a:ext uri="{FF2B5EF4-FFF2-40B4-BE49-F238E27FC236}">
                  <a16:creationId xmlns:a16="http://schemas.microsoft.com/office/drawing/2014/main" id="{B075734F-5102-4DED-AB48-7561DC9CE111}"/>
                </a:ext>
              </a:extLst>
            </xdr:cNvPr>
            <xdr:cNvGraphicFramePr/>
          </xdr:nvGraphicFramePr>
          <xdr:xfrm>
            <a:off x="0" y="0"/>
            <a:ext cx="0" cy="0"/>
          </xdr:xfrm>
          <a:graphic>
            <a:graphicData uri="http://schemas.microsoft.com/office/drawing/2010/slicer">
              <sle:slicer xmlns:sle="http://schemas.microsoft.com/office/drawing/2010/slicer" name="Year 60"/>
            </a:graphicData>
          </a:graphic>
        </xdr:graphicFrame>
      </mc:Choice>
      <mc:Fallback xmlns="">
        <xdr:sp macro="" textlink="">
          <xdr:nvSpPr>
            <xdr:cNvPr id="0" name=""/>
            <xdr:cNvSpPr>
              <a:spLocks noTextEdit="1"/>
            </xdr:cNvSpPr>
          </xdr:nvSpPr>
          <xdr:spPr>
            <a:xfrm>
              <a:off x="5788660" y="3628391"/>
              <a:ext cx="7108190" cy="1164589"/>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5.xml><?xml version="1.0" encoding="utf-8"?>
<xdr:wsDr xmlns:xdr="http://schemas.openxmlformats.org/drawingml/2006/spreadsheetDrawing" xmlns:a="http://schemas.openxmlformats.org/drawingml/2006/main">
  <xdr:twoCellAnchor editAs="oneCell">
    <xdr:from>
      <xdr:col>3</xdr:col>
      <xdr:colOff>457202</xdr:colOff>
      <xdr:row>2</xdr:row>
      <xdr:rowOff>161925</xdr:rowOff>
    </xdr:from>
    <xdr:to>
      <xdr:col>12</xdr:col>
      <xdr:colOff>561976</xdr:colOff>
      <xdr:row>5</xdr:row>
      <xdr:rowOff>19050</xdr:rowOff>
    </xdr:to>
    <mc:AlternateContent xmlns:mc="http://schemas.openxmlformats.org/markup-compatibility/2006" xmlns:a14="http://schemas.microsoft.com/office/drawing/2010/main">
      <mc:Choice Requires="a14">
        <xdr:graphicFrame macro="">
          <xdr:nvGraphicFramePr>
            <xdr:cNvPr id="3" name="Year 61">
              <a:extLst>
                <a:ext uri="{FF2B5EF4-FFF2-40B4-BE49-F238E27FC236}">
                  <a16:creationId xmlns:a16="http://schemas.microsoft.com/office/drawing/2014/main" id="{C2472086-0C89-4F44-9297-7A0AD452F20F}"/>
                </a:ext>
              </a:extLst>
            </xdr:cNvPr>
            <xdr:cNvGraphicFramePr/>
          </xdr:nvGraphicFramePr>
          <xdr:xfrm>
            <a:off x="0" y="0"/>
            <a:ext cx="0" cy="0"/>
          </xdr:xfrm>
          <a:graphic>
            <a:graphicData uri="http://schemas.microsoft.com/office/drawing/2010/slicer">
              <sle:slicer xmlns:sle="http://schemas.microsoft.com/office/drawing/2010/slicer" name="Year 61"/>
            </a:graphicData>
          </a:graphic>
        </xdr:graphicFrame>
      </mc:Choice>
      <mc:Fallback xmlns="">
        <xdr:sp macro="" textlink="">
          <xdr:nvSpPr>
            <xdr:cNvPr id="0" name=""/>
            <xdr:cNvSpPr>
              <a:spLocks noTextEdit="1"/>
            </xdr:cNvSpPr>
          </xdr:nvSpPr>
          <xdr:spPr>
            <a:xfrm>
              <a:off x="4641850" y="558800"/>
              <a:ext cx="6642100" cy="660400"/>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377191</xdr:colOff>
      <xdr:row>5</xdr:row>
      <xdr:rowOff>9525</xdr:rowOff>
    </xdr:from>
    <xdr:to>
      <xdr:col>7</xdr:col>
      <xdr:colOff>276140</xdr:colOff>
      <xdr:row>31</xdr:row>
      <xdr:rowOff>76199</xdr:rowOff>
    </xdr:to>
    <xdr:pic>
      <xdr:nvPicPr>
        <xdr:cNvPr id="4" name="Picture 3">
          <a:extLst>
            <a:ext uri="{FF2B5EF4-FFF2-40B4-BE49-F238E27FC236}">
              <a16:creationId xmlns:a16="http://schemas.microsoft.com/office/drawing/2014/main" id="{72870464-8B1C-4203-64F6-38941258C2EA}"/>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29666" y="990600"/>
          <a:ext cx="4594774" cy="4791074"/>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121919</xdr:colOff>
      <xdr:row>6</xdr:row>
      <xdr:rowOff>19049</xdr:rowOff>
    </xdr:from>
    <xdr:to>
      <xdr:col>12</xdr:col>
      <xdr:colOff>199546</xdr:colOff>
      <xdr:row>34</xdr:row>
      <xdr:rowOff>9524</xdr:rowOff>
    </xdr:to>
    <xdr:pic>
      <xdr:nvPicPr>
        <xdr:cNvPr id="6" name="Picture 5">
          <a:extLst>
            <a:ext uri="{FF2B5EF4-FFF2-40B4-BE49-F238E27FC236}">
              <a16:creationId xmlns:a16="http://schemas.microsoft.com/office/drawing/2014/main" id="{3E1C8981-3701-DFF3-D7C1-1865BF02A474}"/>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31519" y="1162049"/>
          <a:ext cx="6783227" cy="505777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83820</xdr:colOff>
      <xdr:row>2</xdr:row>
      <xdr:rowOff>68580</xdr:rowOff>
    </xdr:from>
    <xdr:to>
      <xdr:col>7</xdr:col>
      <xdr:colOff>242324</xdr:colOff>
      <xdr:row>38</xdr:row>
      <xdr:rowOff>178322</xdr:rowOff>
    </xdr:to>
    <xdr:pic>
      <xdr:nvPicPr>
        <xdr:cNvPr id="3" name="Picture 2">
          <a:extLst>
            <a:ext uri="{FF2B5EF4-FFF2-40B4-BE49-F238E27FC236}">
              <a16:creationId xmlns:a16="http://schemas.microsoft.com/office/drawing/2014/main" id="{1EF9E4A5-2284-DF63-6ACC-EBE599A0E28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93420" y="464820"/>
          <a:ext cx="3816104" cy="6708662"/>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3</xdr:col>
      <xdr:colOff>431800</xdr:colOff>
      <xdr:row>7</xdr:row>
      <xdr:rowOff>38101</xdr:rowOff>
    </xdr:from>
    <xdr:to>
      <xdr:col>4</xdr:col>
      <xdr:colOff>1333500</xdr:colOff>
      <xdr:row>11</xdr:row>
      <xdr:rowOff>1</xdr:rowOff>
    </xdr:to>
    <mc:AlternateContent xmlns:mc="http://schemas.openxmlformats.org/markup-compatibility/2006" xmlns:a14="http://schemas.microsoft.com/office/drawing/2010/main">
      <mc:Choice Requires="a14">
        <xdr:graphicFrame macro="">
          <xdr:nvGraphicFramePr>
            <xdr:cNvPr id="2" name="Year 54">
              <a:extLst>
                <a:ext uri="{FF2B5EF4-FFF2-40B4-BE49-F238E27FC236}">
                  <a16:creationId xmlns:a16="http://schemas.microsoft.com/office/drawing/2014/main" id="{D5881F47-47F3-4BC9-87FC-293D095DB497}"/>
                </a:ext>
              </a:extLst>
            </xdr:cNvPr>
            <xdr:cNvGraphicFramePr/>
          </xdr:nvGraphicFramePr>
          <xdr:xfrm>
            <a:off x="0" y="0"/>
            <a:ext cx="0" cy="0"/>
          </xdr:xfrm>
          <a:graphic>
            <a:graphicData uri="http://schemas.microsoft.com/office/drawing/2010/slicer">
              <sle:slicer xmlns:sle="http://schemas.microsoft.com/office/drawing/2010/slicer" name="Year 54"/>
            </a:graphicData>
          </a:graphic>
        </xdr:graphicFrame>
      </mc:Choice>
      <mc:Fallback xmlns="">
        <xdr:sp macro="" textlink="">
          <xdr:nvSpPr>
            <xdr:cNvPr id="0" name=""/>
            <xdr:cNvSpPr>
              <a:spLocks noTextEdit="1"/>
            </xdr:cNvSpPr>
          </xdr:nvSpPr>
          <xdr:spPr>
            <a:xfrm>
              <a:off x="5054600" y="1327151"/>
              <a:ext cx="2997200" cy="692150"/>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10.xml><?xml version="1.0" encoding="utf-8"?>
<xdr:wsDr xmlns:xdr="http://schemas.openxmlformats.org/drawingml/2006/spreadsheetDrawing" xmlns:a="http://schemas.openxmlformats.org/drawingml/2006/main">
  <xdr:twoCellAnchor editAs="oneCell">
    <xdr:from>
      <xdr:col>3</xdr:col>
      <xdr:colOff>266699</xdr:colOff>
      <xdr:row>3</xdr:row>
      <xdr:rowOff>55880</xdr:rowOff>
    </xdr:from>
    <xdr:to>
      <xdr:col>10</xdr:col>
      <xdr:colOff>66674</xdr:colOff>
      <xdr:row>5</xdr:row>
      <xdr:rowOff>133350</xdr:rowOff>
    </xdr:to>
    <mc:AlternateContent xmlns:mc="http://schemas.openxmlformats.org/markup-compatibility/2006" xmlns:a14="http://schemas.microsoft.com/office/drawing/2010/main">
      <mc:Choice Requires="a14">
        <xdr:graphicFrame macro="">
          <xdr:nvGraphicFramePr>
            <xdr:cNvPr id="5" name="Year 62">
              <a:extLst>
                <a:ext uri="{FF2B5EF4-FFF2-40B4-BE49-F238E27FC236}">
                  <a16:creationId xmlns:a16="http://schemas.microsoft.com/office/drawing/2014/main" id="{D667FAEB-EE5F-4368-A4DD-95E874F1B8C0}"/>
                </a:ext>
              </a:extLst>
            </xdr:cNvPr>
            <xdr:cNvGraphicFramePr/>
          </xdr:nvGraphicFramePr>
          <xdr:xfrm>
            <a:off x="0" y="0"/>
            <a:ext cx="0" cy="0"/>
          </xdr:xfrm>
          <a:graphic>
            <a:graphicData uri="http://schemas.microsoft.com/office/drawing/2010/slicer">
              <sle:slicer xmlns:sle="http://schemas.microsoft.com/office/drawing/2010/slicer" name="Year 62"/>
            </a:graphicData>
          </a:graphic>
        </xdr:graphicFrame>
      </mc:Choice>
      <mc:Fallback xmlns="">
        <xdr:sp macro="" textlink="">
          <xdr:nvSpPr>
            <xdr:cNvPr id="0" name=""/>
            <xdr:cNvSpPr>
              <a:spLocks noTextEdit="1"/>
            </xdr:cNvSpPr>
          </xdr:nvSpPr>
          <xdr:spPr>
            <a:xfrm>
              <a:off x="4559300" y="704850"/>
              <a:ext cx="2997200" cy="692150"/>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3949700</xdr:colOff>
      <xdr:row>10</xdr:row>
      <xdr:rowOff>73660</xdr:rowOff>
    </xdr:from>
    <xdr:to>
      <xdr:col>2</xdr:col>
      <xdr:colOff>1007110</xdr:colOff>
      <xdr:row>18</xdr:row>
      <xdr:rowOff>174624</xdr:rowOff>
    </xdr:to>
    <mc:AlternateContent xmlns:mc="http://schemas.openxmlformats.org/markup-compatibility/2006" xmlns:a14="http://schemas.microsoft.com/office/drawing/2010/main">
      <mc:Choice Requires="a14">
        <xdr:graphicFrame macro="">
          <xdr:nvGraphicFramePr>
            <xdr:cNvPr id="3" name="Year 25">
              <a:extLst>
                <a:ext uri="{FF2B5EF4-FFF2-40B4-BE49-F238E27FC236}">
                  <a16:creationId xmlns:a16="http://schemas.microsoft.com/office/drawing/2014/main" id="{B78E8EFF-9C9D-4ADC-BAB5-FD3E7AEDFE86}"/>
                </a:ext>
              </a:extLst>
            </xdr:cNvPr>
            <xdr:cNvGraphicFramePr/>
          </xdr:nvGraphicFramePr>
          <xdr:xfrm>
            <a:off x="0" y="0"/>
            <a:ext cx="0" cy="0"/>
          </xdr:xfrm>
          <a:graphic>
            <a:graphicData uri="http://schemas.microsoft.com/office/drawing/2010/slicer">
              <sle:slicer xmlns:sle="http://schemas.microsoft.com/office/drawing/2010/slicer" name="Year 25"/>
            </a:graphicData>
          </a:graphic>
        </xdr:graphicFrame>
      </mc:Choice>
      <mc:Fallback xmlns="">
        <xdr:sp macro="" textlink="">
          <xdr:nvSpPr>
            <xdr:cNvPr id="0" name=""/>
            <xdr:cNvSpPr>
              <a:spLocks noTextEdit="1"/>
            </xdr:cNvSpPr>
          </xdr:nvSpPr>
          <xdr:spPr>
            <a:xfrm>
              <a:off x="3945890" y="1883410"/>
              <a:ext cx="3064510" cy="1566544"/>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2075179</xdr:colOff>
      <xdr:row>0</xdr:row>
      <xdr:rowOff>92075</xdr:rowOff>
    </xdr:from>
    <xdr:to>
      <xdr:col>15</xdr:col>
      <xdr:colOff>160655</xdr:colOff>
      <xdr:row>1</xdr:row>
      <xdr:rowOff>163830</xdr:rowOff>
    </xdr:to>
    <mc:AlternateContent xmlns:mc="http://schemas.openxmlformats.org/markup-compatibility/2006" xmlns:a14="http://schemas.microsoft.com/office/drawing/2010/main">
      <mc:Choice Requires="a14">
        <xdr:graphicFrame macro="">
          <xdr:nvGraphicFramePr>
            <xdr:cNvPr id="5" name="Year 26">
              <a:extLst>
                <a:ext uri="{FF2B5EF4-FFF2-40B4-BE49-F238E27FC236}">
                  <a16:creationId xmlns:a16="http://schemas.microsoft.com/office/drawing/2014/main" id="{31E336FB-4C37-4BAE-9AF8-497FCEE5DEFF}"/>
                </a:ext>
              </a:extLst>
            </xdr:cNvPr>
            <xdr:cNvGraphicFramePr/>
          </xdr:nvGraphicFramePr>
          <xdr:xfrm>
            <a:off x="0" y="0"/>
            <a:ext cx="0" cy="0"/>
          </xdr:xfrm>
          <a:graphic>
            <a:graphicData uri="http://schemas.microsoft.com/office/drawing/2010/slicer">
              <sle:slicer xmlns:sle="http://schemas.microsoft.com/office/drawing/2010/slicer" name="Year 26"/>
            </a:graphicData>
          </a:graphic>
        </xdr:graphicFrame>
      </mc:Choice>
      <mc:Fallback xmlns="">
        <xdr:sp macro="" textlink="">
          <xdr:nvSpPr>
            <xdr:cNvPr id="0" name=""/>
            <xdr:cNvSpPr>
              <a:spLocks noTextEdit="1"/>
            </xdr:cNvSpPr>
          </xdr:nvSpPr>
          <xdr:spPr>
            <a:xfrm>
              <a:off x="3282950" y="82551"/>
              <a:ext cx="3467100" cy="419099"/>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13.xml><?xml version="1.0" encoding="utf-8"?>
<xdr:wsDr xmlns:xdr="http://schemas.openxmlformats.org/drawingml/2006/spreadsheetDrawing" xmlns:a="http://schemas.openxmlformats.org/drawingml/2006/main">
  <xdr:absoluteAnchor>
    <xdr:pos x="4185445" y="613569"/>
    <xdr:ext cx="6901655" cy="415924"/>
    <mc:AlternateContent xmlns:mc="http://schemas.openxmlformats.org/markup-compatibility/2006" xmlns:sle15="http://schemas.microsoft.com/office/drawing/2012/slicer">
      <mc:Choice Requires="sle15">
        <xdr:graphicFrame macro="">
          <xdr:nvGraphicFramePr>
            <xdr:cNvPr id="2" name="Year">
              <a:extLst>
                <a:ext uri="{FF2B5EF4-FFF2-40B4-BE49-F238E27FC236}">
                  <a16:creationId xmlns:a16="http://schemas.microsoft.com/office/drawing/2014/main" id="{30843E9A-54C6-6622-D0B7-0931252C4204}"/>
                </a:ext>
              </a:extLst>
            </xdr:cNvPr>
            <xdr:cNvGraphicFramePr>
              <a:graphicFrameLocks/>
            </xdr:cNvGraphicFramePr>
          </xdr:nvGraphicFramePr>
          <xdr:xfrm>
            <a:off x="0" y="0"/>
            <a:ext cx="0" cy="0"/>
          </xdr:xfrm>
          <a:graphic>
            <a:graphicData uri="http://schemas.microsoft.com/office/drawing/2010/slicer">
              <sle:slicer xmlns:sle="http://schemas.microsoft.com/office/drawing/2010/slicer" name="Year"/>
            </a:graphicData>
          </a:graphic>
        </xdr:graphicFrame>
      </mc:Choice>
      <mc:Fallback xmlns="">
        <xdr:sp macro="" textlink="">
          <xdr:nvSpPr>
            <xdr:cNvPr id="0" name=""/>
            <xdr:cNvSpPr>
              <a:spLocks noTextEdit="1"/>
            </xdr:cNvSpPr>
          </xdr:nvSpPr>
          <xdr:spPr>
            <a:xfrm>
              <a:off x="4185445" y="613569"/>
              <a:ext cx="5407025" cy="415924"/>
            </a:xfrm>
            <a:prstGeom prst="rect">
              <a:avLst/>
            </a:prstGeom>
            <a:solidFill>
              <a:prstClr val="white"/>
            </a:solidFill>
            <a:ln w="1">
              <a:solidFill>
                <a:prstClr val="green"/>
              </a:solidFill>
            </a:ln>
          </xdr:spPr>
          <xdr:txBody>
            <a:bodyPr vertOverflow="clip" horzOverflow="clip"/>
            <a:lstStyle/>
            <a:p>
              <a:r>
                <a:rPr lang="en-GB" sz="1100"/>
                <a:t>This shape represents a table slicer. Table slicers are not supported in this version of Excel.
If the shape was modified in an earlier version of Excel, or if the workbook was saved in Excel 2007 or earlier, the slicer can’t be used.</a:t>
              </a:r>
            </a:p>
          </xdr:txBody>
        </xdr:sp>
      </mc:Fallback>
    </mc:AlternateContent>
    <xdr:clientData/>
  </xdr:absoluteAnchor>
  <xdr:twoCellAnchor editAs="absolute">
    <xdr:from>
      <xdr:col>2</xdr:col>
      <xdr:colOff>516254</xdr:colOff>
      <xdr:row>168</xdr:row>
      <xdr:rowOff>36195</xdr:rowOff>
    </xdr:from>
    <xdr:to>
      <xdr:col>5</xdr:col>
      <xdr:colOff>364670</xdr:colOff>
      <xdr:row>171</xdr:row>
      <xdr:rowOff>10070</xdr:rowOff>
    </xdr:to>
    <mc:AlternateContent xmlns:mc="http://schemas.openxmlformats.org/markup-compatibility/2006" xmlns:sle15="http://schemas.microsoft.com/office/drawing/2012/slicer">
      <mc:Choice Requires="sle15">
        <xdr:graphicFrame macro="">
          <xdr:nvGraphicFramePr>
            <xdr:cNvPr id="7" name="Year 13">
              <a:extLst>
                <a:ext uri="{FF2B5EF4-FFF2-40B4-BE49-F238E27FC236}">
                  <a16:creationId xmlns:a16="http://schemas.microsoft.com/office/drawing/2014/main" id="{E9916EC9-2154-68B6-64CD-CB1E6CF2F7B9}"/>
                </a:ext>
              </a:extLst>
            </xdr:cNvPr>
            <xdr:cNvGraphicFramePr>
              <a:graphicFrameLocks/>
            </xdr:cNvGraphicFramePr>
          </xdr:nvGraphicFramePr>
          <xdr:xfrm>
            <a:off x="0" y="0"/>
            <a:ext cx="0" cy="0"/>
          </xdr:xfrm>
          <a:graphic>
            <a:graphicData uri="http://schemas.microsoft.com/office/drawing/2010/slicer">
              <sle:slicer xmlns:sle="http://schemas.microsoft.com/office/drawing/2010/slicer" name="Year 13"/>
            </a:graphicData>
          </a:graphic>
        </xdr:graphicFrame>
      </mc:Choice>
      <mc:Fallback xmlns="">
        <xdr:sp macro="" textlink="">
          <xdr:nvSpPr>
            <xdr:cNvPr id="0" name=""/>
            <xdr:cNvSpPr>
              <a:spLocks noTextEdit="1"/>
            </xdr:cNvSpPr>
          </xdr:nvSpPr>
          <xdr:spPr>
            <a:xfrm>
              <a:off x="4179569" y="9418320"/>
              <a:ext cx="6258741" cy="518705"/>
            </a:xfrm>
            <a:prstGeom prst="rect">
              <a:avLst/>
            </a:prstGeom>
            <a:solidFill>
              <a:prstClr val="white"/>
            </a:solidFill>
            <a:ln w="1">
              <a:solidFill>
                <a:prstClr val="green"/>
              </a:solidFill>
            </a:ln>
          </xdr:spPr>
          <xdr:txBody>
            <a:bodyPr vertOverflow="clip" horzOverflow="clip"/>
            <a:lstStyle/>
            <a:p>
              <a:r>
                <a:rPr lang="en-GB" sz="1100"/>
                <a:t>This shape represents a table slicer. Table slicers are not supported in this version of Excel.
If the shape was modified in an earlier version of Excel, or if the workbook was saved in Excel 2007 or earlier, the slicer can’t be used.</a:t>
              </a:r>
            </a:p>
          </xdr:txBody>
        </xdr:sp>
      </mc:Fallback>
    </mc:AlternateContent>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1466850</xdr:colOff>
      <xdr:row>11</xdr:row>
      <xdr:rowOff>12701</xdr:rowOff>
    </xdr:from>
    <xdr:to>
      <xdr:col>8</xdr:col>
      <xdr:colOff>186055</xdr:colOff>
      <xdr:row>14</xdr:row>
      <xdr:rowOff>132080</xdr:rowOff>
    </xdr:to>
    <mc:AlternateContent xmlns:mc="http://schemas.openxmlformats.org/markup-compatibility/2006" xmlns:a14="http://schemas.microsoft.com/office/drawing/2010/main">
      <mc:Choice Requires="a14">
        <xdr:graphicFrame macro="">
          <xdr:nvGraphicFramePr>
            <xdr:cNvPr id="2" name="Year 27">
              <a:extLst>
                <a:ext uri="{FF2B5EF4-FFF2-40B4-BE49-F238E27FC236}">
                  <a16:creationId xmlns:a16="http://schemas.microsoft.com/office/drawing/2014/main" id="{0256CCD3-4E2B-42DF-ADE8-6AC2220426F1}"/>
                </a:ext>
              </a:extLst>
            </xdr:cNvPr>
            <xdr:cNvGraphicFramePr/>
          </xdr:nvGraphicFramePr>
          <xdr:xfrm>
            <a:off x="0" y="0"/>
            <a:ext cx="0" cy="0"/>
          </xdr:xfrm>
          <a:graphic>
            <a:graphicData uri="http://schemas.microsoft.com/office/drawing/2010/slicer">
              <sle:slicer xmlns:sle="http://schemas.microsoft.com/office/drawing/2010/slicer" name="Year 27"/>
            </a:graphicData>
          </a:graphic>
        </xdr:graphicFrame>
      </mc:Choice>
      <mc:Fallback xmlns="">
        <xdr:sp macro="" textlink="">
          <xdr:nvSpPr>
            <xdr:cNvPr id="0" name=""/>
            <xdr:cNvSpPr>
              <a:spLocks noTextEdit="1"/>
            </xdr:cNvSpPr>
          </xdr:nvSpPr>
          <xdr:spPr>
            <a:xfrm>
              <a:off x="2330450" y="2038351"/>
              <a:ext cx="6419850" cy="685799"/>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15.xml><?xml version="1.0" encoding="utf-8"?>
<xdr:wsDr xmlns:xdr="http://schemas.openxmlformats.org/drawingml/2006/spreadsheetDrawing" xmlns:a="http://schemas.openxmlformats.org/drawingml/2006/main">
  <xdr:twoCellAnchor editAs="oneCell">
    <xdr:from>
      <xdr:col>4</xdr:col>
      <xdr:colOff>88900</xdr:colOff>
      <xdr:row>3</xdr:row>
      <xdr:rowOff>438151</xdr:rowOff>
    </xdr:from>
    <xdr:to>
      <xdr:col>16</xdr:col>
      <xdr:colOff>285751</xdr:colOff>
      <xdr:row>6</xdr:row>
      <xdr:rowOff>28574</xdr:rowOff>
    </xdr:to>
    <mc:AlternateContent xmlns:mc="http://schemas.openxmlformats.org/markup-compatibility/2006" xmlns:a14="http://schemas.microsoft.com/office/drawing/2010/main">
      <mc:Choice Requires="a14">
        <xdr:graphicFrame macro="">
          <xdr:nvGraphicFramePr>
            <xdr:cNvPr id="3" name="Year 28">
              <a:extLst>
                <a:ext uri="{FF2B5EF4-FFF2-40B4-BE49-F238E27FC236}">
                  <a16:creationId xmlns:a16="http://schemas.microsoft.com/office/drawing/2014/main" id="{218F95D5-927D-4497-8D22-81B7AEEC770E}"/>
                </a:ext>
              </a:extLst>
            </xdr:cNvPr>
            <xdr:cNvGraphicFramePr/>
          </xdr:nvGraphicFramePr>
          <xdr:xfrm>
            <a:off x="0" y="0"/>
            <a:ext cx="0" cy="0"/>
          </xdr:xfrm>
          <a:graphic>
            <a:graphicData uri="http://schemas.microsoft.com/office/drawing/2010/slicer">
              <sle:slicer xmlns:sle="http://schemas.microsoft.com/office/drawing/2010/slicer" name="Year 28"/>
            </a:graphicData>
          </a:graphic>
        </xdr:graphicFrame>
      </mc:Choice>
      <mc:Fallback xmlns="">
        <xdr:sp macro="" textlink="">
          <xdr:nvSpPr>
            <xdr:cNvPr id="0" name=""/>
            <xdr:cNvSpPr>
              <a:spLocks noTextEdit="1"/>
            </xdr:cNvSpPr>
          </xdr:nvSpPr>
          <xdr:spPr>
            <a:xfrm>
              <a:off x="4606925" y="1076326"/>
              <a:ext cx="8032751" cy="450848"/>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16.xml><?xml version="1.0" encoding="utf-8"?>
<xdr:wsDr xmlns:xdr="http://schemas.openxmlformats.org/drawingml/2006/spreadsheetDrawing" xmlns:a="http://schemas.openxmlformats.org/drawingml/2006/main">
  <xdr:twoCellAnchor editAs="oneCell">
    <xdr:from>
      <xdr:col>2</xdr:col>
      <xdr:colOff>848784</xdr:colOff>
      <xdr:row>9</xdr:row>
      <xdr:rowOff>73025</xdr:rowOff>
    </xdr:from>
    <xdr:to>
      <xdr:col>4</xdr:col>
      <xdr:colOff>282484</xdr:colOff>
      <xdr:row>23</xdr:row>
      <xdr:rowOff>18204</xdr:rowOff>
    </xdr:to>
    <mc:AlternateContent xmlns:mc="http://schemas.openxmlformats.org/markup-compatibility/2006" xmlns:a14="http://schemas.microsoft.com/office/drawing/2010/main">
      <mc:Choice Requires="a14">
        <xdr:graphicFrame macro="">
          <xdr:nvGraphicFramePr>
            <xdr:cNvPr id="2" name="Year 2">
              <a:extLst>
                <a:ext uri="{FF2B5EF4-FFF2-40B4-BE49-F238E27FC236}">
                  <a16:creationId xmlns:a16="http://schemas.microsoft.com/office/drawing/2014/main" id="{956EC97D-C43B-4B90-B3F9-03A2EAAE3DF7}"/>
                </a:ext>
              </a:extLst>
            </xdr:cNvPr>
            <xdr:cNvGraphicFramePr/>
          </xdr:nvGraphicFramePr>
          <xdr:xfrm>
            <a:off x="0" y="0"/>
            <a:ext cx="0" cy="0"/>
          </xdr:xfrm>
          <a:graphic>
            <a:graphicData uri="http://schemas.microsoft.com/office/drawing/2010/slicer">
              <sle:slicer xmlns:sle="http://schemas.microsoft.com/office/drawing/2010/slicer" name="Year 2"/>
            </a:graphicData>
          </a:graphic>
        </xdr:graphicFrame>
      </mc:Choice>
      <mc:Fallback xmlns="">
        <xdr:sp macro="" textlink="">
          <xdr:nvSpPr>
            <xdr:cNvPr id="0" name=""/>
            <xdr:cNvSpPr>
              <a:spLocks noTextEdit="1"/>
            </xdr:cNvSpPr>
          </xdr:nvSpPr>
          <xdr:spPr>
            <a:xfrm>
              <a:off x="5936192" y="1692275"/>
              <a:ext cx="1835502" cy="2472267"/>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1363658</xdr:colOff>
      <xdr:row>0</xdr:row>
      <xdr:rowOff>134938</xdr:rowOff>
    </xdr:from>
    <xdr:to>
      <xdr:col>8</xdr:col>
      <xdr:colOff>198437</xdr:colOff>
      <xdr:row>1</xdr:row>
      <xdr:rowOff>260349</xdr:rowOff>
    </xdr:to>
    <mc:AlternateContent xmlns:mc="http://schemas.openxmlformats.org/markup-compatibility/2006" xmlns:a14="http://schemas.microsoft.com/office/drawing/2010/main">
      <mc:Choice Requires="a14">
        <xdr:graphicFrame macro="">
          <xdr:nvGraphicFramePr>
            <xdr:cNvPr id="4" name="Year 3">
              <a:extLst>
                <a:ext uri="{FF2B5EF4-FFF2-40B4-BE49-F238E27FC236}">
                  <a16:creationId xmlns:a16="http://schemas.microsoft.com/office/drawing/2014/main" id="{7954B893-2E36-47AC-B515-2846839472DD}"/>
                </a:ext>
              </a:extLst>
            </xdr:cNvPr>
            <xdr:cNvGraphicFramePr/>
          </xdr:nvGraphicFramePr>
          <xdr:xfrm>
            <a:off x="0" y="0"/>
            <a:ext cx="0" cy="0"/>
          </xdr:xfrm>
          <a:graphic>
            <a:graphicData uri="http://schemas.microsoft.com/office/drawing/2010/slicer">
              <sle:slicer xmlns:sle="http://schemas.microsoft.com/office/drawing/2010/slicer" name="Year 3"/>
            </a:graphicData>
          </a:graphic>
        </xdr:graphicFrame>
      </mc:Choice>
      <mc:Fallback xmlns="">
        <xdr:sp macro="" textlink="">
          <xdr:nvSpPr>
            <xdr:cNvPr id="0" name=""/>
            <xdr:cNvSpPr>
              <a:spLocks noTextEdit="1"/>
            </xdr:cNvSpPr>
          </xdr:nvSpPr>
          <xdr:spPr>
            <a:xfrm>
              <a:off x="2555873" y="134938"/>
              <a:ext cx="6731001" cy="412749"/>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18.xml><?xml version="1.0" encoding="utf-8"?>
<xdr:wsDr xmlns:xdr="http://schemas.openxmlformats.org/drawingml/2006/spreadsheetDrawing" xmlns:a="http://schemas.openxmlformats.org/drawingml/2006/main">
  <xdr:twoCellAnchor editAs="oneCell">
    <xdr:from>
      <xdr:col>2</xdr:col>
      <xdr:colOff>749300</xdr:colOff>
      <xdr:row>11</xdr:row>
      <xdr:rowOff>12701</xdr:rowOff>
    </xdr:from>
    <xdr:to>
      <xdr:col>7</xdr:col>
      <xdr:colOff>816135</xdr:colOff>
      <xdr:row>15</xdr:row>
      <xdr:rowOff>19051</xdr:rowOff>
    </xdr:to>
    <mc:AlternateContent xmlns:mc="http://schemas.openxmlformats.org/markup-compatibility/2006" xmlns:a14="http://schemas.microsoft.com/office/drawing/2010/main">
      <mc:Choice Requires="a14">
        <xdr:graphicFrame macro="">
          <xdr:nvGraphicFramePr>
            <xdr:cNvPr id="2" name="Year 1">
              <a:extLst>
                <a:ext uri="{FF2B5EF4-FFF2-40B4-BE49-F238E27FC236}">
                  <a16:creationId xmlns:a16="http://schemas.microsoft.com/office/drawing/2014/main" id="{662A27CC-4AAF-44D7-BE3F-FE7C3D0D08F7}"/>
                </a:ext>
              </a:extLst>
            </xdr:cNvPr>
            <xdr:cNvGraphicFramePr/>
          </xdr:nvGraphicFramePr>
          <xdr:xfrm>
            <a:off x="0" y="0"/>
            <a:ext cx="0" cy="0"/>
          </xdr:xfrm>
          <a:graphic>
            <a:graphicData uri="http://schemas.microsoft.com/office/drawing/2010/slicer">
              <sle:slicer xmlns:sle="http://schemas.microsoft.com/office/drawing/2010/slicer" name="Year 1"/>
            </a:graphicData>
          </a:graphic>
        </xdr:graphicFrame>
      </mc:Choice>
      <mc:Fallback xmlns="">
        <xdr:sp macro="" textlink="">
          <xdr:nvSpPr>
            <xdr:cNvPr id="0" name=""/>
            <xdr:cNvSpPr>
              <a:spLocks noTextEdit="1"/>
            </xdr:cNvSpPr>
          </xdr:nvSpPr>
          <xdr:spPr>
            <a:xfrm>
              <a:off x="3117850" y="2038351"/>
              <a:ext cx="7677150" cy="730250"/>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19.xml><?xml version="1.0" encoding="utf-8"?>
<xdr:wsDr xmlns:xdr="http://schemas.openxmlformats.org/drawingml/2006/spreadsheetDrawing" xmlns:a="http://schemas.openxmlformats.org/drawingml/2006/main">
  <xdr:twoCellAnchor editAs="oneCell">
    <xdr:from>
      <xdr:col>2</xdr:col>
      <xdr:colOff>177800</xdr:colOff>
      <xdr:row>2</xdr:row>
      <xdr:rowOff>101600</xdr:rowOff>
    </xdr:from>
    <xdr:to>
      <xdr:col>13</xdr:col>
      <xdr:colOff>152400</xdr:colOff>
      <xdr:row>3</xdr:row>
      <xdr:rowOff>314325</xdr:rowOff>
    </xdr:to>
    <mc:AlternateContent xmlns:mc="http://schemas.openxmlformats.org/markup-compatibility/2006" xmlns:a14="http://schemas.microsoft.com/office/drawing/2010/main">
      <mc:Choice Requires="a14">
        <xdr:graphicFrame macro="">
          <xdr:nvGraphicFramePr>
            <xdr:cNvPr id="3" name="Year 29">
              <a:extLst>
                <a:ext uri="{FF2B5EF4-FFF2-40B4-BE49-F238E27FC236}">
                  <a16:creationId xmlns:a16="http://schemas.microsoft.com/office/drawing/2014/main" id="{87616990-656F-4BE7-9FCB-436389F5B6E1}"/>
                </a:ext>
              </a:extLst>
            </xdr:cNvPr>
            <xdr:cNvGraphicFramePr/>
          </xdr:nvGraphicFramePr>
          <xdr:xfrm>
            <a:off x="0" y="0"/>
            <a:ext cx="0" cy="0"/>
          </xdr:xfrm>
          <a:graphic>
            <a:graphicData uri="http://schemas.microsoft.com/office/drawing/2010/slicer">
              <sle:slicer xmlns:sle="http://schemas.microsoft.com/office/drawing/2010/slicer" name="Year 29"/>
            </a:graphicData>
          </a:graphic>
        </xdr:graphicFrame>
      </mc:Choice>
      <mc:Fallback xmlns="">
        <xdr:sp macro="" textlink="">
          <xdr:nvSpPr>
            <xdr:cNvPr id="0" name=""/>
            <xdr:cNvSpPr>
              <a:spLocks noTextEdit="1"/>
            </xdr:cNvSpPr>
          </xdr:nvSpPr>
          <xdr:spPr>
            <a:xfrm>
              <a:off x="3232150" y="520700"/>
              <a:ext cx="7677150" cy="730250"/>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20.xml><?xml version="1.0" encoding="utf-8"?>
<xdr:wsDr xmlns:xdr="http://schemas.openxmlformats.org/drawingml/2006/spreadsheetDrawing" xmlns:a="http://schemas.openxmlformats.org/drawingml/2006/main">
  <xdr:twoCellAnchor editAs="oneCell">
    <xdr:from>
      <xdr:col>1</xdr:col>
      <xdr:colOff>1454150</xdr:colOff>
      <xdr:row>11</xdr:row>
      <xdr:rowOff>12701</xdr:rowOff>
    </xdr:from>
    <xdr:to>
      <xdr:col>3</xdr:col>
      <xdr:colOff>930910</xdr:colOff>
      <xdr:row>15</xdr:row>
      <xdr:rowOff>19050</xdr:rowOff>
    </xdr:to>
    <mc:AlternateContent xmlns:mc="http://schemas.openxmlformats.org/markup-compatibility/2006" xmlns:a14="http://schemas.microsoft.com/office/drawing/2010/main">
      <mc:Choice Requires="a14">
        <xdr:graphicFrame macro="">
          <xdr:nvGraphicFramePr>
            <xdr:cNvPr id="2" name="Year 30">
              <a:extLst>
                <a:ext uri="{FF2B5EF4-FFF2-40B4-BE49-F238E27FC236}">
                  <a16:creationId xmlns:a16="http://schemas.microsoft.com/office/drawing/2014/main" id="{D85BBCD5-6AF6-4176-8D1D-F8B66ECCCDA8}"/>
                </a:ext>
              </a:extLst>
            </xdr:cNvPr>
            <xdr:cNvGraphicFramePr/>
          </xdr:nvGraphicFramePr>
          <xdr:xfrm>
            <a:off x="0" y="0"/>
            <a:ext cx="0" cy="0"/>
          </xdr:xfrm>
          <a:graphic>
            <a:graphicData uri="http://schemas.microsoft.com/office/drawing/2010/slicer">
              <sle:slicer xmlns:sle="http://schemas.microsoft.com/office/drawing/2010/slicer" name="Year 30"/>
            </a:graphicData>
          </a:graphic>
        </xdr:graphicFrame>
      </mc:Choice>
      <mc:Fallback xmlns="">
        <xdr:sp macro="" textlink="">
          <xdr:nvSpPr>
            <xdr:cNvPr id="0" name=""/>
            <xdr:cNvSpPr>
              <a:spLocks noTextEdit="1"/>
            </xdr:cNvSpPr>
          </xdr:nvSpPr>
          <xdr:spPr>
            <a:xfrm>
              <a:off x="3117850" y="2038351"/>
              <a:ext cx="2857500" cy="742949"/>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21.xml><?xml version="1.0" encoding="utf-8"?>
<xdr:wsDr xmlns:xdr="http://schemas.openxmlformats.org/drawingml/2006/spreadsheetDrawing" xmlns:a="http://schemas.openxmlformats.org/drawingml/2006/main">
  <xdr:twoCellAnchor editAs="oneCell">
    <xdr:from>
      <xdr:col>3</xdr:col>
      <xdr:colOff>695325</xdr:colOff>
      <xdr:row>5</xdr:row>
      <xdr:rowOff>9525</xdr:rowOff>
    </xdr:from>
    <xdr:to>
      <xdr:col>9</xdr:col>
      <xdr:colOff>539750</xdr:colOff>
      <xdr:row>7</xdr:row>
      <xdr:rowOff>85725</xdr:rowOff>
    </xdr:to>
    <mc:AlternateContent xmlns:mc="http://schemas.openxmlformats.org/markup-compatibility/2006" xmlns:a14="http://schemas.microsoft.com/office/drawing/2010/main">
      <mc:Choice Requires="a14">
        <xdr:graphicFrame macro="">
          <xdr:nvGraphicFramePr>
            <xdr:cNvPr id="3" name="Year 31">
              <a:extLst>
                <a:ext uri="{FF2B5EF4-FFF2-40B4-BE49-F238E27FC236}">
                  <a16:creationId xmlns:a16="http://schemas.microsoft.com/office/drawing/2014/main" id="{8D17241F-0E8A-4607-9CE7-E6997F8EE932}"/>
                </a:ext>
              </a:extLst>
            </xdr:cNvPr>
            <xdr:cNvGraphicFramePr/>
          </xdr:nvGraphicFramePr>
          <xdr:xfrm>
            <a:off x="0" y="0"/>
            <a:ext cx="0" cy="0"/>
          </xdr:xfrm>
          <a:graphic>
            <a:graphicData uri="http://schemas.microsoft.com/office/drawing/2010/slicer">
              <sle:slicer xmlns:sle="http://schemas.microsoft.com/office/drawing/2010/slicer" name="Year 31"/>
            </a:graphicData>
          </a:graphic>
        </xdr:graphicFrame>
      </mc:Choice>
      <mc:Fallback xmlns="">
        <xdr:sp macro="" textlink="">
          <xdr:nvSpPr>
            <xdr:cNvPr id="0" name=""/>
            <xdr:cNvSpPr>
              <a:spLocks noTextEdit="1"/>
            </xdr:cNvSpPr>
          </xdr:nvSpPr>
          <xdr:spPr>
            <a:xfrm>
              <a:off x="4311650" y="987425"/>
              <a:ext cx="4518025" cy="438150"/>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22.xml><?xml version="1.0" encoding="utf-8"?>
<xdr:wsDr xmlns:xdr="http://schemas.openxmlformats.org/drawingml/2006/spreadsheetDrawing" xmlns:a="http://schemas.openxmlformats.org/drawingml/2006/main">
  <xdr:twoCellAnchor editAs="oneCell">
    <xdr:from>
      <xdr:col>2</xdr:col>
      <xdr:colOff>749300</xdr:colOff>
      <xdr:row>11</xdr:row>
      <xdr:rowOff>12701</xdr:rowOff>
    </xdr:from>
    <xdr:to>
      <xdr:col>6</xdr:col>
      <xdr:colOff>609600</xdr:colOff>
      <xdr:row>15</xdr:row>
      <xdr:rowOff>0</xdr:rowOff>
    </xdr:to>
    <mc:AlternateContent xmlns:mc="http://schemas.openxmlformats.org/markup-compatibility/2006" xmlns:a14="http://schemas.microsoft.com/office/drawing/2010/main">
      <mc:Choice Requires="a14">
        <xdr:graphicFrame macro="">
          <xdr:nvGraphicFramePr>
            <xdr:cNvPr id="2" name="Year 32">
              <a:extLst>
                <a:ext uri="{FF2B5EF4-FFF2-40B4-BE49-F238E27FC236}">
                  <a16:creationId xmlns:a16="http://schemas.microsoft.com/office/drawing/2014/main" id="{7E682724-E8CC-4D7F-A806-28589E9F347B}"/>
                </a:ext>
              </a:extLst>
            </xdr:cNvPr>
            <xdr:cNvGraphicFramePr/>
          </xdr:nvGraphicFramePr>
          <xdr:xfrm>
            <a:off x="0" y="0"/>
            <a:ext cx="0" cy="0"/>
          </xdr:xfrm>
          <a:graphic>
            <a:graphicData uri="http://schemas.microsoft.com/office/drawing/2010/slicer">
              <sle:slicer xmlns:sle="http://schemas.microsoft.com/office/drawing/2010/slicer" name="Year 32"/>
            </a:graphicData>
          </a:graphic>
        </xdr:graphicFrame>
      </mc:Choice>
      <mc:Fallback xmlns="">
        <xdr:sp macro="" textlink="">
          <xdr:nvSpPr>
            <xdr:cNvPr id="0" name=""/>
            <xdr:cNvSpPr>
              <a:spLocks noTextEdit="1"/>
            </xdr:cNvSpPr>
          </xdr:nvSpPr>
          <xdr:spPr>
            <a:xfrm>
              <a:off x="3117850" y="2038351"/>
              <a:ext cx="5753100" cy="723899"/>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23.xml><?xml version="1.0" encoding="utf-8"?>
<xdr:wsDr xmlns:xdr="http://schemas.openxmlformats.org/drawingml/2006/spreadsheetDrawing" xmlns:a="http://schemas.openxmlformats.org/drawingml/2006/main">
  <xdr:twoCellAnchor editAs="oneCell">
    <xdr:from>
      <xdr:col>3</xdr:col>
      <xdr:colOff>285750</xdr:colOff>
      <xdr:row>4</xdr:row>
      <xdr:rowOff>57151</xdr:rowOff>
    </xdr:from>
    <xdr:to>
      <xdr:col>14</xdr:col>
      <xdr:colOff>190500</xdr:colOff>
      <xdr:row>6</xdr:row>
      <xdr:rowOff>104776</xdr:rowOff>
    </xdr:to>
    <mc:AlternateContent xmlns:mc="http://schemas.openxmlformats.org/markup-compatibility/2006" xmlns:a14="http://schemas.microsoft.com/office/drawing/2010/main">
      <mc:Choice Requires="a14">
        <xdr:graphicFrame macro="">
          <xdr:nvGraphicFramePr>
            <xdr:cNvPr id="4" name="Year 33">
              <a:extLst>
                <a:ext uri="{FF2B5EF4-FFF2-40B4-BE49-F238E27FC236}">
                  <a16:creationId xmlns:a16="http://schemas.microsoft.com/office/drawing/2014/main" id="{F12ECBC4-4F8A-42DB-AE61-7383098A335B}"/>
                </a:ext>
              </a:extLst>
            </xdr:cNvPr>
            <xdr:cNvGraphicFramePr/>
          </xdr:nvGraphicFramePr>
          <xdr:xfrm>
            <a:off x="0" y="0"/>
            <a:ext cx="0" cy="0"/>
          </xdr:xfrm>
          <a:graphic>
            <a:graphicData uri="http://schemas.microsoft.com/office/drawing/2010/slicer">
              <sle:slicer xmlns:sle="http://schemas.microsoft.com/office/drawing/2010/slicer" name="Year 33"/>
            </a:graphicData>
          </a:graphic>
        </xdr:graphicFrame>
      </mc:Choice>
      <mc:Fallback xmlns="">
        <xdr:sp macro="" textlink="">
          <xdr:nvSpPr>
            <xdr:cNvPr id="0" name=""/>
            <xdr:cNvSpPr>
              <a:spLocks noTextEdit="1"/>
            </xdr:cNvSpPr>
          </xdr:nvSpPr>
          <xdr:spPr>
            <a:xfrm>
              <a:off x="3816350" y="1079501"/>
              <a:ext cx="5753100" cy="425450"/>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24.xml><?xml version="1.0" encoding="utf-8"?>
<xdr:wsDr xmlns:xdr="http://schemas.openxmlformats.org/drawingml/2006/spreadsheetDrawing" xmlns:a="http://schemas.openxmlformats.org/drawingml/2006/main">
  <xdr:twoCellAnchor editAs="oneCell">
    <xdr:from>
      <xdr:col>0</xdr:col>
      <xdr:colOff>3003550</xdr:colOff>
      <xdr:row>11</xdr:row>
      <xdr:rowOff>19051</xdr:rowOff>
    </xdr:from>
    <xdr:to>
      <xdr:col>3</xdr:col>
      <xdr:colOff>1312002</xdr:colOff>
      <xdr:row>15</xdr:row>
      <xdr:rowOff>93346</xdr:rowOff>
    </xdr:to>
    <mc:AlternateContent xmlns:mc="http://schemas.openxmlformats.org/markup-compatibility/2006" xmlns:a14="http://schemas.microsoft.com/office/drawing/2010/main">
      <mc:Choice Requires="a14">
        <xdr:graphicFrame macro="">
          <xdr:nvGraphicFramePr>
            <xdr:cNvPr id="2" name="Year 34">
              <a:extLst>
                <a:ext uri="{FF2B5EF4-FFF2-40B4-BE49-F238E27FC236}">
                  <a16:creationId xmlns:a16="http://schemas.microsoft.com/office/drawing/2014/main" id="{63C52D16-3F82-4935-AF89-A554DD3B899F}"/>
                </a:ext>
              </a:extLst>
            </xdr:cNvPr>
            <xdr:cNvGraphicFramePr/>
          </xdr:nvGraphicFramePr>
          <xdr:xfrm>
            <a:off x="0" y="0"/>
            <a:ext cx="0" cy="0"/>
          </xdr:xfrm>
          <a:graphic>
            <a:graphicData uri="http://schemas.microsoft.com/office/drawing/2010/slicer">
              <sle:slicer xmlns:sle="http://schemas.microsoft.com/office/drawing/2010/slicer" name="Year 34"/>
            </a:graphicData>
          </a:graphic>
        </xdr:graphicFrame>
      </mc:Choice>
      <mc:Fallback xmlns="">
        <xdr:sp macro="" textlink="">
          <xdr:nvSpPr>
            <xdr:cNvPr id="0" name=""/>
            <xdr:cNvSpPr>
              <a:spLocks noTextEdit="1"/>
            </xdr:cNvSpPr>
          </xdr:nvSpPr>
          <xdr:spPr>
            <a:xfrm>
              <a:off x="3003550" y="2044701"/>
              <a:ext cx="6553200" cy="825500"/>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25.xml><?xml version="1.0" encoding="utf-8"?>
<xdr:wsDr xmlns:xdr="http://schemas.openxmlformats.org/drawingml/2006/spreadsheetDrawing" xmlns:a="http://schemas.openxmlformats.org/drawingml/2006/main">
  <xdr:twoCellAnchor editAs="oneCell">
    <xdr:from>
      <xdr:col>1</xdr:col>
      <xdr:colOff>2650332</xdr:colOff>
      <xdr:row>0</xdr:row>
      <xdr:rowOff>59533</xdr:rowOff>
    </xdr:from>
    <xdr:to>
      <xdr:col>9</xdr:col>
      <xdr:colOff>856456</xdr:colOff>
      <xdr:row>1</xdr:row>
      <xdr:rowOff>134779</xdr:rowOff>
    </xdr:to>
    <mc:AlternateContent xmlns:mc="http://schemas.openxmlformats.org/markup-compatibility/2006" xmlns:a14="http://schemas.microsoft.com/office/drawing/2010/main">
      <mc:Choice Requires="a14">
        <xdr:graphicFrame macro="">
          <xdr:nvGraphicFramePr>
            <xdr:cNvPr id="3" name="Year 35">
              <a:extLst>
                <a:ext uri="{FF2B5EF4-FFF2-40B4-BE49-F238E27FC236}">
                  <a16:creationId xmlns:a16="http://schemas.microsoft.com/office/drawing/2014/main" id="{6C011A85-534A-465C-84B4-00BB6B6A6909}"/>
                </a:ext>
              </a:extLst>
            </xdr:cNvPr>
            <xdr:cNvGraphicFramePr/>
          </xdr:nvGraphicFramePr>
          <xdr:xfrm>
            <a:off x="0" y="0"/>
            <a:ext cx="0" cy="0"/>
          </xdr:xfrm>
          <a:graphic>
            <a:graphicData uri="http://schemas.microsoft.com/office/drawing/2010/slicer">
              <sle:slicer xmlns:sle="http://schemas.microsoft.com/office/drawing/2010/slicer" name="Year 35"/>
            </a:graphicData>
          </a:graphic>
        </xdr:graphicFrame>
      </mc:Choice>
      <mc:Fallback xmlns="">
        <xdr:sp macro="" textlink="">
          <xdr:nvSpPr>
            <xdr:cNvPr id="0" name=""/>
            <xdr:cNvSpPr>
              <a:spLocks noTextEdit="1"/>
            </xdr:cNvSpPr>
          </xdr:nvSpPr>
          <xdr:spPr>
            <a:xfrm>
              <a:off x="3849361" y="59533"/>
              <a:ext cx="6913475" cy="418818"/>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26.xml><?xml version="1.0" encoding="utf-8"?>
<xdr:wsDr xmlns:xdr="http://schemas.openxmlformats.org/drawingml/2006/spreadsheetDrawing" xmlns:a="http://schemas.openxmlformats.org/drawingml/2006/main">
  <xdr:twoCellAnchor editAs="oneCell">
    <xdr:from>
      <xdr:col>1</xdr:col>
      <xdr:colOff>1206500</xdr:colOff>
      <xdr:row>11</xdr:row>
      <xdr:rowOff>12701</xdr:rowOff>
    </xdr:from>
    <xdr:to>
      <xdr:col>9</xdr:col>
      <xdr:colOff>548640</xdr:colOff>
      <xdr:row>15</xdr:row>
      <xdr:rowOff>20955</xdr:rowOff>
    </xdr:to>
    <mc:AlternateContent xmlns:mc="http://schemas.openxmlformats.org/markup-compatibility/2006" xmlns:a14="http://schemas.microsoft.com/office/drawing/2010/main">
      <mc:Choice Requires="a14">
        <xdr:graphicFrame macro="">
          <xdr:nvGraphicFramePr>
            <xdr:cNvPr id="2" name="Year 36">
              <a:extLst>
                <a:ext uri="{FF2B5EF4-FFF2-40B4-BE49-F238E27FC236}">
                  <a16:creationId xmlns:a16="http://schemas.microsoft.com/office/drawing/2014/main" id="{C525BA9A-F0CE-453E-9CAA-2FF00CFF2782}"/>
                </a:ext>
              </a:extLst>
            </xdr:cNvPr>
            <xdr:cNvGraphicFramePr/>
          </xdr:nvGraphicFramePr>
          <xdr:xfrm>
            <a:off x="0" y="0"/>
            <a:ext cx="0" cy="0"/>
          </xdr:xfrm>
          <a:graphic>
            <a:graphicData uri="http://schemas.microsoft.com/office/drawing/2010/slicer">
              <sle:slicer xmlns:sle="http://schemas.microsoft.com/office/drawing/2010/slicer" name="Year 36"/>
            </a:graphicData>
          </a:graphic>
        </xdr:graphicFrame>
      </mc:Choice>
      <mc:Fallback xmlns="">
        <xdr:sp macro="" textlink="">
          <xdr:nvSpPr>
            <xdr:cNvPr id="0" name=""/>
            <xdr:cNvSpPr>
              <a:spLocks noTextEdit="1"/>
            </xdr:cNvSpPr>
          </xdr:nvSpPr>
          <xdr:spPr>
            <a:xfrm>
              <a:off x="2565400" y="2038351"/>
              <a:ext cx="6477000" cy="755649"/>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27.xml><?xml version="1.0" encoding="utf-8"?>
<xdr:wsDr xmlns:xdr="http://schemas.openxmlformats.org/drawingml/2006/spreadsheetDrawing" xmlns:a="http://schemas.openxmlformats.org/drawingml/2006/main">
  <xdr:twoCellAnchor editAs="oneCell">
    <xdr:from>
      <xdr:col>1</xdr:col>
      <xdr:colOff>1945004</xdr:colOff>
      <xdr:row>0</xdr:row>
      <xdr:rowOff>38101</xdr:rowOff>
    </xdr:from>
    <xdr:to>
      <xdr:col>12</xdr:col>
      <xdr:colOff>535304</xdr:colOff>
      <xdr:row>1</xdr:row>
      <xdr:rowOff>190500</xdr:rowOff>
    </xdr:to>
    <mc:AlternateContent xmlns:mc="http://schemas.openxmlformats.org/markup-compatibility/2006" xmlns:a14="http://schemas.microsoft.com/office/drawing/2010/main">
      <mc:Choice Requires="a14">
        <xdr:graphicFrame macro="">
          <xdr:nvGraphicFramePr>
            <xdr:cNvPr id="4" name="Year 37">
              <a:extLst>
                <a:ext uri="{FF2B5EF4-FFF2-40B4-BE49-F238E27FC236}">
                  <a16:creationId xmlns:a16="http://schemas.microsoft.com/office/drawing/2014/main" id="{FB22520B-003E-4F61-833E-DE81C3B263EB}"/>
                </a:ext>
              </a:extLst>
            </xdr:cNvPr>
            <xdr:cNvGraphicFramePr/>
          </xdr:nvGraphicFramePr>
          <xdr:xfrm>
            <a:off x="0" y="0"/>
            <a:ext cx="0" cy="0"/>
          </xdr:xfrm>
          <a:graphic>
            <a:graphicData uri="http://schemas.microsoft.com/office/drawing/2010/slicer">
              <sle:slicer xmlns:sle="http://schemas.microsoft.com/office/drawing/2010/slicer" name="Year 37"/>
            </a:graphicData>
          </a:graphic>
        </xdr:graphicFrame>
      </mc:Choice>
      <mc:Fallback xmlns="">
        <xdr:sp macro="" textlink="">
          <xdr:nvSpPr>
            <xdr:cNvPr id="0" name=""/>
            <xdr:cNvSpPr>
              <a:spLocks noTextEdit="1"/>
            </xdr:cNvSpPr>
          </xdr:nvSpPr>
          <xdr:spPr>
            <a:xfrm>
              <a:off x="3107054" y="38101"/>
              <a:ext cx="8181975" cy="400049"/>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28.xml><?xml version="1.0" encoding="utf-8"?>
<xdr:wsDr xmlns:xdr="http://schemas.openxmlformats.org/drawingml/2006/spreadsheetDrawing" xmlns:a="http://schemas.openxmlformats.org/drawingml/2006/main">
  <xdr:twoCellAnchor editAs="oneCell">
    <xdr:from>
      <xdr:col>2</xdr:col>
      <xdr:colOff>1117600</xdr:colOff>
      <xdr:row>11</xdr:row>
      <xdr:rowOff>12701</xdr:rowOff>
    </xdr:from>
    <xdr:to>
      <xdr:col>7</xdr:col>
      <xdr:colOff>169545</xdr:colOff>
      <xdr:row>13</xdr:row>
      <xdr:rowOff>130175</xdr:rowOff>
    </xdr:to>
    <mc:AlternateContent xmlns:mc="http://schemas.openxmlformats.org/markup-compatibility/2006" xmlns:a14="http://schemas.microsoft.com/office/drawing/2010/main">
      <mc:Choice Requires="a14">
        <xdr:graphicFrame macro="">
          <xdr:nvGraphicFramePr>
            <xdr:cNvPr id="3" name="Year 4">
              <a:extLst>
                <a:ext uri="{FF2B5EF4-FFF2-40B4-BE49-F238E27FC236}">
                  <a16:creationId xmlns:a16="http://schemas.microsoft.com/office/drawing/2014/main" id="{27B5E207-9A79-4FF9-A9B5-DB43B5FFC589}"/>
                </a:ext>
              </a:extLst>
            </xdr:cNvPr>
            <xdr:cNvGraphicFramePr/>
          </xdr:nvGraphicFramePr>
          <xdr:xfrm>
            <a:off x="0" y="0"/>
            <a:ext cx="0" cy="0"/>
          </xdr:xfrm>
          <a:graphic>
            <a:graphicData uri="http://schemas.microsoft.com/office/drawing/2010/slicer">
              <sle:slicer xmlns:sle="http://schemas.microsoft.com/office/drawing/2010/slicer" name="Year 4"/>
            </a:graphicData>
          </a:graphic>
        </xdr:graphicFrame>
      </mc:Choice>
      <mc:Fallback xmlns="">
        <xdr:sp macro="" textlink="">
          <xdr:nvSpPr>
            <xdr:cNvPr id="0" name=""/>
            <xdr:cNvSpPr>
              <a:spLocks noTextEdit="1"/>
            </xdr:cNvSpPr>
          </xdr:nvSpPr>
          <xdr:spPr>
            <a:xfrm>
              <a:off x="3448050" y="2038351"/>
              <a:ext cx="6559550" cy="482599"/>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29.xml><?xml version="1.0" encoding="utf-8"?>
<xdr:wsDr xmlns:xdr="http://schemas.openxmlformats.org/drawingml/2006/spreadsheetDrawing" xmlns:a="http://schemas.openxmlformats.org/drawingml/2006/main">
  <xdr:twoCellAnchor editAs="oneCell">
    <xdr:from>
      <xdr:col>2</xdr:col>
      <xdr:colOff>304800</xdr:colOff>
      <xdr:row>12</xdr:row>
      <xdr:rowOff>171451</xdr:rowOff>
    </xdr:from>
    <xdr:to>
      <xdr:col>6</xdr:col>
      <xdr:colOff>1163955</xdr:colOff>
      <xdr:row>16</xdr:row>
      <xdr:rowOff>132081</xdr:rowOff>
    </xdr:to>
    <mc:AlternateContent xmlns:mc="http://schemas.openxmlformats.org/markup-compatibility/2006" xmlns:a14="http://schemas.microsoft.com/office/drawing/2010/main">
      <mc:Choice Requires="a14">
        <xdr:graphicFrame macro="">
          <xdr:nvGraphicFramePr>
            <xdr:cNvPr id="2" name="Year 56">
              <a:extLst>
                <a:ext uri="{FF2B5EF4-FFF2-40B4-BE49-F238E27FC236}">
                  <a16:creationId xmlns:a16="http://schemas.microsoft.com/office/drawing/2014/main" id="{3FB36FFD-6EA0-4BA5-9450-F04DD010A6A2}"/>
                </a:ext>
              </a:extLst>
            </xdr:cNvPr>
            <xdr:cNvGraphicFramePr/>
          </xdr:nvGraphicFramePr>
          <xdr:xfrm>
            <a:off x="0" y="0"/>
            <a:ext cx="0" cy="0"/>
          </xdr:xfrm>
          <a:graphic>
            <a:graphicData uri="http://schemas.microsoft.com/office/drawing/2010/slicer">
              <sle:slicer xmlns:sle="http://schemas.microsoft.com/office/drawing/2010/slicer" name="Year 56"/>
            </a:graphicData>
          </a:graphic>
        </xdr:graphicFrame>
      </mc:Choice>
      <mc:Fallback xmlns="">
        <xdr:sp macro="" textlink="">
          <xdr:nvSpPr>
            <xdr:cNvPr id="0" name=""/>
            <xdr:cNvSpPr>
              <a:spLocks noTextEdit="1"/>
            </xdr:cNvSpPr>
          </xdr:nvSpPr>
          <xdr:spPr>
            <a:xfrm>
              <a:off x="2279650" y="2381251"/>
              <a:ext cx="6673850" cy="711200"/>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30.xml><?xml version="1.0" encoding="utf-8"?>
<xdr:wsDr xmlns:xdr="http://schemas.openxmlformats.org/drawingml/2006/spreadsheetDrawing" xmlns:a="http://schemas.openxmlformats.org/drawingml/2006/main">
  <xdr:twoCellAnchor editAs="oneCell">
    <xdr:from>
      <xdr:col>2</xdr:col>
      <xdr:colOff>53976</xdr:colOff>
      <xdr:row>19</xdr:row>
      <xdr:rowOff>104775</xdr:rowOff>
    </xdr:from>
    <xdr:to>
      <xdr:col>11</xdr:col>
      <xdr:colOff>161926</xdr:colOff>
      <xdr:row>21</xdr:row>
      <xdr:rowOff>152400</xdr:rowOff>
    </xdr:to>
    <mc:AlternateContent xmlns:mc="http://schemas.openxmlformats.org/markup-compatibility/2006" xmlns:a14="http://schemas.microsoft.com/office/drawing/2010/main">
      <mc:Choice Requires="a14">
        <xdr:graphicFrame macro="">
          <xdr:nvGraphicFramePr>
            <xdr:cNvPr id="5" name="Year 57">
              <a:extLst>
                <a:ext uri="{FF2B5EF4-FFF2-40B4-BE49-F238E27FC236}">
                  <a16:creationId xmlns:a16="http://schemas.microsoft.com/office/drawing/2014/main" id="{1A153471-4BA5-46D6-A558-5A85628F0EFB}"/>
                </a:ext>
              </a:extLst>
            </xdr:cNvPr>
            <xdr:cNvGraphicFramePr/>
          </xdr:nvGraphicFramePr>
          <xdr:xfrm>
            <a:off x="0" y="0"/>
            <a:ext cx="0" cy="0"/>
          </xdr:xfrm>
          <a:graphic>
            <a:graphicData uri="http://schemas.microsoft.com/office/drawing/2010/slicer">
              <sle:slicer xmlns:sle="http://schemas.microsoft.com/office/drawing/2010/slicer" name="Year 57"/>
            </a:graphicData>
          </a:graphic>
        </xdr:graphicFrame>
      </mc:Choice>
      <mc:Fallback xmlns="">
        <xdr:sp macro="" textlink="">
          <xdr:nvSpPr>
            <xdr:cNvPr id="0" name=""/>
            <xdr:cNvSpPr>
              <a:spLocks noTextEdit="1"/>
            </xdr:cNvSpPr>
          </xdr:nvSpPr>
          <xdr:spPr>
            <a:xfrm>
              <a:off x="3616326" y="4740275"/>
              <a:ext cx="7981950" cy="431800"/>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1</xdr:col>
      <xdr:colOff>2066925</xdr:colOff>
      <xdr:row>5</xdr:row>
      <xdr:rowOff>1</xdr:rowOff>
    </xdr:from>
    <xdr:to>
      <xdr:col>10</xdr:col>
      <xdr:colOff>361950</xdr:colOff>
      <xdr:row>7</xdr:row>
      <xdr:rowOff>38101</xdr:rowOff>
    </xdr:to>
    <mc:AlternateContent xmlns:mc="http://schemas.openxmlformats.org/markup-compatibility/2006" xmlns:a14="http://schemas.microsoft.com/office/drawing/2010/main">
      <mc:Choice Requires="a14">
        <xdr:graphicFrame macro="">
          <xdr:nvGraphicFramePr>
            <xdr:cNvPr id="6" name="Year 5">
              <a:extLst>
                <a:ext uri="{FF2B5EF4-FFF2-40B4-BE49-F238E27FC236}">
                  <a16:creationId xmlns:a16="http://schemas.microsoft.com/office/drawing/2014/main" id="{FD5B96D9-EA84-4720-98C5-8A6D5888ABFE}"/>
                </a:ext>
              </a:extLst>
            </xdr:cNvPr>
            <xdr:cNvGraphicFramePr/>
          </xdr:nvGraphicFramePr>
          <xdr:xfrm>
            <a:off x="0" y="0"/>
            <a:ext cx="0" cy="0"/>
          </xdr:xfrm>
          <a:graphic>
            <a:graphicData uri="http://schemas.microsoft.com/office/drawing/2010/slicer">
              <sle:slicer xmlns:sle="http://schemas.microsoft.com/office/drawing/2010/slicer" name="Year 5"/>
            </a:graphicData>
          </a:graphic>
        </xdr:graphicFrame>
      </mc:Choice>
      <mc:Fallback xmlns="">
        <xdr:sp macro="" textlink="">
          <xdr:nvSpPr>
            <xdr:cNvPr id="0" name=""/>
            <xdr:cNvSpPr>
              <a:spLocks noTextEdit="1"/>
            </xdr:cNvSpPr>
          </xdr:nvSpPr>
          <xdr:spPr>
            <a:xfrm>
              <a:off x="3562350" y="1168401"/>
              <a:ext cx="6559550" cy="419100"/>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31.xml><?xml version="1.0" encoding="utf-8"?>
<xdr:wsDr xmlns:xdr="http://schemas.openxmlformats.org/drawingml/2006/spreadsheetDrawing" xmlns:a="http://schemas.openxmlformats.org/drawingml/2006/main">
  <xdr:twoCellAnchor editAs="oneCell">
    <xdr:from>
      <xdr:col>1</xdr:col>
      <xdr:colOff>1111250</xdr:colOff>
      <xdr:row>13</xdr:row>
      <xdr:rowOff>101601</xdr:rowOff>
    </xdr:from>
    <xdr:to>
      <xdr:col>10</xdr:col>
      <xdr:colOff>34925</xdr:colOff>
      <xdr:row>15</xdr:row>
      <xdr:rowOff>135890</xdr:rowOff>
    </xdr:to>
    <mc:AlternateContent xmlns:mc="http://schemas.openxmlformats.org/markup-compatibility/2006" xmlns:a14="http://schemas.microsoft.com/office/drawing/2010/main">
      <mc:Choice Requires="a14">
        <xdr:graphicFrame macro="">
          <xdr:nvGraphicFramePr>
            <xdr:cNvPr id="2" name="Year 41">
              <a:extLst>
                <a:ext uri="{FF2B5EF4-FFF2-40B4-BE49-F238E27FC236}">
                  <a16:creationId xmlns:a16="http://schemas.microsoft.com/office/drawing/2014/main" id="{05BCB831-4435-4564-82DB-C66717B843B0}"/>
                </a:ext>
              </a:extLst>
            </xdr:cNvPr>
            <xdr:cNvGraphicFramePr/>
          </xdr:nvGraphicFramePr>
          <xdr:xfrm>
            <a:off x="0" y="0"/>
            <a:ext cx="0" cy="0"/>
          </xdr:xfrm>
          <a:graphic>
            <a:graphicData uri="http://schemas.microsoft.com/office/drawing/2010/slicer">
              <sle:slicer xmlns:sle="http://schemas.microsoft.com/office/drawing/2010/slicer" name="Year 41"/>
            </a:graphicData>
          </a:graphic>
        </xdr:graphicFrame>
      </mc:Choice>
      <mc:Fallback xmlns="">
        <xdr:sp macro="" textlink="">
          <xdr:nvSpPr>
            <xdr:cNvPr id="0" name=""/>
            <xdr:cNvSpPr>
              <a:spLocks noTextEdit="1"/>
            </xdr:cNvSpPr>
          </xdr:nvSpPr>
          <xdr:spPr>
            <a:xfrm>
              <a:off x="2806700" y="2495551"/>
              <a:ext cx="6667500" cy="679450"/>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32.xml><?xml version="1.0" encoding="utf-8"?>
<xdr:wsDr xmlns:xdr="http://schemas.openxmlformats.org/drawingml/2006/spreadsheetDrawing" xmlns:a="http://schemas.openxmlformats.org/drawingml/2006/main">
  <xdr:twoCellAnchor editAs="oneCell">
    <xdr:from>
      <xdr:col>3</xdr:col>
      <xdr:colOff>142875</xdr:colOff>
      <xdr:row>3</xdr:row>
      <xdr:rowOff>47625</xdr:rowOff>
    </xdr:from>
    <xdr:to>
      <xdr:col>17</xdr:col>
      <xdr:colOff>152400</xdr:colOff>
      <xdr:row>3</xdr:row>
      <xdr:rowOff>457199</xdr:rowOff>
    </xdr:to>
    <mc:AlternateContent xmlns:mc="http://schemas.openxmlformats.org/markup-compatibility/2006" xmlns:a14="http://schemas.microsoft.com/office/drawing/2010/main">
      <mc:Choice Requires="a14">
        <xdr:graphicFrame macro="">
          <xdr:nvGraphicFramePr>
            <xdr:cNvPr id="5" name="Year 42">
              <a:extLst>
                <a:ext uri="{FF2B5EF4-FFF2-40B4-BE49-F238E27FC236}">
                  <a16:creationId xmlns:a16="http://schemas.microsoft.com/office/drawing/2014/main" id="{79BAA8B9-70E6-4999-8AD7-5C44A6E7434E}"/>
                </a:ext>
              </a:extLst>
            </xdr:cNvPr>
            <xdr:cNvGraphicFramePr/>
          </xdr:nvGraphicFramePr>
          <xdr:xfrm>
            <a:off x="0" y="0"/>
            <a:ext cx="0" cy="0"/>
          </xdr:xfrm>
          <a:graphic>
            <a:graphicData uri="http://schemas.microsoft.com/office/drawing/2010/slicer">
              <sle:slicer xmlns:sle="http://schemas.microsoft.com/office/drawing/2010/slicer" name="Year 42"/>
            </a:graphicData>
          </a:graphic>
        </xdr:graphicFrame>
      </mc:Choice>
      <mc:Fallback xmlns="">
        <xdr:sp macro="" textlink="">
          <xdr:nvSpPr>
            <xdr:cNvPr id="0" name=""/>
            <xdr:cNvSpPr>
              <a:spLocks noTextEdit="1"/>
            </xdr:cNvSpPr>
          </xdr:nvSpPr>
          <xdr:spPr>
            <a:xfrm>
              <a:off x="4260850" y="635000"/>
              <a:ext cx="6667500" cy="412749"/>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33.xml><?xml version="1.0" encoding="utf-8"?>
<xdr:wsDr xmlns:xdr="http://schemas.openxmlformats.org/drawingml/2006/spreadsheetDrawing" xmlns:a="http://schemas.openxmlformats.org/drawingml/2006/main">
  <xdr:twoCellAnchor editAs="oneCell">
    <xdr:from>
      <xdr:col>8</xdr:col>
      <xdr:colOff>321265</xdr:colOff>
      <xdr:row>12</xdr:row>
      <xdr:rowOff>68376</xdr:rowOff>
    </xdr:from>
    <xdr:to>
      <xdr:col>18</xdr:col>
      <xdr:colOff>530678</xdr:colOff>
      <xdr:row>17</xdr:row>
      <xdr:rowOff>60415</xdr:rowOff>
    </xdr:to>
    <mc:AlternateContent xmlns:mc="http://schemas.openxmlformats.org/markup-compatibility/2006" xmlns:a14="http://schemas.microsoft.com/office/drawing/2010/main">
      <mc:Choice Requires="a14">
        <xdr:graphicFrame macro="">
          <xdr:nvGraphicFramePr>
            <xdr:cNvPr id="2" name="Year 43">
              <a:extLst>
                <a:ext uri="{FF2B5EF4-FFF2-40B4-BE49-F238E27FC236}">
                  <a16:creationId xmlns:a16="http://schemas.microsoft.com/office/drawing/2014/main" id="{35B9EABD-28CD-4999-A927-A3E4AC833B77}"/>
                </a:ext>
              </a:extLst>
            </xdr:cNvPr>
            <xdr:cNvGraphicFramePr/>
          </xdr:nvGraphicFramePr>
          <xdr:xfrm>
            <a:off x="0" y="0"/>
            <a:ext cx="0" cy="0"/>
          </xdr:xfrm>
          <a:graphic>
            <a:graphicData uri="http://schemas.microsoft.com/office/drawing/2010/slicer">
              <sle:slicer xmlns:sle="http://schemas.microsoft.com/office/drawing/2010/slicer" name="Year 43"/>
            </a:graphicData>
          </a:graphic>
        </xdr:graphicFrame>
      </mc:Choice>
      <mc:Fallback xmlns="">
        <xdr:sp macro="" textlink="">
          <xdr:nvSpPr>
            <xdr:cNvPr id="0" name=""/>
            <xdr:cNvSpPr>
              <a:spLocks noTextEdit="1"/>
            </xdr:cNvSpPr>
          </xdr:nvSpPr>
          <xdr:spPr>
            <a:xfrm>
              <a:off x="17415646" y="2189185"/>
              <a:ext cx="6328818" cy="878409"/>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34.xml><?xml version="1.0" encoding="utf-8"?>
<xdr:wsDr xmlns:xdr="http://schemas.openxmlformats.org/drawingml/2006/spreadsheetDrawing" xmlns:a="http://schemas.openxmlformats.org/drawingml/2006/main">
  <xdr:twoCellAnchor editAs="oneCell">
    <xdr:from>
      <xdr:col>1</xdr:col>
      <xdr:colOff>1360488</xdr:colOff>
      <xdr:row>0</xdr:row>
      <xdr:rowOff>58738</xdr:rowOff>
    </xdr:from>
    <xdr:to>
      <xdr:col>7</xdr:col>
      <xdr:colOff>821373</xdr:colOff>
      <xdr:row>1</xdr:row>
      <xdr:rowOff>288924</xdr:rowOff>
    </xdr:to>
    <mc:AlternateContent xmlns:mc="http://schemas.openxmlformats.org/markup-compatibility/2006" xmlns:a14="http://schemas.microsoft.com/office/drawing/2010/main">
      <mc:Choice Requires="a14">
        <xdr:graphicFrame macro="">
          <xdr:nvGraphicFramePr>
            <xdr:cNvPr id="4" name="Year 45">
              <a:extLst>
                <a:ext uri="{FF2B5EF4-FFF2-40B4-BE49-F238E27FC236}">
                  <a16:creationId xmlns:a16="http://schemas.microsoft.com/office/drawing/2014/main" id="{AE3A807D-DEBA-4175-883D-CEE7052EDF0A}"/>
                </a:ext>
              </a:extLst>
            </xdr:cNvPr>
            <xdr:cNvGraphicFramePr/>
          </xdr:nvGraphicFramePr>
          <xdr:xfrm>
            <a:off x="0" y="0"/>
            <a:ext cx="0" cy="0"/>
          </xdr:xfrm>
          <a:graphic>
            <a:graphicData uri="http://schemas.microsoft.com/office/drawing/2010/slicer">
              <sle:slicer xmlns:sle="http://schemas.microsoft.com/office/drawing/2010/slicer" name="Year 45"/>
            </a:graphicData>
          </a:graphic>
        </xdr:graphicFrame>
      </mc:Choice>
      <mc:Fallback xmlns="">
        <xdr:sp macro="" textlink="">
          <xdr:nvSpPr>
            <xdr:cNvPr id="0" name=""/>
            <xdr:cNvSpPr>
              <a:spLocks noTextEdit="1"/>
            </xdr:cNvSpPr>
          </xdr:nvSpPr>
          <xdr:spPr>
            <a:xfrm>
              <a:off x="2547938" y="58738"/>
              <a:ext cx="8318500" cy="427036"/>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35.xml><?xml version="1.0" encoding="utf-8"?>
<xdr:wsDr xmlns:xdr="http://schemas.openxmlformats.org/drawingml/2006/spreadsheetDrawing" xmlns:a="http://schemas.openxmlformats.org/drawingml/2006/main">
  <xdr:twoCellAnchor editAs="oneCell">
    <xdr:from>
      <xdr:col>6</xdr:col>
      <xdr:colOff>137583</xdr:colOff>
      <xdr:row>2</xdr:row>
      <xdr:rowOff>163832</xdr:rowOff>
    </xdr:from>
    <xdr:to>
      <xdr:col>20</xdr:col>
      <xdr:colOff>76975</xdr:colOff>
      <xdr:row>9</xdr:row>
      <xdr:rowOff>136526</xdr:rowOff>
    </xdr:to>
    <mc:AlternateContent xmlns:mc="http://schemas.openxmlformats.org/markup-compatibility/2006" xmlns:a14="http://schemas.microsoft.com/office/drawing/2010/main">
      <mc:Choice Requires="a14">
        <xdr:graphicFrame macro="">
          <xdr:nvGraphicFramePr>
            <xdr:cNvPr id="2" name="Year 46">
              <a:extLst>
                <a:ext uri="{FF2B5EF4-FFF2-40B4-BE49-F238E27FC236}">
                  <a16:creationId xmlns:a16="http://schemas.microsoft.com/office/drawing/2014/main" id="{199B7E4A-6B40-4DDB-BB0F-A2FF475E539F}"/>
                </a:ext>
              </a:extLst>
            </xdr:cNvPr>
            <xdr:cNvGraphicFramePr/>
          </xdr:nvGraphicFramePr>
          <xdr:xfrm>
            <a:off x="0" y="0"/>
            <a:ext cx="0" cy="0"/>
          </xdr:xfrm>
          <a:graphic>
            <a:graphicData uri="http://schemas.microsoft.com/office/drawing/2010/slicer">
              <sle:slicer xmlns:sle="http://schemas.microsoft.com/office/drawing/2010/slicer" name="Year 46"/>
            </a:graphicData>
          </a:graphic>
        </xdr:graphicFrame>
      </mc:Choice>
      <mc:Fallback xmlns="">
        <xdr:sp macro="" textlink="">
          <xdr:nvSpPr>
            <xdr:cNvPr id="0" name=""/>
            <xdr:cNvSpPr>
              <a:spLocks noTextEdit="1"/>
            </xdr:cNvSpPr>
          </xdr:nvSpPr>
          <xdr:spPr>
            <a:xfrm>
              <a:off x="7065856" y="527475"/>
              <a:ext cx="8536869" cy="1224491"/>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36.xml><?xml version="1.0" encoding="utf-8"?>
<xdr:wsDr xmlns:xdr="http://schemas.openxmlformats.org/drawingml/2006/spreadsheetDrawing" xmlns:a="http://schemas.openxmlformats.org/drawingml/2006/main">
  <xdr:twoCellAnchor editAs="oneCell">
    <xdr:from>
      <xdr:col>3</xdr:col>
      <xdr:colOff>571500</xdr:colOff>
      <xdr:row>3</xdr:row>
      <xdr:rowOff>0</xdr:rowOff>
    </xdr:from>
    <xdr:to>
      <xdr:col>16</xdr:col>
      <xdr:colOff>171450</xdr:colOff>
      <xdr:row>3</xdr:row>
      <xdr:rowOff>431799</xdr:rowOff>
    </xdr:to>
    <mc:AlternateContent xmlns:mc="http://schemas.openxmlformats.org/markup-compatibility/2006" xmlns:a14="http://schemas.microsoft.com/office/drawing/2010/main">
      <mc:Choice Requires="a14">
        <xdr:graphicFrame macro="">
          <xdr:nvGraphicFramePr>
            <xdr:cNvPr id="4" name="Year 47">
              <a:extLst>
                <a:ext uri="{FF2B5EF4-FFF2-40B4-BE49-F238E27FC236}">
                  <a16:creationId xmlns:a16="http://schemas.microsoft.com/office/drawing/2014/main" id="{4EF24160-560B-4F54-8895-D66D16FDE6E7}"/>
                </a:ext>
              </a:extLst>
            </xdr:cNvPr>
            <xdr:cNvGraphicFramePr/>
          </xdr:nvGraphicFramePr>
          <xdr:xfrm>
            <a:off x="0" y="0"/>
            <a:ext cx="0" cy="0"/>
          </xdr:xfrm>
          <a:graphic>
            <a:graphicData uri="http://schemas.microsoft.com/office/drawing/2010/slicer">
              <sle:slicer xmlns:sle="http://schemas.microsoft.com/office/drawing/2010/slicer" name="Year 47"/>
            </a:graphicData>
          </a:graphic>
        </xdr:graphicFrame>
      </mc:Choice>
      <mc:Fallback xmlns="">
        <xdr:sp macro="" textlink="">
          <xdr:nvSpPr>
            <xdr:cNvPr id="0" name=""/>
            <xdr:cNvSpPr>
              <a:spLocks noTextEdit="1"/>
            </xdr:cNvSpPr>
          </xdr:nvSpPr>
          <xdr:spPr>
            <a:xfrm>
              <a:off x="5090583" y="603250"/>
              <a:ext cx="6381750" cy="425449"/>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37.xml><?xml version="1.0" encoding="utf-8"?>
<xdr:wsDr xmlns:xdr="http://schemas.openxmlformats.org/drawingml/2006/spreadsheetDrawing" xmlns:a="http://schemas.openxmlformats.org/drawingml/2006/main">
  <xdr:twoCellAnchor editAs="oneCell">
    <xdr:from>
      <xdr:col>2</xdr:col>
      <xdr:colOff>704850</xdr:colOff>
      <xdr:row>7</xdr:row>
      <xdr:rowOff>38101</xdr:rowOff>
    </xdr:from>
    <xdr:to>
      <xdr:col>6</xdr:col>
      <xdr:colOff>1235710</xdr:colOff>
      <xdr:row>11</xdr:row>
      <xdr:rowOff>92076</xdr:rowOff>
    </xdr:to>
    <mc:AlternateContent xmlns:mc="http://schemas.openxmlformats.org/markup-compatibility/2006" xmlns:a14="http://schemas.microsoft.com/office/drawing/2010/main">
      <mc:Choice Requires="a14">
        <xdr:graphicFrame macro="">
          <xdr:nvGraphicFramePr>
            <xdr:cNvPr id="2" name="Year 48">
              <a:extLst>
                <a:ext uri="{FF2B5EF4-FFF2-40B4-BE49-F238E27FC236}">
                  <a16:creationId xmlns:a16="http://schemas.microsoft.com/office/drawing/2014/main" id="{6FD6F244-B41D-4D02-8AD4-FD356866E130}"/>
                </a:ext>
              </a:extLst>
            </xdr:cNvPr>
            <xdr:cNvGraphicFramePr/>
          </xdr:nvGraphicFramePr>
          <xdr:xfrm>
            <a:off x="0" y="0"/>
            <a:ext cx="0" cy="0"/>
          </xdr:xfrm>
          <a:graphic>
            <a:graphicData uri="http://schemas.microsoft.com/office/drawing/2010/slicer">
              <sle:slicer xmlns:sle="http://schemas.microsoft.com/office/drawing/2010/slicer" name="Year 48"/>
            </a:graphicData>
          </a:graphic>
        </xdr:graphicFrame>
      </mc:Choice>
      <mc:Fallback xmlns="">
        <xdr:sp macro="" textlink="">
          <xdr:nvSpPr>
            <xdr:cNvPr id="0" name=""/>
            <xdr:cNvSpPr>
              <a:spLocks noTextEdit="1"/>
            </xdr:cNvSpPr>
          </xdr:nvSpPr>
          <xdr:spPr>
            <a:xfrm>
              <a:off x="2901950" y="1327151"/>
              <a:ext cx="6470650" cy="787400"/>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38.xml><?xml version="1.0" encoding="utf-8"?>
<xdr:wsDr xmlns:xdr="http://schemas.openxmlformats.org/drawingml/2006/spreadsheetDrawing" xmlns:a="http://schemas.openxmlformats.org/drawingml/2006/main">
  <xdr:twoCellAnchor editAs="oneCell">
    <xdr:from>
      <xdr:col>4</xdr:col>
      <xdr:colOff>444500</xdr:colOff>
      <xdr:row>11</xdr:row>
      <xdr:rowOff>1</xdr:rowOff>
    </xdr:from>
    <xdr:to>
      <xdr:col>9</xdr:col>
      <xdr:colOff>262890</xdr:colOff>
      <xdr:row>13</xdr:row>
      <xdr:rowOff>92075</xdr:rowOff>
    </xdr:to>
    <mc:AlternateContent xmlns:mc="http://schemas.openxmlformats.org/markup-compatibility/2006" xmlns:a14="http://schemas.microsoft.com/office/drawing/2010/main">
      <mc:Choice Requires="a14">
        <xdr:graphicFrame macro="">
          <xdr:nvGraphicFramePr>
            <xdr:cNvPr id="2" name="Year 39">
              <a:extLst>
                <a:ext uri="{FF2B5EF4-FFF2-40B4-BE49-F238E27FC236}">
                  <a16:creationId xmlns:a16="http://schemas.microsoft.com/office/drawing/2014/main" id="{CF457E4C-A085-40B1-A1B4-E3568DCBA6FB}"/>
                </a:ext>
              </a:extLst>
            </xdr:cNvPr>
            <xdr:cNvGraphicFramePr/>
          </xdr:nvGraphicFramePr>
          <xdr:xfrm>
            <a:off x="0" y="0"/>
            <a:ext cx="0" cy="0"/>
          </xdr:xfrm>
          <a:graphic>
            <a:graphicData uri="http://schemas.microsoft.com/office/drawing/2010/slicer">
              <sle:slicer xmlns:sle="http://schemas.microsoft.com/office/drawing/2010/slicer" name="Year 39"/>
            </a:graphicData>
          </a:graphic>
        </xdr:graphicFrame>
      </mc:Choice>
      <mc:Fallback xmlns="">
        <xdr:sp macro="" textlink="">
          <xdr:nvSpPr>
            <xdr:cNvPr id="0" name=""/>
            <xdr:cNvSpPr>
              <a:spLocks noTextEdit="1"/>
            </xdr:cNvSpPr>
          </xdr:nvSpPr>
          <xdr:spPr>
            <a:xfrm>
              <a:off x="5016500" y="2025651"/>
              <a:ext cx="6362700" cy="450849"/>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39.xml><?xml version="1.0" encoding="utf-8"?>
<xdr:wsDr xmlns:xdr="http://schemas.openxmlformats.org/drawingml/2006/spreadsheetDrawing" xmlns:a="http://schemas.openxmlformats.org/drawingml/2006/main">
  <xdr:twoCellAnchor editAs="oneCell">
    <xdr:from>
      <xdr:col>2</xdr:col>
      <xdr:colOff>44451</xdr:colOff>
      <xdr:row>3</xdr:row>
      <xdr:rowOff>12699</xdr:rowOff>
    </xdr:from>
    <xdr:to>
      <xdr:col>12</xdr:col>
      <xdr:colOff>241301</xdr:colOff>
      <xdr:row>4</xdr:row>
      <xdr:rowOff>39686</xdr:rowOff>
    </xdr:to>
    <mc:AlternateContent xmlns:mc="http://schemas.openxmlformats.org/markup-compatibility/2006" xmlns:a14="http://schemas.microsoft.com/office/drawing/2010/main">
      <mc:Choice Requires="a14">
        <xdr:graphicFrame macro="">
          <xdr:nvGraphicFramePr>
            <xdr:cNvPr id="6" name="Year 49">
              <a:extLst>
                <a:ext uri="{FF2B5EF4-FFF2-40B4-BE49-F238E27FC236}">
                  <a16:creationId xmlns:a16="http://schemas.microsoft.com/office/drawing/2014/main" id="{B3E1A4FD-1DD6-4A34-8604-F5CBDCDB98BA}"/>
                </a:ext>
              </a:extLst>
            </xdr:cNvPr>
            <xdr:cNvGraphicFramePr/>
          </xdr:nvGraphicFramePr>
          <xdr:xfrm>
            <a:off x="0" y="0"/>
            <a:ext cx="0" cy="0"/>
          </xdr:xfrm>
          <a:graphic>
            <a:graphicData uri="http://schemas.microsoft.com/office/drawing/2010/slicer">
              <sle:slicer xmlns:sle="http://schemas.microsoft.com/office/drawing/2010/slicer" name="Year 49"/>
            </a:graphicData>
          </a:graphic>
        </xdr:graphicFrame>
      </mc:Choice>
      <mc:Fallback xmlns="">
        <xdr:sp macro="" textlink="">
          <xdr:nvSpPr>
            <xdr:cNvPr id="0" name=""/>
            <xdr:cNvSpPr>
              <a:spLocks noTextEdit="1"/>
            </xdr:cNvSpPr>
          </xdr:nvSpPr>
          <xdr:spPr>
            <a:xfrm>
              <a:off x="5353051" y="603249"/>
              <a:ext cx="8528050" cy="427037"/>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2</xdr:col>
      <xdr:colOff>142876</xdr:colOff>
      <xdr:row>16</xdr:row>
      <xdr:rowOff>304800</xdr:rowOff>
    </xdr:from>
    <xdr:to>
      <xdr:col>12</xdr:col>
      <xdr:colOff>206376</xdr:colOff>
      <xdr:row>18</xdr:row>
      <xdr:rowOff>85724</xdr:rowOff>
    </xdr:to>
    <mc:AlternateContent xmlns:mc="http://schemas.openxmlformats.org/markup-compatibility/2006" xmlns:a14="http://schemas.microsoft.com/office/drawing/2010/main">
      <mc:Choice Requires="a14">
        <xdr:graphicFrame macro="">
          <xdr:nvGraphicFramePr>
            <xdr:cNvPr id="7" name="Year 40">
              <a:extLst>
                <a:ext uri="{FF2B5EF4-FFF2-40B4-BE49-F238E27FC236}">
                  <a16:creationId xmlns:a16="http://schemas.microsoft.com/office/drawing/2014/main" id="{F43B91DE-E02B-49D9-B6FF-043F3F2FD482}"/>
                </a:ext>
              </a:extLst>
            </xdr:cNvPr>
            <xdr:cNvGraphicFramePr/>
          </xdr:nvGraphicFramePr>
          <xdr:xfrm>
            <a:off x="0" y="0"/>
            <a:ext cx="0" cy="0"/>
          </xdr:xfrm>
          <a:graphic>
            <a:graphicData uri="http://schemas.microsoft.com/office/drawing/2010/slicer">
              <sle:slicer xmlns:sle="http://schemas.microsoft.com/office/drawing/2010/slicer" name="Year 40"/>
            </a:graphicData>
          </a:graphic>
        </xdr:graphicFrame>
      </mc:Choice>
      <mc:Fallback xmlns="">
        <xdr:sp macro="" textlink="">
          <xdr:nvSpPr>
            <xdr:cNvPr id="0" name=""/>
            <xdr:cNvSpPr>
              <a:spLocks noTextEdit="1"/>
            </xdr:cNvSpPr>
          </xdr:nvSpPr>
          <xdr:spPr>
            <a:xfrm>
              <a:off x="5454651" y="3914775"/>
              <a:ext cx="8372475" cy="450849"/>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40.xml><?xml version="1.0" encoding="utf-8"?>
<xdr:wsDr xmlns:xdr="http://schemas.openxmlformats.org/drawingml/2006/spreadsheetDrawing" xmlns:a="http://schemas.openxmlformats.org/drawingml/2006/main">
  <xdr:twoCellAnchor editAs="oneCell">
    <xdr:from>
      <xdr:col>5</xdr:col>
      <xdr:colOff>330200</xdr:colOff>
      <xdr:row>5</xdr:row>
      <xdr:rowOff>120651</xdr:rowOff>
    </xdr:from>
    <xdr:to>
      <xdr:col>15</xdr:col>
      <xdr:colOff>93345</xdr:colOff>
      <xdr:row>9</xdr:row>
      <xdr:rowOff>167641</xdr:rowOff>
    </xdr:to>
    <mc:AlternateContent xmlns:mc="http://schemas.openxmlformats.org/markup-compatibility/2006" xmlns:a14="http://schemas.microsoft.com/office/drawing/2010/main">
      <mc:Choice Requires="a14">
        <xdr:graphicFrame macro="">
          <xdr:nvGraphicFramePr>
            <xdr:cNvPr id="2" name="Year 50">
              <a:extLst>
                <a:ext uri="{FF2B5EF4-FFF2-40B4-BE49-F238E27FC236}">
                  <a16:creationId xmlns:a16="http://schemas.microsoft.com/office/drawing/2014/main" id="{4EAAECBA-B54F-4B92-91CF-3FDB006B9537}"/>
                </a:ext>
              </a:extLst>
            </xdr:cNvPr>
            <xdr:cNvGraphicFramePr/>
          </xdr:nvGraphicFramePr>
          <xdr:xfrm>
            <a:off x="0" y="0"/>
            <a:ext cx="0" cy="0"/>
          </xdr:xfrm>
          <a:graphic>
            <a:graphicData uri="http://schemas.microsoft.com/office/drawing/2010/slicer">
              <sle:slicer xmlns:sle="http://schemas.microsoft.com/office/drawing/2010/slicer" name="Year 50"/>
            </a:graphicData>
          </a:graphic>
        </xdr:graphicFrame>
      </mc:Choice>
      <mc:Fallback xmlns="">
        <xdr:sp macro="" textlink="">
          <xdr:nvSpPr>
            <xdr:cNvPr id="0" name=""/>
            <xdr:cNvSpPr>
              <a:spLocks noTextEdit="1"/>
            </xdr:cNvSpPr>
          </xdr:nvSpPr>
          <xdr:spPr>
            <a:xfrm>
              <a:off x="4305300" y="1041401"/>
              <a:ext cx="5873750" cy="774700"/>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41.xml><?xml version="1.0" encoding="utf-8"?>
<xdr:wsDr xmlns:xdr="http://schemas.openxmlformats.org/drawingml/2006/spreadsheetDrawing" xmlns:a="http://schemas.openxmlformats.org/drawingml/2006/main">
  <xdr:twoCellAnchor editAs="oneCell">
    <xdr:from>
      <xdr:col>3</xdr:col>
      <xdr:colOff>457198</xdr:colOff>
      <xdr:row>3</xdr:row>
      <xdr:rowOff>95250</xdr:rowOff>
    </xdr:from>
    <xdr:to>
      <xdr:col>16</xdr:col>
      <xdr:colOff>539750</xdr:colOff>
      <xdr:row>5</xdr:row>
      <xdr:rowOff>57150</xdr:rowOff>
    </xdr:to>
    <mc:AlternateContent xmlns:mc="http://schemas.openxmlformats.org/markup-compatibility/2006" xmlns:a14="http://schemas.microsoft.com/office/drawing/2010/main">
      <mc:Choice Requires="a14">
        <xdr:graphicFrame macro="">
          <xdr:nvGraphicFramePr>
            <xdr:cNvPr id="3" name="Year 51">
              <a:extLst>
                <a:ext uri="{FF2B5EF4-FFF2-40B4-BE49-F238E27FC236}">
                  <a16:creationId xmlns:a16="http://schemas.microsoft.com/office/drawing/2014/main" id="{025F8395-81A8-41C1-9902-A2309D2487CD}"/>
                </a:ext>
              </a:extLst>
            </xdr:cNvPr>
            <xdr:cNvGraphicFramePr/>
          </xdr:nvGraphicFramePr>
          <xdr:xfrm>
            <a:off x="0" y="0"/>
            <a:ext cx="0" cy="0"/>
          </xdr:xfrm>
          <a:graphic>
            <a:graphicData uri="http://schemas.microsoft.com/office/drawing/2010/slicer">
              <sle:slicer xmlns:sle="http://schemas.microsoft.com/office/drawing/2010/slicer" name="Year 51"/>
            </a:graphicData>
          </a:graphic>
        </xdr:graphicFrame>
      </mc:Choice>
      <mc:Fallback xmlns="">
        <xdr:sp macro="" textlink="">
          <xdr:nvSpPr>
            <xdr:cNvPr id="0" name=""/>
            <xdr:cNvSpPr>
              <a:spLocks noTextEdit="1"/>
            </xdr:cNvSpPr>
          </xdr:nvSpPr>
          <xdr:spPr>
            <a:xfrm>
              <a:off x="3286123" y="828675"/>
              <a:ext cx="7813676" cy="438150"/>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42.xml><?xml version="1.0" encoding="utf-8"?>
<xdr:wsDr xmlns:xdr="http://schemas.openxmlformats.org/drawingml/2006/spreadsheetDrawing" xmlns:a="http://schemas.openxmlformats.org/drawingml/2006/main">
  <xdr:twoCellAnchor editAs="oneCell">
    <xdr:from>
      <xdr:col>4</xdr:col>
      <xdr:colOff>146050</xdr:colOff>
      <xdr:row>2</xdr:row>
      <xdr:rowOff>101601</xdr:rowOff>
    </xdr:from>
    <xdr:to>
      <xdr:col>15</xdr:col>
      <xdr:colOff>19050</xdr:colOff>
      <xdr:row>7</xdr:row>
      <xdr:rowOff>15875</xdr:rowOff>
    </xdr:to>
    <mc:AlternateContent xmlns:mc="http://schemas.openxmlformats.org/markup-compatibility/2006" xmlns:a14="http://schemas.microsoft.com/office/drawing/2010/main">
      <mc:Choice Requires="a14">
        <xdr:graphicFrame macro="">
          <xdr:nvGraphicFramePr>
            <xdr:cNvPr id="2" name="Year 14">
              <a:extLst>
                <a:ext uri="{FF2B5EF4-FFF2-40B4-BE49-F238E27FC236}">
                  <a16:creationId xmlns:a16="http://schemas.microsoft.com/office/drawing/2014/main" id="{D410767B-75CE-494B-94C5-2778FB52B385}"/>
                </a:ext>
              </a:extLst>
            </xdr:cNvPr>
            <xdr:cNvGraphicFramePr/>
          </xdr:nvGraphicFramePr>
          <xdr:xfrm>
            <a:off x="0" y="0"/>
            <a:ext cx="0" cy="0"/>
          </xdr:xfrm>
          <a:graphic>
            <a:graphicData uri="http://schemas.microsoft.com/office/drawing/2010/slicer">
              <sle:slicer xmlns:sle="http://schemas.microsoft.com/office/drawing/2010/slicer" name="Year 14"/>
            </a:graphicData>
          </a:graphic>
        </xdr:graphicFrame>
      </mc:Choice>
      <mc:Fallback xmlns="">
        <xdr:sp macro="" textlink="">
          <xdr:nvSpPr>
            <xdr:cNvPr id="0" name=""/>
            <xdr:cNvSpPr>
              <a:spLocks noTextEdit="1"/>
            </xdr:cNvSpPr>
          </xdr:nvSpPr>
          <xdr:spPr>
            <a:xfrm>
              <a:off x="4089400" y="469901"/>
              <a:ext cx="6578600" cy="831849"/>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43.xml><?xml version="1.0" encoding="utf-8"?>
<xdr:wsDr xmlns:xdr="http://schemas.openxmlformats.org/drawingml/2006/spreadsheetDrawing" xmlns:a="http://schemas.openxmlformats.org/drawingml/2006/main">
  <xdr:twoCellAnchor editAs="oneCell">
    <xdr:from>
      <xdr:col>1</xdr:col>
      <xdr:colOff>76198</xdr:colOff>
      <xdr:row>0</xdr:row>
      <xdr:rowOff>47626</xdr:rowOff>
    </xdr:from>
    <xdr:to>
      <xdr:col>12</xdr:col>
      <xdr:colOff>219075</xdr:colOff>
      <xdr:row>1</xdr:row>
      <xdr:rowOff>152400</xdr:rowOff>
    </xdr:to>
    <mc:AlternateContent xmlns:mc="http://schemas.openxmlformats.org/markup-compatibility/2006" xmlns:a14="http://schemas.microsoft.com/office/drawing/2010/main">
      <mc:Choice Requires="a14">
        <xdr:graphicFrame macro="">
          <xdr:nvGraphicFramePr>
            <xdr:cNvPr id="3" name="Year 15">
              <a:extLst>
                <a:ext uri="{FF2B5EF4-FFF2-40B4-BE49-F238E27FC236}">
                  <a16:creationId xmlns:a16="http://schemas.microsoft.com/office/drawing/2014/main" id="{41C55B36-1B6E-4346-A6A2-B8DD64FDE121}"/>
                </a:ext>
              </a:extLst>
            </xdr:cNvPr>
            <xdr:cNvGraphicFramePr/>
          </xdr:nvGraphicFramePr>
          <xdr:xfrm>
            <a:off x="0" y="0"/>
            <a:ext cx="0" cy="0"/>
          </xdr:xfrm>
          <a:graphic>
            <a:graphicData uri="http://schemas.microsoft.com/office/drawing/2010/slicer">
              <sle:slicer xmlns:sle="http://schemas.microsoft.com/office/drawing/2010/slicer" name="Year 15"/>
            </a:graphicData>
          </a:graphic>
        </xdr:graphicFrame>
      </mc:Choice>
      <mc:Fallback xmlns="">
        <xdr:sp macro="" textlink="">
          <xdr:nvSpPr>
            <xdr:cNvPr id="0" name=""/>
            <xdr:cNvSpPr>
              <a:spLocks noTextEdit="1"/>
            </xdr:cNvSpPr>
          </xdr:nvSpPr>
          <xdr:spPr>
            <a:xfrm>
              <a:off x="2647950" y="44451"/>
              <a:ext cx="6854825" cy="412750"/>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44.xml><?xml version="1.0" encoding="utf-8"?>
<xdr:wsDr xmlns:xdr="http://schemas.openxmlformats.org/drawingml/2006/spreadsheetDrawing" xmlns:a="http://schemas.openxmlformats.org/drawingml/2006/main">
  <xdr:twoCellAnchor editAs="oneCell">
    <xdr:from>
      <xdr:col>4</xdr:col>
      <xdr:colOff>295275</xdr:colOff>
      <xdr:row>11</xdr:row>
      <xdr:rowOff>1</xdr:rowOff>
    </xdr:from>
    <xdr:to>
      <xdr:col>13</xdr:col>
      <xdr:colOff>511175</xdr:colOff>
      <xdr:row>15</xdr:row>
      <xdr:rowOff>19050</xdr:rowOff>
    </xdr:to>
    <mc:AlternateContent xmlns:mc="http://schemas.openxmlformats.org/markup-compatibility/2006" xmlns:a14="http://schemas.microsoft.com/office/drawing/2010/main">
      <mc:Choice Requires="a14">
        <xdr:graphicFrame macro="">
          <xdr:nvGraphicFramePr>
            <xdr:cNvPr id="2" name="Year 52">
              <a:extLst>
                <a:ext uri="{FF2B5EF4-FFF2-40B4-BE49-F238E27FC236}">
                  <a16:creationId xmlns:a16="http://schemas.microsoft.com/office/drawing/2014/main" id="{0D7A215C-90FE-41EA-B0CD-69B88B227C16}"/>
                </a:ext>
              </a:extLst>
            </xdr:cNvPr>
            <xdr:cNvGraphicFramePr/>
          </xdr:nvGraphicFramePr>
          <xdr:xfrm>
            <a:off x="0" y="0"/>
            <a:ext cx="0" cy="0"/>
          </xdr:xfrm>
          <a:graphic>
            <a:graphicData uri="http://schemas.microsoft.com/office/drawing/2010/slicer">
              <sle:slicer xmlns:sle="http://schemas.microsoft.com/office/drawing/2010/slicer" name="Year 52"/>
            </a:graphicData>
          </a:graphic>
        </xdr:graphicFrame>
      </mc:Choice>
      <mc:Fallback xmlns="">
        <xdr:sp macro="" textlink="">
          <xdr:nvSpPr>
            <xdr:cNvPr id="0" name=""/>
            <xdr:cNvSpPr>
              <a:spLocks noTextEdit="1"/>
            </xdr:cNvSpPr>
          </xdr:nvSpPr>
          <xdr:spPr>
            <a:xfrm>
              <a:off x="4387850" y="1990726"/>
              <a:ext cx="5705475" cy="742949"/>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45.xml><?xml version="1.0" encoding="utf-8"?>
<xdr:wsDr xmlns:xdr="http://schemas.openxmlformats.org/drawingml/2006/spreadsheetDrawing" xmlns:a="http://schemas.openxmlformats.org/drawingml/2006/main">
  <xdr:twoCellAnchor editAs="oneCell">
    <xdr:from>
      <xdr:col>1</xdr:col>
      <xdr:colOff>190500</xdr:colOff>
      <xdr:row>0</xdr:row>
      <xdr:rowOff>85725</xdr:rowOff>
    </xdr:from>
    <xdr:to>
      <xdr:col>12</xdr:col>
      <xdr:colOff>447675</xdr:colOff>
      <xdr:row>1</xdr:row>
      <xdr:rowOff>142875</xdr:rowOff>
    </xdr:to>
    <mc:AlternateContent xmlns:mc="http://schemas.openxmlformats.org/markup-compatibility/2006" xmlns:a14="http://schemas.microsoft.com/office/drawing/2010/main">
      <mc:Choice Requires="a14">
        <xdr:graphicFrame macro="">
          <xdr:nvGraphicFramePr>
            <xdr:cNvPr id="4" name="Year 53">
              <a:extLst>
                <a:ext uri="{FF2B5EF4-FFF2-40B4-BE49-F238E27FC236}">
                  <a16:creationId xmlns:a16="http://schemas.microsoft.com/office/drawing/2014/main" id="{CB8E0EF0-92A1-40FE-A555-65AD48DDE3F2}"/>
                </a:ext>
              </a:extLst>
            </xdr:cNvPr>
            <xdr:cNvGraphicFramePr/>
          </xdr:nvGraphicFramePr>
          <xdr:xfrm>
            <a:off x="0" y="0"/>
            <a:ext cx="0" cy="0"/>
          </xdr:xfrm>
          <a:graphic>
            <a:graphicData uri="http://schemas.microsoft.com/office/drawing/2010/slicer">
              <sle:slicer xmlns:sle="http://schemas.microsoft.com/office/drawing/2010/slicer" name="Year 53"/>
            </a:graphicData>
          </a:graphic>
        </xdr:graphicFrame>
      </mc:Choice>
      <mc:Fallback xmlns="">
        <xdr:sp macro="" textlink="">
          <xdr:nvSpPr>
            <xdr:cNvPr id="0" name=""/>
            <xdr:cNvSpPr>
              <a:spLocks noTextEdit="1"/>
            </xdr:cNvSpPr>
          </xdr:nvSpPr>
          <xdr:spPr>
            <a:xfrm>
              <a:off x="2794000" y="82550"/>
              <a:ext cx="6527800" cy="406399"/>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46.xml><?xml version="1.0" encoding="utf-8"?>
<xdr:wsDr xmlns:xdr="http://schemas.openxmlformats.org/drawingml/2006/spreadsheetDrawing" xmlns:a="http://schemas.openxmlformats.org/drawingml/2006/main">
  <xdr:twoCellAnchor editAs="oneCell">
    <xdr:from>
      <xdr:col>3</xdr:col>
      <xdr:colOff>520065</xdr:colOff>
      <xdr:row>18</xdr:row>
      <xdr:rowOff>152400</xdr:rowOff>
    </xdr:from>
    <xdr:to>
      <xdr:col>7</xdr:col>
      <xdr:colOff>2092960</xdr:colOff>
      <xdr:row>24</xdr:row>
      <xdr:rowOff>17145</xdr:rowOff>
    </xdr:to>
    <mc:AlternateContent xmlns:mc="http://schemas.openxmlformats.org/markup-compatibility/2006" xmlns:a14="http://schemas.microsoft.com/office/drawing/2010/main">
      <mc:Choice Requires="a14">
        <xdr:graphicFrame macro="">
          <xdr:nvGraphicFramePr>
            <xdr:cNvPr id="2" name="Year 18">
              <a:extLst>
                <a:ext uri="{FF2B5EF4-FFF2-40B4-BE49-F238E27FC236}">
                  <a16:creationId xmlns:a16="http://schemas.microsoft.com/office/drawing/2014/main" id="{81F9E2F1-F184-4DA3-BBB7-D53986241087}"/>
                </a:ext>
              </a:extLst>
            </xdr:cNvPr>
            <xdr:cNvGraphicFramePr/>
          </xdr:nvGraphicFramePr>
          <xdr:xfrm>
            <a:off x="0" y="0"/>
            <a:ext cx="0" cy="0"/>
          </xdr:xfrm>
          <a:graphic>
            <a:graphicData uri="http://schemas.microsoft.com/office/drawing/2010/slicer">
              <sle:slicer xmlns:sle="http://schemas.microsoft.com/office/drawing/2010/slicer" name="Year 18"/>
            </a:graphicData>
          </a:graphic>
        </xdr:graphicFrame>
      </mc:Choice>
      <mc:Fallback xmlns="">
        <xdr:sp macro="" textlink="">
          <xdr:nvSpPr>
            <xdr:cNvPr id="0" name=""/>
            <xdr:cNvSpPr>
              <a:spLocks noTextEdit="1"/>
            </xdr:cNvSpPr>
          </xdr:nvSpPr>
          <xdr:spPr>
            <a:xfrm>
              <a:off x="5197475" y="3409950"/>
              <a:ext cx="6575425" cy="695324"/>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47.xml><?xml version="1.0" encoding="utf-8"?>
<xdr:wsDr xmlns:xdr="http://schemas.openxmlformats.org/drawingml/2006/spreadsheetDrawing" xmlns:a="http://schemas.openxmlformats.org/drawingml/2006/main">
  <xdr:twoCellAnchor editAs="oneCell">
    <xdr:from>
      <xdr:col>3</xdr:col>
      <xdr:colOff>330200</xdr:colOff>
      <xdr:row>3</xdr:row>
      <xdr:rowOff>158751</xdr:rowOff>
    </xdr:from>
    <xdr:to>
      <xdr:col>14</xdr:col>
      <xdr:colOff>170815</xdr:colOff>
      <xdr:row>5</xdr:row>
      <xdr:rowOff>172086</xdr:rowOff>
    </xdr:to>
    <mc:AlternateContent xmlns:mc="http://schemas.openxmlformats.org/markup-compatibility/2006" xmlns:a14="http://schemas.microsoft.com/office/drawing/2010/main">
      <mc:Choice Requires="a14">
        <xdr:graphicFrame macro="">
          <xdr:nvGraphicFramePr>
            <xdr:cNvPr id="7" name="Year 19">
              <a:extLst>
                <a:ext uri="{FF2B5EF4-FFF2-40B4-BE49-F238E27FC236}">
                  <a16:creationId xmlns:a16="http://schemas.microsoft.com/office/drawing/2014/main" id="{7F2C7AE3-5AE1-4D4E-B332-08916CD0710E}"/>
                </a:ext>
              </a:extLst>
            </xdr:cNvPr>
            <xdr:cNvGraphicFramePr/>
          </xdr:nvGraphicFramePr>
          <xdr:xfrm>
            <a:off x="0" y="0"/>
            <a:ext cx="0" cy="0"/>
          </xdr:xfrm>
          <a:graphic>
            <a:graphicData uri="http://schemas.microsoft.com/office/drawing/2010/slicer">
              <sle:slicer xmlns:sle="http://schemas.microsoft.com/office/drawing/2010/slicer" name="Year 19"/>
            </a:graphicData>
          </a:graphic>
        </xdr:graphicFrame>
      </mc:Choice>
      <mc:Fallback xmlns="">
        <xdr:sp macro="" textlink="">
          <xdr:nvSpPr>
            <xdr:cNvPr id="0" name=""/>
            <xdr:cNvSpPr>
              <a:spLocks noTextEdit="1"/>
            </xdr:cNvSpPr>
          </xdr:nvSpPr>
          <xdr:spPr>
            <a:xfrm>
              <a:off x="4362450" y="723901"/>
              <a:ext cx="6597650" cy="425450"/>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4</xdr:col>
      <xdr:colOff>25400</xdr:colOff>
      <xdr:row>30</xdr:row>
      <xdr:rowOff>76201</xdr:rowOff>
    </xdr:from>
    <xdr:to>
      <xdr:col>15</xdr:col>
      <xdr:colOff>91440</xdr:colOff>
      <xdr:row>32</xdr:row>
      <xdr:rowOff>97791</xdr:rowOff>
    </xdr:to>
    <mc:AlternateContent xmlns:mc="http://schemas.openxmlformats.org/markup-compatibility/2006" xmlns:a14="http://schemas.microsoft.com/office/drawing/2010/main">
      <mc:Choice Requires="a14">
        <xdr:graphicFrame macro="">
          <xdr:nvGraphicFramePr>
            <xdr:cNvPr id="4" name="Year 20">
              <a:extLst>
                <a:ext uri="{FF2B5EF4-FFF2-40B4-BE49-F238E27FC236}">
                  <a16:creationId xmlns:a16="http://schemas.microsoft.com/office/drawing/2014/main" id="{13650BF6-AE74-4752-8F2B-2C3527ABE785}"/>
                </a:ext>
              </a:extLst>
            </xdr:cNvPr>
            <xdr:cNvGraphicFramePr/>
          </xdr:nvGraphicFramePr>
          <xdr:xfrm>
            <a:off x="0" y="0"/>
            <a:ext cx="0" cy="0"/>
          </xdr:xfrm>
          <a:graphic>
            <a:graphicData uri="http://schemas.microsoft.com/office/drawing/2010/slicer">
              <sle:slicer xmlns:sle="http://schemas.microsoft.com/office/drawing/2010/slicer" name="Year 20"/>
            </a:graphicData>
          </a:graphic>
        </xdr:graphicFrame>
      </mc:Choice>
      <mc:Fallback xmlns="">
        <xdr:sp macro="" textlink="">
          <xdr:nvSpPr>
            <xdr:cNvPr id="0" name=""/>
            <xdr:cNvSpPr>
              <a:spLocks noTextEdit="1"/>
            </xdr:cNvSpPr>
          </xdr:nvSpPr>
          <xdr:spPr>
            <a:xfrm>
              <a:off x="4025900" y="5842001"/>
              <a:ext cx="6597650" cy="419100"/>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48.xml><?xml version="1.0" encoding="utf-8"?>
<xdr:wsDr xmlns:xdr="http://schemas.openxmlformats.org/drawingml/2006/spreadsheetDrawing" xmlns:a="http://schemas.openxmlformats.org/drawingml/2006/main">
  <xdr:twoCellAnchor editAs="oneCell">
    <xdr:from>
      <xdr:col>3</xdr:col>
      <xdr:colOff>1295400</xdr:colOff>
      <xdr:row>0</xdr:row>
      <xdr:rowOff>114301</xdr:rowOff>
    </xdr:from>
    <xdr:to>
      <xdr:col>8</xdr:col>
      <xdr:colOff>264795</xdr:colOff>
      <xdr:row>5</xdr:row>
      <xdr:rowOff>1</xdr:rowOff>
    </xdr:to>
    <mc:AlternateContent xmlns:mc="http://schemas.openxmlformats.org/markup-compatibility/2006" xmlns:a14="http://schemas.microsoft.com/office/drawing/2010/main">
      <mc:Choice Requires="a14">
        <xdr:graphicFrame macro="">
          <xdr:nvGraphicFramePr>
            <xdr:cNvPr id="2" name="Year 16">
              <a:extLst>
                <a:ext uri="{FF2B5EF4-FFF2-40B4-BE49-F238E27FC236}">
                  <a16:creationId xmlns:a16="http://schemas.microsoft.com/office/drawing/2014/main" id="{93CE68C0-1CE0-4C85-B210-D981FE64079C}"/>
                </a:ext>
              </a:extLst>
            </xdr:cNvPr>
            <xdr:cNvGraphicFramePr/>
          </xdr:nvGraphicFramePr>
          <xdr:xfrm>
            <a:off x="0" y="0"/>
            <a:ext cx="0" cy="0"/>
          </xdr:xfrm>
          <a:graphic>
            <a:graphicData uri="http://schemas.microsoft.com/office/drawing/2010/slicer">
              <sle:slicer xmlns:sle="http://schemas.microsoft.com/office/drawing/2010/slicer" name="Year 16"/>
            </a:graphicData>
          </a:graphic>
        </xdr:graphicFrame>
      </mc:Choice>
      <mc:Fallback xmlns="">
        <xdr:sp macro="" textlink="">
          <xdr:nvSpPr>
            <xdr:cNvPr id="0" name=""/>
            <xdr:cNvSpPr>
              <a:spLocks noTextEdit="1"/>
            </xdr:cNvSpPr>
          </xdr:nvSpPr>
          <xdr:spPr>
            <a:xfrm>
              <a:off x="5861050" y="114301"/>
              <a:ext cx="3905250" cy="800100"/>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49.xml><?xml version="1.0" encoding="utf-8"?>
<xdr:wsDr xmlns:xdr="http://schemas.openxmlformats.org/drawingml/2006/spreadsheetDrawing" xmlns:a="http://schemas.openxmlformats.org/drawingml/2006/main">
  <xdr:twoCellAnchor editAs="oneCell">
    <xdr:from>
      <xdr:col>3</xdr:col>
      <xdr:colOff>151130</xdr:colOff>
      <xdr:row>2</xdr:row>
      <xdr:rowOff>177165</xdr:rowOff>
    </xdr:from>
    <xdr:to>
      <xdr:col>11</xdr:col>
      <xdr:colOff>329565</xdr:colOff>
      <xdr:row>4</xdr:row>
      <xdr:rowOff>170180</xdr:rowOff>
    </xdr:to>
    <mc:AlternateContent xmlns:mc="http://schemas.openxmlformats.org/markup-compatibility/2006" xmlns:a14="http://schemas.microsoft.com/office/drawing/2010/main">
      <mc:Choice Requires="a14">
        <xdr:graphicFrame macro="">
          <xdr:nvGraphicFramePr>
            <xdr:cNvPr id="4" name="Year 17">
              <a:extLst>
                <a:ext uri="{FF2B5EF4-FFF2-40B4-BE49-F238E27FC236}">
                  <a16:creationId xmlns:a16="http://schemas.microsoft.com/office/drawing/2014/main" id="{EBAD7D76-1CF5-40CD-B7D4-8D49D092954E}"/>
                </a:ext>
              </a:extLst>
            </xdr:cNvPr>
            <xdr:cNvGraphicFramePr/>
          </xdr:nvGraphicFramePr>
          <xdr:xfrm>
            <a:off x="0" y="0"/>
            <a:ext cx="0" cy="0"/>
          </xdr:xfrm>
          <a:graphic>
            <a:graphicData uri="http://schemas.microsoft.com/office/drawing/2010/slicer">
              <sle:slicer xmlns:sle="http://schemas.microsoft.com/office/drawing/2010/slicer" name="Year 17"/>
            </a:graphicData>
          </a:graphic>
        </xdr:graphicFrame>
      </mc:Choice>
      <mc:Fallback xmlns="">
        <xdr:sp macro="" textlink="">
          <xdr:nvSpPr>
            <xdr:cNvPr id="0" name=""/>
            <xdr:cNvSpPr>
              <a:spLocks noTextEdit="1"/>
            </xdr:cNvSpPr>
          </xdr:nvSpPr>
          <xdr:spPr>
            <a:xfrm>
              <a:off x="3713480" y="554355"/>
              <a:ext cx="6461125" cy="419735"/>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2</xdr:col>
      <xdr:colOff>965199</xdr:colOff>
      <xdr:row>24</xdr:row>
      <xdr:rowOff>0</xdr:rowOff>
    </xdr:from>
    <xdr:to>
      <xdr:col>11</xdr:col>
      <xdr:colOff>0</xdr:colOff>
      <xdr:row>26</xdr:row>
      <xdr:rowOff>0</xdr:rowOff>
    </xdr:to>
    <mc:AlternateContent xmlns:mc="http://schemas.openxmlformats.org/markup-compatibility/2006" xmlns:a14="http://schemas.microsoft.com/office/drawing/2010/main">
      <mc:Choice Requires="a14">
        <xdr:graphicFrame macro="">
          <xdr:nvGraphicFramePr>
            <xdr:cNvPr id="5" name="Year 21">
              <a:extLst>
                <a:ext uri="{FF2B5EF4-FFF2-40B4-BE49-F238E27FC236}">
                  <a16:creationId xmlns:a16="http://schemas.microsoft.com/office/drawing/2014/main" id="{7A2C612E-6603-4157-A676-C19579CE6FC8}"/>
                </a:ext>
              </a:extLst>
            </xdr:cNvPr>
            <xdr:cNvGraphicFramePr/>
          </xdr:nvGraphicFramePr>
          <xdr:xfrm>
            <a:off x="0" y="0"/>
            <a:ext cx="0" cy="0"/>
          </xdr:xfrm>
          <a:graphic>
            <a:graphicData uri="http://schemas.microsoft.com/office/drawing/2010/slicer">
              <sle:slicer xmlns:sle="http://schemas.microsoft.com/office/drawing/2010/slicer" name="Year 21"/>
            </a:graphicData>
          </a:graphic>
        </xdr:graphicFrame>
      </mc:Choice>
      <mc:Fallback xmlns="">
        <xdr:sp macro="" textlink="">
          <xdr:nvSpPr>
            <xdr:cNvPr id="0" name=""/>
            <xdr:cNvSpPr>
              <a:spLocks noTextEdit="1"/>
            </xdr:cNvSpPr>
          </xdr:nvSpPr>
          <xdr:spPr>
            <a:xfrm>
              <a:off x="3594100" y="5410200"/>
              <a:ext cx="3905250" cy="800100"/>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50.xml><?xml version="1.0" encoding="utf-8"?>
<xdr:wsDr xmlns:xdr="http://schemas.openxmlformats.org/drawingml/2006/spreadsheetDrawing" xmlns:a="http://schemas.openxmlformats.org/drawingml/2006/main">
  <xdr:twoCellAnchor editAs="oneCell">
    <xdr:from>
      <xdr:col>2</xdr:col>
      <xdr:colOff>1457325</xdr:colOff>
      <xdr:row>17</xdr:row>
      <xdr:rowOff>123826</xdr:rowOff>
    </xdr:from>
    <xdr:to>
      <xdr:col>6</xdr:col>
      <xdr:colOff>121285</xdr:colOff>
      <xdr:row>21</xdr:row>
      <xdr:rowOff>38100</xdr:rowOff>
    </xdr:to>
    <mc:AlternateContent xmlns:mc="http://schemas.openxmlformats.org/markup-compatibility/2006" xmlns:a14="http://schemas.microsoft.com/office/drawing/2010/main">
      <mc:Choice Requires="a14">
        <xdr:graphicFrame macro="">
          <xdr:nvGraphicFramePr>
            <xdr:cNvPr id="2" name="Year 22">
              <a:extLst>
                <a:ext uri="{FF2B5EF4-FFF2-40B4-BE49-F238E27FC236}">
                  <a16:creationId xmlns:a16="http://schemas.microsoft.com/office/drawing/2014/main" id="{DF98AC2A-7E14-46C0-BCF1-7B15F80FA17E}"/>
                </a:ext>
              </a:extLst>
            </xdr:cNvPr>
            <xdr:cNvGraphicFramePr/>
          </xdr:nvGraphicFramePr>
          <xdr:xfrm>
            <a:off x="0" y="0"/>
            <a:ext cx="0" cy="0"/>
          </xdr:xfrm>
          <a:graphic>
            <a:graphicData uri="http://schemas.microsoft.com/office/drawing/2010/slicer">
              <sle:slicer xmlns:sle="http://schemas.microsoft.com/office/drawing/2010/slicer" name="Year 22"/>
            </a:graphicData>
          </a:graphic>
        </xdr:graphicFrame>
      </mc:Choice>
      <mc:Fallback xmlns="">
        <xdr:sp macro="" textlink="">
          <xdr:nvSpPr>
            <xdr:cNvPr id="0" name=""/>
            <xdr:cNvSpPr>
              <a:spLocks noTextEdit="1"/>
            </xdr:cNvSpPr>
          </xdr:nvSpPr>
          <xdr:spPr>
            <a:xfrm>
              <a:off x="5473700" y="3197226"/>
              <a:ext cx="4133850" cy="641349"/>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51.xml><?xml version="1.0" encoding="utf-8"?>
<xdr:wsDr xmlns:xdr="http://schemas.openxmlformats.org/drawingml/2006/spreadsheetDrawing" xmlns:a="http://schemas.openxmlformats.org/drawingml/2006/main">
  <xdr:twoCellAnchor editAs="oneCell">
    <xdr:from>
      <xdr:col>3</xdr:col>
      <xdr:colOff>647700</xdr:colOff>
      <xdr:row>4</xdr:row>
      <xdr:rowOff>38101</xdr:rowOff>
    </xdr:from>
    <xdr:to>
      <xdr:col>10</xdr:col>
      <xdr:colOff>387350</xdr:colOff>
      <xdr:row>6</xdr:row>
      <xdr:rowOff>57151</xdr:rowOff>
    </xdr:to>
    <mc:AlternateContent xmlns:mc="http://schemas.openxmlformats.org/markup-compatibility/2006" xmlns:a14="http://schemas.microsoft.com/office/drawing/2010/main">
      <mc:Choice Requires="a14">
        <xdr:graphicFrame macro="">
          <xdr:nvGraphicFramePr>
            <xdr:cNvPr id="3" name="Year 24">
              <a:extLst>
                <a:ext uri="{FF2B5EF4-FFF2-40B4-BE49-F238E27FC236}">
                  <a16:creationId xmlns:a16="http://schemas.microsoft.com/office/drawing/2014/main" id="{3A82CA62-FE4C-4043-87CC-DA36504603AF}"/>
                </a:ext>
              </a:extLst>
            </xdr:cNvPr>
            <xdr:cNvGraphicFramePr/>
          </xdr:nvGraphicFramePr>
          <xdr:xfrm>
            <a:off x="0" y="0"/>
            <a:ext cx="0" cy="0"/>
          </xdr:xfrm>
          <a:graphic>
            <a:graphicData uri="http://schemas.microsoft.com/office/drawing/2010/slicer">
              <sle:slicer xmlns:sle="http://schemas.microsoft.com/office/drawing/2010/slicer" name="Year 24"/>
            </a:graphicData>
          </a:graphic>
        </xdr:graphicFrame>
      </mc:Choice>
      <mc:Fallback xmlns="">
        <xdr:sp macro="" textlink="">
          <xdr:nvSpPr>
            <xdr:cNvPr id="0" name=""/>
            <xdr:cNvSpPr>
              <a:spLocks noTextEdit="1"/>
            </xdr:cNvSpPr>
          </xdr:nvSpPr>
          <xdr:spPr>
            <a:xfrm>
              <a:off x="4984750" y="812801"/>
              <a:ext cx="5765800" cy="412750"/>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52.xml><?xml version="1.0" encoding="utf-8"?>
<xdr:wsDr xmlns:xdr="http://schemas.openxmlformats.org/drawingml/2006/spreadsheetDrawing" xmlns:a="http://schemas.openxmlformats.org/drawingml/2006/main">
  <xdr:twoCellAnchor editAs="oneCell">
    <xdr:from>
      <xdr:col>8</xdr:col>
      <xdr:colOff>50800</xdr:colOff>
      <xdr:row>1</xdr:row>
      <xdr:rowOff>107950</xdr:rowOff>
    </xdr:from>
    <xdr:to>
      <xdr:col>11</xdr:col>
      <xdr:colOff>57150</xdr:colOff>
      <xdr:row>15</xdr:row>
      <xdr:rowOff>57785</xdr:rowOff>
    </xdr:to>
    <mc:AlternateContent xmlns:mc="http://schemas.openxmlformats.org/markup-compatibility/2006" xmlns:a14="http://schemas.microsoft.com/office/drawing/2010/main">
      <mc:Choice Requires="a14">
        <xdr:graphicFrame macro="">
          <xdr:nvGraphicFramePr>
            <xdr:cNvPr id="2" name="Year 55">
              <a:extLst>
                <a:ext uri="{FF2B5EF4-FFF2-40B4-BE49-F238E27FC236}">
                  <a16:creationId xmlns:a16="http://schemas.microsoft.com/office/drawing/2014/main" id="{D1C2F553-22FD-429C-AFAF-9FC3BB976185}"/>
                </a:ext>
              </a:extLst>
            </xdr:cNvPr>
            <xdr:cNvGraphicFramePr/>
          </xdr:nvGraphicFramePr>
          <xdr:xfrm>
            <a:off x="0" y="0"/>
            <a:ext cx="0" cy="0"/>
          </xdr:xfrm>
          <a:graphic>
            <a:graphicData uri="http://schemas.microsoft.com/office/drawing/2010/slicer">
              <sle:slicer xmlns:sle="http://schemas.microsoft.com/office/drawing/2010/slicer" name="Year 55"/>
            </a:graphicData>
          </a:graphic>
        </xdr:graphicFrame>
      </mc:Choice>
      <mc:Fallback xmlns="">
        <xdr:sp macro="" textlink="">
          <xdr:nvSpPr>
            <xdr:cNvPr id="0" name=""/>
            <xdr:cNvSpPr>
              <a:spLocks noTextEdit="1"/>
            </xdr:cNvSpPr>
          </xdr:nvSpPr>
          <xdr:spPr>
            <a:xfrm>
              <a:off x="9074150" y="292100"/>
              <a:ext cx="1828800" cy="2524125"/>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6</xdr:col>
      <xdr:colOff>635000</xdr:colOff>
      <xdr:row>14</xdr:row>
      <xdr:rowOff>171450</xdr:rowOff>
    </xdr:from>
    <xdr:to>
      <xdr:col>9</xdr:col>
      <xdr:colOff>417830</xdr:colOff>
      <xdr:row>28</xdr:row>
      <xdr:rowOff>133985</xdr:rowOff>
    </xdr:to>
    <mc:AlternateContent xmlns:mc="http://schemas.openxmlformats.org/markup-compatibility/2006" xmlns:a14="http://schemas.microsoft.com/office/drawing/2010/main">
      <mc:Choice Requires="a14">
        <xdr:graphicFrame macro="">
          <xdr:nvGraphicFramePr>
            <xdr:cNvPr id="3" name="Year 64">
              <a:extLst>
                <a:ext uri="{FF2B5EF4-FFF2-40B4-BE49-F238E27FC236}">
                  <a16:creationId xmlns:a16="http://schemas.microsoft.com/office/drawing/2014/main" id="{0FCE1E41-F664-4C54-B1FB-0D54ACEC65EA}"/>
                </a:ext>
              </a:extLst>
            </xdr:cNvPr>
            <xdr:cNvGraphicFramePr/>
          </xdr:nvGraphicFramePr>
          <xdr:xfrm>
            <a:off x="0" y="0"/>
            <a:ext cx="0" cy="0"/>
          </xdr:xfrm>
          <a:graphic>
            <a:graphicData uri="http://schemas.microsoft.com/office/drawing/2010/slicer">
              <sle:slicer xmlns:sle="http://schemas.microsoft.com/office/drawing/2010/slicer" name="Year 64"/>
            </a:graphicData>
          </a:graphic>
        </xdr:graphicFrame>
      </mc:Choice>
      <mc:Fallback xmlns="">
        <xdr:sp macro="" textlink="">
          <xdr:nvSpPr>
            <xdr:cNvPr id="0" name=""/>
            <xdr:cNvSpPr>
              <a:spLocks noTextEdit="1"/>
            </xdr:cNvSpPr>
          </xdr:nvSpPr>
          <xdr:spPr>
            <a:xfrm>
              <a:off x="8255000" y="2749550"/>
              <a:ext cx="1828800" cy="2524125"/>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8</xdr:col>
      <xdr:colOff>38099</xdr:colOff>
      <xdr:row>30</xdr:row>
      <xdr:rowOff>154305</xdr:rowOff>
    </xdr:from>
    <xdr:to>
      <xdr:col>17</xdr:col>
      <xdr:colOff>129540</xdr:colOff>
      <xdr:row>34</xdr:row>
      <xdr:rowOff>99059</xdr:rowOff>
    </xdr:to>
    <mc:AlternateContent xmlns:mc="http://schemas.openxmlformats.org/markup-compatibility/2006" xmlns:a14="http://schemas.microsoft.com/office/drawing/2010/main">
      <mc:Choice Requires="a14">
        <xdr:graphicFrame macro="">
          <xdr:nvGraphicFramePr>
            <xdr:cNvPr id="6" name="FiscalYr">
              <a:extLst>
                <a:ext uri="{FF2B5EF4-FFF2-40B4-BE49-F238E27FC236}">
                  <a16:creationId xmlns:a16="http://schemas.microsoft.com/office/drawing/2014/main" id="{1C0C4792-F49B-30A0-B466-F55A4179312F}"/>
                </a:ext>
              </a:extLst>
            </xdr:cNvPr>
            <xdr:cNvGraphicFramePr/>
          </xdr:nvGraphicFramePr>
          <xdr:xfrm>
            <a:off x="0" y="0"/>
            <a:ext cx="0" cy="0"/>
          </xdr:xfrm>
          <a:graphic>
            <a:graphicData uri="http://schemas.microsoft.com/office/drawing/2010/slicer">
              <sle:slicer xmlns:sle="http://schemas.microsoft.com/office/drawing/2010/slicer" name="FiscalYr"/>
            </a:graphicData>
          </a:graphic>
        </xdr:graphicFrame>
      </mc:Choice>
      <mc:Fallback xmlns="">
        <xdr:sp macro="" textlink="">
          <xdr:nvSpPr>
            <xdr:cNvPr id="0" name=""/>
            <xdr:cNvSpPr>
              <a:spLocks noTextEdit="1"/>
            </xdr:cNvSpPr>
          </xdr:nvSpPr>
          <xdr:spPr>
            <a:xfrm>
              <a:off x="9229724" y="5583555"/>
              <a:ext cx="5581651" cy="664844"/>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5</xdr:col>
      <xdr:colOff>34924</xdr:colOff>
      <xdr:row>44</xdr:row>
      <xdr:rowOff>11430</xdr:rowOff>
    </xdr:from>
    <xdr:to>
      <xdr:col>15</xdr:col>
      <xdr:colOff>380999</xdr:colOff>
      <xdr:row>48</xdr:row>
      <xdr:rowOff>114300</xdr:rowOff>
    </xdr:to>
    <mc:AlternateContent xmlns:mc="http://schemas.openxmlformats.org/markup-compatibility/2006" xmlns:a14="http://schemas.microsoft.com/office/drawing/2010/main">
      <mc:Choice Requires="a14">
        <xdr:graphicFrame macro="">
          <xdr:nvGraphicFramePr>
            <xdr:cNvPr id="7" name="FiscalYr 2">
              <a:extLst>
                <a:ext uri="{FF2B5EF4-FFF2-40B4-BE49-F238E27FC236}">
                  <a16:creationId xmlns:a16="http://schemas.microsoft.com/office/drawing/2014/main" id="{1AA200B8-C67D-DDAD-DA30-CA0F30DF6235}"/>
                </a:ext>
              </a:extLst>
            </xdr:cNvPr>
            <xdr:cNvGraphicFramePr/>
          </xdr:nvGraphicFramePr>
          <xdr:xfrm>
            <a:off x="0" y="0"/>
            <a:ext cx="0" cy="0"/>
          </xdr:xfrm>
          <a:graphic>
            <a:graphicData uri="http://schemas.microsoft.com/office/drawing/2010/slicer">
              <sle:slicer xmlns:sle="http://schemas.microsoft.com/office/drawing/2010/slicer" name="FiscalYr 2"/>
            </a:graphicData>
          </a:graphic>
        </xdr:graphicFrame>
      </mc:Choice>
      <mc:Fallback xmlns="">
        <xdr:sp macro="" textlink="">
          <xdr:nvSpPr>
            <xdr:cNvPr id="0" name=""/>
            <xdr:cNvSpPr>
              <a:spLocks noTextEdit="1"/>
            </xdr:cNvSpPr>
          </xdr:nvSpPr>
          <xdr:spPr>
            <a:xfrm>
              <a:off x="4511675" y="7969250"/>
              <a:ext cx="4667250" cy="457200"/>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53.xml><?xml version="1.0" encoding="utf-8"?>
<xdr:wsDr xmlns:xdr="http://schemas.openxmlformats.org/drawingml/2006/spreadsheetDrawing" xmlns:a="http://schemas.openxmlformats.org/drawingml/2006/main">
  <xdr:twoCellAnchor editAs="oneCell">
    <xdr:from>
      <xdr:col>2</xdr:col>
      <xdr:colOff>1247775</xdr:colOff>
      <xdr:row>30</xdr:row>
      <xdr:rowOff>47626</xdr:rowOff>
    </xdr:from>
    <xdr:to>
      <xdr:col>8</xdr:col>
      <xdr:colOff>0</xdr:colOff>
      <xdr:row>32</xdr:row>
      <xdr:rowOff>129540</xdr:rowOff>
    </xdr:to>
    <mc:AlternateContent xmlns:mc="http://schemas.openxmlformats.org/markup-compatibility/2006" xmlns:a14="http://schemas.microsoft.com/office/drawing/2010/main">
      <mc:Choice Requires="a14">
        <xdr:graphicFrame macro="">
          <xdr:nvGraphicFramePr>
            <xdr:cNvPr id="19" name="Year 63">
              <a:extLst>
                <a:ext uri="{FF2B5EF4-FFF2-40B4-BE49-F238E27FC236}">
                  <a16:creationId xmlns:a16="http://schemas.microsoft.com/office/drawing/2014/main" id="{861D1B09-F106-41D1-8769-106F7E9D2727}"/>
                </a:ext>
              </a:extLst>
            </xdr:cNvPr>
            <xdr:cNvGraphicFramePr/>
          </xdr:nvGraphicFramePr>
          <xdr:xfrm>
            <a:off x="0" y="0"/>
            <a:ext cx="0" cy="0"/>
          </xdr:xfrm>
          <a:graphic>
            <a:graphicData uri="http://schemas.microsoft.com/office/drawing/2010/slicer">
              <sle:slicer xmlns:sle="http://schemas.microsoft.com/office/drawing/2010/slicer" name="Year 63"/>
            </a:graphicData>
          </a:graphic>
        </xdr:graphicFrame>
      </mc:Choice>
      <mc:Fallback xmlns="">
        <xdr:sp macro="" textlink="">
          <xdr:nvSpPr>
            <xdr:cNvPr id="0" name=""/>
            <xdr:cNvSpPr>
              <a:spLocks noTextEdit="1"/>
            </xdr:cNvSpPr>
          </xdr:nvSpPr>
          <xdr:spPr>
            <a:xfrm>
              <a:off x="3302000" y="6451601"/>
              <a:ext cx="4895850" cy="507999"/>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3</xdr:col>
      <xdr:colOff>857249</xdr:colOff>
      <xdr:row>4</xdr:row>
      <xdr:rowOff>0</xdr:rowOff>
    </xdr:from>
    <xdr:to>
      <xdr:col>8</xdr:col>
      <xdr:colOff>1323339</xdr:colOff>
      <xdr:row>6</xdr:row>
      <xdr:rowOff>27939</xdr:rowOff>
    </xdr:to>
    <mc:AlternateContent xmlns:mc="http://schemas.openxmlformats.org/markup-compatibility/2006" xmlns:a14="http://schemas.microsoft.com/office/drawing/2010/main">
      <mc:Choice Requires="a14">
        <xdr:graphicFrame macro="">
          <xdr:nvGraphicFramePr>
            <xdr:cNvPr id="20" name="Year 65">
              <a:extLst>
                <a:ext uri="{FF2B5EF4-FFF2-40B4-BE49-F238E27FC236}">
                  <a16:creationId xmlns:a16="http://schemas.microsoft.com/office/drawing/2014/main" id="{ED136CB0-C2CC-48EC-B912-9F5903E4E2DC}"/>
                </a:ext>
              </a:extLst>
            </xdr:cNvPr>
            <xdr:cNvGraphicFramePr/>
          </xdr:nvGraphicFramePr>
          <xdr:xfrm>
            <a:off x="0" y="0"/>
            <a:ext cx="0" cy="0"/>
          </xdr:xfrm>
          <a:graphic>
            <a:graphicData uri="http://schemas.microsoft.com/office/drawing/2010/slicer">
              <sle:slicer xmlns:sle="http://schemas.microsoft.com/office/drawing/2010/slicer" name="Year 65"/>
            </a:graphicData>
          </a:graphic>
        </xdr:graphicFrame>
      </mc:Choice>
      <mc:Fallback xmlns="">
        <xdr:sp macro="" textlink="">
          <xdr:nvSpPr>
            <xdr:cNvPr id="0" name=""/>
            <xdr:cNvSpPr>
              <a:spLocks noTextEdit="1"/>
            </xdr:cNvSpPr>
          </xdr:nvSpPr>
          <xdr:spPr>
            <a:xfrm>
              <a:off x="4514850" y="831851"/>
              <a:ext cx="4470400" cy="431799"/>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3</xdr:col>
      <xdr:colOff>904875</xdr:colOff>
      <xdr:row>46</xdr:row>
      <xdr:rowOff>1</xdr:rowOff>
    </xdr:from>
    <xdr:to>
      <xdr:col>8</xdr:col>
      <xdr:colOff>1501140</xdr:colOff>
      <xdr:row>48</xdr:row>
      <xdr:rowOff>76201</xdr:rowOff>
    </xdr:to>
    <mc:AlternateContent xmlns:mc="http://schemas.openxmlformats.org/markup-compatibility/2006" xmlns:a14="http://schemas.microsoft.com/office/drawing/2010/main">
      <mc:Choice Requires="a14">
        <xdr:graphicFrame macro="">
          <xdr:nvGraphicFramePr>
            <xdr:cNvPr id="2" name="FiscalYr 1">
              <a:extLst>
                <a:ext uri="{FF2B5EF4-FFF2-40B4-BE49-F238E27FC236}">
                  <a16:creationId xmlns:a16="http://schemas.microsoft.com/office/drawing/2014/main" id="{F0F16C47-B9F6-4C5B-9F30-EF918304FB2E}"/>
                </a:ext>
              </a:extLst>
            </xdr:cNvPr>
            <xdr:cNvGraphicFramePr/>
          </xdr:nvGraphicFramePr>
          <xdr:xfrm>
            <a:off x="0" y="0"/>
            <a:ext cx="0" cy="0"/>
          </xdr:xfrm>
          <a:graphic>
            <a:graphicData uri="http://schemas.microsoft.com/office/drawing/2010/slicer">
              <sle:slicer xmlns:sle="http://schemas.microsoft.com/office/drawing/2010/slicer" name="FiscalYr 1"/>
            </a:graphicData>
          </a:graphic>
        </xdr:graphicFrame>
      </mc:Choice>
      <mc:Fallback xmlns="">
        <xdr:sp macro="" textlink="">
          <xdr:nvSpPr>
            <xdr:cNvPr id="0" name=""/>
            <xdr:cNvSpPr>
              <a:spLocks noTextEdit="1"/>
            </xdr:cNvSpPr>
          </xdr:nvSpPr>
          <xdr:spPr>
            <a:xfrm>
              <a:off x="4752975" y="10420351"/>
              <a:ext cx="4606925" cy="438150"/>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3</xdr:col>
      <xdr:colOff>762000</xdr:colOff>
      <xdr:row>60</xdr:row>
      <xdr:rowOff>171451</xdr:rowOff>
    </xdr:from>
    <xdr:to>
      <xdr:col>8</xdr:col>
      <xdr:colOff>1238250</xdr:colOff>
      <xdr:row>63</xdr:row>
      <xdr:rowOff>24766</xdr:rowOff>
    </xdr:to>
    <mc:AlternateContent xmlns:mc="http://schemas.openxmlformats.org/markup-compatibility/2006" xmlns:a14="http://schemas.microsoft.com/office/drawing/2010/main">
      <mc:Choice Requires="a14">
        <xdr:graphicFrame macro="">
          <xdr:nvGraphicFramePr>
            <xdr:cNvPr id="3" name="FiscalYr 3">
              <a:extLst>
                <a:ext uri="{FF2B5EF4-FFF2-40B4-BE49-F238E27FC236}">
                  <a16:creationId xmlns:a16="http://schemas.microsoft.com/office/drawing/2014/main" id="{4498A251-A1D9-43E3-ADDE-4A0CECB850B7}"/>
                </a:ext>
              </a:extLst>
            </xdr:cNvPr>
            <xdr:cNvGraphicFramePr/>
          </xdr:nvGraphicFramePr>
          <xdr:xfrm>
            <a:off x="0" y="0"/>
            <a:ext cx="0" cy="0"/>
          </xdr:xfrm>
          <a:graphic>
            <a:graphicData uri="http://schemas.microsoft.com/office/drawing/2010/slicer">
              <sle:slicer xmlns:sle="http://schemas.microsoft.com/office/drawing/2010/slicer" name="FiscalYr 3"/>
            </a:graphicData>
          </a:graphic>
        </xdr:graphicFrame>
      </mc:Choice>
      <mc:Fallback xmlns="">
        <xdr:sp macro="" textlink="">
          <xdr:nvSpPr>
            <xdr:cNvPr id="0" name=""/>
            <xdr:cNvSpPr>
              <a:spLocks noTextEdit="1"/>
            </xdr:cNvSpPr>
          </xdr:nvSpPr>
          <xdr:spPr>
            <a:xfrm>
              <a:off x="5276850" y="12611101"/>
              <a:ext cx="5143500" cy="434975"/>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54.xml><?xml version="1.0" encoding="utf-8"?>
<xdr:wsDr xmlns:xdr="http://schemas.openxmlformats.org/drawingml/2006/spreadsheetDrawing" xmlns:a="http://schemas.openxmlformats.org/drawingml/2006/main">
  <xdr:twoCellAnchor editAs="oneCell">
    <xdr:from>
      <xdr:col>0</xdr:col>
      <xdr:colOff>234331</xdr:colOff>
      <xdr:row>7</xdr:row>
      <xdr:rowOff>11414</xdr:rowOff>
    </xdr:from>
    <xdr:to>
      <xdr:col>7</xdr:col>
      <xdr:colOff>408990</xdr:colOff>
      <xdr:row>16</xdr:row>
      <xdr:rowOff>0</xdr:rowOff>
    </xdr:to>
    <xdr:pic>
      <xdr:nvPicPr>
        <xdr:cNvPr id="4" name="Picture 3">
          <a:extLst>
            <a:ext uri="{FF2B5EF4-FFF2-40B4-BE49-F238E27FC236}">
              <a16:creationId xmlns:a16="http://schemas.microsoft.com/office/drawing/2014/main" id="{02BBF7F1-3BC9-CBB6-9864-F7DC2735113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34331" y="1335389"/>
          <a:ext cx="4441859" cy="1617361"/>
        </a:xfrm>
        <a:prstGeom prst="rect">
          <a:avLst/>
        </a:prstGeom>
      </xdr:spPr>
    </xdr:pic>
    <xdr:clientData/>
  </xdr:twoCellAnchor>
  <xdr:twoCellAnchor editAs="oneCell">
    <xdr:from>
      <xdr:col>7</xdr:col>
      <xdr:colOff>571939</xdr:colOff>
      <xdr:row>17</xdr:row>
      <xdr:rowOff>41315</xdr:rowOff>
    </xdr:from>
    <xdr:to>
      <xdr:col>15</xdr:col>
      <xdr:colOff>135092</xdr:colOff>
      <xdr:row>26</xdr:row>
      <xdr:rowOff>40151</xdr:rowOff>
    </xdr:to>
    <xdr:pic>
      <xdr:nvPicPr>
        <xdr:cNvPr id="6" name="Picture 5">
          <a:extLst>
            <a:ext uri="{FF2B5EF4-FFF2-40B4-BE49-F238E27FC236}">
              <a16:creationId xmlns:a16="http://schemas.microsoft.com/office/drawing/2014/main" id="{B6FDA8B9-CE9E-B759-2AFD-AA9B68B9D96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839139" y="3175040"/>
          <a:ext cx="4439953" cy="1627611"/>
        </a:xfrm>
        <a:prstGeom prst="rect">
          <a:avLst/>
        </a:prstGeom>
      </xdr:spPr>
    </xdr:pic>
    <xdr:clientData/>
  </xdr:twoCellAnchor>
  <xdr:twoCellAnchor editAs="oneCell">
    <xdr:from>
      <xdr:col>7</xdr:col>
      <xdr:colOff>574007</xdr:colOff>
      <xdr:row>27</xdr:row>
      <xdr:rowOff>43815</xdr:rowOff>
    </xdr:from>
    <xdr:to>
      <xdr:col>15</xdr:col>
      <xdr:colOff>152400</xdr:colOff>
      <xdr:row>36</xdr:row>
      <xdr:rowOff>31514</xdr:rowOff>
    </xdr:to>
    <xdr:pic>
      <xdr:nvPicPr>
        <xdr:cNvPr id="8" name="Picture 7">
          <a:extLst>
            <a:ext uri="{FF2B5EF4-FFF2-40B4-BE49-F238E27FC236}">
              <a16:creationId xmlns:a16="http://schemas.microsoft.com/office/drawing/2014/main" id="{52655745-4355-3E30-764F-7E43688DED5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841207" y="4987290"/>
          <a:ext cx="4455193" cy="1616474"/>
        </a:xfrm>
        <a:prstGeom prst="rect">
          <a:avLst/>
        </a:prstGeom>
      </xdr:spPr>
    </xdr:pic>
    <xdr:clientData/>
  </xdr:twoCellAnchor>
  <xdr:twoCellAnchor editAs="oneCell">
    <xdr:from>
      <xdr:col>0</xdr:col>
      <xdr:colOff>257175</xdr:colOff>
      <xdr:row>17</xdr:row>
      <xdr:rowOff>496</xdr:rowOff>
    </xdr:from>
    <xdr:to>
      <xdr:col>7</xdr:col>
      <xdr:colOff>431210</xdr:colOff>
      <xdr:row>26</xdr:row>
      <xdr:rowOff>7620</xdr:rowOff>
    </xdr:to>
    <xdr:pic>
      <xdr:nvPicPr>
        <xdr:cNvPr id="10" name="Picture 9">
          <a:extLst>
            <a:ext uri="{FF2B5EF4-FFF2-40B4-BE49-F238E27FC236}">
              <a16:creationId xmlns:a16="http://schemas.microsoft.com/office/drawing/2014/main" id="{0FBD4AF6-075C-1389-47C1-6CEEC8299191}"/>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257175" y="3134221"/>
          <a:ext cx="4441235" cy="1635899"/>
        </a:xfrm>
        <a:prstGeom prst="rect">
          <a:avLst/>
        </a:prstGeom>
      </xdr:spPr>
    </xdr:pic>
    <xdr:clientData/>
  </xdr:twoCellAnchor>
  <xdr:twoCellAnchor editAs="oneCell">
    <xdr:from>
      <xdr:col>0</xdr:col>
      <xdr:colOff>248969</xdr:colOff>
      <xdr:row>27</xdr:row>
      <xdr:rowOff>20790</xdr:rowOff>
    </xdr:from>
    <xdr:to>
      <xdr:col>7</xdr:col>
      <xdr:colOff>426728</xdr:colOff>
      <xdr:row>36</xdr:row>
      <xdr:rowOff>20076</xdr:rowOff>
    </xdr:to>
    <xdr:pic>
      <xdr:nvPicPr>
        <xdr:cNvPr id="12" name="Picture 11">
          <a:extLst>
            <a:ext uri="{FF2B5EF4-FFF2-40B4-BE49-F238E27FC236}">
              <a16:creationId xmlns:a16="http://schemas.microsoft.com/office/drawing/2014/main" id="{C7DBDC2C-28A1-B700-1C91-24C1E20AEC3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248969" y="4964265"/>
          <a:ext cx="4444959" cy="1628061"/>
        </a:xfrm>
        <a:prstGeom prst="rect">
          <a:avLst/>
        </a:prstGeom>
      </xdr:spPr>
    </xdr:pic>
    <xdr:clientData/>
  </xdr:twoCellAnchor>
  <xdr:twoCellAnchor editAs="oneCell">
    <xdr:from>
      <xdr:col>7</xdr:col>
      <xdr:colOff>541037</xdr:colOff>
      <xdr:row>7</xdr:row>
      <xdr:rowOff>12179</xdr:rowOff>
    </xdr:from>
    <xdr:to>
      <xdr:col>15</xdr:col>
      <xdr:colOff>115180</xdr:colOff>
      <xdr:row>16</xdr:row>
      <xdr:rowOff>546</xdr:rowOff>
    </xdr:to>
    <xdr:pic>
      <xdr:nvPicPr>
        <xdr:cNvPr id="14" name="Picture 13">
          <a:extLst>
            <a:ext uri="{FF2B5EF4-FFF2-40B4-BE49-F238E27FC236}">
              <a16:creationId xmlns:a16="http://schemas.microsoft.com/office/drawing/2014/main" id="{6C364566-172B-F94D-14C2-EE02541D4235}"/>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4808237" y="1336154"/>
          <a:ext cx="4450943" cy="1617142"/>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xdr:twoCellAnchor editAs="oneCell">
    <xdr:from>
      <xdr:col>0</xdr:col>
      <xdr:colOff>215413</xdr:colOff>
      <xdr:row>27</xdr:row>
      <xdr:rowOff>135927</xdr:rowOff>
    </xdr:from>
    <xdr:to>
      <xdr:col>7</xdr:col>
      <xdr:colOff>549607</xdr:colOff>
      <xdr:row>37</xdr:row>
      <xdr:rowOff>1567</xdr:rowOff>
    </xdr:to>
    <xdr:pic>
      <xdr:nvPicPr>
        <xdr:cNvPr id="8" name="Picture 7">
          <a:extLst>
            <a:ext uri="{FF2B5EF4-FFF2-40B4-BE49-F238E27FC236}">
              <a16:creationId xmlns:a16="http://schemas.microsoft.com/office/drawing/2014/main" id="{AC941E3C-0A75-9A63-FD51-BE6BCF240B4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15413" y="5105492"/>
          <a:ext cx="4624585" cy="1687814"/>
        </a:xfrm>
        <a:prstGeom prst="rect">
          <a:avLst/>
        </a:prstGeom>
      </xdr:spPr>
    </xdr:pic>
    <xdr:clientData/>
  </xdr:twoCellAnchor>
  <xdr:twoCellAnchor editAs="oneCell">
    <xdr:from>
      <xdr:col>0</xdr:col>
      <xdr:colOff>196819</xdr:colOff>
      <xdr:row>17</xdr:row>
      <xdr:rowOff>40595</xdr:rowOff>
    </xdr:from>
    <xdr:to>
      <xdr:col>7</xdr:col>
      <xdr:colOff>537109</xdr:colOff>
      <xdr:row>26</xdr:row>
      <xdr:rowOff>94165</xdr:rowOff>
    </xdr:to>
    <xdr:pic>
      <xdr:nvPicPr>
        <xdr:cNvPr id="10" name="Picture 9">
          <a:extLst>
            <a:ext uri="{FF2B5EF4-FFF2-40B4-BE49-F238E27FC236}">
              <a16:creationId xmlns:a16="http://schemas.microsoft.com/office/drawing/2014/main" id="{94163B41-F317-EB3B-9C9F-B466C92CAB6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96819" y="3187986"/>
          <a:ext cx="4630681" cy="1693527"/>
        </a:xfrm>
        <a:prstGeom prst="rect">
          <a:avLst/>
        </a:prstGeom>
      </xdr:spPr>
    </xdr:pic>
    <xdr:clientData/>
  </xdr:twoCellAnchor>
  <xdr:twoCellAnchor editAs="oneCell">
    <xdr:from>
      <xdr:col>0</xdr:col>
      <xdr:colOff>163227</xdr:colOff>
      <xdr:row>7</xdr:row>
      <xdr:rowOff>17425</xdr:rowOff>
    </xdr:from>
    <xdr:to>
      <xdr:col>7</xdr:col>
      <xdr:colOff>503138</xdr:colOff>
      <xdr:row>16</xdr:row>
      <xdr:rowOff>47451</xdr:rowOff>
    </xdr:to>
    <xdr:pic>
      <xdr:nvPicPr>
        <xdr:cNvPr id="13" name="Picture 12">
          <a:extLst>
            <a:ext uri="{FF2B5EF4-FFF2-40B4-BE49-F238E27FC236}">
              <a16:creationId xmlns:a16="http://schemas.microsoft.com/office/drawing/2014/main" id="{15C75471-1CC0-53B2-9DBE-E5060CD99E7C}"/>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163227" y="1342642"/>
          <a:ext cx="4630302" cy="1669983"/>
        </a:xfrm>
        <a:prstGeom prst="rect">
          <a:avLst/>
        </a:prstGeom>
      </xdr:spPr>
    </xdr:pic>
    <xdr:clientData/>
  </xdr:twoCellAnchor>
  <xdr:twoCellAnchor editAs="oneCell">
    <xdr:from>
      <xdr:col>8</xdr:col>
      <xdr:colOff>47522</xdr:colOff>
      <xdr:row>17</xdr:row>
      <xdr:rowOff>70346</xdr:rowOff>
    </xdr:from>
    <xdr:to>
      <xdr:col>15</xdr:col>
      <xdr:colOff>377907</xdr:colOff>
      <xdr:row>26</xdr:row>
      <xdr:rowOff>118909</xdr:rowOff>
    </xdr:to>
    <xdr:pic>
      <xdr:nvPicPr>
        <xdr:cNvPr id="14" name="Picture 13">
          <a:extLst>
            <a:ext uri="{FF2B5EF4-FFF2-40B4-BE49-F238E27FC236}">
              <a16:creationId xmlns:a16="http://schemas.microsoft.com/office/drawing/2014/main" id="{72946A1B-5EDA-E18F-AF4E-40E9368B4BD7}"/>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950826" y="3217737"/>
          <a:ext cx="4620777" cy="1688520"/>
        </a:xfrm>
        <a:prstGeom prst="rect">
          <a:avLst/>
        </a:prstGeom>
      </xdr:spPr>
    </xdr:pic>
    <xdr:clientData/>
  </xdr:twoCellAnchor>
  <xdr:twoCellAnchor editAs="oneCell">
    <xdr:from>
      <xdr:col>8</xdr:col>
      <xdr:colOff>12266</xdr:colOff>
      <xdr:row>7</xdr:row>
      <xdr:rowOff>49652</xdr:rowOff>
    </xdr:from>
    <xdr:to>
      <xdr:col>15</xdr:col>
      <xdr:colOff>349029</xdr:colOff>
      <xdr:row>16</xdr:row>
      <xdr:rowOff>89203</xdr:rowOff>
    </xdr:to>
    <xdr:pic>
      <xdr:nvPicPr>
        <xdr:cNvPr id="15" name="Picture 14">
          <a:extLst>
            <a:ext uri="{FF2B5EF4-FFF2-40B4-BE49-F238E27FC236}">
              <a16:creationId xmlns:a16="http://schemas.microsoft.com/office/drawing/2014/main" id="{EF0834AA-9EA2-0086-7832-52A4D0E0FE91}"/>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915570" y="1374869"/>
          <a:ext cx="4627155" cy="1679508"/>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xdr:twoCellAnchor editAs="oneCell">
    <xdr:from>
      <xdr:col>0</xdr:col>
      <xdr:colOff>163286</xdr:colOff>
      <xdr:row>7</xdr:row>
      <xdr:rowOff>128451</xdr:rowOff>
    </xdr:from>
    <xdr:to>
      <xdr:col>9</xdr:col>
      <xdr:colOff>144236</xdr:colOff>
      <xdr:row>22</xdr:row>
      <xdr:rowOff>155247</xdr:rowOff>
    </xdr:to>
    <xdr:pic>
      <xdr:nvPicPr>
        <xdr:cNvPr id="4" name="Picture 3">
          <a:extLst>
            <a:ext uri="{FF2B5EF4-FFF2-40B4-BE49-F238E27FC236}">
              <a16:creationId xmlns:a16="http://schemas.microsoft.com/office/drawing/2014/main" id="{7DCB269C-81DE-6289-6700-F0FB91AD1EA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63286" y="1448344"/>
          <a:ext cx="5491843" cy="2680189"/>
        </a:xfrm>
        <a:prstGeom prst="rect">
          <a:avLst/>
        </a:prstGeom>
      </xdr:spPr>
    </xdr:pic>
    <xdr:clientData/>
  </xdr:twoCellAnchor>
  <xdr:twoCellAnchor editAs="oneCell">
    <xdr:from>
      <xdr:col>0</xdr:col>
      <xdr:colOff>376152</xdr:colOff>
      <xdr:row>24</xdr:row>
      <xdr:rowOff>133673</xdr:rowOff>
    </xdr:from>
    <xdr:to>
      <xdr:col>9</xdr:col>
      <xdr:colOff>182176</xdr:colOff>
      <xdr:row>35</xdr:row>
      <xdr:rowOff>166552</xdr:rowOff>
    </xdr:to>
    <xdr:pic>
      <xdr:nvPicPr>
        <xdr:cNvPr id="6" name="Picture 5">
          <a:extLst>
            <a:ext uri="{FF2B5EF4-FFF2-40B4-BE49-F238E27FC236}">
              <a16:creationId xmlns:a16="http://schemas.microsoft.com/office/drawing/2014/main" id="{53B1C588-1C81-7E22-34EE-C01119A647B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76152" y="4460744"/>
          <a:ext cx="5316917" cy="197870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xdr:twoCellAnchor editAs="oneCell">
    <xdr:from>
      <xdr:col>1</xdr:col>
      <xdr:colOff>364740</xdr:colOff>
      <xdr:row>6</xdr:row>
      <xdr:rowOff>102833</xdr:rowOff>
    </xdr:from>
    <xdr:to>
      <xdr:col>4</xdr:col>
      <xdr:colOff>524802</xdr:colOff>
      <xdr:row>14</xdr:row>
      <xdr:rowOff>163130</xdr:rowOff>
    </xdr:to>
    <xdr:pic>
      <xdr:nvPicPr>
        <xdr:cNvPr id="4" name="Picture 3">
          <a:extLst>
            <a:ext uri="{FF2B5EF4-FFF2-40B4-BE49-F238E27FC236}">
              <a16:creationId xmlns:a16="http://schemas.microsoft.com/office/drawing/2014/main" id="{132B2D73-735F-6798-219A-5BD0E781D1B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972875" y="1245833"/>
          <a:ext cx="1984465" cy="1525682"/>
        </a:xfrm>
        <a:prstGeom prst="rect">
          <a:avLst/>
        </a:prstGeom>
      </xdr:spPr>
    </xdr:pic>
    <xdr:clientData/>
  </xdr:twoCellAnchor>
  <xdr:twoCellAnchor editAs="oneCell">
    <xdr:from>
      <xdr:col>5</xdr:col>
      <xdr:colOff>456416</xdr:colOff>
      <xdr:row>15</xdr:row>
      <xdr:rowOff>138175</xdr:rowOff>
    </xdr:from>
    <xdr:to>
      <xdr:col>9</xdr:col>
      <xdr:colOff>6450</xdr:colOff>
      <xdr:row>24</xdr:row>
      <xdr:rowOff>20881</xdr:rowOff>
    </xdr:to>
    <xdr:pic>
      <xdr:nvPicPr>
        <xdr:cNvPr id="6" name="Picture 5">
          <a:extLst>
            <a:ext uri="{FF2B5EF4-FFF2-40B4-BE49-F238E27FC236}">
              <a16:creationId xmlns:a16="http://schemas.microsoft.com/office/drawing/2014/main" id="{3FC6731E-F058-9C99-1816-B93BBF5A613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497089" y="2929733"/>
          <a:ext cx="1982573" cy="1531263"/>
        </a:xfrm>
        <a:prstGeom prst="rect">
          <a:avLst/>
        </a:prstGeom>
      </xdr:spPr>
    </xdr:pic>
    <xdr:clientData/>
  </xdr:twoCellAnchor>
  <xdr:twoCellAnchor editAs="oneCell">
    <xdr:from>
      <xdr:col>1</xdr:col>
      <xdr:colOff>369212</xdr:colOff>
      <xdr:row>15</xdr:row>
      <xdr:rowOff>139127</xdr:rowOff>
    </xdr:from>
    <xdr:to>
      <xdr:col>4</xdr:col>
      <xdr:colOff>522236</xdr:colOff>
      <xdr:row>24</xdr:row>
      <xdr:rowOff>19928</xdr:rowOff>
    </xdr:to>
    <xdr:pic>
      <xdr:nvPicPr>
        <xdr:cNvPr id="8" name="Picture 7">
          <a:extLst>
            <a:ext uri="{FF2B5EF4-FFF2-40B4-BE49-F238E27FC236}">
              <a16:creationId xmlns:a16="http://schemas.microsoft.com/office/drawing/2014/main" id="{073EB822-65F8-CF4E-05B4-821C25363C4F}"/>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77347" y="2930685"/>
          <a:ext cx="1977427" cy="1529358"/>
        </a:xfrm>
        <a:prstGeom prst="rect">
          <a:avLst/>
        </a:prstGeom>
      </xdr:spPr>
    </xdr:pic>
    <xdr:clientData/>
  </xdr:twoCellAnchor>
  <xdr:twoCellAnchor editAs="oneCell">
    <xdr:from>
      <xdr:col>5</xdr:col>
      <xdr:colOff>453482</xdr:colOff>
      <xdr:row>25</xdr:row>
      <xdr:rowOff>76666</xdr:rowOff>
    </xdr:from>
    <xdr:to>
      <xdr:col>9</xdr:col>
      <xdr:colOff>9385</xdr:colOff>
      <xdr:row>33</xdr:row>
      <xdr:rowOff>150164</xdr:rowOff>
    </xdr:to>
    <xdr:pic>
      <xdr:nvPicPr>
        <xdr:cNvPr id="10" name="Picture 9">
          <a:extLst>
            <a:ext uri="{FF2B5EF4-FFF2-40B4-BE49-F238E27FC236}">
              <a16:creationId xmlns:a16="http://schemas.microsoft.com/office/drawing/2014/main" id="{7E8A6B29-EB00-E291-554E-CD5CAF67D1CD}"/>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3494155" y="4699954"/>
          <a:ext cx="1988442" cy="1538883"/>
        </a:xfrm>
        <a:prstGeom prst="rect">
          <a:avLst/>
        </a:prstGeom>
      </xdr:spPr>
    </xdr:pic>
    <xdr:clientData/>
  </xdr:twoCellAnchor>
  <xdr:twoCellAnchor editAs="oneCell">
    <xdr:from>
      <xdr:col>1</xdr:col>
      <xdr:colOff>369419</xdr:colOff>
      <xdr:row>25</xdr:row>
      <xdr:rowOff>77316</xdr:rowOff>
    </xdr:from>
    <xdr:to>
      <xdr:col>4</xdr:col>
      <xdr:colOff>522028</xdr:colOff>
      <xdr:row>33</xdr:row>
      <xdr:rowOff>149514</xdr:rowOff>
    </xdr:to>
    <xdr:pic>
      <xdr:nvPicPr>
        <xdr:cNvPr id="12" name="Picture 11">
          <a:extLst>
            <a:ext uri="{FF2B5EF4-FFF2-40B4-BE49-F238E27FC236}">
              <a16:creationId xmlns:a16="http://schemas.microsoft.com/office/drawing/2014/main" id="{3B5B95E6-2CAB-020C-A4CB-5B1DC775E12A}"/>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977554" y="4700604"/>
          <a:ext cx="1977012" cy="1537583"/>
        </a:xfrm>
        <a:prstGeom prst="rect">
          <a:avLst/>
        </a:prstGeom>
      </xdr:spPr>
    </xdr:pic>
    <xdr:clientData/>
  </xdr:twoCellAnchor>
  <xdr:twoCellAnchor editAs="oneCell">
    <xdr:from>
      <xdr:col>5</xdr:col>
      <xdr:colOff>460894</xdr:colOff>
      <xdr:row>6</xdr:row>
      <xdr:rowOff>93791</xdr:rowOff>
    </xdr:from>
    <xdr:to>
      <xdr:col>9</xdr:col>
      <xdr:colOff>68</xdr:colOff>
      <xdr:row>14</xdr:row>
      <xdr:rowOff>172172</xdr:rowOff>
    </xdr:to>
    <xdr:pic>
      <xdr:nvPicPr>
        <xdr:cNvPr id="14" name="Picture 13">
          <a:extLst>
            <a:ext uri="{FF2B5EF4-FFF2-40B4-BE49-F238E27FC236}">
              <a16:creationId xmlns:a16="http://schemas.microsoft.com/office/drawing/2014/main" id="{480C06E2-66C2-7469-2326-FE390DA302AD}"/>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3501567" y="1236791"/>
          <a:ext cx="1971713" cy="1543766"/>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xdr:twoCellAnchor editAs="oneCell">
    <xdr:from>
      <xdr:col>1</xdr:col>
      <xdr:colOff>563385</xdr:colOff>
      <xdr:row>10</xdr:row>
      <xdr:rowOff>45657</xdr:rowOff>
    </xdr:from>
    <xdr:to>
      <xdr:col>7</xdr:col>
      <xdr:colOff>268077</xdr:colOff>
      <xdr:row>24</xdr:row>
      <xdr:rowOff>69958</xdr:rowOff>
    </xdr:to>
    <xdr:pic>
      <xdr:nvPicPr>
        <xdr:cNvPr id="4" name="Picture 3">
          <a:extLst>
            <a:ext uri="{FF2B5EF4-FFF2-40B4-BE49-F238E27FC236}">
              <a16:creationId xmlns:a16="http://schemas.microsoft.com/office/drawing/2014/main" id="{1E2AF7F5-CF7A-E187-015B-0AFF47AA2B4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172985" y="1912557"/>
          <a:ext cx="3362292" cy="2557951"/>
        </a:xfrm>
        <a:prstGeom prst="rect">
          <a:avLst/>
        </a:prstGeom>
      </xdr:spPr>
    </xdr:pic>
    <xdr:clientData/>
  </xdr:twoCellAnchor>
  <xdr:twoCellAnchor editAs="oneCell">
    <xdr:from>
      <xdr:col>1</xdr:col>
      <xdr:colOff>560177</xdr:colOff>
      <xdr:row>25</xdr:row>
      <xdr:rowOff>57024</xdr:rowOff>
    </xdr:from>
    <xdr:to>
      <xdr:col>7</xdr:col>
      <xdr:colOff>271286</xdr:colOff>
      <xdr:row>39</xdr:row>
      <xdr:rowOff>88672</xdr:rowOff>
    </xdr:to>
    <xdr:pic>
      <xdr:nvPicPr>
        <xdr:cNvPr id="8" name="Picture 7">
          <a:extLst>
            <a:ext uri="{FF2B5EF4-FFF2-40B4-BE49-F238E27FC236}">
              <a16:creationId xmlns:a16="http://schemas.microsoft.com/office/drawing/2014/main" id="{17C1CC70-DBB6-2D13-D29D-0E8594113EC5}"/>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169777" y="4638549"/>
          <a:ext cx="3368709" cy="2565298"/>
        </a:xfrm>
        <a:prstGeom prst="rect">
          <a:avLst/>
        </a:prstGeom>
      </xdr:spPr>
    </xdr:pic>
    <xdr:clientData/>
  </xdr:twoCellAnchor>
  <xdr:twoCellAnchor editAs="oneCell">
    <xdr:from>
      <xdr:col>13</xdr:col>
      <xdr:colOff>438571</xdr:colOff>
      <xdr:row>10</xdr:row>
      <xdr:rowOff>74715</xdr:rowOff>
    </xdr:from>
    <xdr:to>
      <xdr:col>19</xdr:col>
      <xdr:colOff>130201</xdr:colOff>
      <xdr:row>24</xdr:row>
      <xdr:rowOff>115615</xdr:rowOff>
    </xdr:to>
    <xdr:pic>
      <xdr:nvPicPr>
        <xdr:cNvPr id="10" name="Picture 9">
          <a:extLst>
            <a:ext uri="{FF2B5EF4-FFF2-40B4-BE49-F238E27FC236}">
              <a16:creationId xmlns:a16="http://schemas.microsoft.com/office/drawing/2014/main" id="{86629386-B15A-7B6B-44EB-4BDC40ACA8BF}"/>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363371" y="1941615"/>
          <a:ext cx="3349230" cy="2574550"/>
        </a:xfrm>
        <a:prstGeom prst="rect">
          <a:avLst/>
        </a:prstGeom>
      </xdr:spPr>
    </xdr:pic>
    <xdr:clientData/>
  </xdr:twoCellAnchor>
  <xdr:twoCellAnchor editAs="oneCell">
    <xdr:from>
      <xdr:col>8</xdr:col>
      <xdr:colOff>22575</xdr:colOff>
      <xdr:row>25</xdr:row>
      <xdr:rowOff>60428</xdr:rowOff>
    </xdr:from>
    <xdr:to>
      <xdr:col>13</xdr:col>
      <xdr:colOff>344487</xdr:colOff>
      <xdr:row>39</xdr:row>
      <xdr:rowOff>85268</xdr:rowOff>
    </xdr:to>
    <xdr:pic>
      <xdr:nvPicPr>
        <xdr:cNvPr id="12" name="Picture 11">
          <a:extLst>
            <a:ext uri="{FF2B5EF4-FFF2-40B4-BE49-F238E27FC236}">
              <a16:creationId xmlns:a16="http://schemas.microsoft.com/office/drawing/2014/main" id="{3644BD03-A9BF-896E-7E87-994EA62ACC0E}"/>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899375" y="4641953"/>
          <a:ext cx="3369912" cy="2558490"/>
        </a:xfrm>
        <a:prstGeom prst="rect">
          <a:avLst/>
        </a:prstGeom>
      </xdr:spPr>
    </xdr:pic>
    <xdr:clientData/>
  </xdr:twoCellAnchor>
  <xdr:twoCellAnchor editAs="oneCell">
    <xdr:from>
      <xdr:col>7</xdr:col>
      <xdr:colOff>600606</xdr:colOff>
      <xdr:row>10</xdr:row>
      <xdr:rowOff>66748</xdr:rowOff>
    </xdr:from>
    <xdr:to>
      <xdr:col>13</xdr:col>
      <xdr:colOff>284616</xdr:colOff>
      <xdr:row>24</xdr:row>
      <xdr:rowOff>83156</xdr:rowOff>
    </xdr:to>
    <xdr:pic>
      <xdr:nvPicPr>
        <xdr:cNvPr id="13" name="Picture 12">
          <a:extLst>
            <a:ext uri="{FF2B5EF4-FFF2-40B4-BE49-F238E27FC236}">
              <a16:creationId xmlns:a16="http://schemas.microsoft.com/office/drawing/2014/main" id="{54FEE548-4882-D229-18B6-789B9305C439}"/>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4867806" y="1933648"/>
          <a:ext cx="3341610" cy="2550058"/>
        </a:xfrm>
        <a:prstGeom prst="rect">
          <a:avLst/>
        </a:prstGeom>
      </xdr:spPr>
    </xdr:pic>
    <xdr:clientData/>
  </xdr:twoCellAnchor>
  <xdr:twoCellAnchor editAs="oneCell">
    <xdr:from>
      <xdr:col>13</xdr:col>
      <xdr:colOff>402376</xdr:colOff>
      <xdr:row>10</xdr:row>
      <xdr:rowOff>37357</xdr:rowOff>
    </xdr:from>
    <xdr:to>
      <xdr:col>19</xdr:col>
      <xdr:colOff>103531</xdr:colOff>
      <xdr:row>24</xdr:row>
      <xdr:rowOff>78257</xdr:rowOff>
    </xdr:to>
    <xdr:pic>
      <xdr:nvPicPr>
        <xdr:cNvPr id="14" name="Picture 13">
          <a:extLst>
            <a:ext uri="{FF2B5EF4-FFF2-40B4-BE49-F238E27FC236}">
              <a16:creationId xmlns:a16="http://schemas.microsoft.com/office/drawing/2014/main" id="{C53B6DA9-2C38-8DE9-D4A8-F543CE53BBF2}"/>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8327176" y="1904257"/>
          <a:ext cx="3358755" cy="2574550"/>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xdr:twoCellAnchor editAs="oneCell">
    <xdr:from>
      <xdr:col>11</xdr:col>
      <xdr:colOff>107456</xdr:colOff>
      <xdr:row>17</xdr:row>
      <xdr:rowOff>17822</xdr:rowOff>
    </xdr:from>
    <xdr:to>
      <xdr:col>21</xdr:col>
      <xdr:colOff>144820</xdr:colOff>
      <xdr:row>26</xdr:row>
      <xdr:rowOff>98384</xdr:rowOff>
    </xdr:to>
    <xdr:pic>
      <xdr:nvPicPr>
        <xdr:cNvPr id="4" name="Picture 3">
          <a:extLst>
            <a:ext uri="{FF2B5EF4-FFF2-40B4-BE49-F238E27FC236}">
              <a16:creationId xmlns:a16="http://schemas.microsoft.com/office/drawing/2014/main" id="{00437FD2-DFF6-F2E4-9330-54CD8A5CF762}"/>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813056" y="3151547"/>
          <a:ext cx="6133364" cy="1709337"/>
        </a:xfrm>
        <a:prstGeom prst="rect">
          <a:avLst/>
        </a:prstGeom>
      </xdr:spPr>
    </xdr:pic>
    <xdr:clientData/>
  </xdr:twoCellAnchor>
  <xdr:twoCellAnchor editAs="oneCell">
    <xdr:from>
      <xdr:col>0</xdr:col>
      <xdr:colOff>409859</xdr:colOff>
      <xdr:row>16</xdr:row>
      <xdr:rowOff>169262</xdr:rowOff>
    </xdr:from>
    <xdr:to>
      <xdr:col>10</xdr:col>
      <xdr:colOff>445312</xdr:colOff>
      <xdr:row>26</xdr:row>
      <xdr:rowOff>68146</xdr:rowOff>
    </xdr:to>
    <xdr:pic>
      <xdr:nvPicPr>
        <xdr:cNvPr id="8" name="Picture 7">
          <a:extLst>
            <a:ext uri="{FF2B5EF4-FFF2-40B4-BE49-F238E27FC236}">
              <a16:creationId xmlns:a16="http://schemas.microsoft.com/office/drawing/2014/main" id="{C9682FF1-E139-BC77-920C-1C2566F31069}"/>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409859" y="3122012"/>
          <a:ext cx="6131453" cy="1708634"/>
        </a:xfrm>
        <a:prstGeom prst="rect">
          <a:avLst/>
        </a:prstGeom>
      </xdr:spPr>
    </xdr:pic>
    <xdr:clientData/>
  </xdr:twoCellAnchor>
  <xdr:twoCellAnchor editAs="oneCell">
    <xdr:from>
      <xdr:col>0</xdr:col>
      <xdr:colOff>406642</xdr:colOff>
      <xdr:row>7</xdr:row>
      <xdr:rowOff>29993</xdr:rowOff>
    </xdr:from>
    <xdr:to>
      <xdr:col>10</xdr:col>
      <xdr:colOff>459241</xdr:colOff>
      <xdr:row>16</xdr:row>
      <xdr:rowOff>104099</xdr:rowOff>
    </xdr:to>
    <xdr:pic>
      <xdr:nvPicPr>
        <xdr:cNvPr id="11" name="Picture 10">
          <a:extLst>
            <a:ext uri="{FF2B5EF4-FFF2-40B4-BE49-F238E27FC236}">
              <a16:creationId xmlns:a16="http://schemas.microsoft.com/office/drawing/2014/main" id="{1FE53709-1087-37A7-C09B-D34EC64E332B}"/>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06642" y="1353968"/>
          <a:ext cx="6148599" cy="1702881"/>
        </a:xfrm>
        <a:prstGeom prst="rect">
          <a:avLst/>
        </a:prstGeom>
      </xdr:spPr>
    </xdr:pic>
    <xdr:clientData/>
  </xdr:twoCellAnchor>
  <xdr:twoCellAnchor editAs="oneCell">
    <xdr:from>
      <xdr:col>11</xdr:col>
      <xdr:colOff>107984</xdr:colOff>
      <xdr:row>7</xdr:row>
      <xdr:rowOff>46287</xdr:rowOff>
    </xdr:from>
    <xdr:to>
      <xdr:col>21</xdr:col>
      <xdr:colOff>159556</xdr:colOff>
      <xdr:row>16</xdr:row>
      <xdr:rowOff>114028</xdr:rowOff>
    </xdr:to>
    <xdr:pic>
      <xdr:nvPicPr>
        <xdr:cNvPr id="13" name="Picture 12">
          <a:extLst>
            <a:ext uri="{FF2B5EF4-FFF2-40B4-BE49-F238E27FC236}">
              <a16:creationId xmlns:a16="http://schemas.microsoft.com/office/drawing/2014/main" id="{41EA3073-4FA3-92FB-6380-1D97A512053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813584" y="1370262"/>
          <a:ext cx="6147572" cy="1696516"/>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xdr:twoCellAnchor editAs="oneCell">
    <xdr:from>
      <xdr:col>10</xdr:col>
      <xdr:colOff>41143</xdr:colOff>
      <xdr:row>16</xdr:row>
      <xdr:rowOff>73551</xdr:rowOff>
    </xdr:from>
    <xdr:to>
      <xdr:col>19</xdr:col>
      <xdr:colOff>220355</xdr:colOff>
      <xdr:row>25</xdr:row>
      <xdr:rowOff>29349</xdr:rowOff>
    </xdr:to>
    <xdr:pic>
      <xdr:nvPicPr>
        <xdr:cNvPr id="4" name="Picture 3">
          <a:extLst>
            <a:ext uri="{FF2B5EF4-FFF2-40B4-BE49-F238E27FC236}">
              <a16:creationId xmlns:a16="http://schemas.microsoft.com/office/drawing/2014/main" id="{91A6715E-ED59-92E5-63AE-7DF8FBD4E2A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137143" y="3026301"/>
          <a:ext cx="5665612" cy="1584573"/>
        </a:xfrm>
        <a:prstGeom prst="rect">
          <a:avLst/>
        </a:prstGeom>
      </xdr:spPr>
    </xdr:pic>
    <xdr:clientData/>
  </xdr:twoCellAnchor>
  <xdr:twoCellAnchor editAs="oneCell">
    <xdr:from>
      <xdr:col>0</xdr:col>
      <xdr:colOff>346338</xdr:colOff>
      <xdr:row>16</xdr:row>
      <xdr:rowOff>58626</xdr:rowOff>
    </xdr:from>
    <xdr:to>
      <xdr:col>9</xdr:col>
      <xdr:colOff>517708</xdr:colOff>
      <xdr:row>25</xdr:row>
      <xdr:rowOff>15546</xdr:rowOff>
    </xdr:to>
    <xdr:pic>
      <xdr:nvPicPr>
        <xdr:cNvPr id="8" name="Picture 7">
          <a:extLst>
            <a:ext uri="{FF2B5EF4-FFF2-40B4-BE49-F238E27FC236}">
              <a16:creationId xmlns:a16="http://schemas.microsoft.com/office/drawing/2014/main" id="{1B6EC004-E301-55A2-8AFD-5587C3E0E177}"/>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346338" y="3011376"/>
          <a:ext cx="5657770" cy="1585695"/>
        </a:xfrm>
        <a:prstGeom prst="rect">
          <a:avLst/>
        </a:prstGeom>
      </xdr:spPr>
    </xdr:pic>
    <xdr:clientData/>
  </xdr:twoCellAnchor>
  <xdr:twoCellAnchor editAs="oneCell">
    <xdr:from>
      <xdr:col>0</xdr:col>
      <xdr:colOff>340797</xdr:colOff>
      <xdr:row>7</xdr:row>
      <xdr:rowOff>7754</xdr:rowOff>
    </xdr:from>
    <xdr:to>
      <xdr:col>9</xdr:col>
      <xdr:colOff>514640</xdr:colOff>
      <xdr:row>15</xdr:row>
      <xdr:rowOff>136259</xdr:rowOff>
    </xdr:to>
    <xdr:pic>
      <xdr:nvPicPr>
        <xdr:cNvPr id="11" name="Picture 10">
          <a:extLst>
            <a:ext uri="{FF2B5EF4-FFF2-40B4-BE49-F238E27FC236}">
              <a16:creationId xmlns:a16="http://schemas.microsoft.com/office/drawing/2014/main" id="{7B2DF759-A041-07AB-6230-125F5ADAE33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40797" y="1331729"/>
          <a:ext cx="5660243" cy="1576305"/>
        </a:xfrm>
        <a:prstGeom prst="rect">
          <a:avLst/>
        </a:prstGeom>
      </xdr:spPr>
    </xdr:pic>
    <xdr:clientData/>
  </xdr:twoCellAnchor>
  <xdr:twoCellAnchor editAs="oneCell">
    <xdr:from>
      <xdr:col>10</xdr:col>
      <xdr:colOff>35503</xdr:colOff>
      <xdr:row>7</xdr:row>
      <xdr:rowOff>19543</xdr:rowOff>
    </xdr:from>
    <xdr:to>
      <xdr:col>19</xdr:col>
      <xdr:colOff>194104</xdr:colOff>
      <xdr:row>15</xdr:row>
      <xdr:rowOff>142875</xdr:rowOff>
    </xdr:to>
    <xdr:pic>
      <xdr:nvPicPr>
        <xdr:cNvPr id="13" name="Picture 12">
          <a:extLst>
            <a:ext uri="{FF2B5EF4-FFF2-40B4-BE49-F238E27FC236}">
              <a16:creationId xmlns:a16="http://schemas.microsoft.com/office/drawing/2014/main" id="{6D5DA13D-C29A-7ACF-53E2-D8BB81FCAFE3}"/>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6131503" y="1343518"/>
          <a:ext cx="5645001" cy="1571132"/>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xdr:twoCellAnchor editAs="oneCell">
    <xdr:from>
      <xdr:col>0</xdr:col>
      <xdr:colOff>247317</xdr:colOff>
      <xdr:row>6</xdr:row>
      <xdr:rowOff>60064</xdr:rowOff>
    </xdr:from>
    <xdr:to>
      <xdr:col>10</xdr:col>
      <xdr:colOff>461256</xdr:colOff>
      <xdr:row>36</xdr:row>
      <xdr:rowOff>33617</xdr:rowOff>
    </xdr:to>
    <xdr:pic>
      <xdr:nvPicPr>
        <xdr:cNvPr id="3" name="Picture 2">
          <a:extLst>
            <a:ext uri="{FF2B5EF4-FFF2-40B4-BE49-F238E27FC236}">
              <a16:creationId xmlns:a16="http://schemas.microsoft.com/office/drawing/2014/main" id="{B0B84FD4-8973-8F08-C290-A89B62CDD889}"/>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47317" y="1203064"/>
          <a:ext cx="6265115" cy="5352377"/>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xdr:twoCellAnchor editAs="oneCell">
    <xdr:from>
      <xdr:col>14</xdr:col>
      <xdr:colOff>534488</xdr:colOff>
      <xdr:row>18</xdr:row>
      <xdr:rowOff>70576</xdr:rowOff>
    </xdr:from>
    <xdr:to>
      <xdr:col>17</xdr:col>
      <xdr:colOff>437423</xdr:colOff>
      <xdr:row>32</xdr:row>
      <xdr:rowOff>60416</xdr:rowOff>
    </xdr:to>
    <mc:AlternateContent xmlns:mc="http://schemas.openxmlformats.org/markup-compatibility/2006" xmlns:a14="http://schemas.microsoft.com/office/drawing/2010/main">
      <mc:Choice Requires="a14">
        <xdr:graphicFrame macro="">
          <xdr:nvGraphicFramePr>
            <xdr:cNvPr id="2" name="Year 23">
              <a:extLst>
                <a:ext uri="{FF2B5EF4-FFF2-40B4-BE49-F238E27FC236}">
                  <a16:creationId xmlns:a16="http://schemas.microsoft.com/office/drawing/2014/main" id="{561D585C-4677-BAC3-DE36-6AF57353528E}"/>
                </a:ext>
              </a:extLst>
            </xdr:cNvPr>
            <xdr:cNvGraphicFramePr/>
          </xdr:nvGraphicFramePr>
          <xdr:xfrm>
            <a:off x="0" y="0"/>
            <a:ext cx="0" cy="0"/>
          </xdr:xfrm>
          <a:graphic>
            <a:graphicData uri="http://schemas.microsoft.com/office/drawing/2010/slicer">
              <sle:slicer xmlns:sle="http://schemas.microsoft.com/office/drawing/2010/slicer" name="Year 23"/>
            </a:graphicData>
          </a:graphic>
        </xdr:graphicFrame>
      </mc:Choice>
      <mc:Fallback xmlns="">
        <xdr:sp macro="" textlink="">
          <xdr:nvSpPr>
            <xdr:cNvPr id="0" name=""/>
            <xdr:cNvSpPr>
              <a:spLocks noTextEdit="1"/>
            </xdr:cNvSpPr>
          </xdr:nvSpPr>
          <xdr:spPr>
            <a:xfrm>
              <a:off x="21914031" y="3401605"/>
              <a:ext cx="1731735" cy="2580640"/>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63.xml><?xml version="1.0" encoding="utf-8"?>
<xdr:wsDr xmlns:xdr="http://schemas.openxmlformats.org/drawingml/2006/spreadsheetDrawing" xmlns:a="http://schemas.openxmlformats.org/drawingml/2006/main">
  <xdr:twoCellAnchor editAs="oneCell">
    <xdr:from>
      <xdr:col>1</xdr:col>
      <xdr:colOff>1358900</xdr:colOff>
      <xdr:row>0</xdr:row>
      <xdr:rowOff>50801</xdr:rowOff>
    </xdr:from>
    <xdr:to>
      <xdr:col>14</xdr:col>
      <xdr:colOff>603250</xdr:colOff>
      <xdr:row>1</xdr:row>
      <xdr:rowOff>31751</xdr:rowOff>
    </xdr:to>
    <mc:AlternateContent xmlns:mc="http://schemas.openxmlformats.org/markup-compatibility/2006" xmlns:a14="http://schemas.microsoft.com/office/drawing/2010/main">
      <mc:Choice Requires="a14">
        <xdr:graphicFrame macro="">
          <xdr:nvGraphicFramePr>
            <xdr:cNvPr id="2" name="Year 38">
              <a:extLst>
                <a:ext uri="{FF2B5EF4-FFF2-40B4-BE49-F238E27FC236}">
                  <a16:creationId xmlns:a16="http://schemas.microsoft.com/office/drawing/2014/main" id="{827E4C3E-C022-43D3-A06F-13551FDEBE37}"/>
                </a:ext>
              </a:extLst>
            </xdr:cNvPr>
            <xdr:cNvGraphicFramePr/>
          </xdr:nvGraphicFramePr>
          <xdr:xfrm>
            <a:off x="0" y="0"/>
            <a:ext cx="0" cy="0"/>
          </xdr:xfrm>
          <a:graphic>
            <a:graphicData uri="http://schemas.microsoft.com/office/drawing/2010/slicer">
              <sle:slicer xmlns:sle="http://schemas.microsoft.com/office/drawing/2010/slicer" name="Year 38"/>
            </a:graphicData>
          </a:graphic>
        </xdr:graphicFrame>
      </mc:Choice>
      <mc:Fallback xmlns="">
        <xdr:sp macro="" textlink="">
          <xdr:nvSpPr>
            <xdr:cNvPr id="0" name=""/>
            <xdr:cNvSpPr>
              <a:spLocks noTextEdit="1"/>
            </xdr:cNvSpPr>
          </xdr:nvSpPr>
          <xdr:spPr>
            <a:xfrm>
              <a:off x="2647950" y="50801"/>
              <a:ext cx="9658350" cy="438150"/>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64.xml><?xml version="1.0" encoding="utf-8"?>
<xdr:wsDr xmlns:xdr="http://schemas.openxmlformats.org/drawingml/2006/spreadsheetDrawing" xmlns:a="http://schemas.openxmlformats.org/drawingml/2006/main">
  <xdr:twoCellAnchor editAs="oneCell">
    <xdr:from>
      <xdr:col>1</xdr:col>
      <xdr:colOff>1454150</xdr:colOff>
      <xdr:row>0</xdr:row>
      <xdr:rowOff>44450</xdr:rowOff>
    </xdr:from>
    <xdr:to>
      <xdr:col>15</xdr:col>
      <xdr:colOff>107950</xdr:colOff>
      <xdr:row>1</xdr:row>
      <xdr:rowOff>114300</xdr:rowOff>
    </xdr:to>
    <mc:AlternateContent xmlns:mc="http://schemas.openxmlformats.org/markup-compatibility/2006" xmlns:a14="http://schemas.microsoft.com/office/drawing/2010/main">
      <mc:Choice Requires="a14">
        <xdr:graphicFrame macro="">
          <xdr:nvGraphicFramePr>
            <xdr:cNvPr id="2" name="Year 44">
              <a:extLst>
                <a:ext uri="{FF2B5EF4-FFF2-40B4-BE49-F238E27FC236}">
                  <a16:creationId xmlns:a16="http://schemas.microsoft.com/office/drawing/2014/main" id="{B683CB9F-F9D8-4977-9303-75DDA79067CF}"/>
                </a:ext>
              </a:extLst>
            </xdr:cNvPr>
            <xdr:cNvGraphicFramePr/>
          </xdr:nvGraphicFramePr>
          <xdr:xfrm>
            <a:off x="0" y="0"/>
            <a:ext cx="0" cy="0"/>
          </xdr:xfrm>
          <a:graphic>
            <a:graphicData uri="http://schemas.microsoft.com/office/drawing/2010/slicer">
              <sle:slicer xmlns:sle="http://schemas.microsoft.com/office/drawing/2010/slicer" name="Year 44"/>
            </a:graphicData>
          </a:graphic>
        </xdr:graphicFrame>
      </mc:Choice>
      <mc:Fallback xmlns="">
        <xdr:sp macro="" textlink="">
          <xdr:nvSpPr>
            <xdr:cNvPr id="0" name=""/>
            <xdr:cNvSpPr>
              <a:spLocks noTextEdit="1"/>
            </xdr:cNvSpPr>
          </xdr:nvSpPr>
          <xdr:spPr>
            <a:xfrm>
              <a:off x="2667000" y="44450"/>
              <a:ext cx="9652000" cy="438150"/>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65.xml><?xml version="1.0" encoding="utf-8"?>
<xdr:wsDr xmlns:xdr="http://schemas.openxmlformats.org/drawingml/2006/spreadsheetDrawing" xmlns:a="http://schemas.openxmlformats.org/drawingml/2006/main">
  <xdr:twoCellAnchor editAs="oneCell">
    <xdr:from>
      <xdr:col>2</xdr:col>
      <xdr:colOff>76200</xdr:colOff>
      <xdr:row>0</xdr:row>
      <xdr:rowOff>101600</xdr:rowOff>
    </xdr:from>
    <xdr:to>
      <xdr:col>16</xdr:col>
      <xdr:colOff>44450</xdr:colOff>
      <xdr:row>1</xdr:row>
      <xdr:rowOff>95250</xdr:rowOff>
    </xdr:to>
    <mc:AlternateContent xmlns:mc="http://schemas.openxmlformats.org/markup-compatibility/2006" xmlns:a14="http://schemas.microsoft.com/office/drawing/2010/main">
      <mc:Choice Requires="a14">
        <xdr:graphicFrame macro="">
          <xdr:nvGraphicFramePr>
            <xdr:cNvPr id="2" name="Year 66">
              <a:extLst>
                <a:ext uri="{FF2B5EF4-FFF2-40B4-BE49-F238E27FC236}">
                  <a16:creationId xmlns:a16="http://schemas.microsoft.com/office/drawing/2014/main" id="{E39AA830-E526-422F-B62E-D2F2804B8878}"/>
                </a:ext>
              </a:extLst>
            </xdr:cNvPr>
            <xdr:cNvGraphicFramePr/>
          </xdr:nvGraphicFramePr>
          <xdr:xfrm>
            <a:off x="0" y="0"/>
            <a:ext cx="0" cy="0"/>
          </xdr:xfrm>
          <a:graphic>
            <a:graphicData uri="http://schemas.microsoft.com/office/drawing/2010/slicer">
              <sle:slicer xmlns:sle="http://schemas.microsoft.com/office/drawing/2010/slicer" name="Year 66"/>
            </a:graphicData>
          </a:graphic>
        </xdr:graphicFrame>
      </mc:Choice>
      <mc:Fallback xmlns="">
        <xdr:sp macro="" textlink="">
          <xdr:nvSpPr>
            <xdr:cNvPr id="0" name=""/>
            <xdr:cNvSpPr>
              <a:spLocks noTextEdit="1"/>
            </xdr:cNvSpPr>
          </xdr:nvSpPr>
          <xdr:spPr>
            <a:xfrm>
              <a:off x="3003550" y="101600"/>
              <a:ext cx="9652000" cy="438150"/>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66.xml><?xml version="1.0" encoding="utf-8"?>
<xdr:wsDr xmlns:xdr="http://schemas.openxmlformats.org/drawingml/2006/spreadsheetDrawing" xmlns:a="http://schemas.openxmlformats.org/drawingml/2006/main">
  <xdr:twoCellAnchor editAs="oneCell">
    <xdr:from>
      <xdr:col>0</xdr:col>
      <xdr:colOff>75668</xdr:colOff>
      <xdr:row>6</xdr:row>
      <xdr:rowOff>176834</xdr:rowOff>
    </xdr:from>
    <xdr:to>
      <xdr:col>12</xdr:col>
      <xdr:colOff>344058</xdr:colOff>
      <xdr:row>31</xdr:row>
      <xdr:rowOff>174804</xdr:rowOff>
    </xdr:to>
    <xdr:pic>
      <xdr:nvPicPr>
        <xdr:cNvPr id="4" name="Picture 3">
          <a:extLst>
            <a:ext uri="{FF2B5EF4-FFF2-40B4-BE49-F238E27FC236}">
              <a16:creationId xmlns:a16="http://schemas.microsoft.com/office/drawing/2014/main" id="{9318DC93-CFB6-0690-BCD3-FA06A2595137}"/>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75668" y="1319834"/>
          <a:ext cx="7623347" cy="4553405"/>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xdr:twoCellAnchor editAs="oneCell">
    <xdr:from>
      <xdr:col>0</xdr:col>
      <xdr:colOff>204767</xdr:colOff>
      <xdr:row>6</xdr:row>
      <xdr:rowOff>97133</xdr:rowOff>
    </xdr:from>
    <xdr:to>
      <xdr:col>12</xdr:col>
      <xdr:colOff>422413</xdr:colOff>
      <xdr:row>31</xdr:row>
      <xdr:rowOff>54324</xdr:rowOff>
    </xdr:to>
    <xdr:pic>
      <xdr:nvPicPr>
        <xdr:cNvPr id="4" name="Picture 3">
          <a:extLst>
            <a:ext uri="{FF2B5EF4-FFF2-40B4-BE49-F238E27FC236}">
              <a16:creationId xmlns:a16="http://schemas.microsoft.com/office/drawing/2014/main" id="{7BBAD952-902D-4708-FE02-461D356DB2AD}"/>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04767" y="1240133"/>
          <a:ext cx="7572603" cy="4512626"/>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xdr:twoCellAnchor editAs="oneCell">
    <xdr:from>
      <xdr:col>1</xdr:col>
      <xdr:colOff>314325</xdr:colOff>
      <xdr:row>7</xdr:row>
      <xdr:rowOff>152400</xdr:rowOff>
    </xdr:from>
    <xdr:to>
      <xdr:col>9</xdr:col>
      <xdr:colOff>116129</xdr:colOff>
      <xdr:row>28</xdr:row>
      <xdr:rowOff>47625</xdr:rowOff>
    </xdr:to>
    <xdr:pic>
      <xdr:nvPicPr>
        <xdr:cNvPr id="12" name="Picture 11">
          <a:extLst>
            <a:ext uri="{FF2B5EF4-FFF2-40B4-BE49-F238E27FC236}">
              <a16:creationId xmlns:a16="http://schemas.microsoft.com/office/drawing/2014/main" id="{FD9F3D46-14EB-8480-3E70-5B7227981FB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42975" y="1476375"/>
          <a:ext cx="4831004" cy="3695700"/>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xdr:twoCellAnchor editAs="oneCell">
    <xdr:from>
      <xdr:col>1</xdr:col>
      <xdr:colOff>55245</xdr:colOff>
      <xdr:row>7</xdr:row>
      <xdr:rowOff>45720</xdr:rowOff>
    </xdr:from>
    <xdr:to>
      <xdr:col>8</xdr:col>
      <xdr:colOff>304432</xdr:colOff>
      <xdr:row>26</xdr:row>
      <xdr:rowOff>161925</xdr:rowOff>
    </xdr:to>
    <xdr:pic>
      <xdr:nvPicPr>
        <xdr:cNvPr id="4" name="Picture 3">
          <a:extLst>
            <a:ext uri="{FF2B5EF4-FFF2-40B4-BE49-F238E27FC236}">
              <a16:creationId xmlns:a16="http://schemas.microsoft.com/office/drawing/2014/main" id="{859D03A2-27DD-8987-94B0-8AFF2A714C6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83895" y="1369695"/>
          <a:ext cx="4649737" cy="3554730"/>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xdr:twoCellAnchor editAs="oneCell">
    <xdr:from>
      <xdr:col>1</xdr:col>
      <xdr:colOff>409575</xdr:colOff>
      <xdr:row>6</xdr:row>
      <xdr:rowOff>171450</xdr:rowOff>
    </xdr:from>
    <xdr:to>
      <xdr:col>10</xdr:col>
      <xdr:colOff>112395</xdr:colOff>
      <xdr:row>29</xdr:row>
      <xdr:rowOff>106139</xdr:rowOff>
    </xdr:to>
    <xdr:pic>
      <xdr:nvPicPr>
        <xdr:cNvPr id="4" name="Picture 3">
          <a:extLst>
            <a:ext uri="{FF2B5EF4-FFF2-40B4-BE49-F238E27FC236}">
              <a16:creationId xmlns:a16="http://schemas.microsoft.com/office/drawing/2014/main" id="{04590BE4-8315-86C6-F141-A93384FC9D4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038225" y="1314450"/>
          <a:ext cx="5360670" cy="4097114"/>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xdr:twoCellAnchor editAs="oneCell">
    <xdr:from>
      <xdr:col>1</xdr:col>
      <xdr:colOff>160020</xdr:colOff>
      <xdr:row>7</xdr:row>
      <xdr:rowOff>19050</xdr:rowOff>
    </xdr:from>
    <xdr:to>
      <xdr:col>10</xdr:col>
      <xdr:colOff>160020</xdr:colOff>
      <xdr:row>30</xdr:row>
      <xdr:rowOff>177640</xdr:rowOff>
    </xdr:to>
    <xdr:pic>
      <xdr:nvPicPr>
        <xdr:cNvPr id="4" name="Picture 3">
          <a:extLst>
            <a:ext uri="{FF2B5EF4-FFF2-40B4-BE49-F238E27FC236}">
              <a16:creationId xmlns:a16="http://schemas.microsoft.com/office/drawing/2014/main" id="{A05A4B72-FA8A-6E87-C6B8-C4F8C6D7D0C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88670" y="1343025"/>
          <a:ext cx="5657850" cy="4321015"/>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xdr:twoCellAnchor editAs="oneCell">
    <xdr:from>
      <xdr:col>0</xdr:col>
      <xdr:colOff>360493</xdr:colOff>
      <xdr:row>7</xdr:row>
      <xdr:rowOff>41015</xdr:rowOff>
    </xdr:from>
    <xdr:to>
      <xdr:col>7</xdr:col>
      <xdr:colOff>536333</xdr:colOff>
      <xdr:row>16</xdr:row>
      <xdr:rowOff>166290</xdr:rowOff>
    </xdr:to>
    <xdr:pic>
      <xdr:nvPicPr>
        <xdr:cNvPr id="4" name="Picture 3">
          <a:extLst>
            <a:ext uri="{FF2B5EF4-FFF2-40B4-BE49-F238E27FC236}">
              <a16:creationId xmlns:a16="http://schemas.microsoft.com/office/drawing/2014/main" id="{F728885E-F9C7-9151-9065-082047F189A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60493" y="1363309"/>
          <a:ext cx="4568546" cy="1738922"/>
        </a:xfrm>
        <a:prstGeom prst="rect">
          <a:avLst/>
        </a:prstGeom>
      </xdr:spPr>
    </xdr:pic>
    <xdr:clientData/>
  </xdr:twoCellAnchor>
  <xdr:twoCellAnchor editAs="oneCell">
    <xdr:from>
      <xdr:col>8</xdr:col>
      <xdr:colOff>310693</xdr:colOff>
      <xdr:row>7</xdr:row>
      <xdr:rowOff>56543</xdr:rowOff>
    </xdr:from>
    <xdr:to>
      <xdr:col>15</xdr:col>
      <xdr:colOff>486533</xdr:colOff>
      <xdr:row>17</xdr:row>
      <xdr:rowOff>9130</xdr:rowOff>
    </xdr:to>
    <xdr:pic>
      <xdr:nvPicPr>
        <xdr:cNvPr id="8" name="Picture 7">
          <a:extLst>
            <a:ext uri="{FF2B5EF4-FFF2-40B4-BE49-F238E27FC236}">
              <a16:creationId xmlns:a16="http://schemas.microsoft.com/office/drawing/2014/main" id="{85E65D6E-612E-F47E-FE0C-5F8746E59C5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330928" y="1378837"/>
          <a:ext cx="4568546" cy="1745528"/>
        </a:xfrm>
        <a:prstGeom prst="rect">
          <a:avLst/>
        </a:prstGeom>
      </xdr:spPr>
    </xdr:pic>
    <xdr:clientData/>
  </xdr:twoCellAnchor>
  <xdr:twoCellAnchor editAs="oneCell">
    <xdr:from>
      <xdr:col>0</xdr:col>
      <xdr:colOff>335523</xdr:colOff>
      <xdr:row>18</xdr:row>
      <xdr:rowOff>113534</xdr:rowOff>
    </xdr:from>
    <xdr:to>
      <xdr:col>7</xdr:col>
      <xdr:colOff>509458</xdr:colOff>
      <xdr:row>28</xdr:row>
      <xdr:rowOff>52785</xdr:rowOff>
    </xdr:to>
    <xdr:pic>
      <xdr:nvPicPr>
        <xdr:cNvPr id="12" name="Picture 11">
          <a:extLst>
            <a:ext uri="{FF2B5EF4-FFF2-40B4-BE49-F238E27FC236}">
              <a16:creationId xmlns:a16="http://schemas.microsoft.com/office/drawing/2014/main" id="{9843E63C-6405-4745-8AE9-CC72F8709D54}"/>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335523" y="3408063"/>
          <a:ext cx="4566641" cy="1732193"/>
        </a:xfrm>
        <a:prstGeom prst="rect">
          <a:avLst/>
        </a:prstGeom>
      </xdr:spPr>
    </xdr:pic>
    <xdr:clientData/>
  </xdr:twoCellAnchor>
  <xdr:twoCellAnchor editAs="oneCell">
    <xdr:from>
      <xdr:col>8</xdr:col>
      <xdr:colOff>367749</xdr:colOff>
      <xdr:row>19</xdr:row>
      <xdr:rowOff>2437</xdr:rowOff>
    </xdr:from>
    <xdr:to>
      <xdr:col>15</xdr:col>
      <xdr:colOff>563028</xdr:colOff>
      <xdr:row>28</xdr:row>
      <xdr:rowOff>109059</xdr:rowOff>
    </xdr:to>
    <xdr:pic>
      <xdr:nvPicPr>
        <xdr:cNvPr id="14" name="Picture 13">
          <a:extLst>
            <a:ext uri="{FF2B5EF4-FFF2-40B4-BE49-F238E27FC236}">
              <a16:creationId xmlns:a16="http://schemas.microsoft.com/office/drawing/2014/main" id="{508B54BA-E558-F77E-5BBB-58A8BA3623E3}"/>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5387984" y="3476261"/>
          <a:ext cx="4587985" cy="1720269"/>
        </a:xfrm>
        <a:prstGeom prst="rect">
          <a:avLst/>
        </a:prstGeom>
      </xdr:spPr>
    </xdr:pic>
    <xdr:clientData/>
  </xdr:twoCellAnchor>
  <xdr:twoCellAnchor editAs="oneCell">
    <xdr:from>
      <xdr:col>0</xdr:col>
      <xdr:colOff>358962</xdr:colOff>
      <xdr:row>30</xdr:row>
      <xdr:rowOff>130026</xdr:rowOff>
    </xdr:from>
    <xdr:to>
      <xdr:col>7</xdr:col>
      <xdr:colOff>548070</xdr:colOff>
      <xdr:row>40</xdr:row>
      <xdr:rowOff>78308</xdr:rowOff>
    </xdr:to>
    <xdr:pic>
      <xdr:nvPicPr>
        <xdr:cNvPr id="16" name="Picture 15">
          <a:extLst>
            <a:ext uri="{FF2B5EF4-FFF2-40B4-BE49-F238E27FC236}">
              <a16:creationId xmlns:a16="http://schemas.microsoft.com/office/drawing/2014/main" id="{4B5AF23D-50B9-D23C-3072-0925405664B3}"/>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tretch>
          <a:fillRect/>
        </a:stretch>
      </xdr:blipFill>
      <xdr:spPr>
        <a:xfrm>
          <a:off x="358962" y="5576085"/>
          <a:ext cx="4581814" cy="1741223"/>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xdr:twoCellAnchor editAs="oneCell">
    <xdr:from>
      <xdr:col>0</xdr:col>
      <xdr:colOff>389405</xdr:colOff>
      <xdr:row>7</xdr:row>
      <xdr:rowOff>21738</xdr:rowOff>
    </xdr:from>
    <xdr:to>
      <xdr:col>12</xdr:col>
      <xdr:colOff>16500</xdr:colOff>
      <xdr:row>26</xdr:row>
      <xdr:rowOff>17929</xdr:rowOff>
    </xdr:to>
    <xdr:pic>
      <xdr:nvPicPr>
        <xdr:cNvPr id="4" name="Picture 3">
          <a:extLst>
            <a:ext uri="{FF2B5EF4-FFF2-40B4-BE49-F238E27FC236}">
              <a16:creationId xmlns:a16="http://schemas.microsoft.com/office/drawing/2014/main" id="{95471244-E901-8687-8FBD-F0DE393AFA9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89405" y="1345713"/>
          <a:ext cx="6942295" cy="3434716"/>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xdr:twoCellAnchor editAs="oneCell">
    <xdr:from>
      <xdr:col>1</xdr:col>
      <xdr:colOff>399601</xdr:colOff>
      <xdr:row>5</xdr:row>
      <xdr:rowOff>82250</xdr:rowOff>
    </xdr:from>
    <xdr:to>
      <xdr:col>12</xdr:col>
      <xdr:colOff>173283</xdr:colOff>
      <xdr:row>43</xdr:row>
      <xdr:rowOff>56030</xdr:rowOff>
    </xdr:to>
    <xdr:pic>
      <xdr:nvPicPr>
        <xdr:cNvPr id="4" name="Picture 3">
          <a:extLst>
            <a:ext uri="{FF2B5EF4-FFF2-40B4-BE49-F238E27FC236}">
              <a16:creationId xmlns:a16="http://schemas.microsoft.com/office/drawing/2014/main" id="{208648F0-CC65-4299-15AF-3EACFAF32F2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004719" y="1045956"/>
          <a:ext cx="6429976" cy="6786956"/>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xdr:twoCellAnchor editAs="oneCell">
    <xdr:from>
      <xdr:col>1</xdr:col>
      <xdr:colOff>513566</xdr:colOff>
      <xdr:row>5</xdr:row>
      <xdr:rowOff>16921</xdr:rowOff>
    </xdr:from>
    <xdr:to>
      <xdr:col>13</xdr:col>
      <xdr:colOff>429716</xdr:colOff>
      <xdr:row>39</xdr:row>
      <xdr:rowOff>44823</xdr:rowOff>
    </xdr:to>
    <xdr:pic>
      <xdr:nvPicPr>
        <xdr:cNvPr id="4" name="Picture 3">
          <a:extLst>
            <a:ext uri="{FF2B5EF4-FFF2-40B4-BE49-F238E27FC236}">
              <a16:creationId xmlns:a16="http://schemas.microsoft.com/office/drawing/2014/main" id="{4EF91CDD-5617-2951-4F7F-A93D6D6245EF}"/>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118684" y="980627"/>
          <a:ext cx="7177561" cy="6123902"/>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xdr:twoCellAnchor editAs="oneCell">
    <xdr:from>
      <xdr:col>1</xdr:col>
      <xdr:colOff>412711</xdr:colOff>
      <xdr:row>5</xdr:row>
      <xdr:rowOff>44823</xdr:rowOff>
    </xdr:from>
    <xdr:to>
      <xdr:col>13</xdr:col>
      <xdr:colOff>133979</xdr:colOff>
      <xdr:row>38</xdr:row>
      <xdr:rowOff>78441</xdr:rowOff>
    </xdr:to>
    <xdr:pic>
      <xdr:nvPicPr>
        <xdr:cNvPr id="4" name="Picture 3">
          <a:extLst>
            <a:ext uri="{FF2B5EF4-FFF2-40B4-BE49-F238E27FC236}">
              <a16:creationId xmlns:a16="http://schemas.microsoft.com/office/drawing/2014/main" id="{A5247E53-DBEA-7420-3B91-6508BBD0B93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017829" y="1008529"/>
          <a:ext cx="6982679" cy="5950324"/>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xdr:twoCellAnchor editAs="oneCell">
    <xdr:from>
      <xdr:col>5</xdr:col>
      <xdr:colOff>390525</xdr:colOff>
      <xdr:row>5</xdr:row>
      <xdr:rowOff>76200</xdr:rowOff>
    </xdr:from>
    <xdr:to>
      <xdr:col>10</xdr:col>
      <xdr:colOff>545980</xdr:colOff>
      <xdr:row>27</xdr:row>
      <xdr:rowOff>57285</xdr:rowOff>
    </xdr:to>
    <xdr:pic>
      <xdr:nvPicPr>
        <xdr:cNvPr id="3" name="Picture 2">
          <a:extLst>
            <a:ext uri="{FF2B5EF4-FFF2-40B4-BE49-F238E27FC236}">
              <a16:creationId xmlns:a16="http://schemas.microsoft.com/office/drawing/2014/main" id="{F5F114AC-F48D-38CD-F72F-7519255B17F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3438525" y="1038225"/>
          <a:ext cx="3203455" cy="3962535"/>
        </a:xfrm>
        <a:prstGeom prst="rect">
          <a:avLst/>
        </a:prstGeom>
      </xdr:spPr>
    </xdr:pic>
    <xdr:clientData/>
  </xdr:twoCellAnchor>
  <xdr:twoCellAnchor editAs="oneCell">
    <xdr:from>
      <xdr:col>1</xdr:col>
      <xdr:colOff>531000</xdr:colOff>
      <xdr:row>4</xdr:row>
      <xdr:rowOff>115075</xdr:rowOff>
    </xdr:from>
    <xdr:to>
      <xdr:col>6</xdr:col>
      <xdr:colOff>2177</xdr:colOff>
      <xdr:row>26</xdr:row>
      <xdr:rowOff>86635</xdr:rowOff>
    </xdr:to>
    <xdr:pic>
      <xdr:nvPicPr>
        <xdr:cNvPr id="5" name="Picture 4">
          <a:extLst>
            <a:ext uri="{FF2B5EF4-FFF2-40B4-BE49-F238E27FC236}">
              <a16:creationId xmlns:a16="http://schemas.microsoft.com/office/drawing/2014/main" id="{AF534690-0FE8-4D25-3BA3-FE9BB9EA9541}"/>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140600" y="896125"/>
          <a:ext cx="2519177" cy="3953010"/>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xdr:twoCellAnchor editAs="oneCell">
    <xdr:from>
      <xdr:col>2</xdr:col>
      <xdr:colOff>44450</xdr:colOff>
      <xdr:row>0</xdr:row>
      <xdr:rowOff>66675</xdr:rowOff>
    </xdr:from>
    <xdr:to>
      <xdr:col>15</xdr:col>
      <xdr:colOff>438150</xdr:colOff>
      <xdr:row>1</xdr:row>
      <xdr:rowOff>76200</xdr:rowOff>
    </xdr:to>
    <mc:AlternateContent xmlns:mc="http://schemas.openxmlformats.org/markup-compatibility/2006" xmlns:a14="http://schemas.microsoft.com/office/drawing/2010/main">
      <mc:Choice Requires="a14">
        <xdr:graphicFrame macro="">
          <xdr:nvGraphicFramePr>
            <xdr:cNvPr id="3" name="Year 7">
              <a:extLst>
                <a:ext uri="{FF2B5EF4-FFF2-40B4-BE49-F238E27FC236}">
                  <a16:creationId xmlns:a16="http://schemas.microsoft.com/office/drawing/2014/main" id="{3A63AE33-A2AA-47CB-9C7D-7F69695D96FA}"/>
                </a:ext>
              </a:extLst>
            </xdr:cNvPr>
            <xdr:cNvGraphicFramePr/>
          </xdr:nvGraphicFramePr>
          <xdr:xfrm>
            <a:off x="0" y="0"/>
            <a:ext cx="0" cy="0"/>
          </xdr:xfrm>
          <a:graphic>
            <a:graphicData uri="http://schemas.microsoft.com/office/drawing/2010/slicer">
              <sle:slicer xmlns:sle="http://schemas.microsoft.com/office/drawing/2010/slicer" name="Year 7"/>
            </a:graphicData>
          </a:graphic>
        </xdr:graphicFrame>
      </mc:Choice>
      <mc:Fallback xmlns="">
        <xdr:sp macro="" textlink="">
          <xdr:nvSpPr>
            <xdr:cNvPr id="0" name=""/>
            <xdr:cNvSpPr>
              <a:spLocks noTextEdit="1"/>
            </xdr:cNvSpPr>
          </xdr:nvSpPr>
          <xdr:spPr>
            <a:xfrm>
              <a:off x="3016250" y="66675"/>
              <a:ext cx="8750300" cy="422275"/>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79.xml><?xml version="1.0" encoding="utf-8"?>
<xdr:wsDr xmlns:xdr="http://schemas.openxmlformats.org/drawingml/2006/spreadsheetDrawing" xmlns:a="http://schemas.openxmlformats.org/drawingml/2006/main">
  <xdr:twoCellAnchor editAs="oneCell">
    <xdr:from>
      <xdr:col>2</xdr:col>
      <xdr:colOff>361950</xdr:colOff>
      <xdr:row>9</xdr:row>
      <xdr:rowOff>44450</xdr:rowOff>
    </xdr:from>
    <xdr:to>
      <xdr:col>9</xdr:col>
      <xdr:colOff>508000</xdr:colOff>
      <xdr:row>11</xdr:row>
      <xdr:rowOff>101600</xdr:rowOff>
    </xdr:to>
    <mc:AlternateContent xmlns:mc="http://schemas.openxmlformats.org/markup-compatibility/2006" xmlns:a14="http://schemas.microsoft.com/office/drawing/2010/main">
      <mc:Choice Requires="a14">
        <xdr:graphicFrame macro="">
          <xdr:nvGraphicFramePr>
            <xdr:cNvPr id="3" name="Year 6">
              <a:extLst>
                <a:ext uri="{FF2B5EF4-FFF2-40B4-BE49-F238E27FC236}">
                  <a16:creationId xmlns:a16="http://schemas.microsoft.com/office/drawing/2014/main" id="{9260456F-082B-8B89-99D7-C125233BCB46}"/>
                </a:ext>
              </a:extLst>
            </xdr:cNvPr>
            <xdr:cNvGraphicFramePr/>
          </xdr:nvGraphicFramePr>
          <xdr:xfrm>
            <a:off x="0" y="0"/>
            <a:ext cx="0" cy="0"/>
          </xdr:xfrm>
          <a:graphic>
            <a:graphicData uri="http://schemas.microsoft.com/office/drawing/2010/slicer">
              <sle:slicer xmlns:sle="http://schemas.microsoft.com/office/drawing/2010/slicer" name="Year 6"/>
            </a:graphicData>
          </a:graphic>
        </xdr:graphicFrame>
      </mc:Choice>
      <mc:Fallback xmlns="">
        <xdr:sp macro="" textlink="">
          <xdr:nvSpPr>
            <xdr:cNvPr id="0" name=""/>
            <xdr:cNvSpPr>
              <a:spLocks noTextEdit="1"/>
            </xdr:cNvSpPr>
          </xdr:nvSpPr>
          <xdr:spPr>
            <a:xfrm>
              <a:off x="2425700" y="1701800"/>
              <a:ext cx="8740775" cy="428625"/>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80.xml><?xml version="1.0" encoding="utf-8"?>
<xdr:wsDr xmlns:xdr="http://schemas.openxmlformats.org/drawingml/2006/spreadsheetDrawing" xmlns:a="http://schemas.openxmlformats.org/drawingml/2006/main">
  <xdr:twoCellAnchor editAs="oneCell">
    <xdr:from>
      <xdr:col>1</xdr:col>
      <xdr:colOff>19050</xdr:colOff>
      <xdr:row>22</xdr:row>
      <xdr:rowOff>47627</xdr:rowOff>
    </xdr:from>
    <xdr:to>
      <xdr:col>7</xdr:col>
      <xdr:colOff>703580</xdr:colOff>
      <xdr:row>24</xdr:row>
      <xdr:rowOff>114301</xdr:rowOff>
    </xdr:to>
    <mc:AlternateContent xmlns:mc="http://schemas.openxmlformats.org/markup-compatibility/2006" xmlns:a14="http://schemas.microsoft.com/office/drawing/2010/main">
      <mc:Choice Requires="a14">
        <xdr:graphicFrame macro="">
          <xdr:nvGraphicFramePr>
            <xdr:cNvPr id="2" name="FisYr 4">
              <a:extLst>
                <a:ext uri="{FF2B5EF4-FFF2-40B4-BE49-F238E27FC236}">
                  <a16:creationId xmlns:a16="http://schemas.microsoft.com/office/drawing/2014/main" id="{E99E2E8C-70B4-2828-6C1A-C5820EFA4B6A}"/>
                </a:ext>
              </a:extLst>
            </xdr:cNvPr>
            <xdr:cNvGraphicFramePr/>
          </xdr:nvGraphicFramePr>
          <xdr:xfrm>
            <a:off x="0" y="0"/>
            <a:ext cx="0" cy="0"/>
          </xdr:xfrm>
          <a:graphic>
            <a:graphicData uri="http://schemas.microsoft.com/office/drawing/2010/slicer">
              <sle:slicer xmlns:sle="http://schemas.microsoft.com/office/drawing/2010/slicer" name="FisYr 4"/>
            </a:graphicData>
          </a:graphic>
        </xdr:graphicFrame>
      </mc:Choice>
      <mc:Fallback xmlns="">
        <xdr:sp macro="" textlink="">
          <xdr:nvSpPr>
            <xdr:cNvPr id="0" name=""/>
            <xdr:cNvSpPr>
              <a:spLocks noTextEdit="1"/>
            </xdr:cNvSpPr>
          </xdr:nvSpPr>
          <xdr:spPr>
            <a:xfrm>
              <a:off x="1606550" y="4098927"/>
              <a:ext cx="8045450" cy="434974"/>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81.xml><?xml version="1.0" encoding="utf-8"?>
<xdr:wsDr xmlns:xdr="http://schemas.openxmlformats.org/drawingml/2006/spreadsheetDrawing" xmlns:a="http://schemas.openxmlformats.org/drawingml/2006/main">
  <xdr:twoCellAnchor editAs="oneCell">
    <xdr:from>
      <xdr:col>4</xdr:col>
      <xdr:colOff>95250</xdr:colOff>
      <xdr:row>35</xdr:row>
      <xdr:rowOff>142875</xdr:rowOff>
    </xdr:from>
    <xdr:to>
      <xdr:col>12</xdr:col>
      <xdr:colOff>114300</xdr:colOff>
      <xdr:row>37</xdr:row>
      <xdr:rowOff>170814</xdr:rowOff>
    </xdr:to>
    <mc:AlternateContent xmlns:mc="http://schemas.openxmlformats.org/markup-compatibility/2006" xmlns:a14="http://schemas.microsoft.com/office/drawing/2010/main">
      <mc:Choice Requires="a14">
        <xdr:graphicFrame macro="">
          <xdr:nvGraphicFramePr>
            <xdr:cNvPr id="2" name="FisYr 5">
              <a:extLst>
                <a:ext uri="{FF2B5EF4-FFF2-40B4-BE49-F238E27FC236}">
                  <a16:creationId xmlns:a16="http://schemas.microsoft.com/office/drawing/2014/main" id="{ECEC196E-C69E-42BE-B4D4-3AF2FCC0D125}"/>
                </a:ext>
              </a:extLst>
            </xdr:cNvPr>
            <xdr:cNvGraphicFramePr/>
          </xdr:nvGraphicFramePr>
          <xdr:xfrm>
            <a:off x="0" y="0"/>
            <a:ext cx="0" cy="0"/>
          </xdr:xfrm>
          <a:graphic>
            <a:graphicData uri="http://schemas.microsoft.com/office/drawing/2010/slicer">
              <sle:slicer xmlns:sle="http://schemas.microsoft.com/office/drawing/2010/slicer" name="FisYr 5"/>
            </a:graphicData>
          </a:graphic>
        </xdr:graphicFrame>
      </mc:Choice>
      <mc:Fallback xmlns="">
        <xdr:sp macro="" textlink="">
          <xdr:nvSpPr>
            <xdr:cNvPr id="0" name=""/>
            <xdr:cNvSpPr>
              <a:spLocks noTextEdit="1"/>
            </xdr:cNvSpPr>
          </xdr:nvSpPr>
          <xdr:spPr>
            <a:xfrm>
              <a:off x="3657600" y="7712075"/>
              <a:ext cx="8058150" cy="425449"/>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82.xml><?xml version="1.0" encoding="utf-8"?>
<xdr:wsDr xmlns:xdr="http://schemas.openxmlformats.org/drawingml/2006/spreadsheetDrawing" xmlns:a="http://schemas.openxmlformats.org/drawingml/2006/main">
  <xdr:twoCellAnchor editAs="oneCell">
    <xdr:from>
      <xdr:col>3</xdr:col>
      <xdr:colOff>450850</xdr:colOff>
      <xdr:row>6</xdr:row>
      <xdr:rowOff>1</xdr:rowOff>
    </xdr:from>
    <xdr:to>
      <xdr:col>7</xdr:col>
      <xdr:colOff>495300</xdr:colOff>
      <xdr:row>10</xdr:row>
      <xdr:rowOff>38100</xdr:rowOff>
    </xdr:to>
    <mc:AlternateContent xmlns:mc="http://schemas.openxmlformats.org/markup-compatibility/2006" xmlns:a14="http://schemas.microsoft.com/office/drawing/2010/main">
      <mc:Choice Requires="a14">
        <xdr:graphicFrame macro="">
          <xdr:nvGraphicFramePr>
            <xdr:cNvPr id="3" name="Year 8">
              <a:extLst>
                <a:ext uri="{FF2B5EF4-FFF2-40B4-BE49-F238E27FC236}">
                  <a16:creationId xmlns:a16="http://schemas.microsoft.com/office/drawing/2014/main" id="{5877EC43-9B6E-4311-8171-74AF5CA388F6}"/>
                </a:ext>
              </a:extLst>
            </xdr:cNvPr>
            <xdr:cNvGraphicFramePr/>
          </xdr:nvGraphicFramePr>
          <xdr:xfrm>
            <a:off x="0" y="0"/>
            <a:ext cx="0" cy="0"/>
          </xdr:xfrm>
          <a:graphic>
            <a:graphicData uri="http://schemas.microsoft.com/office/drawing/2010/slicer">
              <sle:slicer xmlns:sle="http://schemas.microsoft.com/office/drawing/2010/slicer" name="Year 8"/>
            </a:graphicData>
          </a:graphic>
        </xdr:graphicFrame>
      </mc:Choice>
      <mc:Fallback xmlns="">
        <xdr:sp macro="" textlink="">
          <xdr:nvSpPr>
            <xdr:cNvPr id="0" name=""/>
            <xdr:cNvSpPr>
              <a:spLocks noTextEdit="1"/>
            </xdr:cNvSpPr>
          </xdr:nvSpPr>
          <xdr:spPr>
            <a:xfrm>
              <a:off x="3797300" y="1104901"/>
              <a:ext cx="5232400" cy="774699"/>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83.xml><?xml version="1.0" encoding="utf-8"?>
<xdr:wsDr xmlns:xdr="http://schemas.openxmlformats.org/drawingml/2006/spreadsheetDrawing" xmlns:a="http://schemas.openxmlformats.org/drawingml/2006/main">
  <xdr:twoCellAnchor editAs="oneCell">
    <xdr:from>
      <xdr:col>2</xdr:col>
      <xdr:colOff>444500</xdr:colOff>
      <xdr:row>4</xdr:row>
      <xdr:rowOff>114301</xdr:rowOff>
    </xdr:from>
    <xdr:to>
      <xdr:col>13</xdr:col>
      <xdr:colOff>638175</xdr:colOff>
      <xdr:row>6</xdr:row>
      <xdr:rowOff>154214</xdr:rowOff>
    </xdr:to>
    <mc:AlternateContent xmlns:mc="http://schemas.openxmlformats.org/markup-compatibility/2006" xmlns:a14="http://schemas.microsoft.com/office/drawing/2010/main">
      <mc:Choice Requires="a14">
        <xdr:graphicFrame macro="">
          <xdr:nvGraphicFramePr>
            <xdr:cNvPr id="3" name="Year 9">
              <a:extLst>
                <a:ext uri="{FF2B5EF4-FFF2-40B4-BE49-F238E27FC236}">
                  <a16:creationId xmlns:a16="http://schemas.microsoft.com/office/drawing/2014/main" id="{18073988-7265-4461-B47E-C2FEA69580DC}"/>
                </a:ext>
              </a:extLst>
            </xdr:cNvPr>
            <xdr:cNvGraphicFramePr/>
          </xdr:nvGraphicFramePr>
          <xdr:xfrm>
            <a:off x="0" y="0"/>
            <a:ext cx="0" cy="0"/>
          </xdr:xfrm>
          <a:graphic>
            <a:graphicData uri="http://schemas.microsoft.com/office/drawing/2010/slicer">
              <sle:slicer xmlns:sle="http://schemas.microsoft.com/office/drawing/2010/slicer" name="Year 9"/>
            </a:graphicData>
          </a:graphic>
        </xdr:graphicFrame>
      </mc:Choice>
      <mc:Fallback xmlns="">
        <xdr:sp macro="" textlink="">
          <xdr:nvSpPr>
            <xdr:cNvPr id="0" name=""/>
            <xdr:cNvSpPr>
              <a:spLocks noTextEdit="1"/>
            </xdr:cNvSpPr>
          </xdr:nvSpPr>
          <xdr:spPr>
            <a:xfrm>
              <a:off x="4349750" y="876300"/>
              <a:ext cx="5232400" cy="774699"/>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84.xml><?xml version="1.0" encoding="utf-8"?>
<xdr:wsDr xmlns:xdr="http://schemas.openxmlformats.org/drawingml/2006/spreadsheetDrawing" xmlns:a="http://schemas.openxmlformats.org/drawingml/2006/main">
  <xdr:twoCellAnchor editAs="oneCell">
    <xdr:from>
      <xdr:col>1</xdr:col>
      <xdr:colOff>85725</xdr:colOff>
      <xdr:row>9</xdr:row>
      <xdr:rowOff>114301</xdr:rowOff>
    </xdr:from>
    <xdr:to>
      <xdr:col>9</xdr:col>
      <xdr:colOff>594995</xdr:colOff>
      <xdr:row>12</xdr:row>
      <xdr:rowOff>9525</xdr:rowOff>
    </xdr:to>
    <mc:AlternateContent xmlns:mc="http://schemas.openxmlformats.org/markup-compatibility/2006" xmlns:a14="http://schemas.microsoft.com/office/drawing/2010/main">
      <mc:Choice Requires="a14">
        <xdr:graphicFrame macro="">
          <xdr:nvGraphicFramePr>
            <xdr:cNvPr id="3" name="Year 10">
              <a:extLst>
                <a:ext uri="{FF2B5EF4-FFF2-40B4-BE49-F238E27FC236}">
                  <a16:creationId xmlns:a16="http://schemas.microsoft.com/office/drawing/2014/main" id="{0DD70168-188A-C360-B179-09647C1B5197}"/>
                </a:ext>
              </a:extLst>
            </xdr:cNvPr>
            <xdr:cNvGraphicFramePr/>
          </xdr:nvGraphicFramePr>
          <xdr:xfrm>
            <a:off x="0" y="0"/>
            <a:ext cx="0" cy="0"/>
          </xdr:xfrm>
          <a:graphic>
            <a:graphicData uri="http://schemas.microsoft.com/office/drawing/2010/slicer">
              <sle:slicer xmlns:sle="http://schemas.microsoft.com/office/drawing/2010/slicer" name="Year 10"/>
            </a:graphicData>
          </a:graphic>
        </xdr:graphicFrame>
      </mc:Choice>
      <mc:Fallback xmlns="">
        <xdr:sp macro="" textlink="">
          <xdr:nvSpPr>
            <xdr:cNvPr id="0" name=""/>
            <xdr:cNvSpPr>
              <a:spLocks noTextEdit="1"/>
            </xdr:cNvSpPr>
          </xdr:nvSpPr>
          <xdr:spPr>
            <a:xfrm>
              <a:off x="695325" y="1771651"/>
              <a:ext cx="7648575" cy="447674"/>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85.xml><?xml version="1.0" encoding="utf-8"?>
<xdr:wsDr xmlns:xdr="http://schemas.openxmlformats.org/drawingml/2006/spreadsheetDrawing" xmlns:a="http://schemas.openxmlformats.org/drawingml/2006/main">
  <xdr:twoCellAnchor editAs="oneCell">
    <xdr:from>
      <xdr:col>1</xdr:col>
      <xdr:colOff>609600</xdr:colOff>
      <xdr:row>0</xdr:row>
      <xdr:rowOff>28573</xdr:rowOff>
    </xdr:from>
    <xdr:to>
      <xdr:col>11</xdr:col>
      <xdr:colOff>285750</xdr:colOff>
      <xdr:row>1</xdr:row>
      <xdr:rowOff>171450</xdr:rowOff>
    </xdr:to>
    <mc:AlternateContent xmlns:mc="http://schemas.openxmlformats.org/markup-compatibility/2006" xmlns:a14="http://schemas.microsoft.com/office/drawing/2010/main">
      <mc:Choice Requires="a14">
        <xdr:graphicFrame macro="">
          <xdr:nvGraphicFramePr>
            <xdr:cNvPr id="2" name="Year 11">
              <a:extLst>
                <a:ext uri="{FF2B5EF4-FFF2-40B4-BE49-F238E27FC236}">
                  <a16:creationId xmlns:a16="http://schemas.microsoft.com/office/drawing/2014/main" id="{BA5C3895-16AF-496F-B7C3-547792666037}"/>
                </a:ext>
              </a:extLst>
            </xdr:cNvPr>
            <xdr:cNvGraphicFramePr/>
          </xdr:nvGraphicFramePr>
          <xdr:xfrm>
            <a:off x="0" y="0"/>
            <a:ext cx="0" cy="0"/>
          </xdr:xfrm>
          <a:graphic>
            <a:graphicData uri="http://schemas.microsoft.com/office/drawing/2010/slicer">
              <sle:slicer xmlns:sle="http://schemas.microsoft.com/office/drawing/2010/slicer" name="Year 11"/>
            </a:graphicData>
          </a:graphic>
        </xdr:graphicFrame>
      </mc:Choice>
      <mc:Fallback xmlns="">
        <xdr:sp macro="" textlink="">
          <xdr:nvSpPr>
            <xdr:cNvPr id="0" name=""/>
            <xdr:cNvSpPr>
              <a:spLocks noTextEdit="1"/>
            </xdr:cNvSpPr>
          </xdr:nvSpPr>
          <xdr:spPr>
            <a:xfrm>
              <a:off x="2755900" y="28573"/>
              <a:ext cx="7639050" cy="409577"/>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twoCellAnchor editAs="oneCell">
    <xdr:from>
      <xdr:col>4</xdr:col>
      <xdr:colOff>0</xdr:colOff>
      <xdr:row>28</xdr:row>
      <xdr:rowOff>0</xdr:rowOff>
    </xdr:from>
    <xdr:to>
      <xdr:col>15</xdr:col>
      <xdr:colOff>6350</xdr:colOff>
      <xdr:row>30</xdr:row>
      <xdr:rowOff>28577</xdr:rowOff>
    </xdr:to>
    <mc:AlternateContent xmlns:mc="http://schemas.openxmlformats.org/markup-compatibility/2006" xmlns:a14="http://schemas.microsoft.com/office/drawing/2010/main">
      <mc:Choice Requires="a14">
        <xdr:graphicFrame macro="">
          <xdr:nvGraphicFramePr>
            <xdr:cNvPr id="3" name="Year 12">
              <a:extLst>
                <a:ext uri="{FF2B5EF4-FFF2-40B4-BE49-F238E27FC236}">
                  <a16:creationId xmlns:a16="http://schemas.microsoft.com/office/drawing/2014/main" id="{5E16A48C-329B-44DB-B28F-3722EB70FE5E}"/>
                </a:ext>
              </a:extLst>
            </xdr:cNvPr>
            <xdr:cNvGraphicFramePr/>
          </xdr:nvGraphicFramePr>
          <xdr:xfrm>
            <a:off x="0" y="0"/>
            <a:ext cx="0" cy="0"/>
          </xdr:xfrm>
          <a:graphic>
            <a:graphicData uri="http://schemas.microsoft.com/office/drawing/2010/slicer">
              <sle:slicer xmlns:sle="http://schemas.microsoft.com/office/drawing/2010/slicer" name="Year 12"/>
            </a:graphicData>
          </a:graphic>
        </xdr:graphicFrame>
      </mc:Choice>
      <mc:Fallback xmlns="">
        <xdr:sp macro="" textlink="">
          <xdr:nvSpPr>
            <xdr:cNvPr id="0" name=""/>
            <xdr:cNvSpPr>
              <a:spLocks noTextEdit="1"/>
            </xdr:cNvSpPr>
          </xdr:nvSpPr>
          <xdr:spPr>
            <a:xfrm>
              <a:off x="4914900" y="5505450"/>
              <a:ext cx="7658100" cy="406402"/>
            </a:xfrm>
            <a:prstGeom prst="rect">
              <a:avLst/>
            </a:prstGeom>
            <a:solidFill>
              <a:prstClr val="white"/>
            </a:solidFill>
            <a:ln w="1">
              <a:solidFill>
                <a:prstClr val="green"/>
              </a:solidFill>
            </a:ln>
          </xdr:spPr>
          <xdr:txBody>
            <a:bodyPr vertOverflow="clip" horzOverflow="clip"/>
            <a:lstStyle/>
            <a:p>
              <a:r>
                <a:rPr lang="en-GB" sz="1100"/>
                <a:t>This shape represents a slicer. Slicers are supported in Excel 2010 or later.
If the shape was modified in an earlier version of Excel, or if the workbook was saved in Excel 2003 or earlier, the slicer cannot be used.</a:t>
              </a:r>
            </a:p>
          </xdr:txBody>
        </xdr:sp>
      </mc:Fallback>
    </mc:AlternateContent>
    <xdr:clientData/>
  </xdr:twoCellAnchor>
</xdr:wsDr>
</file>

<file path=xl/drawings/drawing86.xml><?xml version="1.0" encoding="utf-8"?>
<xdr:wsDr xmlns:xdr="http://schemas.openxmlformats.org/drawingml/2006/spreadsheetDrawing" xmlns:a="http://schemas.openxmlformats.org/drawingml/2006/main">
  <xdr:twoCellAnchor editAs="oneCell">
    <xdr:from>
      <xdr:col>0</xdr:col>
      <xdr:colOff>218204</xdr:colOff>
      <xdr:row>6</xdr:row>
      <xdr:rowOff>103825</xdr:rowOff>
    </xdr:from>
    <xdr:to>
      <xdr:col>8</xdr:col>
      <xdr:colOff>255292</xdr:colOff>
      <xdr:row>16</xdr:row>
      <xdr:rowOff>125248</xdr:rowOff>
    </xdr:to>
    <xdr:pic>
      <xdr:nvPicPr>
        <xdr:cNvPr id="4" name="Picture 3">
          <a:extLst>
            <a:ext uri="{FF2B5EF4-FFF2-40B4-BE49-F238E27FC236}">
              <a16:creationId xmlns:a16="http://schemas.microsoft.com/office/drawing/2014/main" id="{DE6E35D2-E865-F795-3A65-9CF1DEE82976}"/>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218204" y="1246825"/>
          <a:ext cx="4940392" cy="1843597"/>
        </a:xfrm>
        <a:prstGeom prst="rect">
          <a:avLst/>
        </a:prstGeom>
      </xdr:spPr>
    </xdr:pic>
    <xdr:clientData/>
  </xdr:twoCellAnchor>
  <xdr:twoCellAnchor editAs="oneCell">
    <xdr:from>
      <xdr:col>8</xdr:col>
      <xdr:colOff>396860</xdr:colOff>
      <xdr:row>6</xdr:row>
      <xdr:rowOff>133103</xdr:rowOff>
    </xdr:from>
    <xdr:to>
      <xdr:col>16</xdr:col>
      <xdr:colOff>432043</xdr:colOff>
      <xdr:row>16</xdr:row>
      <xdr:rowOff>150593</xdr:rowOff>
    </xdr:to>
    <xdr:pic>
      <xdr:nvPicPr>
        <xdr:cNvPr id="8" name="Picture 7">
          <a:extLst>
            <a:ext uri="{FF2B5EF4-FFF2-40B4-BE49-F238E27FC236}">
              <a16:creationId xmlns:a16="http://schemas.microsoft.com/office/drawing/2014/main" id="{EA64238C-3AC7-6CC5-7BFD-7364EF5E89D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5300164" y="1276103"/>
          <a:ext cx="4938488" cy="1839664"/>
        </a:xfrm>
        <a:prstGeom prst="rect">
          <a:avLst/>
        </a:prstGeom>
      </xdr:spPr>
    </xdr:pic>
    <xdr:clientData/>
  </xdr:twoCellAnchor>
  <xdr:twoCellAnchor editAs="oneCell">
    <xdr:from>
      <xdr:col>0</xdr:col>
      <xdr:colOff>220999</xdr:colOff>
      <xdr:row>17</xdr:row>
      <xdr:rowOff>139810</xdr:rowOff>
    </xdr:from>
    <xdr:to>
      <xdr:col>8</xdr:col>
      <xdr:colOff>231144</xdr:colOff>
      <xdr:row>27</xdr:row>
      <xdr:rowOff>143373</xdr:rowOff>
    </xdr:to>
    <xdr:pic>
      <xdr:nvPicPr>
        <xdr:cNvPr id="10" name="Picture 9">
          <a:extLst>
            <a:ext uri="{FF2B5EF4-FFF2-40B4-BE49-F238E27FC236}">
              <a16:creationId xmlns:a16="http://schemas.microsoft.com/office/drawing/2014/main" id="{19216C67-2436-8550-B9DA-2AFEE00C64DA}"/>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20999" y="3287201"/>
          <a:ext cx="4913449" cy="1825737"/>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xdr:twoCellAnchor editAs="oneCell">
    <xdr:from>
      <xdr:col>1</xdr:col>
      <xdr:colOff>472440</xdr:colOff>
      <xdr:row>5</xdr:row>
      <xdr:rowOff>1</xdr:rowOff>
    </xdr:from>
    <xdr:to>
      <xdr:col>12</xdr:col>
      <xdr:colOff>598714</xdr:colOff>
      <xdr:row>51</xdr:row>
      <xdr:rowOff>106963</xdr:rowOff>
    </xdr:to>
    <xdr:pic>
      <xdr:nvPicPr>
        <xdr:cNvPr id="4" name="Picture 3">
          <a:extLst>
            <a:ext uri="{FF2B5EF4-FFF2-40B4-BE49-F238E27FC236}">
              <a16:creationId xmlns:a16="http://schemas.microsoft.com/office/drawing/2014/main" id="{1430A853-9AE2-00BE-CE72-2DB60B2B09C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084761" y="966108"/>
          <a:ext cx="6861810" cy="8244034"/>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xdr:twoCellAnchor editAs="oneCell">
    <xdr:from>
      <xdr:col>1</xdr:col>
      <xdr:colOff>496009</xdr:colOff>
      <xdr:row>5</xdr:row>
      <xdr:rowOff>57150</xdr:rowOff>
    </xdr:from>
    <xdr:to>
      <xdr:col>11</xdr:col>
      <xdr:colOff>198896</xdr:colOff>
      <xdr:row>34</xdr:row>
      <xdr:rowOff>31255</xdr:rowOff>
    </xdr:to>
    <xdr:pic>
      <xdr:nvPicPr>
        <xdr:cNvPr id="3" name="Picture 2">
          <a:extLst>
            <a:ext uri="{FF2B5EF4-FFF2-40B4-BE49-F238E27FC236}">
              <a16:creationId xmlns:a16="http://schemas.microsoft.com/office/drawing/2014/main" id="{E874DDF1-2C86-4304-3D3B-4D2F2A7EDACE}"/>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1105609" y="1019175"/>
          <a:ext cx="5798887" cy="5222380"/>
        </a:xfrm>
        <a:prstGeom prst="rect">
          <a:avLst/>
        </a:prstGeom>
      </xdr:spPr>
    </xdr:pic>
    <xdr:clientData/>
  </xdr:twoCellAnchor>
</xdr:wsDr>
</file>

<file path=xl/pivotCache/_rels/pivotCacheDefinition1.xml.rels><?xml version="1.0" encoding="UTF-8" standalone="yes"?>
<Relationships xmlns="http://schemas.openxmlformats.org/package/2006/relationships"><Relationship Id="rId1" Type="http://schemas.openxmlformats.org/officeDocument/2006/relationships/pivotCacheRecords" Target="pivotCacheRecords1.xml"/></Relationships>
</file>

<file path=xl/pivotCache/_rels/pivotCacheDefinition2.xml.rels><?xml version="1.0" encoding="UTF-8" standalone="yes"?>
<Relationships xmlns="http://schemas.openxmlformats.org/package/2006/relationships"><Relationship Id="rId1" Type="http://schemas.openxmlformats.org/officeDocument/2006/relationships/pivotCacheRecords" Target="pivotCacheRecords2.xml"/></Relationships>
</file>

<file path=xl/pivotCache/_rels/pivotCacheDefinition3.xml.rels><?xml version="1.0" encoding="UTF-8" standalone="yes"?>
<Relationships xmlns="http://schemas.openxmlformats.org/package/2006/relationships"><Relationship Id="rId1" Type="http://schemas.openxmlformats.org/officeDocument/2006/relationships/pivotCacheRecords" Target="pivotCacheRecords3.xml"/></Relationships>
</file>

<file path=xl/pivotCache/_rels/pivotCacheDefinition4.xml.rels><?xml version="1.0" encoding="UTF-8" standalone="yes"?>
<Relationships xmlns="http://schemas.openxmlformats.org/package/2006/relationships"><Relationship Id="rId1" Type="http://schemas.openxmlformats.org/officeDocument/2006/relationships/pivotCacheRecords" Target="pivotCacheRecords4.xml"/></Relationships>
</file>

<file path=xl/pivotCache/_rels/pivotCacheDefinition5.xml.rels><?xml version="1.0" encoding="UTF-8" standalone="yes"?>
<Relationships xmlns="http://schemas.openxmlformats.org/package/2006/relationships"><Relationship Id="rId1" Type="http://schemas.openxmlformats.org/officeDocument/2006/relationships/pivotCacheRecords" Target="pivotCacheRecords5.xml"/></Relationships>
</file>

<file path=xl/pivotCache/_rels/pivotCacheDefinition6.xml.rels><?xml version="1.0" encoding="UTF-8" standalone="yes"?>
<Relationships xmlns="http://schemas.openxmlformats.org/package/2006/relationships"><Relationship Id="rId1" Type="http://schemas.openxmlformats.org/officeDocument/2006/relationships/pivotCacheRecords" Target="pivotCacheRecords6.xml"/></Relationships>
</file>

<file path=xl/pivotCache/_rels/pivotCacheDefinition7.xml.rels><?xml version="1.0" encoding="UTF-8" standalone="yes"?>
<Relationships xmlns="http://schemas.openxmlformats.org/package/2006/relationships"><Relationship Id="rId1" Type="http://schemas.openxmlformats.org/officeDocument/2006/relationships/pivotCacheRecords" Target="pivotCacheRecords7.xml"/></Relationships>
</file>

<file path=xl/pivotCache/_rels/pivotCacheDefinition8.xml.rels><?xml version="1.0" encoding="UTF-8" standalone="yes"?>
<Relationships xmlns="http://schemas.openxmlformats.org/package/2006/relationships"><Relationship Id="rId1" Type="http://schemas.openxmlformats.org/officeDocument/2006/relationships/pivotCacheRecords" Target="pivotCacheRecords8.xml"/></Relationships>
</file>

<file path=xl/pivotCache/_rels/pivotCacheDefinition9.xml.rels><?xml version="1.0" encoding="UTF-8" standalone="yes"?>
<Relationships xmlns="http://schemas.openxmlformats.org/package/2006/relationships"><Relationship Id="rId1" Type="http://schemas.openxmlformats.org/officeDocument/2006/relationships/pivotCacheRecords" Target="pivotCacheRecords9.xml"/></Relationships>
</file>

<file path=xl/pivotCache/_rels/pivotCacheDefinition10.xml.rels><?xml version="1.0" encoding="UTF-8" standalone="yes"?>
<Relationships xmlns="http://schemas.openxmlformats.org/package/2006/relationships"><Relationship Id="rId1" Type="http://schemas.openxmlformats.org/officeDocument/2006/relationships/pivotCacheRecords" Target="pivotCacheRecords10.xml"/></Relationships>
</file>

<file path=xl/pivotCache/_rels/pivotCacheDefinition11.xml.rels><?xml version="1.0" encoding="UTF-8" standalone="yes"?>
<Relationships xmlns="http://schemas.openxmlformats.org/package/2006/relationships"><Relationship Id="rId1" Type="http://schemas.openxmlformats.org/officeDocument/2006/relationships/pivotCacheRecords" Target="pivotCacheRecords11.xml"/></Relationships>
</file>

<file path=xl/pivotCache/_rels/pivotCacheDefinition12.xml.rels><?xml version="1.0" encoding="UTF-8" standalone="yes"?>
<Relationships xmlns="http://schemas.openxmlformats.org/package/2006/relationships"><Relationship Id="rId1" Type="http://schemas.openxmlformats.org/officeDocument/2006/relationships/pivotCacheRecords" Target="pivotCacheRecords12.xml"/></Relationships>
</file>

<file path=xl/pivotCache/_rels/pivotCacheDefinition13.xml.rels><?xml version="1.0" encoding="UTF-8" standalone="yes"?>
<Relationships xmlns="http://schemas.openxmlformats.org/package/2006/relationships"><Relationship Id="rId1" Type="http://schemas.openxmlformats.org/officeDocument/2006/relationships/pivotCacheRecords" Target="pivotCacheRecords13.xml"/></Relationships>
</file>

<file path=xl/pivotCache/_rels/pivotCacheDefinition14.xml.rels><?xml version="1.0" encoding="UTF-8" standalone="yes"?>
<Relationships xmlns="http://schemas.openxmlformats.org/package/2006/relationships"><Relationship Id="rId1" Type="http://schemas.openxmlformats.org/officeDocument/2006/relationships/pivotCacheRecords" Target="pivotCacheRecords14.xml"/></Relationships>
</file>

<file path=xl/pivotCache/_rels/pivotCacheDefinition15.xml.rels><?xml version="1.0" encoding="UTF-8" standalone="yes"?>
<Relationships xmlns="http://schemas.openxmlformats.org/package/2006/relationships"><Relationship Id="rId1" Type="http://schemas.openxmlformats.org/officeDocument/2006/relationships/pivotCacheRecords" Target="pivotCacheRecords15.xml"/></Relationships>
</file>

<file path=xl/pivotCache/_rels/pivotCacheDefinition16.xml.rels><?xml version="1.0" encoding="UTF-8" standalone="yes"?>
<Relationships xmlns="http://schemas.openxmlformats.org/package/2006/relationships"><Relationship Id="rId1" Type="http://schemas.openxmlformats.org/officeDocument/2006/relationships/pivotCacheRecords" Target="pivotCacheRecords16.xml"/></Relationships>
</file>

<file path=xl/pivotCache/_rels/pivotCacheDefinition17.xml.rels><?xml version="1.0" encoding="UTF-8" standalone="yes"?>
<Relationships xmlns="http://schemas.openxmlformats.org/package/2006/relationships"><Relationship Id="rId1" Type="http://schemas.openxmlformats.org/officeDocument/2006/relationships/pivotCacheRecords" Target="pivotCacheRecords17.xml"/></Relationships>
</file>

<file path=xl/pivotCache/_rels/pivotCacheDefinition18.xml.rels><?xml version="1.0" encoding="UTF-8" standalone="yes"?>
<Relationships xmlns="http://schemas.openxmlformats.org/package/2006/relationships"><Relationship Id="rId1" Type="http://schemas.openxmlformats.org/officeDocument/2006/relationships/pivotCacheRecords" Target="pivotCacheRecords18.xml"/></Relationships>
</file>

<file path=xl/pivotCache/_rels/pivotCacheDefinition19.xml.rels><?xml version="1.0" encoding="UTF-8" standalone="yes"?>
<Relationships xmlns="http://schemas.openxmlformats.org/package/2006/relationships"><Relationship Id="rId1" Type="http://schemas.openxmlformats.org/officeDocument/2006/relationships/pivotCacheRecords" Target="pivotCacheRecords19.xml"/></Relationships>
</file>

<file path=xl/pivotCache/_rels/pivotCacheDefinition20.xml.rels><?xml version="1.0" encoding="UTF-8" standalone="yes"?>
<Relationships xmlns="http://schemas.openxmlformats.org/package/2006/relationships"><Relationship Id="rId1" Type="http://schemas.openxmlformats.org/officeDocument/2006/relationships/pivotCacheRecords" Target="pivotCacheRecords20.xml"/></Relationships>
</file>

<file path=xl/pivotCache/_rels/pivotCacheDefinition21.xml.rels><?xml version="1.0" encoding="UTF-8" standalone="yes"?>
<Relationships xmlns="http://schemas.openxmlformats.org/package/2006/relationships"><Relationship Id="rId1" Type="http://schemas.openxmlformats.org/officeDocument/2006/relationships/pivotCacheRecords" Target="pivotCacheRecords21.xml"/></Relationships>
</file>

<file path=xl/pivotCache/_rels/pivotCacheDefinition22.xml.rels><?xml version="1.0" encoding="UTF-8" standalone="yes"?>
<Relationships xmlns="http://schemas.openxmlformats.org/package/2006/relationships"><Relationship Id="rId1" Type="http://schemas.openxmlformats.org/officeDocument/2006/relationships/pivotCacheRecords" Target="pivotCacheRecords22.xml"/></Relationships>
</file>

<file path=xl/pivotCache/_rels/pivotCacheDefinition23.xml.rels><?xml version="1.0" encoding="UTF-8" standalone="yes"?>
<Relationships xmlns="http://schemas.openxmlformats.org/package/2006/relationships"><Relationship Id="rId1" Type="http://schemas.openxmlformats.org/officeDocument/2006/relationships/pivotCacheRecords" Target="pivotCacheRecords23.xml"/></Relationships>
</file>

<file path=xl/pivotCache/_rels/pivotCacheDefinition24.xml.rels><?xml version="1.0" encoding="UTF-8" standalone="yes"?>
<Relationships xmlns="http://schemas.openxmlformats.org/package/2006/relationships"><Relationship Id="rId1" Type="http://schemas.openxmlformats.org/officeDocument/2006/relationships/pivotCacheRecords" Target="pivotCacheRecords24.xml"/></Relationships>
</file>

<file path=xl/pivotCache/_rels/pivotCacheDefinition25.xml.rels><?xml version="1.0" encoding="UTF-8" standalone="yes"?>
<Relationships xmlns="http://schemas.openxmlformats.org/package/2006/relationships"><Relationship Id="rId1" Type="http://schemas.openxmlformats.org/officeDocument/2006/relationships/pivotCacheRecords" Target="pivotCacheRecords25.xml"/></Relationships>
</file>

<file path=xl/pivotCache/_rels/pivotCacheDefinition26.xml.rels><?xml version="1.0" encoding="UTF-8" standalone="yes"?>
<Relationships xmlns="http://schemas.openxmlformats.org/package/2006/relationships"><Relationship Id="rId1" Type="http://schemas.openxmlformats.org/officeDocument/2006/relationships/pivotCacheRecords" Target="pivotCacheRecords26.xml"/></Relationships>
</file>

<file path=xl/pivotCache/_rels/pivotCacheDefinition27.xml.rels><?xml version="1.0" encoding="UTF-8" standalone="yes"?>
<Relationships xmlns="http://schemas.openxmlformats.org/package/2006/relationships"><Relationship Id="rId1" Type="http://schemas.openxmlformats.org/officeDocument/2006/relationships/pivotCacheRecords" Target="pivotCacheRecords27.xml"/></Relationships>
</file>

<file path=xl/pivotCache/_rels/pivotCacheDefinition28.xml.rels><?xml version="1.0" encoding="UTF-8" standalone="yes"?>
<Relationships xmlns="http://schemas.openxmlformats.org/package/2006/relationships"><Relationship Id="rId1" Type="http://schemas.openxmlformats.org/officeDocument/2006/relationships/pivotCacheRecords" Target="pivotCacheRecords28.xml"/></Relationships>
</file>

<file path=xl/pivotCache/_rels/pivotCacheDefinition29.xml.rels><?xml version="1.0" encoding="UTF-8" standalone="yes"?>
<Relationships xmlns="http://schemas.openxmlformats.org/package/2006/relationships"><Relationship Id="rId1" Type="http://schemas.openxmlformats.org/officeDocument/2006/relationships/pivotCacheRecords" Target="pivotCacheRecords29.xml"/></Relationships>
</file>

<file path=xl/pivotCache/_rels/pivotCacheDefinition30.xml.rels><?xml version="1.0" encoding="UTF-8" standalone="yes"?>
<Relationships xmlns="http://schemas.openxmlformats.org/package/2006/relationships"><Relationship Id="rId1" Type="http://schemas.openxmlformats.org/officeDocument/2006/relationships/pivotCacheRecords" Target="pivotCacheRecords30.xml"/></Relationships>
</file>

<file path=xl/pivotCache/_rels/pivotCacheDefinition31.xml.rels><?xml version="1.0" encoding="UTF-8" standalone="yes"?>
<Relationships xmlns="http://schemas.openxmlformats.org/package/2006/relationships"><Relationship Id="rId1" Type="http://schemas.openxmlformats.org/officeDocument/2006/relationships/pivotCacheRecords" Target="pivotCacheRecords31.xml"/></Relationships>
</file>

<file path=xl/pivotCache/_rels/pivotCacheDefinition32.xml.rels><?xml version="1.0" encoding="UTF-8" standalone="yes"?>
<Relationships xmlns="http://schemas.openxmlformats.org/package/2006/relationships"><Relationship Id="rId1" Type="http://schemas.openxmlformats.org/officeDocument/2006/relationships/pivotCacheRecords" Target="pivotCacheRecords32.xml"/></Relationships>
</file>

<file path=xl/pivotCache/_rels/pivotCacheDefinition33.xml.rels><?xml version="1.0" encoding="UTF-8" standalone="yes"?>
<Relationships xmlns="http://schemas.openxmlformats.org/package/2006/relationships"><Relationship Id="rId1" Type="http://schemas.openxmlformats.org/officeDocument/2006/relationships/pivotCacheRecords" Target="pivotCacheRecords33.xml"/></Relationships>
</file>

<file path=xl/pivotCache/_rels/pivotCacheDefinition34.xml.rels><?xml version="1.0" encoding="UTF-8" standalone="yes"?>
<Relationships xmlns="http://schemas.openxmlformats.org/package/2006/relationships"><Relationship Id="rId1" Type="http://schemas.openxmlformats.org/officeDocument/2006/relationships/pivotCacheRecords" Target="pivotCacheRecords34.xml"/></Relationships>
</file>

<file path=xl/pivotCache/_rels/pivotCacheDefinition35.xml.rels><?xml version="1.0" encoding="UTF-8" standalone="yes"?>
<Relationships xmlns="http://schemas.openxmlformats.org/package/2006/relationships"><Relationship Id="rId1" Type="http://schemas.openxmlformats.org/officeDocument/2006/relationships/pivotCacheRecords" Target="pivotCacheRecords35.xml"/></Relationships>
</file>

<file path=xl/pivotCache/_rels/pivotCacheDefinition36.xml.rels><?xml version="1.0" encoding="UTF-8" standalone="yes"?>
<Relationships xmlns="http://schemas.openxmlformats.org/package/2006/relationships"><Relationship Id="rId1" Type="http://schemas.openxmlformats.org/officeDocument/2006/relationships/pivotCacheRecords" Target="pivotCacheRecords36.xml"/></Relationships>
</file>

<file path=xl/pivotCache/_rels/pivotCacheDefinition37.xml.rels><?xml version="1.0" encoding="UTF-8" standalone="yes"?>
<Relationships xmlns="http://schemas.openxmlformats.org/package/2006/relationships"><Relationship Id="rId1" Type="http://schemas.openxmlformats.org/officeDocument/2006/relationships/pivotCacheRecords" Target="pivotCacheRecords37.xml"/></Relationships>
</file>

<file path=xl/pivotCache/_rels/pivotCacheDefinition38.xml.rels><?xml version="1.0" encoding="UTF-8" standalone="yes"?>
<Relationships xmlns="http://schemas.openxmlformats.org/package/2006/relationships"><Relationship Id="rId1" Type="http://schemas.openxmlformats.org/officeDocument/2006/relationships/pivotCacheRecords" Target="pivotCacheRecords38.xml"/></Relationships>
</file>

<file path=xl/pivotCache/_rels/pivotCacheDefinition39.xml.rels><?xml version="1.0" encoding="UTF-8" standalone="yes"?>
<Relationships xmlns="http://schemas.openxmlformats.org/package/2006/relationships"><Relationship Id="rId1" Type="http://schemas.openxmlformats.org/officeDocument/2006/relationships/pivotCacheRecords" Target="pivotCacheRecords39.xml"/></Relationships>
</file>

<file path=xl/pivotCache/_rels/pivotCacheDefinition40.xml.rels><?xml version="1.0" encoding="UTF-8" standalone="yes"?>
<Relationships xmlns="http://schemas.openxmlformats.org/package/2006/relationships"><Relationship Id="rId1" Type="http://schemas.openxmlformats.org/officeDocument/2006/relationships/pivotCacheRecords" Target="pivotCacheRecords40.xml"/></Relationships>
</file>

<file path=xl/pivotCache/_rels/pivotCacheDefinition41.xml.rels><?xml version="1.0" encoding="UTF-8" standalone="yes"?>
<Relationships xmlns="http://schemas.openxmlformats.org/package/2006/relationships"><Relationship Id="rId1" Type="http://schemas.openxmlformats.org/officeDocument/2006/relationships/pivotCacheRecords" Target="pivotCacheRecords41.xml"/></Relationships>
</file>

<file path=xl/pivotCache/_rels/pivotCacheDefinition42.xml.rels><?xml version="1.0" encoding="UTF-8" standalone="yes"?>
<Relationships xmlns="http://schemas.openxmlformats.org/package/2006/relationships"><Relationship Id="rId1" Type="http://schemas.openxmlformats.org/officeDocument/2006/relationships/pivotCacheRecords" Target="pivotCacheRecords42.xml"/></Relationships>
</file>

<file path=xl/pivotCache/_rels/pivotCacheDefinition43.xml.rels><?xml version="1.0" encoding="UTF-8" standalone="yes"?>
<Relationships xmlns="http://schemas.openxmlformats.org/package/2006/relationships"><Relationship Id="rId1" Type="http://schemas.openxmlformats.org/officeDocument/2006/relationships/pivotCacheRecords" Target="pivotCacheRecords43.xml"/></Relationships>
</file>

<file path=xl/pivotCache/_rels/pivotCacheDefinition44.xml.rels><?xml version="1.0" encoding="UTF-8" standalone="yes"?>
<Relationships xmlns="http://schemas.openxmlformats.org/package/2006/relationships"><Relationship Id="rId1" Type="http://schemas.openxmlformats.org/officeDocument/2006/relationships/pivotCacheRecords" Target="pivotCacheRecords44.xml"/></Relationships>
</file>

<file path=xl/pivotCache/_rels/pivotCacheDefinition45.xml.rels><?xml version="1.0" encoding="UTF-8" standalone="yes"?>
<Relationships xmlns="http://schemas.openxmlformats.org/package/2006/relationships"><Relationship Id="rId1" Type="http://schemas.openxmlformats.org/officeDocument/2006/relationships/pivotCacheRecords" Target="pivotCacheRecords45.xml"/></Relationships>
</file>

<file path=xl/pivotCache/_rels/pivotCacheDefinition46.xml.rels><?xml version="1.0" encoding="UTF-8" standalone="yes"?>
<Relationships xmlns="http://schemas.openxmlformats.org/package/2006/relationships"><Relationship Id="rId1" Type="http://schemas.openxmlformats.org/officeDocument/2006/relationships/pivotCacheRecords" Target="pivotCacheRecords46.xml"/></Relationships>
</file>

<file path=xl/pivotCache/_rels/pivotCacheDefinition47.xml.rels><?xml version="1.0" encoding="UTF-8" standalone="yes"?>
<Relationships xmlns="http://schemas.openxmlformats.org/package/2006/relationships"><Relationship Id="rId1" Type="http://schemas.openxmlformats.org/officeDocument/2006/relationships/pivotCacheRecords" Target="pivotCacheRecords47.xml"/></Relationships>
</file>

<file path=xl/pivotCache/_rels/pivotCacheDefinition48.xml.rels><?xml version="1.0" encoding="UTF-8" standalone="yes"?>
<Relationships xmlns="http://schemas.openxmlformats.org/package/2006/relationships"><Relationship Id="rId1" Type="http://schemas.openxmlformats.org/officeDocument/2006/relationships/pivotCacheRecords" Target="pivotCacheRecords48.xml"/></Relationships>
</file>

<file path=xl/pivotCache/_rels/pivotCacheDefinition49.xml.rels><?xml version="1.0" encoding="UTF-8" standalone="yes"?>
<Relationships xmlns="http://schemas.openxmlformats.org/package/2006/relationships"><Relationship Id="rId1" Type="http://schemas.openxmlformats.org/officeDocument/2006/relationships/pivotCacheRecords" Target="pivotCacheRecords49.xml"/></Relationships>
</file>

<file path=xl/pivotCache/_rels/pivotCacheDefinition50.xml.rels><?xml version="1.0" encoding="UTF-8" standalone="yes"?>
<Relationships xmlns="http://schemas.openxmlformats.org/package/2006/relationships"><Relationship Id="rId1" Type="http://schemas.openxmlformats.org/officeDocument/2006/relationships/pivotCacheRecords" Target="pivotCacheRecords50.xml"/></Relationships>
</file>

<file path=xl/pivotCache/_rels/pivotCacheDefinition51.xml.rels><?xml version="1.0" encoding="UTF-8" standalone="yes"?>
<Relationships xmlns="http://schemas.openxmlformats.org/package/2006/relationships"><Relationship Id="rId1" Type="http://schemas.openxmlformats.org/officeDocument/2006/relationships/pivotCacheRecords" Target="pivotCacheRecords51.xml"/></Relationships>
</file>

<file path=xl/pivotCache/_rels/pivotCacheDefinition52.xml.rels><?xml version="1.0" encoding="UTF-8" standalone="yes"?>
<Relationships xmlns="http://schemas.openxmlformats.org/package/2006/relationships"><Relationship Id="rId1" Type="http://schemas.openxmlformats.org/officeDocument/2006/relationships/pivotCacheRecords" Target="pivotCacheRecords52.xml"/></Relationships>
</file>

<file path=xl/pivotCache/_rels/pivotCacheDefinition53.xml.rels><?xml version="1.0" encoding="UTF-8" standalone="yes"?>
<Relationships xmlns="http://schemas.openxmlformats.org/package/2006/relationships"><Relationship Id="rId1" Type="http://schemas.openxmlformats.org/officeDocument/2006/relationships/pivotCacheRecords" Target="pivotCacheRecords53.xml"/></Relationships>
</file>

<file path=xl/pivotCache/_rels/pivotCacheDefinition54.xml.rels><?xml version="1.0" encoding="UTF-8" standalone="yes"?>
<Relationships xmlns="http://schemas.openxmlformats.org/package/2006/relationships"><Relationship Id="rId1" Type="http://schemas.openxmlformats.org/officeDocument/2006/relationships/pivotCacheRecords" Target="pivotCacheRecords54.xml"/></Relationships>
</file>

<file path=xl/pivotCache/_rels/pivotCacheDefinition55.xml.rels><?xml version="1.0" encoding="UTF-8" standalone="yes"?>
<Relationships xmlns="http://schemas.openxmlformats.org/package/2006/relationships"><Relationship Id="rId1" Type="http://schemas.openxmlformats.org/officeDocument/2006/relationships/pivotCacheRecords" Target="pivotCacheRecords55.xml"/></Relationships>
</file>

<file path=xl/pivotCache/_rels/pivotCacheDefinition56.xml.rels><?xml version="1.0" encoding="UTF-8" standalone="yes"?>
<Relationships xmlns="http://schemas.openxmlformats.org/package/2006/relationships"><Relationship Id="rId1" Type="http://schemas.openxmlformats.org/officeDocument/2006/relationships/pivotCacheRecords" Target="pivotCacheRecords56.xml"/></Relationships>
</file>

<file path=xl/pivotCache/_rels/pivotCacheDefinition57.xml.rels><?xml version="1.0" encoding="UTF-8" standalone="yes"?>
<Relationships xmlns="http://schemas.openxmlformats.org/package/2006/relationships"><Relationship Id="rId1" Type="http://schemas.openxmlformats.org/officeDocument/2006/relationships/pivotCacheRecords" Target="pivotCacheRecords57.xml"/></Relationships>
</file>

<file path=xl/pivotCache/_rels/pivotCacheDefinition58.xml.rels><?xml version="1.0" encoding="UTF-8" standalone="yes"?>
<Relationships xmlns="http://schemas.openxmlformats.org/package/2006/relationships"><Relationship Id="rId1" Type="http://schemas.openxmlformats.org/officeDocument/2006/relationships/pivotCacheRecords" Target="pivotCacheRecords58.xml"/></Relationships>
</file>

<file path=xl/pivotCache/_rels/pivotCacheDefinition59.xml.rels><?xml version="1.0" encoding="UTF-8" standalone="yes"?>
<Relationships xmlns="http://schemas.openxmlformats.org/package/2006/relationships"><Relationship Id="rId1" Type="http://schemas.openxmlformats.org/officeDocument/2006/relationships/pivotCacheRecords" Target="pivotCacheRecords59.xml"/></Relationships>
</file>

<file path=xl/pivotCache/_rels/pivotCacheDefinition60.xml.rels><?xml version="1.0" encoding="UTF-8" standalone="yes"?>
<Relationships xmlns="http://schemas.openxmlformats.org/package/2006/relationships"><Relationship Id="rId1" Type="http://schemas.openxmlformats.org/officeDocument/2006/relationships/pivotCacheRecords" Target="pivotCacheRecords60.xml"/></Relationships>
</file>

<file path=xl/pivotCache/_rels/pivotCacheDefinition61.xml.rels><?xml version="1.0" encoding="UTF-8" standalone="yes"?>
<Relationships xmlns="http://schemas.openxmlformats.org/package/2006/relationships"><Relationship Id="rId1" Type="http://schemas.openxmlformats.org/officeDocument/2006/relationships/pivotCacheRecords" Target="pivotCacheRecords61.xml"/></Relationships>
</file>

<file path=xl/pivotCache/_rels/pivotCacheDefinition62.xml.rels><?xml version="1.0" encoding="UTF-8" standalone="yes"?>
<Relationships xmlns="http://schemas.openxmlformats.org/package/2006/relationships"><Relationship Id="rId1" Type="http://schemas.openxmlformats.org/officeDocument/2006/relationships/pivotCacheRecords" Target="pivotCacheRecords62.xml"/></Relationships>
</file>

<file path=xl/pivotCache/_rels/pivotCacheDefinition63.xml.rels><?xml version="1.0" encoding="UTF-8" standalone="yes"?>
<Relationships xmlns="http://schemas.openxmlformats.org/package/2006/relationships"><Relationship Id="rId1" Type="http://schemas.openxmlformats.org/officeDocument/2006/relationships/pivotCacheRecords" Target="pivotCacheRecords63.xml"/></Relationships>
</file>

<file path=xl/pivotCache/_rels/pivotCacheDefinition64.xml.rels><?xml version="1.0" encoding="UTF-8" standalone="yes"?>
<Relationships xmlns="http://schemas.openxmlformats.org/package/2006/relationships"><Relationship Id="rId1" Type="http://schemas.openxmlformats.org/officeDocument/2006/relationships/pivotCacheRecords" Target="pivotCacheRecords64.xml"/></Relationships>
</file>

<file path=xl/pivotCache/_rels/pivotCacheDefinition65.xml.rels><?xml version="1.0" encoding="UTF-8" standalone="yes"?>
<Relationships xmlns="http://schemas.openxmlformats.org/package/2006/relationships"><Relationship Id="rId1" Type="http://schemas.openxmlformats.org/officeDocument/2006/relationships/pivotCacheRecords" Target="pivotCacheRecords65.xml"/></Relationships>
</file>

<file path=xl/pivotCache/_rels/pivotCacheDefinition66.xml.rels><?xml version="1.0" encoding="UTF-8" standalone="yes"?>
<Relationships xmlns="http://schemas.openxmlformats.org/package/2006/relationships"><Relationship Id="rId1" Type="http://schemas.openxmlformats.org/officeDocument/2006/relationships/pivotCacheRecords" Target="pivotCacheRecords66.xml"/></Relationships>
</file>

<file path=xl/pivotCache/_rels/pivotCacheDefinition67.xml.rels><?xml version="1.0" encoding="UTF-8" standalone="yes"?>
<Relationships xmlns="http://schemas.openxmlformats.org/package/2006/relationships"><Relationship Id="rId1" Type="http://schemas.openxmlformats.org/officeDocument/2006/relationships/pivotCacheRecords" Target="pivotCacheRecords67.xml"/></Relationships>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Cameron, Rebecca" refreshedDate="45854.374590046296" createdVersion="8" refreshedVersion="8" minRefreshableVersion="3" recordCount="12" xr:uid="{941886AE-603F-4C7E-9F2C-91385D900F01}">
  <cacheSource type="worksheet">
    <worksheetSource name="cset_AgeProfile_Residents_Final"/>
  </cacheSource>
  <cacheFields count="9">
    <cacheField name="Year" numFmtId="0">
      <sharedItems count="12">
        <s v="2013-14"/>
        <s v="2014-15"/>
        <s v="2015-16"/>
        <s v="2016-17"/>
        <s v="2017-18"/>
        <s v="2018-19"/>
        <s v="2019-20"/>
        <s v="2020-21"/>
        <s v="2021-22"/>
        <s v="2022-23"/>
        <s v="2023-24"/>
        <s v="2024-25"/>
      </sharedItems>
    </cacheField>
    <cacheField name="Under 5s" numFmtId="0">
      <sharedItems containsSemiMixedTypes="0" containsString="0" containsNumber="1" containsInteger="1" minValue="1270" maxValue="9522"/>
    </cacheField>
    <cacheField name="5 to 10" numFmtId="0">
      <sharedItems containsSemiMixedTypes="0" containsString="0" containsNumber="1" containsInteger="1" minValue="1639" maxValue="8385"/>
    </cacheField>
    <cacheField name="11 to 16" numFmtId="0">
      <sharedItems containsSemiMixedTypes="0" containsString="0" containsNumber="1" containsInteger="1" minValue="1291" maxValue="6148"/>
    </cacheField>
    <cacheField name="17 to 30" numFmtId="0">
      <sharedItems containsSemiMixedTypes="0" containsString="0" containsNumber="1" containsInteger="1" minValue="2992" maxValue="21422"/>
    </cacheField>
    <cacheField name="31 to 60" numFmtId="0">
      <sharedItems containsSemiMixedTypes="0" containsString="0" containsNumber="1" containsInteger="1" minValue="9416" maxValue="45974"/>
    </cacheField>
    <cacheField name="Over 60" numFmtId="0">
      <sharedItems containsSemiMixedTypes="0" containsString="0" containsNumber="1" containsInteger="1" minValue="16017" maxValue="52260"/>
    </cacheField>
    <cacheField name="Not Known" numFmtId="0">
      <sharedItems containsSemiMixedTypes="0" containsString="0" containsNumber="1" containsInteger="1" minValue="0" maxValue="38"/>
    </cacheField>
    <cacheField name="All Residents" numFmtId="0">
      <sharedItems containsSemiMixedTypes="0" containsString="0" containsNumber="1" containsInteger="1" minValue="32625" maxValue="134893"/>
    </cacheField>
  </cacheFields>
  <extLst>
    <ext xmlns:x14="http://schemas.microsoft.com/office/spreadsheetml/2009/9/main" uri="{725AE2AE-9491-48be-B2B4-4EB974FC3084}">
      <x14:pivotCacheDefinition/>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Cameron, Rebecca" refreshedDate="45887.479989699073" createdVersion="8" refreshedVersion="8" minRefreshableVersion="3" recordCount="12" xr:uid="{C30237A0-B707-4179-8EC0-829ECD2C267F}">
  <cacheSource type="worksheet">
    <worksheetSource name="cset_AgeProfile_Percent"/>
  </cacheSource>
  <cacheFields count="8">
    <cacheField name="Year" numFmtId="0">
      <sharedItems count="12">
        <s v="2013-14"/>
        <s v="2014-15"/>
        <s v="2015-16"/>
        <s v="2016-17"/>
        <s v="2017-18"/>
        <s v="2018-19"/>
        <s v="2019-20"/>
        <s v="2020-21"/>
        <s v="2021-22"/>
        <s v="2022-23"/>
        <s v="2023-24"/>
        <s v="2024-25"/>
      </sharedItems>
    </cacheField>
    <cacheField name="Under 5s" numFmtId="0">
      <sharedItems containsSemiMixedTypes="0" containsString="0" containsNumber="1" minValue="0.48141437268295645" maxValue="3.2383018810173998"/>
    </cacheField>
    <cacheField name="5 to 10" numFmtId="0">
      <sharedItems containsSemiMixedTypes="0" containsString="0" containsNumber="1" minValue="0.45840896568505429" maxValue="2.4963871217651699"/>
    </cacheField>
    <cacheField name="11 to 16" numFmtId="0">
      <sharedItems containsSemiMixedTypes="0" containsString="0" containsNumber="1" minValue="0.36746497554977431" maxValue="1.7888109120957101"/>
    </cacheField>
    <cacheField name="17 to 30" numFmtId="0">
      <sharedItems containsSemiMixedTypes="0" containsString="0" containsNumber="1" minValue="0.31022444614256844" maxValue="2.17919399729813"/>
    </cacheField>
    <cacheField name="31 to 60" numFmtId="0">
      <sharedItems containsSemiMixedTypes="0" containsString="0" containsNumber="1" minValue="0.42915501219418262" maxValue="2.1170750711117798"/>
    </cacheField>
    <cacheField name="Over 60" numFmtId="0">
      <sharedItems containsSemiMixedTypes="0" containsString="0" containsNumber="1" minValue="1.1999685342583262" maxValue="4.1736147049239998"/>
    </cacheField>
    <cacheField name="All Residents" numFmtId="0">
      <sharedItems containsSemiMixedTypes="0" containsString="0" containsNumber="1" minValue="0.59687156970362243" maxValue="2.53191808848096"/>
    </cacheField>
  </cacheFields>
  <extLst>
    <ext xmlns:x14="http://schemas.microsoft.com/office/spreadsheetml/2009/9/main" uri="{725AE2AE-9491-48be-B2B4-4EB974FC3084}">
      <x14:pivotCacheDefinition/>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Cameron, Rebecca" refreshedDate="46142.436728009263" createdVersion="8" refreshedVersion="8" minRefreshableVersion="3" recordCount="14" xr:uid="{12CC7B8E-BCF5-4B8F-A81B-DB3B5106738D}">
  <cacheSource type="worksheet">
    <worksheetSource name="fleet_National__2"/>
  </cacheSource>
  <cacheFields count="14">
    <cacheField name="Year" numFmtId="0">
      <sharedItems count="14">
        <s v="2012-13"/>
        <s v="2013-14"/>
        <s v="2014-15"/>
        <s v="2015-16"/>
        <s v="2016-17"/>
        <s v="2017-18"/>
        <s v="2018-19"/>
        <s v="2019-20"/>
        <s v="2020-21"/>
        <s v="2021-22"/>
        <s v="2022-23"/>
        <s v="2023-24"/>
        <s v="2024-25"/>
        <s v="2025-26"/>
      </sharedItems>
    </cacheField>
    <cacheField name="Pumping Appliances" numFmtId="0">
      <sharedItems containsSemiMixedTypes="0" containsString="0" containsNumber="1" containsInteger="1" minValue="417" maxValue="465"/>
    </cacheField>
    <cacheField name="Aerial Appliances" numFmtId="0">
      <sharedItems containsSemiMixedTypes="0" containsString="0" containsNumber="1" containsInteger="1" minValue="12" maxValue="31"/>
    </cacheField>
    <cacheField name="Resilience Appliances" numFmtId="0">
      <sharedItems containsSemiMixedTypes="0" containsString="0" containsNumber="1" containsInteger="1" minValue="14" maxValue="43"/>
    </cacheField>
    <cacheField name="Fire Boats" numFmtId="0">
      <sharedItems containsString="0" containsBlank="1" containsNumber="1" containsInteger="1" minValue="22" maxValue="41"/>
    </cacheField>
    <cacheField name="Vehicles for Rescue Work" numFmtId="0">
      <sharedItems containsSemiMixedTypes="0" containsString="0" containsNumber="1" containsInteger="1" minValue="15" maxValue="29"/>
    </cacheField>
    <cacheField name="Small Firefighting Vehicles" numFmtId="0">
      <sharedItems containsSemiMixedTypes="0" containsString="0" containsNumber="1" containsInteger="1" minValue="29" maxValue="41"/>
    </cacheField>
    <cacheField name="Other" numFmtId="0">
      <sharedItems containsSemiMixedTypes="0" containsString="0" containsNumber="1" containsInteger="1" minValue="23" maxValue="89"/>
    </cacheField>
    <cacheField name="Total Appliances" numFmtId="0">
      <sharedItems containsSemiMixedTypes="0" containsString="0" containsNumber="1" containsInteger="1" minValue="577" maxValue="666"/>
    </cacheField>
    <cacheField name="Officer Response Vehicles" numFmtId="0">
      <sharedItems containsString="0" containsBlank="1" containsNumber="1" containsInteger="1" minValue="95" maxValue="335"/>
    </cacheField>
    <cacheField name="Reserve Appliances" numFmtId="0">
      <sharedItems containsSemiMixedTypes="0" containsString="0" containsNumber="1" containsInteger="1" minValue="59" maxValue="109"/>
    </cacheField>
    <cacheField name="Training Appliances" numFmtId="0">
      <sharedItems containsSemiMixedTypes="0" containsString="0" containsNumber="1" containsInteger="1" minValue="27" maxValue="71"/>
    </cacheField>
    <cacheField name="Other Fleet Vehicles (excl Officer Response Vehicles)" numFmtId="0">
      <sharedItems containsSemiMixedTypes="0" containsString="0" containsNumber="1" containsInteger="1" minValue="470" maxValue="875"/>
    </cacheField>
    <cacheField name="Total Vehicles (incl boats)" numFmtId="0">
      <sharedItems containsSemiMixedTypes="0" containsString="0" containsNumber="1" containsInteger="1" minValue="1301" maxValue="1677"/>
    </cacheField>
  </cacheFields>
  <extLst>
    <ext xmlns:x14="http://schemas.microsoft.com/office/spreadsheetml/2009/9/main" uri="{725AE2AE-9491-48be-B2B4-4EB974FC3084}">
      <x14:pivotCacheDefinition/>
    </ext>
  </extLst>
</pivotCacheDefinition>
</file>

<file path=xl/pivotCache/pivotCacheDefinition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Cameron, Rebecca" refreshedDate="46179.55056747685" createdVersion="8" refreshedVersion="8" minRefreshableVersion="3" recordCount="10" xr:uid="{0E6563E5-37BA-4456-A040-BCC59994F87B}">
  <cacheSource type="worksheet">
    <worksheetSource name="hsw_Attacks_Operational__2"/>
  </cacheSource>
  <cacheFields count="6">
    <cacheField name="Op" numFmtId="0">
      <sharedItems count="1">
        <s v="Operational"/>
      </sharedItems>
    </cacheField>
    <cacheField name="FinYear" numFmtId="0">
      <sharedItems count="10">
        <s v="2016-17"/>
        <s v="2017-18"/>
        <s v="2018-19"/>
        <s v="2019-20"/>
        <s v="2020-21"/>
        <s v="2021-22"/>
        <s v="2022-23"/>
        <s v="2023-24"/>
        <s v="2024-25"/>
        <s v="2025-26"/>
      </sharedItems>
    </cacheField>
    <cacheField name="Attack against property/equipment" numFmtId="0">
      <sharedItems containsSemiMixedTypes="0" containsString="0" containsNumber="1" containsInteger="1" minValue="9" maxValue="25"/>
    </cacheField>
    <cacheField name="Verbal assault" numFmtId="0">
      <sharedItems containsSemiMixedTypes="0" containsString="0" containsNumber="1" containsInteger="1" minValue="9" maxValue="34"/>
    </cacheField>
    <cacheField name="Physical assault" numFmtId="0">
      <sharedItems containsSemiMixedTypes="0" containsString="0" containsNumber="1" containsInteger="1" minValue="13" maxValue="46"/>
    </cacheField>
    <cacheField name="Total" numFmtId="0">
      <sharedItems containsSemiMixedTypes="0" containsString="0" containsNumber="1" containsInteger="1" minValue="51" maxValue="77"/>
    </cacheField>
  </cacheFields>
  <extLst>
    <ext xmlns:x14="http://schemas.microsoft.com/office/spreadsheetml/2009/9/main" uri="{725AE2AE-9491-48be-B2B4-4EB974FC3084}">
      <x14:pivotCacheDefinition/>
    </ext>
  </extLst>
</pivotCacheDefinition>
</file>

<file path=xl/pivotCache/pivotCacheDefinition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Cameron, Rebecca" refreshedDate="46179.550722106484" createdVersion="8" refreshedVersion="8" minRefreshableVersion="3" recordCount="10" xr:uid="{860E192F-247A-4DE2-B5F5-6BF8EB7BF35D}">
  <cacheSource type="worksheet">
    <worksheetSource name="hsw_Attacks_Non_Operational__2"/>
  </cacheSource>
  <cacheFields count="6">
    <cacheField name="Op" numFmtId="0">
      <sharedItems count="1">
        <s v="Non-Operational"/>
      </sharedItems>
    </cacheField>
    <cacheField name="FinYear" numFmtId="0">
      <sharedItems count="10">
        <s v="2016-17"/>
        <s v="2017-18"/>
        <s v="2018-19"/>
        <s v="2019-20"/>
        <s v="2020-21"/>
        <s v="2021-22"/>
        <s v="2022-23"/>
        <s v="2023-24"/>
        <s v="2024-25"/>
        <s v="2025-26"/>
      </sharedItems>
    </cacheField>
    <cacheField name="Attack against property/equipment" numFmtId="0">
      <sharedItems containsSemiMixedTypes="0" containsString="0" containsNumber="1" containsInteger="1" minValue="0" maxValue="11"/>
    </cacheField>
    <cacheField name="Verbal assault" numFmtId="0">
      <sharedItems containsSemiMixedTypes="0" containsString="0" containsNumber="1" containsInteger="1" minValue="1" maxValue="13"/>
    </cacheField>
    <cacheField name="Physical assault" numFmtId="0">
      <sharedItems containsSemiMixedTypes="0" containsString="0" containsNumber="1" containsInteger="1" minValue="0" maxValue="4"/>
    </cacheField>
    <cacheField name="Total" numFmtId="0">
      <sharedItems containsSemiMixedTypes="0" containsString="0" containsNumber="1" containsInteger="1" minValue="3" maxValue="26"/>
    </cacheField>
  </cacheFields>
  <extLst>
    <ext xmlns:x14="http://schemas.microsoft.com/office/spreadsheetml/2009/9/main" uri="{725AE2AE-9491-48be-B2B4-4EB974FC3084}">
      <x14:pivotCacheDefinition/>
    </ext>
  </extLst>
</pivotCacheDefinition>
</file>

<file path=xl/pivotCache/pivotCacheDefinition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Cameron, Rebecca" refreshedDate="46179.555032407407" createdVersion="8" refreshedVersion="8" minRefreshableVersion="3" recordCount="28" xr:uid="{D10F4217-A56D-4E7A-AFB6-49F5A9322E34}">
  <cacheSource type="worksheet">
    <worksheetSource name="hsw_vAOV_LA"/>
  </cacheSource>
  <cacheFields count="12">
    <cacheField name="LA" numFmtId="0">
      <sharedItems count="28">
        <s v="Aberdeen City"/>
        <s v="Aberdeenshire"/>
        <s v="Argyll and Bute"/>
        <s v="City of Edinburgh"/>
        <s v="Clackmannanshire"/>
        <s v="Dumfries and Galloway"/>
        <s v="Dundee City"/>
        <s v="East Ayrshire"/>
        <s v="East Dunbartonshire"/>
        <s v="East Lothian"/>
        <s v="East Renfrewshire"/>
        <s v="Falkirk"/>
        <s v="Fife"/>
        <s v="Glasgow City"/>
        <s v="Highland"/>
        <s v="Inverclyde"/>
        <s v="Midlothian"/>
        <s v="Moray"/>
        <s v="North Ayrshire"/>
        <s v="North Lanarkshire"/>
        <s v="Perth and Kinross"/>
        <s v="Renfrewshire"/>
        <s v="Scottish Borders"/>
        <s v="South Ayrshire"/>
        <s v="South Lanarkshire"/>
        <s v="Stirling"/>
        <s v="West Dunbartonshire"/>
        <s v="West Lothian"/>
      </sharedItems>
    </cacheField>
    <cacheField name="GEOCode_LA" numFmtId="0">
      <sharedItems/>
    </cacheField>
    <cacheField name="2016-17" numFmtId="0">
      <sharedItems containsString="0" containsBlank="1" containsNumber="1" containsInteger="1" minValue="1" maxValue="19"/>
    </cacheField>
    <cacheField name="2017-18" numFmtId="0">
      <sharedItems containsString="0" containsBlank="1" containsNumber="1" containsInteger="1" minValue="1" maxValue="20"/>
    </cacheField>
    <cacheField name="2018-19" numFmtId="0">
      <sharedItems containsString="0" containsBlank="1" containsNumber="1" containsInteger="1" minValue="1" maxValue="23"/>
    </cacheField>
    <cacheField name="2019-20" numFmtId="0">
      <sharedItems containsString="0" containsBlank="1" containsNumber="1" containsInteger="1" minValue="1" maxValue="12"/>
    </cacheField>
    <cacheField name="2020-21" numFmtId="0">
      <sharedItems containsString="0" containsBlank="1" containsNumber="1" containsInteger="1" minValue="1" maxValue="14"/>
    </cacheField>
    <cacheField name="2021-22" numFmtId="0">
      <sharedItems containsString="0" containsBlank="1" containsNumber="1" containsInteger="1" minValue="0" maxValue="15"/>
    </cacheField>
    <cacheField name="2022-23" numFmtId="0">
      <sharedItems containsString="0" containsBlank="1" containsNumber="1" containsInteger="1" minValue="0" maxValue="9"/>
    </cacheField>
    <cacheField name="2023-24" numFmtId="0">
      <sharedItems containsSemiMixedTypes="0" containsString="0" containsNumber="1" containsInteger="1" minValue="0" maxValue="9"/>
    </cacheField>
    <cacheField name="2024-25" numFmtId="0">
      <sharedItems containsSemiMixedTypes="0" containsString="0" containsNumber="1" containsInteger="1" minValue="0" maxValue="11"/>
    </cacheField>
    <cacheField name="2025-26" numFmtId="0">
      <sharedItems containsSemiMixedTypes="0" containsString="0" containsNumber="1" containsInteger="1" minValue="0" maxValue="7"/>
    </cacheField>
  </cacheFields>
  <extLst>
    <ext xmlns:x14="http://schemas.microsoft.com/office/spreadsheetml/2009/9/main" uri="{725AE2AE-9491-48be-B2B4-4EB974FC3084}">
      <x14:pivotCacheDefinition/>
    </ext>
  </extLst>
</pivotCacheDefinition>
</file>

<file path=xl/pivotCache/pivotCacheDefinition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Cameron, Rebecca" refreshedDate="46181.675696180559" createdVersion="8" refreshedVersion="8" minRefreshableVersion="3" recordCount="10" xr:uid="{04ABB26C-698C-4BBB-9486-65F8254643CA}">
  <cacheSource type="worksheet">
    <worksheetSource name="hsw_Injuries_Operational__2"/>
  </cacheSource>
  <cacheFields count="6">
    <cacheField name="Op" numFmtId="0">
      <sharedItems count="1">
        <s v="Operational"/>
      </sharedItems>
    </cacheField>
    <cacheField name="FinYear" numFmtId="0">
      <sharedItems count="10">
        <s v="2016-17"/>
        <s v="2017-18"/>
        <s v="2018-19"/>
        <s v="2019-20"/>
        <s v="2020-21"/>
        <s v="2021-22"/>
        <s v="2022-23"/>
        <s v="2023-24"/>
        <s v="2024-25"/>
        <s v="2025-26"/>
      </sharedItems>
    </cacheField>
    <cacheField name="Attack against property/equipment" numFmtId="2">
      <sharedItems containsSemiMixedTypes="0" containsString="0" containsNumber="1" containsInteger="1" minValue="0" maxValue="1"/>
    </cacheField>
    <cacheField name="Verbal assault" numFmtId="2">
      <sharedItems containsSemiMixedTypes="0" containsString="0" containsNumber="1" containsInteger="1" minValue="0" maxValue="1"/>
    </cacheField>
    <cacheField name="Physical assault" numFmtId="2">
      <sharedItems containsSemiMixedTypes="0" containsString="0" containsNumber="1" containsInteger="1" minValue="0" maxValue="7"/>
    </cacheField>
    <cacheField name="Total" numFmtId="2">
      <sharedItems containsSemiMixedTypes="0" containsString="0" containsNumber="1" containsInteger="1" minValue="0" maxValue="7"/>
    </cacheField>
  </cacheFields>
  <extLst>
    <ext xmlns:x14="http://schemas.microsoft.com/office/spreadsheetml/2009/9/main" uri="{725AE2AE-9491-48be-B2B4-4EB974FC3084}">
      <x14:pivotCacheDefinition/>
    </ext>
  </extLst>
</pivotCacheDefinition>
</file>

<file path=xl/pivotCache/pivotCacheDefinition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Cameron, Rebecca" refreshedDate="46181.676059722224" createdVersion="8" refreshedVersion="8" minRefreshableVersion="3" recordCount="10" xr:uid="{94D7BCA4-F64E-4D7C-83AA-EEF030D20BBF}">
  <cacheSource type="worksheet">
    <worksheetSource name="hsw_Injuries_Non_Operational__2"/>
  </cacheSource>
  <cacheFields count="6">
    <cacheField name="Op" numFmtId="0">
      <sharedItems count="1">
        <s v="Non-Operational"/>
      </sharedItems>
    </cacheField>
    <cacheField name="FinYear" numFmtId="0">
      <sharedItems count="10">
        <s v="2016-17"/>
        <s v="2017-18"/>
        <s v="2018-19"/>
        <s v="2019-20"/>
        <s v="2020-21"/>
        <s v="2021-22"/>
        <s v="2022-23"/>
        <s v="2023-24"/>
        <s v="2024-25"/>
        <s v="2025-26"/>
      </sharedItems>
    </cacheField>
    <cacheField name="Attack against property/equipment" numFmtId="0">
      <sharedItems containsSemiMixedTypes="0" containsString="0" containsNumber="1" containsInteger="1" minValue="0" maxValue="0"/>
    </cacheField>
    <cacheField name="Verbal assault" numFmtId="0">
      <sharedItems containsSemiMixedTypes="0" containsString="0" containsNumber="1" containsInteger="1" minValue="0" maxValue="0"/>
    </cacheField>
    <cacheField name="Physical assault" numFmtId="0">
      <sharedItems containsSemiMixedTypes="0" containsString="0" containsNumber="1" containsInteger="1" minValue="0" maxValue="2"/>
    </cacheField>
    <cacheField name="Total" numFmtId="0">
      <sharedItems containsSemiMixedTypes="0" containsString="0" containsNumber="1" containsInteger="1" minValue="0" maxValue="2"/>
    </cacheField>
  </cacheFields>
  <extLst>
    <ext xmlns:x14="http://schemas.microsoft.com/office/spreadsheetml/2009/9/main" uri="{725AE2AE-9491-48be-B2B4-4EB974FC3084}">
      <x14:pivotCacheDefinition/>
    </ext>
  </extLst>
</pivotCacheDefinition>
</file>

<file path=xl/pivotCache/pivotCacheDefinition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Cameron, Rebecca" refreshedDate="46210.882812037038" createdVersion="8" refreshedVersion="8" minRefreshableVersion="3" recordCount="385" xr:uid="{F33D1EFE-D968-425D-94FD-3D91224F4DE5}">
  <cacheSource type="worksheet">
    <worksheetSource name="pp_PPED_Audits_LA__2"/>
  </cacheSource>
  <cacheFields count="18">
    <cacheField name="Year" numFmtId="0">
      <sharedItems count="12">
        <s v="2014-15"/>
        <s v="2015-16"/>
        <s v="2016-17"/>
        <s v="2017-18"/>
        <s v="2018-19"/>
        <s v="2019-20"/>
        <s v="2020-21"/>
        <s v="2021-22"/>
        <s v="2022-23"/>
        <s v="2023-24"/>
        <s v="2024-25"/>
        <s v="2025-26"/>
      </sharedItems>
    </cacheField>
    <cacheField name="Local Authority" numFmtId="0">
      <sharedItems containsBlank="1" count="33">
        <s v="East Dunbartonshire"/>
        <s v="Midlothian"/>
        <s v="North Ayrshire"/>
        <s v="Renfrewshire"/>
        <s v="Scottish Borders"/>
        <s v="Aberdeen City"/>
        <s v="Aberdeenshire"/>
        <s v="East Lothian"/>
        <s v="East Renfrewshire"/>
        <s v="Highland"/>
        <s v="Inverclyde"/>
        <s v="North Lanarkshire"/>
        <s v="Shetland Islands"/>
        <s v="West Lothian"/>
        <s v="Argyll and Bute"/>
        <s v="Dundee City"/>
        <s v="Moray"/>
        <s v="Orkney Islands"/>
        <s v="West Dunbartonshire"/>
        <s v="Angus"/>
        <s v="Dumfries and Galloway"/>
        <s v="South Lanarkshire"/>
        <s v="City of Edinburgh"/>
        <s v="East Ayrshire"/>
        <s v="Na h-Eileanan an Iar"/>
        <s v="Glasgow City"/>
        <s v="Fife"/>
        <s v="Stirling"/>
        <s v="Perth and Kinross"/>
        <s v="South Ayrshire"/>
        <s v="Clackmannanshire"/>
        <s v="Falkirk"/>
        <m/>
      </sharedItems>
    </cacheField>
    <cacheField name="LA Code" numFmtId="0">
      <sharedItems containsBlank="1"/>
    </cacheField>
    <cacheField name="Hospital / Prison" numFmtId="0">
      <sharedItems containsString="0" containsBlank="1" containsNumber="1" containsInteger="1" minValue="1" maxValue="69"/>
    </cacheField>
    <cacheField name="Care Home" numFmtId="0">
      <sharedItems containsString="0" containsBlank="1" containsNumber="1" containsInteger="1" minValue="3" maxValue="165"/>
    </cacheField>
    <cacheField name="HMO" numFmtId="0">
      <sharedItems containsString="0" containsBlank="1" containsNumber="1" containsInteger="1" minValue="1" maxValue="1115"/>
    </cacheField>
    <cacheField name="Hostel" numFmtId="0">
      <sharedItems containsString="0" containsBlank="1" containsNumber="1" containsInteger="1" minValue="1" maxValue="69"/>
    </cacheField>
    <cacheField name="Hotel" numFmtId="0">
      <sharedItems containsString="0" containsBlank="1" containsNumber="1" containsInteger="1" minValue="1" maxValue="236"/>
    </cacheField>
    <cacheField name="Other Sleeping Accomm" numFmtId="0">
      <sharedItems containsString="0" containsBlank="1" containsNumber="1" containsInteger="1" minValue="1" maxValue="381"/>
    </cacheField>
    <cacheField name="Further Education" numFmtId="0">
      <sharedItems containsString="0" containsBlank="1" containsNumber="1" containsInteger="1" minValue="1" maxValue="12"/>
    </cacheField>
    <cacheField name="Public Building" numFmtId="0">
      <sharedItems containsString="0" containsBlank="1" containsNumber="1" containsInteger="1" minValue="1" maxValue="16"/>
    </cacheField>
    <cacheField name="Licensed Premises" numFmtId="0">
      <sharedItems containsString="0" containsBlank="1" containsNumber="1" containsInteger="1" minValue="1" maxValue="139"/>
    </cacheField>
    <cacheField name="School" numFmtId="0">
      <sharedItems containsString="0" containsBlank="1" containsNumber="1" containsInteger="1" minValue="1" maxValue="122"/>
    </cacheField>
    <cacheField name="Shop" numFmtId="0">
      <sharedItems containsString="0" containsBlank="1" containsNumber="1" containsInteger="1" minValue="1" maxValue="147"/>
    </cacheField>
    <cacheField name="Other Premises Open to Public" numFmtId="0">
      <sharedItems containsString="0" containsBlank="1" containsNumber="1" containsInteger="1" minValue="1" maxValue="108"/>
    </cacheField>
    <cacheField name="Factory or Warehouse" numFmtId="0">
      <sharedItems containsString="0" containsBlank="1" containsNumber="1" containsInteger="1" minValue="1" maxValue="117"/>
    </cacheField>
    <cacheField name="Office" numFmtId="0">
      <sharedItems containsString="0" containsBlank="1" containsNumber="1" containsInteger="1" minValue="1" maxValue="141"/>
    </cacheField>
    <cacheField name="Other Workplace" numFmtId="0">
      <sharedItems containsString="0" containsBlank="1" containsNumber="1" containsInteger="1" minValue="1" maxValue="89"/>
    </cacheField>
  </cacheFields>
  <extLst>
    <ext xmlns:x14="http://schemas.microsoft.com/office/spreadsheetml/2009/9/main" uri="{725AE2AE-9491-48be-B2B4-4EB974FC3084}">
      <x14:pivotCacheDefinition pivotCacheId="1364898279"/>
    </ext>
  </extLst>
</pivotCacheDefinition>
</file>

<file path=xl/pivotCache/pivotCacheDefinition1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Cameron, Rebecca" refreshedDate="46210.883982175925" createdVersion="6" refreshedVersion="8" minRefreshableVersion="3" recordCount="384" xr:uid="{00000000-000A-0000-FFFF-FFFFAF000000}">
  <cacheSource type="worksheet">
    <worksheetSource name="pp_PPED_Audits_Outcome_LA"/>
  </cacheSource>
  <cacheFields count="11">
    <cacheField name="FisYr" numFmtId="0">
      <sharedItems count="13">
        <s v="2014-15"/>
        <s v="2015-16"/>
        <s v="2016-17"/>
        <s v="2017-18"/>
        <s v="2018-19"/>
        <s v="2019-20"/>
        <s v="2020-21"/>
        <s v="2021-22"/>
        <s v="2022-23"/>
        <s v="2023-24"/>
        <s v="2024-25"/>
        <s v="2025-26"/>
        <s v="..." u="1"/>
      </sharedItems>
    </cacheField>
    <cacheField name="Council" numFmtId="0">
      <sharedItems containsBlank="1" count="35">
        <s v="Aberdeen City"/>
        <s v="Fife"/>
        <s v="Moray"/>
        <s v="Na h-Eileanan Siar"/>
        <s v="Orkney Islands"/>
        <s v="Renfrewshire"/>
        <s v="Scottish Borders"/>
        <s v="West Dunbartonshire"/>
        <s v="Clackmannanshire"/>
        <s v="East Renfrewshire"/>
        <s v="East Lothian"/>
        <s v="South Lanarkshire"/>
        <s v="Stirling"/>
        <s v="Aberdeenshire"/>
        <s v="Dumfries and Galloway"/>
        <s v="East Dunbartonshire"/>
        <s v="Shetland Islands"/>
        <s v="North Lanarkshire"/>
        <s v="Argyll and Bute"/>
        <s v="Dundee City"/>
        <s v="East Ayrshire"/>
        <s v="Midlothian"/>
        <s v="Falkirk"/>
        <s v="Glasgow City"/>
        <s v="Inverclyde"/>
        <s v="South Ayrshire"/>
        <s v="City of Edinburgh"/>
        <s v="Highland"/>
        <s v="Perth and Kinross"/>
        <s v="West Lothian"/>
        <s v="Angus"/>
        <s v="North Ayrshire"/>
        <m/>
        <s v="Na h-Eileanan an Iar"/>
        <s v="..." u="1"/>
      </sharedItems>
    </cacheField>
    <cacheField name="GSSCode" numFmtId="0">
      <sharedItems containsBlank="1"/>
    </cacheField>
    <cacheField name="A_Tally" numFmtId="0">
      <sharedItems containsSemiMixedTypes="0" containsString="0" containsNumber="1" containsInteger="1" minValue="4" maxValue="1812"/>
    </cacheField>
    <cacheField name="A_Hours" numFmtId="0">
      <sharedItems containsString="0" containsBlank="1" containsNumber="1" minValue="16" maxValue="7682.25"/>
    </cacheField>
    <cacheField name="B_Tally" numFmtId="0">
      <sharedItems containsString="0" containsBlank="1" containsNumber="1" containsInteger="1" minValue="1" maxValue="144"/>
    </cacheField>
    <cacheField name="B_Hours" numFmtId="0">
      <sharedItems containsString="0" containsBlank="1" containsNumber="1" minValue="2.25" maxValue="1064.25"/>
    </cacheField>
    <cacheField name="Enforcement_Tally" numFmtId="0">
      <sharedItems containsString="0" containsBlank="1" containsNumber="1" containsInteger="1" minValue="1" maxValue="10"/>
    </cacheField>
    <cacheField name="Enforcement_Hours" numFmtId="0">
      <sharedItems containsString="0" containsBlank="1" containsNumber="1" minValue="5.5" maxValue="256.5"/>
    </cacheField>
    <cacheField name="Prohibition_Tally" numFmtId="0">
      <sharedItems containsString="0" containsBlank="1" containsNumber="1" containsInteger="1" minValue="1" maxValue="7"/>
    </cacheField>
    <cacheField name="Prohibition_Hours" numFmtId="0">
      <sharedItems containsString="0" containsBlank="1" containsNumber="1" minValue="0" maxValue="123"/>
    </cacheField>
  </cacheFields>
  <extLst>
    <ext xmlns:x14="http://schemas.microsoft.com/office/spreadsheetml/2009/9/main" uri="{725AE2AE-9491-48be-B2B4-4EB974FC3084}">
      <x14:pivotCacheDefinition pivotCacheId="125"/>
    </ext>
  </extLst>
</pivotCacheDefinition>
</file>

<file path=xl/pivotCache/pivotCacheDefinition1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Cameron, Rebecca" refreshedDate="46211.757451504629" createdVersion="8" refreshedVersion="8" minRefreshableVersion="3" recordCount="12" xr:uid="{57EF05C9-7A79-4F95-B707-1DB6B83E09A9}">
  <cacheSource type="worksheet">
    <worksheetSource name="cset_SIMD_Visits__2"/>
  </cacheSource>
  <cacheFields count="8">
    <cacheField name="Year" numFmtId="0">
      <sharedItems count="12">
        <s v="2014-15"/>
        <s v="2015-16"/>
        <s v="2016-17"/>
        <s v="2017-18"/>
        <s v="2018-19"/>
        <s v="2019-20"/>
        <s v="2020-21"/>
        <s v="2021-22"/>
        <s v="2022-23"/>
        <s v="2023-24"/>
        <s v="2024-25"/>
        <s v="2025-26"/>
      </sharedItems>
    </cacheField>
    <cacheField name="1 - Most Deprived 20%" numFmtId="0">
      <sharedItems containsSemiMixedTypes="0" containsString="0" containsNumber="1" containsInteger="1" minValue="5612" maxValue="19715"/>
    </cacheField>
    <cacheField name="2" numFmtId="0">
      <sharedItems containsSemiMixedTypes="0" containsString="0" containsNumber="1" containsInteger="1" minValue="4807" maxValue="17388"/>
    </cacheField>
    <cacheField name="3" numFmtId="0">
      <sharedItems containsSemiMixedTypes="0" containsString="0" containsNumber="1" containsInteger="1" minValue="3607" maxValue="14099"/>
    </cacheField>
    <cacheField name="4" numFmtId="0">
      <sharedItems containsSemiMixedTypes="0" containsString="0" containsNumber="1" containsInteger="1" minValue="3028" maxValue="12423"/>
    </cacheField>
    <cacheField name="5 - Least Deprived 20%" numFmtId="0">
      <sharedItems containsSemiMixedTypes="0" containsString="0" containsNumber="1" containsInteger="1" minValue="2289" maxValue="9624"/>
    </cacheField>
    <cacheField name="NotKnown" numFmtId="0">
      <sharedItems containsNonDate="0" containsString="0" containsBlank="1"/>
    </cacheField>
    <cacheField name="All Scotland" numFmtId="0">
      <sharedItems containsSemiMixedTypes="0" containsString="0" containsNumber="1" containsInteger="1" minValue="19519" maxValue="71625"/>
    </cacheField>
  </cacheFields>
  <extLst>
    <ext xmlns:x14="http://schemas.microsoft.com/office/spreadsheetml/2009/9/main" uri="{725AE2AE-9491-48be-B2B4-4EB974FC3084}">
      <x14:pivotCacheDefinition/>
    </ext>
  </extLst>
</pivotCacheDefinition>
</file>

<file path=xl/pivotCache/pivotCacheDefinition1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Cameron, Rebecca" refreshedDate="46211.757577662036" createdVersion="8" refreshedVersion="8" minRefreshableVersion="3" recordCount="12" xr:uid="{7506B14D-2A03-4AD4-A6A0-26038287ADC8}">
  <cacheSource type="worksheet">
    <worksheetSource name="cset_SIMD_Visits_OccupiedDwellings__2"/>
  </cacheSource>
  <cacheFields count="7">
    <cacheField name="Year" numFmtId="0">
      <sharedItems count="12">
        <s v="2023-24"/>
        <s v="2024-25"/>
        <s v="2016-17"/>
        <s v="2018-19"/>
        <s v="2020-21"/>
        <s v="2022-23"/>
        <s v="2017-18"/>
        <s v="2019-20"/>
        <s v="2015-16"/>
        <s v="2021-22"/>
        <s v="2014-15"/>
        <s v="2025-26"/>
      </sharedItems>
    </cacheField>
    <cacheField name="1 - Most Deprived 20%" numFmtId="0">
      <sharedItems containsSemiMixedTypes="0" containsString="0" containsNumber="1" minValue="1" maxValue="3.7"/>
    </cacheField>
    <cacheField name="2" numFmtId="0">
      <sharedItems containsSemiMixedTypes="0" containsString="0" containsNumber="1" minValue="0.9" maxValue="3.4"/>
    </cacheField>
    <cacheField name="3" numFmtId="0">
      <sharedItems containsSemiMixedTypes="0" containsString="0" containsNumber="1" minValue="0.7" maxValue="2.9"/>
    </cacheField>
    <cacheField name="4" numFmtId="0">
      <sharedItems containsSemiMixedTypes="0" containsString="0" containsNumber="1" minValue="0.6" maxValue="2.6"/>
    </cacheField>
    <cacheField name="5 - Least Deprived 20%" numFmtId="0">
      <sharedItems containsSemiMixedTypes="0" containsString="0" containsNumber="1" minValue="0.5" maxValue="2.1"/>
    </cacheField>
    <cacheField name="All Scotland" numFmtId="0">
      <sharedItems containsSemiMixedTypes="0" containsString="0" containsNumber="1" minValue="0.7" maxValue="2.9"/>
    </cacheField>
  </cacheFields>
  <extLst>
    <ext xmlns:x14="http://schemas.microsoft.com/office/spreadsheetml/2009/9/main" uri="{725AE2AE-9491-48be-B2B4-4EB974FC3084}">
      <x14:pivotCacheDefinition/>
    </ext>
  </extLst>
</pivotCacheDefinition>
</file>

<file path=xl/pivotCache/pivotCacheDefinition1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Cameron, Rebecca" refreshedDate="46211.766249652777" createdVersion="8" refreshedVersion="8" minRefreshableVersion="3" recordCount="6" xr:uid="{20CDE1C8-68F0-4721-BABF-FE764DD6091E}">
  <cacheSource type="worksheet">
    <worksheetSource name="cset_HFSV_Tenure_Outcome_Final"/>
  </cacheSource>
  <cacheFields count="12">
    <cacheField name="Tenure" numFmtId="0">
      <sharedItems count="6">
        <s v="Other"/>
        <s v="Not Known"/>
        <s v="Housing Association"/>
        <s v="Owner Occupied"/>
        <s v="Local Authority"/>
        <s v="Private Let"/>
      </sharedItems>
    </cacheField>
    <cacheField name="2015-16" numFmtId="0">
      <sharedItems containsSemiMixedTypes="0" containsString="0" containsNumber="1" containsInteger="1" minValue="101" maxValue="37461"/>
    </cacheField>
    <cacheField name="2016-17" numFmtId="0">
      <sharedItems containsSemiMixedTypes="0" containsString="0" containsNumber="1" containsInteger="1" minValue="103" maxValue="39725"/>
    </cacheField>
    <cacheField name="2017-18" numFmtId="0">
      <sharedItems containsSemiMixedTypes="0" containsString="0" containsNumber="1" containsInteger="1" minValue="107" maxValue="38343"/>
    </cacheField>
    <cacheField name="2018-19" numFmtId="0">
      <sharedItems containsSemiMixedTypes="0" containsString="0" containsNumber="1" containsInteger="1" minValue="622" maxValue="35339"/>
    </cacheField>
    <cacheField name="2019-20" numFmtId="0">
      <sharedItems containsSemiMixedTypes="0" containsString="0" containsNumber="1" containsInteger="1" minValue="641" maxValue="34631"/>
    </cacheField>
    <cacheField name="2020-21" numFmtId="0">
      <sharedItems containsSemiMixedTypes="0" containsString="0" containsNumber="1" containsInteger="1" minValue="102" maxValue="10815"/>
    </cacheField>
    <cacheField name="2021-22" numFmtId="0">
      <sharedItems containsSemiMixedTypes="0" containsString="0" containsNumber="1" containsInteger="1" minValue="322" maxValue="27519"/>
    </cacheField>
    <cacheField name="2022-23" numFmtId="0">
      <sharedItems containsSemiMixedTypes="0" containsString="0" containsNumber="1" containsInteger="1" minValue="367" maxValue="19831"/>
    </cacheField>
    <cacheField name="2023-24" numFmtId="0">
      <sharedItems containsSemiMixedTypes="0" containsString="0" containsNumber="1" containsInteger="1" minValue="443" maxValue="17805"/>
    </cacheField>
    <cacheField name="2024-25" numFmtId="0">
      <sharedItems containsSemiMixedTypes="0" containsString="0" containsNumber="1" containsInteger="1" minValue="1383" maxValue="16026"/>
    </cacheField>
    <cacheField name="2025-26" numFmtId="0">
      <sharedItems containsString="0" containsBlank="1" containsNumber="1" containsInteger="1" minValue="763" maxValue="10694"/>
    </cacheField>
  </cacheFields>
  <extLst>
    <ext xmlns:x14="http://schemas.microsoft.com/office/spreadsheetml/2009/9/main" uri="{725AE2AE-9491-48be-B2B4-4EB974FC3084}">
      <x14:pivotCacheDefinition/>
    </ext>
  </extLst>
</pivotCacheDefinition>
</file>

<file path=xl/pivotCache/pivotCacheDefinition1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Cameron, Rebecca" refreshedDate="46211.786697337964" createdVersion="8" refreshedVersion="8" minRefreshableVersion="3" recordCount="12" xr:uid="{3C0ECC1F-2CC8-4224-99B0-C577D1BC432A}">
  <cacheSource type="worksheet">
    <worksheetSource name="cset_SIMD_Alarms_OccupiedDwellings__2"/>
  </cacheSource>
  <cacheFields count="7">
    <cacheField name="Year" numFmtId="0">
      <sharedItems count="12">
        <s v="2014-15"/>
        <s v="2015-16"/>
        <s v="2016-17"/>
        <s v="2017-18"/>
        <s v="2018-19"/>
        <s v="2019-20"/>
        <s v="2020-21"/>
        <s v="2021-22"/>
        <s v="2022-23"/>
        <s v="2023-24"/>
        <s v="2024-25"/>
        <s v="2025-26"/>
      </sharedItems>
    </cacheField>
    <cacheField name="1 - Most Deprived 20%" numFmtId="0">
      <sharedItems containsString="0" containsBlank="1" containsNumber="1" minValue="0.1" maxValue="1.1000000000000001"/>
    </cacheField>
    <cacheField name="2" numFmtId="0">
      <sharedItems containsString="0" containsBlank="1" containsNumber="1" minValue="0.2" maxValue="1.3"/>
    </cacheField>
    <cacheField name="3" numFmtId="0">
      <sharedItems containsString="0" containsBlank="1" containsNumber="1" minValue="0.1" maxValue="1.2"/>
    </cacheField>
    <cacheField name="4" numFmtId="0">
      <sharedItems containsString="0" containsBlank="1" containsNumber="1" minValue="0.1" maxValue="1.2"/>
    </cacheField>
    <cacheField name="5 - Least Deprived 20%" numFmtId="0">
      <sharedItems containsString="0" containsBlank="1" containsNumber="1" minValue="0.1" maxValue="1.1000000000000001"/>
    </cacheField>
    <cacheField name="All Scotland" numFmtId="0">
      <sharedItems containsString="0" containsBlank="1" containsNumber="1" minValue="0.1" maxValue="1.2"/>
    </cacheField>
  </cacheFields>
  <extLst>
    <ext xmlns:x14="http://schemas.microsoft.com/office/spreadsheetml/2009/9/main" uri="{725AE2AE-9491-48be-B2B4-4EB974FC3084}">
      <x14:pivotCacheDefinition/>
    </ext>
  </extLst>
</pivotCacheDefinition>
</file>

<file path=xl/pivotCache/pivotCacheDefinition1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Cameron, Rebecca" refreshedDate="46211.787541319442" createdVersion="8" refreshedVersion="8" minRefreshableVersion="3" recordCount="12" xr:uid="{ED5804A2-5B25-4679-843A-2F25F9109CAF}">
  <cacheSource type="worksheet">
    <worksheetSource name="cset_SIMD_Alarms__2"/>
  </cacheSource>
  <cacheFields count="7">
    <cacheField name="Year" numFmtId="0">
      <sharedItems count="12">
        <s v="2014-15"/>
        <s v="2015-16"/>
        <s v="2016-17"/>
        <s v="2017-18"/>
        <s v="2018-19"/>
        <s v="2019-20"/>
        <s v="2020-21"/>
        <s v="2021-22"/>
        <s v="2022-23"/>
        <s v="2023-24"/>
        <s v="2024-25"/>
        <s v="2025-26"/>
      </sharedItems>
    </cacheField>
    <cacheField name="1 - Most Deprived 20%" numFmtId="0">
      <sharedItems containsString="0" containsBlank="1" containsNumber="1" containsInteger="1" minValue="696" maxValue="6017"/>
    </cacheField>
    <cacheField name="2" numFmtId="0">
      <sharedItems containsString="0" containsBlank="1" containsNumber="1" containsInteger="1" minValue="913" maxValue="6548"/>
    </cacheField>
    <cacheField name="3" numFmtId="0">
      <sharedItems containsString="0" containsBlank="1" containsNumber="1" containsInteger="1" minValue="751" maxValue="5945"/>
    </cacheField>
    <cacheField name="4" numFmtId="0">
      <sharedItems containsString="0" containsBlank="1" containsNumber="1" containsInteger="1" minValue="602" maxValue="5615"/>
    </cacheField>
    <cacheField name="5 - Least Deprived 20%" numFmtId="0">
      <sharedItems containsString="0" containsBlank="1" containsNumber="1" containsInteger="1" minValue="517" maxValue="5062"/>
    </cacheField>
    <cacheField name="All Scotland" numFmtId="0">
      <sharedItems containsString="0" containsBlank="1" containsNumber="1" containsInteger="1" minValue="3479" maxValue="28992"/>
    </cacheField>
  </cacheFields>
  <extLst>
    <ext xmlns:x14="http://schemas.microsoft.com/office/spreadsheetml/2009/9/main" uri="{725AE2AE-9491-48be-B2B4-4EB974FC3084}">
      <x14:pivotCacheDefinition/>
    </ext>
  </extLst>
</pivotCacheDefinition>
</file>

<file path=xl/pivotCache/pivotCacheDefinition1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12.572295138889" createdVersion="8" refreshedVersion="8" minRefreshableVersion="3" recordCount="8" xr:uid="{B8C6BBDC-486D-4ECF-8DF1-352E5644A49F}">
  <cacheSource type="worksheet">
    <worksheetSource name="hrod_HR_DutySystem_1"/>
  </cacheSource>
  <cacheFields count="5">
    <cacheField name="Year" numFmtId="0">
      <sharedItems count="8">
        <s v="2018-19"/>
        <s v="2019-20"/>
        <s v="2020-21"/>
        <s v="2021-22"/>
        <s v="2022-23"/>
        <s v="2023-24"/>
        <s v="2024-25"/>
        <s v="2025-26"/>
      </sharedItems>
    </cacheField>
    <cacheField name="Operational Crewing" numFmtId="0">
      <sharedItems containsSemiMixedTypes="0" containsString="0" containsNumber="1" containsInteger="1" minValue="2744" maxValue="2966"/>
    </cacheField>
    <cacheField name="Incident Command Officers" numFmtId="0">
      <sharedItems containsSemiMixedTypes="0" containsString="0" containsNumber="1" containsInteger="1" minValue="262" maxValue="273"/>
    </cacheField>
    <cacheField name="Office Duties" numFmtId="0">
      <sharedItems containsSemiMixedTypes="0" containsString="0" containsNumber="1" containsInteger="1" minValue="327" maxValue="358"/>
    </cacheField>
    <cacheField name="Trainees" numFmtId="0">
      <sharedItems containsSemiMixedTypes="0" containsString="0" containsNumber="1" containsInteger="1" minValue="1" maxValue="103"/>
    </cacheField>
  </cacheFields>
  <extLst>
    <ext xmlns:x14="http://schemas.microsoft.com/office/spreadsheetml/2009/9/main" uri="{725AE2AE-9491-48be-B2B4-4EB974FC3084}">
      <x14:pivotCacheDefinition/>
    </ext>
  </extLst>
</pivotCacheDefinition>
</file>

<file path=xl/pivotCache/pivotCacheDefinition1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12.576079745369" createdVersion="6" refreshedVersion="8" minRefreshableVersion="3" recordCount="414" xr:uid="{00000000-000A-0000-FFFF-FFFFB7000000}">
  <cacheSource type="worksheet">
    <worksheetSource name="hrod_HR_DutySystem_LA"/>
  </cacheSource>
  <cacheFields count="8">
    <cacheField name="Year" numFmtId="0">
      <sharedItems containsBlank="1" count="9">
        <s v="2018-19"/>
        <s v="2019-20"/>
        <s v="2020-21"/>
        <s v="2021-22"/>
        <s v="2022-23"/>
        <s v="2023-24"/>
        <s v="2024-25"/>
        <s v="2025-26"/>
        <m u="1"/>
      </sharedItems>
    </cacheField>
    <cacheField name="ReportingLevel" numFmtId="0">
      <sharedItems containsBlank="1" count="6">
        <s v="1:LA"/>
        <s v="2:LSO"/>
        <s v="3:SDA"/>
        <s v="4:National"/>
        <m u="1"/>
        <s v="1:SDA" u="1"/>
      </sharedItems>
    </cacheField>
    <cacheField name="lvl" numFmtId="0">
      <sharedItems containsBlank="1" count="61">
        <s v="Aberdeen City"/>
        <s v="Argyll and Bute"/>
        <s v="Fife"/>
        <s v="Moray"/>
        <s v="South Ayrshire"/>
        <s v="Aberdeenshire and Moray"/>
        <s v="Dumfries and Galloway"/>
        <s v="East Ayrshire, North Ayrshire and South Ayrshire"/>
        <s v="Falkirk and West Lothian"/>
        <s v="Glasgow City"/>
        <s v="East"/>
        <s v="Edinburgh City"/>
        <s v="Midlothian"/>
        <s v="South Lanarkshire"/>
        <s v="East Renfrewshire, Renfrewshire and Inverclyde"/>
        <s v="Western Isles, Orkney and Shetland Islands"/>
        <s v="Angus"/>
        <s v="Stirling"/>
        <s v="Stirling, Clackmannanshire and Fife"/>
        <s v="North"/>
        <s v="Falkirk"/>
        <s v="Scottish Borders"/>
        <s v="Aberdeen City, Aberdeenshire and Moray"/>
        <s v="West Dunbartonshire"/>
        <s v="West Lothian"/>
        <s v="East Lothian, Midlothian and the Scottish Borders"/>
        <s v="Scotland"/>
        <s v="Dumfries and Gallowa"/>
        <s v="East Dunbartonshire"/>
        <s v="East Renfrewshire"/>
        <s v="Highlands"/>
        <s v="Na h-Eileanan Siar"/>
        <s v="North Ayrshire"/>
        <s v="Perth and Kinross"/>
        <s v="Lanarkshire"/>
        <s v="Dundee City"/>
        <s v="East Lothian"/>
        <s v="Aberdeenshire"/>
        <s v="East Ayrshire"/>
        <s v="West"/>
        <s v="Clackmannanshire"/>
        <s v="North Lanarkshire"/>
        <s v="Argyll and Bute, East Dunbartonshire and West Dunbartonshire"/>
        <s v="Shetland Islands"/>
        <s v="Inverclyde"/>
        <s v="Renfrewshire"/>
        <s v="Dundee, Angus, Perth and Kinross"/>
        <s v="Stirling and Clackmannanshire"/>
        <s v="Orkney Islands"/>
        <m u="1"/>
        <s v="Perth &amp; Kinross" u="1"/>
        <s v="NULL" u="1"/>
        <s v="Argyll and Bute, West Dunbartonshire and East Dunbartonshire" u="1"/>
        <s v="Dumfries &amp; Galloway" u="1"/>
        <s v="Perth and Kinross, Dundee City and Angus" u="1"/>
        <s v="Argyll &amp; Bute" u="1"/>
        <s v="Highland" u="1"/>
        <s v="East, North and South Ayrshire" u="1"/>
        <s v="Midlothian, East Lothian and Scottish Borders" u="1"/>
        <s v="Orkney Islands, Shetland Islands and Na h-Eileanan" u="1"/>
        <s v="City of Edinburgh" u="1"/>
      </sharedItems>
    </cacheField>
    <cacheField name="Code" numFmtId="0">
      <sharedItems containsBlank="1"/>
    </cacheField>
    <cacheField name="Operational Crewing" numFmtId="0">
      <sharedItems containsSemiMixedTypes="0" containsString="0" containsNumber="1" containsInteger="1" minValue="0" maxValue="517"/>
    </cacheField>
    <cacheField name="Incident Command Officers" numFmtId="0">
      <sharedItems containsSemiMixedTypes="0" containsString="0" containsNumber="1" containsInteger="1" minValue="0" maxValue="60"/>
    </cacheField>
    <cacheField name="Office Duties" numFmtId="0">
      <sharedItems containsSemiMixedTypes="0" containsString="0" containsNumber="1" containsInteger="1" minValue="0" maxValue="76"/>
    </cacheField>
    <cacheField name="Trainees" numFmtId="0">
      <sharedItems containsSemiMixedTypes="0" containsString="0" containsNumber="1" containsInteger="1" minValue="0" maxValue="60"/>
    </cacheField>
  </cacheFields>
  <extLst>
    <ext xmlns:x14="http://schemas.microsoft.com/office/spreadsheetml/2009/9/main" uri="{725AE2AE-9491-48be-B2B4-4EB974FC3084}">
      <x14:pivotCacheDefinition pivotCacheId="132"/>
    </ext>
  </extLst>
</pivotCacheDefinition>
</file>

<file path=xl/pivotCache/pivotCacheDefinition1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12.58572314815" createdVersion="6" refreshedVersion="8" minRefreshableVersion="3" recordCount="52" xr:uid="{00000000-000A-0000-FFFF-FFFFB8000000}">
  <cacheSource type="worksheet">
    <worksheetSource name="hrod_HR_GeographicStructure"/>
  </cacheSource>
  <cacheFields count="8">
    <cacheField name="Year" numFmtId="0">
      <sharedItems count="13">
        <s v="2014-15"/>
        <s v="2015-16"/>
        <s v="2016-17"/>
        <s v="2019-20"/>
        <s v="2021-22"/>
        <s v="2025-26"/>
        <s v="2013-14"/>
        <s v="2018-19"/>
        <s v="2022-23"/>
        <s v="2023-24"/>
        <s v="2024-25"/>
        <s v="2020-21"/>
        <s v="2017-18"/>
      </sharedItems>
    </cacheField>
    <cacheField name="ReportingLevel" numFmtId="0">
      <sharedItems containsBlank="1" count="7">
        <s v="2:LSO"/>
        <s v="1:LA"/>
        <s v="3:SDA"/>
        <s v="4:National"/>
        <m u="1"/>
        <s v="04:National" u="1"/>
        <s v="Scotland" u="1"/>
      </sharedItems>
    </cacheField>
    <cacheField name="Wholetime Operational" numFmtId="0">
      <sharedItems containsSemiMixedTypes="0" containsString="0" containsNumber="1" containsInteger="1" minValue="50" maxValue="3392"/>
    </cacheField>
    <cacheField name="RDS" numFmtId="0">
      <sharedItems containsString="0" containsBlank="1" containsNumber="1" containsInteger="1" minValue="0" maxValue="2950"/>
    </cacheField>
    <cacheField name="RDS Fulltime" numFmtId="0">
      <sharedItems containsString="0" containsBlank="1" containsNumber="1" containsInteger="1" minValue="0" maxValue="60"/>
    </cacheField>
    <cacheField name="Control" numFmtId="0">
      <sharedItems containsString="0" containsBlank="1" containsNumber="1" containsInteger="1" minValue="0" maxValue="230"/>
    </cacheField>
    <cacheField name="Support" numFmtId="0">
      <sharedItems containsString="0" containsBlank="1" containsNumber="1" containsInteger="1" minValue="0" maxValue="922"/>
    </cacheField>
    <cacheField name="Volunteer" numFmtId="0">
      <sharedItems containsString="0" containsBlank="1" containsNumber="1" containsInteger="1" minValue="0" maxValue="378"/>
    </cacheField>
  </cacheFields>
  <extLst>
    <ext xmlns:x14="http://schemas.microsoft.com/office/spreadsheetml/2009/9/main" uri="{725AE2AE-9491-48be-B2B4-4EB974FC3084}">
      <x14:pivotCacheDefinition pivotCacheId="133"/>
    </ext>
  </extLst>
</pivotCacheDefinition>
</file>

<file path=xl/pivotCache/pivotCacheDefinition1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Cameron, Rebecca" refreshedDate="46213.752733333335" createdVersion="8" refreshedVersion="8" minRefreshableVersion="3" recordCount="12" xr:uid="{833FA4D8-B467-4FD0-8823-64AC91DBBDC3}">
  <cacheSource type="worksheet">
    <worksheetSource name="cset_UrbanRural__3"/>
  </cacheSource>
  <cacheFields count="8">
    <cacheField name="Year" numFmtId="0">
      <sharedItems containsBlank="1" count="13">
        <s v="2014-15"/>
        <s v="2015-16"/>
        <s v="2016-17"/>
        <s v="2017-18"/>
        <s v="2018-19"/>
        <s v="2019-20"/>
        <s v="2020-21"/>
        <s v="2021-22"/>
        <s v="2022-23"/>
        <s v="2023-24"/>
        <s v="2024-25"/>
        <s v="2025-26"/>
        <m u="1"/>
      </sharedItems>
    </cacheField>
    <cacheField name="1 - Large Urban Areas" numFmtId="0">
      <sharedItems containsSemiMixedTypes="0" containsString="0" containsNumber="1" containsInteger="1" minValue="6630" maxValue="25626"/>
    </cacheField>
    <cacheField name="2 - Other Urban Areas" numFmtId="0">
      <sharedItems containsSemiMixedTypes="0" containsString="0" containsNumber="1" containsInteger="1" minValue="7442" maxValue="29926"/>
    </cacheField>
    <cacheField name="3 - Accessible Small Towns" numFmtId="0">
      <sharedItems containsSemiMixedTypes="0" containsString="0" containsNumber="1" containsInteger="1" minValue="1577" maxValue="5417"/>
    </cacheField>
    <cacheField name="4 - Remote Small Towns" numFmtId="0">
      <sharedItems containsSemiMixedTypes="0" containsString="0" containsNumber="1" containsInteger="1" minValue="722" maxValue="3085"/>
    </cacheField>
    <cacheField name="5 - Accessible Rural" numFmtId="0">
      <sharedItems containsSemiMixedTypes="0" containsString="0" containsNumber="1" containsInteger="1" minValue="1539" maxValue="6074"/>
    </cacheField>
    <cacheField name="6 - Remote Rural" numFmtId="0">
      <sharedItems containsSemiMixedTypes="0" containsString="0" containsNumber="1" containsInteger="1" minValue="956" maxValue="4712"/>
    </cacheField>
    <cacheField name="All Scotland" numFmtId="0">
      <sharedItems containsSemiMixedTypes="0" containsString="0" containsNumber="1" containsInteger="1" minValue="19981" maxValue="71627"/>
    </cacheField>
  </cacheFields>
  <extLst>
    <ext xmlns:x14="http://schemas.microsoft.com/office/spreadsheetml/2009/9/main" uri="{725AE2AE-9491-48be-B2B4-4EB974FC3084}">
      <x14:pivotCacheDefinition/>
    </ext>
  </extLst>
</pivotCacheDefinition>
</file>

<file path=xl/pivotCache/pivotCacheDefinition2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Cameron, Rebecca" refreshedDate="46213.752788773148" createdVersion="8" refreshedVersion="8" minRefreshableVersion="3" recordCount="12" xr:uid="{5F0E0B72-ACA5-4B5A-ABDD-1F33A9248465}">
  <cacheSource type="worksheet">
    <worksheetSource name="cset_UrbanRural_OccupiedDwellings__3"/>
  </cacheSource>
  <cacheFields count="8">
    <cacheField name="Year" numFmtId="0">
      <sharedItems containsBlank="1" count="13">
        <s v="2023-24"/>
        <s v="2024-25"/>
        <s v="2022-23"/>
        <s v="2017-18"/>
        <s v="2019-20"/>
        <s v="2016-17"/>
        <s v="2018-19"/>
        <s v="2020-21"/>
        <s v="2015-16"/>
        <s v="2021-22"/>
        <s v="2014-15"/>
        <s v="2025-26"/>
        <m u="1"/>
      </sharedItems>
    </cacheField>
    <cacheField name="1 - Large Urban Areas" numFmtId="0">
      <sharedItems containsSemiMixedTypes="0" containsString="0" containsNumber="1" minValue="0.7" maxValue="2.8"/>
    </cacheField>
    <cacheField name="2 - Other Urban Areas" numFmtId="0">
      <sharedItems containsSemiMixedTypes="0" containsString="0" containsNumber="1" minValue="0.8" maxValue="3.4"/>
    </cacheField>
    <cacheField name="3 - Accessible Small Towns" numFmtId="0">
      <sharedItems containsSemiMixedTypes="0" containsString="0" containsNumber="1" minValue="0.7" maxValue="2.7"/>
    </cacheField>
    <cacheField name="4 - Remote Small Towns" numFmtId="0">
      <sharedItems containsSemiMixedTypes="0" containsString="0" containsNumber="1" minValue="0.8" maxValue="3.4"/>
    </cacheField>
    <cacheField name="5 - Accessible Rural" numFmtId="0">
      <sharedItems containsSemiMixedTypes="0" containsString="0" containsNumber="1" minValue="0.6" maxValue="2.4"/>
    </cacheField>
    <cacheField name="6 - Remote Rural" numFmtId="0">
      <sharedItems containsSemiMixedTypes="0" containsString="0" containsNumber="1" minValue="0.6" maxValue="3.2"/>
    </cacheField>
    <cacheField name="All Scotland" numFmtId="0">
      <sharedItems containsSemiMixedTypes="0" containsString="0" containsNumber="1" minValue="0.8" maxValue="2.9"/>
    </cacheField>
  </cacheFields>
  <extLst>
    <ext xmlns:x14="http://schemas.microsoft.com/office/spreadsheetml/2009/9/main" uri="{725AE2AE-9491-48be-B2B4-4EB974FC3084}">
      <x14:pivotCacheDefinition/>
    </ext>
  </extLst>
</pivotCacheDefinition>
</file>

<file path=xl/pivotCache/pivotCacheDefinition2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16.408940856483" createdVersion="6" refreshedVersion="8" minRefreshableVersion="3" recordCount="681" xr:uid="{00000000-000A-0000-FFFF-FFFFC2000000}">
  <cacheSource type="worksheet">
    <worksheetSource name="hrod_HR_StaffSmallArea"/>
  </cacheSource>
  <cacheFields count="11">
    <cacheField name="Year" numFmtId="0">
      <sharedItems containsBlank="1" count="14">
        <s v="2024-25"/>
        <s v="2019-20"/>
        <s v="2020-21"/>
        <s v="2023-24"/>
        <s v="2025-26"/>
        <s v="2021-22"/>
        <s v="2022-23"/>
        <s v="2018-19"/>
        <s v="2014-15"/>
        <s v="2013-14"/>
        <s v="2015-16"/>
        <s v="2017-18"/>
        <m/>
        <s v="2016-17"/>
      </sharedItems>
    </cacheField>
    <cacheField name="ReportingLevel" numFmtId="0">
      <sharedItems containsBlank="1" count="6">
        <s v="2:LSO"/>
        <s v="1:LA"/>
        <s v="3:SDA"/>
        <s v="4:National"/>
        <m/>
        <s v="04:National" u="1"/>
      </sharedItems>
    </cacheField>
    <cacheField name="lvl" numFmtId="0">
      <sharedItems containsBlank="1" count="69">
        <s v="East Lothian, Midlothian and the Scottish Borders"/>
        <s v="North Lanarkshire"/>
        <s v="East Renfrewshire, Renfrewshire and Inverclyde"/>
        <s v="Midlothian"/>
        <s v="East Ayrshire"/>
        <s v="Inverclyde"/>
        <s v="Shetland Islands"/>
        <s v="West Dunbartonshire"/>
        <s v="Glasgow City"/>
        <s v="Dumfries and Galloway"/>
        <s v="East Lothian"/>
        <s v="Moray"/>
        <s v="North Ayrshire"/>
        <s v="Aberdeen City"/>
        <s v="South Ayrshire"/>
        <s v="Stirling, Clackmannanshire and Fife"/>
        <s v="Highlands"/>
        <s v="Clackmannanshire"/>
        <s v="Perth and Kinross"/>
        <s v="Aberdeenshire"/>
        <s v="East"/>
        <s v="Edinburgh City"/>
        <s v="Scottish Borders"/>
        <s v="Argyll and Bute"/>
        <s v="West Lothian"/>
        <s v="Na h-Eileanan Siar"/>
        <s v="Stirling"/>
        <s v="Scotland"/>
        <s v="Fife"/>
        <s v="North"/>
        <s v="East Dunbartonshire"/>
        <s v="Renfrewshire"/>
        <s v="East Ayrshire, North Ayrshire and South Ayrshire"/>
        <s v="Dundee City"/>
        <s v="South Lanarkshire"/>
        <s v="West"/>
        <s v="Western Isles, Orkney and Shetland Islands"/>
        <s v="Aberdeen City, Aberdeenshire and Moray"/>
        <s v="Falkirk"/>
        <s v="Falkirk and West Lothian"/>
        <s v="City of Edinburgh"/>
        <s v="Angus"/>
        <s v="Argyll and Bute, East Dunbartonshire and West Dunbartonshire"/>
        <s v="East Renfrewshire"/>
        <s v="Dundee, Angus, Perth and Kinross"/>
        <s v="Lanarkshire"/>
        <s v="Stirling and Clackmannanshire"/>
        <s v="Aberdeenshire and Moray"/>
        <s v="Orkney Islands"/>
        <m/>
        <s v="Highland"/>
        <s v="NULL" u="1"/>
        <s v="Inverness" u="1"/>
        <s v="Perth &amp; Kinross" u="1"/>
        <s v="City of Glasgow" u="1"/>
        <s v="Perth" u="1"/>
        <s v="East,North and South Ayrshire" u="1"/>
        <s v="Perth and Kinross, Dundee City and Angus" u="1"/>
        <s v="East Ayrshire, North Ayrshire &amp; South Ayrshire" u="1"/>
        <s v="Midlothian, East Lothian and Scottish Borders" u="1"/>
        <s v="Argyll and Bute, West Dunbartonshire and East Dunbartonshire" u="1"/>
        <s v="Dumfries and Gallowa" u="1"/>
        <s v="East, North and South Ayrshire" u="1"/>
        <s v="East Lothian, Midlothian and Scottish Borders" u="1"/>
        <s v="Dundee, Angus, Perth &amp; Kinross" u="1"/>
        <s v="Western Isles, Orkney and Shetland Isles" u="1"/>
        <s v="Argyll &amp; Bute" u="1"/>
        <s v="Dumfries &amp; Galloway" u="1"/>
        <s v="Orkney Islands, Shetland Islands and Na h-Eileanan" u="1"/>
      </sharedItems>
    </cacheField>
    <cacheField name="Code" numFmtId="0">
      <sharedItems containsBlank="1"/>
    </cacheField>
    <cacheField name="Total" numFmtId="0">
      <sharedItems containsString="0" containsBlank="1" containsNumber="1" containsInteger="1" minValue="0" maxValue="1194"/>
    </cacheField>
    <cacheField name="Control" numFmtId="0">
      <sharedItems containsString="0" containsBlank="1" containsNumber="1" containsInteger="1" minValue="0" maxValue="230"/>
    </cacheField>
    <cacheField name="RDS Fulltime" numFmtId="0">
      <sharedItems containsString="0" containsBlank="1" containsNumber="1" containsInteger="1" minValue="0" maxValue="14"/>
    </cacheField>
    <cacheField name="Retained Duty System" numFmtId="0">
      <sharedItems containsString="0" containsBlank="1" containsNumber="1" containsInteger="1" minValue="0" maxValue="564"/>
    </cacheField>
    <cacheField name="Support" numFmtId="0">
      <sharedItems containsString="0" containsBlank="1" containsNumber="1" containsInteger="1" minValue="0" maxValue="922"/>
    </cacheField>
    <cacheField name="Volunteer" numFmtId="0">
      <sharedItems containsString="0" containsBlank="1" containsNumber="1" containsInteger="1" minValue="0" maxValue="225"/>
    </cacheField>
    <cacheField name="Wholetime Operational" numFmtId="0">
      <sharedItems containsString="0" containsBlank="1" containsNumber="1" containsInteger="1" minValue="0" maxValue="560"/>
    </cacheField>
  </cacheFields>
  <extLst>
    <ext xmlns:x14="http://schemas.microsoft.com/office/spreadsheetml/2009/9/main" uri="{725AE2AE-9491-48be-B2B4-4EB974FC3084}">
      <x14:pivotCacheDefinition pivotCacheId="155"/>
    </ext>
  </extLst>
</pivotCacheDefinition>
</file>

<file path=xl/pivotCache/pivotCacheDefinition2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16.433264930558" createdVersion="6" refreshedVersion="8" minRefreshableVersion="3" recordCount="52" xr:uid="{00000000-000A-0000-FFFF-FFFFC8000000}">
  <cacheSource type="worksheet">
    <worksheetSource name="hrod_HR_Role_Area"/>
  </cacheSource>
  <cacheFields count="10">
    <cacheField name="Year" numFmtId="0">
      <sharedItems count="13">
        <s v="2013-14"/>
        <s v="2014-15"/>
        <s v="2016-17"/>
        <s v="2017-18"/>
        <s v="2018-19"/>
        <s v="2020-21"/>
        <s v="2015-16"/>
        <s v="2021-22"/>
        <s v="2022-23"/>
        <s v="2023-24"/>
        <s v="2024-25"/>
        <s v="2025-26"/>
        <s v="2019-20"/>
      </sharedItems>
    </cacheField>
    <cacheField name="ReportingLevel" numFmtId="0">
      <sharedItems containsBlank="1" count="5">
        <s v="2:LSO"/>
        <s v="1:LA"/>
        <s v="3:SDA"/>
        <s v="4:National"/>
        <m u="1"/>
      </sharedItems>
    </cacheField>
    <cacheField name="Brigade Manager" numFmtId="0">
      <sharedItems containsString="0" containsBlank="1" containsNumber="1" containsInteger="1" minValue="3" maxValue="7"/>
    </cacheField>
    <cacheField name="Area Manager" numFmtId="0">
      <sharedItems containsString="0" containsBlank="1" containsNumber="1" containsInteger="1" minValue="2" maxValue="18"/>
    </cacheField>
    <cacheField name="Group Manager" numFmtId="0">
      <sharedItems containsString="0" containsBlank="1" containsNumber="1" containsInteger="1" minValue="2" maxValue="69"/>
    </cacheField>
    <cacheField name="Station Manager" numFmtId="0">
      <sharedItems containsString="0" containsBlank="1" containsNumber="1" containsInteger="1" minValue="1" maxValue="119"/>
    </cacheField>
    <cacheField name="Watch Manager" numFmtId="0">
      <sharedItems containsSemiMixedTypes="0" containsString="0" containsNumber="1" containsInteger="1" minValue="7" maxValue="448"/>
    </cacheField>
    <cacheField name="Crew Manager" numFmtId="0">
      <sharedItems containsString="0" containsBlank="1" containsNumber="1" containsInteger="1" minValue="1" maxValue="608"/>
    </cacheField>
    <cacheField name="Firefighter" numFmtId="0">
      <sharedItems containsString="0" containsBlank="1" containsNumber="1" containsInteger="1" minValue="1" maxValue="2355"/>
    </cacheField>
    <cacheField name="Total" numFmtId="0">
      <sharedItems containsString="0" containsBlank="1" containsNumber="1" containsInteger="1" minValue="52" maxValue="2966"/>
    </cacheField>
  </cacheFields>
  <extLst>
    <ext xmlns:x14="http://schemas.microsoft.com/office/spreadsheetml/2009/9/main" uri="{725AE2AE-9491-48be-B2B4-4EB974FC3084}">
      <x14:pivotCacheDefinition pivotCacheId="136"/>
    </ext>
  </extLst>
</pivotCacheDefinition>
</file>

<file path=xl/pivotCache/pivotCacheDefinition2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16.433867129628" createdVersion="6" refreshedVersion="8" minRefreshableVersion="3" recordCount="662" xr:uid="{00000000-000A-0000-FFFF-FFFFBB000000}">
  <cacheSource type="worksheet">
    <worksheetSource name="hrod_HR_WT_RoleArea"/>
  </cacheSource>
  <cacheFields count="11">
    <cacheField name="Year" numFmtId="0">
      <sharedItems containsBlank="1" count="14">
        <s v="2013-14"/>
        <s v="2014-15"/>
        <s v="2015-16"/>
        <s v="2016-17"/>
        <s v="2017-18"/>
        <s v="2018-19"/>
        <s v="2019-20"/>
        <s v="2020-21"/>
        <s v="2021-22"/>
        <s v="2022-23"/>
        <s v="2023-24"/>
        <s v="2024-25"/>
        <s v="2025-26"/>
        <m u="1"/>
      </sharedItems>
    </cacheField>
    <cacheField name="ReportingLevel" numFmtId="0">
      <sharedItems containsBlank="1" count="5">
        <s v="1:LA"/>
        <s v="2:LSO"/>
        <s v="3:SDA"/>
        <s v="4:National"/>
        <m u="1"/>
      </sharedItems>
    </cacheField>
    <cacheField name="Code" numFmtId="0">
      <sharedItems containsBlank="1"/>
    </cacheField>
    <cacheField name="lvl" numFmtId="0">
      <sharedItems containsBlank="1" count="111">
        <s v="Clackmannanshire"/>
        <s v="Dumfries and Galloway"/>
        <s v="East Ayrshire"/>
        <s v="East Lothian"/>
        <s v="East Renfrewshire"/>
        <s v="Na h-Eileanan Siar"/>
        <s v="Falkirk"/>
        <s v="Highland"/>
        <s v="Inverclyde"/>
        <s v="Midlothian"/>
        <s v="Moray"/>
        <s v="North Ayrshire"/>
        <s v="Orkney Islands"/>
        <s v="Perth and Kinross"/>
        <s v="Scottish Borders"/>
        <s v="Shetland Islands"/>
        <s v="South Ayrshire"/>
        <s v="South Lanarkshire"/>
        <s v="Stirling"/>
        <s v="Aberdeen City"/>
        <s v="Aberdeenshire"/>
        <s v="Argyll and Bute"/>
        <s v="City of Edinburgh"/>
        <s v="Renfrewshire"/>
        <s v="West Dunbartonshire"/>
        <s v="West Lothian"/>
        <s v="Angus"/>
        <s v="Dundee City"/>
        <s v="North Lanarkshire"/>
        <s v="East Dunbartonshire"/>
        <s v="Glasgow City"/>
        <s v="Fife"/>
        <s v="Aberdeenshire and Moray"/>
        <s v="Argyll and Bute, East Dunbartonshire and West Dunbartonshire"/>
        <s v="East Ayrshire, North Ayrshire and South Ayrshire"/>
        <s v="East Lothian, Midlothian and the Scottish Borders"/>
        <s v="East Renfrewshire, Renfrewshire and Inverclyde"/>
        <s v="Edinburgh City"/>
        <s v="Falkirk and West Lothian"/>
        <s v="Highlands"/>
        <s v="Stirling and Clackmannanshire"/>
        <s v="Western Isles, Orkney and Shetland Islands"/>
        <s v="Dundee, Angus, Perth and Kinross"/>
        <s v="West"/>
        <s v="East"/>
        <s v="North"/>
        <s v="Scotland"/>
        <s v="Stirling, Clackmannanshire and Fife"/>
        <s v="Aberdeen City, Aberdeenshire and Moray"/>
        <s v="Lanarkshire"/>
        <m u="1"/>
        <s v="NULL" u="1"/>
        <s v="Argyll and Bute, West Dunbartonshire and East Dunbartonshire" u="1"/>
        <s v="Perth &amp; Kinross" u="1"/>
        <s v="S12000017" u="1"/>
        <s v="S12000045" u="1"/>
        <s v="Perth and Kinross, Dundee City and Angus" u="1"/>
        <s v="S12000026" u="1"/>
        <s v="S39000008" u="1"/>
        <s v="S12000010" u="1"/>
        <s v="S39000014" u="1"/>
        <s v="S12000029" u="1"/>
        <s v="Midlothian, East Lothian and Scottish Borders" u="1"/>
        <s v="S12000035" u="1"/>
        <s v="Dumfries and Gallowa" u="1"/>
        <s v="S39000017" u="1"/>
        <s v="East, North and South Ayrshire" u="1"/>
        <s v="S12000041" u="1"/>
        <s v="S12000038" u="1"/>
        <s v="S39000001" u="1"/>
        <s v="S40000005" u="1"/>
        <s v="S12000044" u="1"/>
        <s v="S39000004" u="1"/>
        <s v="S12000019" u="1"/>
        <s v="S12000047" u="1"/>
        <s v="S39000010" u="1"/>
        <s v="S39000007" u="1"/>
        <s v="S39000013" u="1"/>
        <s v="S12000028" u="1"/>
        <s v="S12000006" u="1"/>
        <s v="S12000034" u="1"/>
        <s v="S39000016" u="1"/>
        <s v="S12000040" u="1"/>
        <s v="S92000003" u="1"/>
        <s v="S39000019" u="1"/>
        <s v="S40000004" u="1"/>
        <s v="S12000021" u="1"/>
        <s v="S39000003" u="1"/>
        <s v="S12000018" u="1"/>
        <s v="Argyll &amp; Bute" u="1"/>
        <s v="S12000046" u="1"/>
        <s v="S12000024" u="1"/>
        <s v="S39000006" u="1"/>
        <s v="Dumfries &amp; Galloway" u="1"/>
        <s v="S12000030" u="1"/>
        <s v="S39000012" u="1"/>
        <s v="S12000005" u="1"/>
        <s v="S39000009" u="1"/>
        <s v="S12000033" u="1"/>
        <s v="S12000011" u="1"/>
        <s v="S39000015" u="1"/>
        <s v="S12000008" u="1"/>
        <s v="Orkney Islands, Shetland Islands and Na h-Eileanan" u="1"/>
        <s v="S12000036" u="1"/>
        <s v="S12000014" u="1"/>
        <s v="S39000018" u="1"/>
        <s v="S40000003" u="1"/>
        <s v="S12000042" u="1"/>
        <s v="S12000020" u="1"/>
        <s v="S12000039" u="1"/>
        <s v="S39000002" u="1"/>
      </sharedItems>
    </cacheField>
    <cacheField name="Area Manager" numFmtId="0">
      <sharedItems containsString="0" containsBlank="1" containsNumber="1" containsInteger="1" minValue="0" maxValue="18"/>
    </cacheField>
    <cacheField name="Brigade Manager" numFmtId="0">
      <sharedItems containsString="0" containsBlank="1" containsNumber="1" containsInteger="1" minValue="0" maxValue="7"/>
    </cacheField>
    <cacheField name="Crew Manager" numFmtId="0">
      <sharedItems containsString="0" containsBlank="1" containsNumber="1" containsInteger="1" minValue="0" maxValue="119"/>
    </cacheField>
    <cacheField name="Firefighter" numFmtId="0">
      <sharedItems containsString="0" containsBlank="1" containsNumber="1" containsInteger="1" minValue="0" maxValue="373"/>
    </cacheField>
    <cacheField name="Group Manager" numFmtId="0">
      <sharedItems containsString="0" containsBlank="1" containsNumber="1" containsInteger="1" minValue="0" maxValue="22"/>
    </cacheField>
    <cacheField name="Station Manager" numFmtId="0">
      <sharedItems containsString="0" containsBlank="1" containsNumber="1" containsInteger="1" minValue="0" maxValue="26"/>
    </cacheField>
    <cacheField name="Watch Manager" numFmtId="0">
      <sharedItems containsSemiMixedTypes="0" containsString="0" containsNumber="1" containsInteger="1" minValue="0" maxValue="93"/>
    </cacheField>
  </cacheFields>
  <extLst>
    <ext xmlns:x14="http://schemas.microsoft.com/office/spreadsheetml/2009/9/main" uri="{725AE2AE-9491-48be-B2B4-4EB974FC3084}">
      <x14:pivotCacheDefinition pivotCacheId="137"/>
    </ext>
  </extLst>
</pivotCacheDefinition>
</file>

<file path=xl/pivotCache/pivotCacheDefinition2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16.47132650463" createdVersion="6" refreshedVersion="8" minRefreshableVersion="3" recordCount="13" xr:uid="{00000000-000A-0000-FFFF-FFFFBC000000}">
  <cacheSource type="worksheet">
    <worksheetSource name="hrod_HR_CS_RoleArea_Control"/>
  </cacheSource>
  <cacheFields count="9">
    <cacheField name="Year" numFmtId="0">
      <sharedItems count="13">
        <s v="2013-14"/>
        <s v="2014-15"/>
        <s v="2015-16"/>
        <s v="2016-17"/>
        <s v="2017-18"/>
        <s v="2018-19"/>
        <s v="2019-20"/>
        <s v="2020-21"/>
        <s v="2021-22"/>
        <s v="2022-23"/>
        <s v="2023-24"/>
        <s v="2024-25"/>
        <s v="2025-26"/>
      </sharedItems>
    </cacheField>
    <cacheField name="Area" numFmtId="0">
      <sharedItems count="1">
        <s v="Scotland"/>
      </sharedItems>
    </cacheField>
    <cacheField name="GSS Code" numFmtId="0">
      <sharedItems/>
    </cacheField>
    <cacheField name="Area Manager" numFmtId="0">
      <sharedItems containsSemiMixedTypes="0" containsString="0" containsNumber="1" containsInteger="1" minValue="0" maxValue="1"/>
    </cacheField>
    <cacheField name="Group Manager" numFmtId="0">
      <sharedItems containsSemiMixedTypes="0" containsString="0" containsNumber="1" containsInteger="1" minValue="2" maxValue="52"/>
    </cacheField>
    <cacheField name="Station Manager" numFmtId="0">
      <sharedItems containsSemiMixedTypes="0" containsString="0" containsNumber="1" containsInteger="1" minValue="6" maxValue="110"/>
    </cacheField>
    <cacheField name="Watch Manager" numFmtId="0">
      <sharedItems containsSemiMixedTypes="0" containsString="0" containsNumber="1" containsInteger="1" minValue="5" maxValue="45"/>
    </cacheField>
    <cacheField name="Crew Manager" numFmtId="0">
      <sharedItems containsSemiMixedTypes="0" containsString="0" containsNumber="1" containsInteger="1" minValue="7" maxValue="42"/>
    </cacheField>
    <cacheField name="Control Operator" numFmtId="0">
      <sharedItems containsSemiMixedTypes="0" containsString="0" containsNumber="1" containsInteger="1" minValue="41" maxValue="124"/>
    </cacheField>
  </cacheFields>
  <extLst>
    <ext xmlns:x14="http://schemas.microsoft.com/office/spreadsheetml/2009/9/main" uri="{725AE2AE-9491-48be-B2B4-4EB974FC3084}">
      <x14:pivotCacheDefinition pivotCacheId="156"/>
    </ext>
  </extLst>
</pivotCacheDefinition>
</file>

<file path=xl/pivotCache/pivotCacheDefinition2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16.473033333335" createdVersion="6" refreshedVersion="8" minRefreshableVersion="3" recordCount="52" xr:uid="{00000000-000A-0000-FFFF-FFFFBE000000}">
  <cacheSource type="worksheet">
    <worksheetSource name="hrod_HR_CS_RoleArea_Support"/>
  </cacheSource>
  <cacheFields count="12">
    <cacheField name="Year" numFmtId="0">
      <sharedItems count="13">
        <s v="2013-14"/>
        <s v="2014-15"/>
        <s v="2015-16"/>
        <s v="2016-17"/>
        <s v="2017-18"/>
        <s v="2018-19"/>
        <s v="2019-20"/>
        <s v="2020-21"/>
        <s v="2021-22"/>
        <s v="2022-23"/>
        <s v="2023-24"/>
        <s v="2024-25"/>
        <s v="2025-26"/>
      </sharedItems>
    </cacheField>
    <cacheField name="ReportingLevel" numFmtId="0">
      <sharedItems count="2">
        <s v="4:National"/>
        <s v="3:SDA"/>
      </sharedItems>
    </cacheField>
    <cacheField name="Code" numFmtId="0">
      <sharedItems containsBlank="1"/>
    </cacheField>
    <cacheField name="lvl" numFmtId="0">
      <sharedItems count="5">
        <s v="Scotland"/>
        <s v="West"/>
        <s v="East"/>
        <s v="North"/>
        <s v="NULL" u="1"/>
      </sharedItems>
    </cacheField>
    <cacheField name="Total" numFmtId="0">
      <sharedItems containsSemiMixedTypes="0" containsString="0" containsNumber="1" containsInteger="1" minValue="0" maxValue="922"/>
    </cacheField>
    <cacheField name="Director" numFmtId="0">
      <sharedItems containsString="0" containsBlank="1" containsNumber="1" containsInteger="1" minValue="2" maxValue="4"/>
    </cacheField>
    <cacheField name="Service Manager" numFmtId="0">
      <sharedItems containsSemiMixedTypes="0" containsString="0" containsNumber="1" containsInteger="1" minValue="0" maxValue="101"/>
    </cacheField>
    <cacheField name="Team Leader" numFmtId="0">
      <sharedItems containsSemiMixedTypes="0" containsString="0" containsNumber="1" containsInteger="1" minValue="0" maxValue="45"/>
    </cacheField>
    <cacheField name="Professional" numFmtId="0">
      <sharedItems containsSemiMixedTypes="0" containsString="0" containsNumber="1" containsInteger="1" minValue="0" maxValue="104"/>
    </cacheField>
    <cacheField name="Specialist Technical" numFmtId="0">
      <sharedItems containsSemiMixedTypes="0" containsString="0" containsNumber="1" containsInteger="1" minValue="0" maxValue="484"/>
    </cacheField>
    <cacheField name="Tech Support" numFmtId="0">
      <sharedItems containsSemiMixedTypes="0" containsString="0" containsNumber="1" containsInteger="1" minValue="0" maxValue="149"/>
    </cacheField>
    <cacheField name="Administration" numFmtId="0">
      <sharedItems containsSemiMixedTypes="0" containsString="0" containsNumber="1" containsInteger="1" minValue="0" maxValue="193"/>
    </cacheField>
  </cacheFields>
  <extLst>
    <ext xmlns:x14="http://schemas.microsoft.com/office/spreadsheetml/2009/9/main" uri="{725AE2AE-9491-48be-B2B4-4EB974FC3084}">
      <x14:pivotCacheDefinition pivotCacheId="147"/>
    </ext>
  </extLst>
</pivotCacheDefinition>
</file>

<file path=xl/pivotCache/pivotCacheDefinition2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16.47350659722" createdVersion="6" refreshedVersion="8" minRefreshableVersion="3" recordCount="187" xr:uid="{00000000-000A-0000-FFFF-FFFFBF000000}">
  <cacheSource type="worksheet">
    <worksheetSource name="hrod_HR_Vol_RoleArea"/>
  </cacheSource>
  <cacheFields count="8">
    <cacheField name="Year" numFmtId="0">
      <sharedItems containsBlank="1" count="14">
        <s v="2013-14"/>
        <s v="2014-15"/>
        <s v="2015-16"/>
        <s v="2016-17"/>
        <s v="2017-18"/>
        <s v="2018-19"/>
        <s v="2019-20"/>
        <s v="2020-21"/>
        <s v="2021-22"/>
        <s v="2022-23"/>
        <s v="2023-24"/>
        <s v="2024-25"/>
        <s v="2025-26"/>
        <m u="1"/>
      </sharedItems>
    </cacheField>
    <cacheField name="ReportingLevel" numFmtId="0">
      <sharedItems containsBlank="1" count="2">
        <s v="1:LA"/>
        <m u="1"/>
      </sharedItems>
    </cacheField>
    <cacheField name="Code" numFmtId="0">
      <sharedItems containsBlank="1"/>
    </cacheField>
    <cacheField name="lvl" numFmtId="0">
      <sharedItems containsBlank="1" count="36">
        <s v="Clackmannanshire"/>
        <s v="Dumfries and Galloway"/>
        <s v="East Ayrshire"/>
        <s v="East Lothian"/>
        <s v="East Renfrewshire"/>
        <s v="Na h-Eileanan Siar"/>
        <s v="Falkirk"/>
        <s v="Highland"/>
        <s v="Inverclyde"/>
        <s v="Midlothian"/>
        <s v="Moray"/>
        <s v="North Ayrshire"/>
        <s v="Orkney Islands"/>
        <s v="Perth and Kinross"/>
        <s v="Scottish Borders"/>
        <s v="Shetland Islands"/>
        <s v="South Ayrshire"/>
        <s v="South Lanarkshire"/>
        <s v="Stirling"/>
        <s v="Aberdeen City"/>
        <s v="Aberdeenshire"/>
        <s v="Argyll and Bute"/>
        <s v="City of Edinburgh"/>
        <s v="Renfrewshire"/>
        <s v="West Dunbartonshire"/>
        <s v="West Lothian"/>
        <s v="Angus"/>
        <s v="Dundee City"/>
        <s v="North Lanarkshire"/>
        <s v="East Dunbartonshire"/>
        <s v="Glasgow City"/>
        <s v="Fife"/>
        <m u="1"/>
        <s v="Dumfries and Gallowa" u="1"/>
        <s v="Argyll &amp; Bute" u="1"/>
        <s v="NULL" u="1"/>
      </sharedItems>
    </cacheField>
    <cacheField name="Total" numFmtId="0">
      <sharedItems containsSemiMixedTypes="0" containsString="0" containsNumber="1" containsInteger="1" minValue="0" maxValue="225"/>
    </cacheField>
    <cacheField name="Watch Manager" numFmtId="0">
      <sharedItems containsString="0" containsBlank="1" containsNumber="1" containsInteger="1" minValue="0" maxValue="25"/>
    </cacheField>
    <cacheField name="Crew Manager" numFmtId="0">
      <sharedItems containsString="0" containsBlank="1" containsNumber="1" containsInteger="1" minValue="0" maxValue="47"/>
    </cacheField>
    <cacheField name="Firefighter" numFmtId="0">
      <sharedItems containsSemiMixedTypes="0" containsString="0" containsNumber="1" containsInteger="1" minValue="0" maxValue="180"/>
    </cacheField>
  </cacheFields>
  <extLst>
    <ext xmlns:x14="http://schemas.microsoft.com/office/spreadsheetml/2009/9/main" uri="{725AE2AE-9491-48be-B2B4-4EB974FC3084}">
      <x14:pivotCacheDefinition pivotCacheId="140"/>
    </ext>
  </extLst>
</pivotCacheDefinition>
</file>

<file path=xl/pivotCache/pivotCacheDefinition2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16.477211111109" createdVersion="6" refreshedVersion="8" minRefreshableVersion="3" recordCount="663" xr:uid="{00000000-000A-0000-FFFF-FFFFC5000000}">
  <cacheSource type="worksheet">
    <worksheetSource name="hrod_HR_WT_FTE_RoleArea"/>
  </cacheSource>
  <cacheFields count="12">
    <cacheField name="Year" numFmtId="0">
      <sharedItems containsBlank="1" count="14">
        <s v="2013-14"/>
        <s v="2014-15"/>
        <s v="2015-16"/>
        <s v="2016-17"/>
        <s v="2017-18"/>
        <s v="2018-19"/>
        <s v="2019-20"/>
        <s v="2020-21"/>
        <s v="2021-22"/>
        <s v="2022-23"/>
        <s v="2023-24"/>
        <s v="2024-25"/>
        <s v="2025-26"/>
        <m u="1"/>
      </sharedItems>
    </cacheField>
    <cacheField name="ReportingLevel" numFmtId="0">
      <sharedItems containsBlank="1" count="7">
        <s v="1:LA"/>
        <s v="2:LSO"/>
        <s v="3:SDA"/>
        <s v="4:National"/>
        <s v="Total"/>
        <s v="4:SDA" u="1"/>
        <m u="1"/>
      </sharedItems>
    </cacheField>
    <cacheField name="Code" numFmtId="0">
      <sharedItems containsBlank="1"/>
    </cacheField>
    <cacheField name="lvl" numFmtId="0">
      <sharedItems containsBlank="1" count="61">
        <s v="Clackmannanshire"/>
        <s v="Dumfries and Galloway"/>
        <s v="East Ayrshire"/>
        <s v="East Lothian"/>
        <s v="East Renfrewshire"/>
        <s v="Na h-Eileanan Siar"/>
        <s v="Falkirk"/>
        <s v="Highland"/>
        <s v="Inverclyde"/>
        <s v="Midlothian"/>
        <s v="Moray"/>
        <s v="North Ayrshire"/>
        <s v="Orkney Islands"/>
        <s v="Perth and Kinross"/>
        <s v="Scottish Borders"/>
        <s v="Shetland Islands"/>
        <s v="South Ayrshire"/>
        <s v="South Lanarkshire"/>
        <s v="Stirling"/>
        <s v="Aberdeen City"/>
        <s v="Aberdeenshire"/>
        <s v="Argyll and Bute"/>
        <s v="City of Edinburgh"/>
        <s v="Renfrewshire"/>
        <s v="West Dunbartonshire"/>
        <s v="West Lothian"/>
        <s v="Angus"/>
        <s v="Dundee City"/>
        <s v="North Lanarkshire"/>
        <s v="East Dunbartonshire"/>
        <s v="Glasgow City"/>
        <s v="Fife"/>
        <s v="Aberdeenshire and Moray"/>
        <s v="Argyll and Bute, East Dunbartonshire and West Dunbartonshire"/>
        <s v="East Ayrshire, North Ayrshire and South Ayrshire"/>
        <s v="East Lothian, Midlothian and the Scottish Borders"/>
        <s v="East Renfrewshire, Renfrewshire and Inverclyde"/>
        <s v="Edinburgh City"/>
        <s v="Falkirk and West Lothian"/>
        <s v="Highlands"/>
        <s v="Stirling and Clackmannanshire"/>
        <s v="Western Isles, Orkney and Shetland Islands"/>
        <s v="Dundee, Angus, Perth and Kinross"/>
        <s v="West"/>
        <s v="East"/>
        <s v="North"/>
        <s v="Scotland"/>
        <s v="Stirling, Clackmannanshire and Fife"/>
        <s v="Aberdeen City, Aberdeenshire and Moray"/>
        <s v="Lanarkshire"/>
        <s v="ALL" u="1"/>
        <m u="1"/>
        <s v="Argyll and Bute, West Dunbartonshire and East Dunbartonshire" u="1"/>
        <s v="Perth and Kinross, Dundee City and Angus" u="1"/>
        <s v="Midlothian, East Lothian and Scottish Borders" u="1"/>
        <s v="Dumfries and Gallowa" u="1"/>
        <s v="East, North and South Ayrshire" u="1"/>
        <s v="Argyll &amp; Bute" u="1"/>
        <s v="Dumfries &amp; Galloway" u="1"/>
        <s v="Orkney Islands, Shetland Islands and Na h-Eileanan" u="1"/>
        <s v="NULL" u="1"/>
      </sharedItems>
    </cacheField>
    <cacheField name="Total" numFmtId="0">
      <sharedItems containsString="0" containsBlank="1" containsNumber="1" minValue="0" maxValue="4000.76"/>
    </cacheField>
    <cacheField name="Area Manager" numFmtId="0">
      <sharedItems containsString="0" containsBlank="1" containsNumber="1" containsInteger="1" minValue="0" maxValue="35"/>
    </cacheField>
    <cacheField name="Brigade Manager" numFmtId="0">
      <sharedItems containsString="0" containsBlank="1" containsNumber="1" containsInteger="1" minValue="0" maxValue="10"/>
    </cacheField>
    <cacheField name="Crew Manager" numFmtId="0">
      <sharedItems containsString="0" containsBlank="1" containsNumber="1" minValue="0" maxValue="689"/>
    </cacheField>
    <cacheField name="Firefighter" numFmtId="0">
      <sharedItems containsString="0" containsBlank="1" containsNumber="1" minValue="0" maxValue="2373.7600000000002"/>
    </cacheField>
    <cacheField name="Group Manager" numFmtId="0">
      <sharedItems containsString="0" containsBlank="1" containsNumber="1" containsInteger="1" minValue="0" maxValue="115"/>
    </cacheField>
    <cacheField name="Station Manager" numFmtId="0">
      <sharedItems containsString="0" containsBlank="1" containsNumber="1" containsInteger="1" minValue="0" maxValue="153"/>
    </cacheField>
    <cacheField name="Watch Manager" numFmtId="0">
      <sharedItems containsString="0" containsBlank="1" containsNumber="1" minValue="0" maxValue="679"/>
    </cacheField>
  </cacheFields>
  <extLst>
    <ext xmlns:x14="http://schemas.microsoft.com/office/spreadsheetml/2009/9/main" uri="{725AE2AE-9491-48be-B2B4-4EB974FC3084}">
      <x14:pivotCacheDefinition pivotCacheId="141"/>
    </ext>
  </extLst>
</pivotCacheDefinition>
</file>

<file path=xl/pivotCache/pivotCacheDefinition2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16.516377662039" createdVersion="6" refreshedVersion="8" minRefreshableVersion="3" recordCount="13" xr:uid="{00000000-000A-0000-FFFF-FFFFC7000000}">
  <cacheSource type="worksheet">
    <worksheetSource name="hrod_HR_CS_FTE_RoleArea_Control"/>
  </cacheSource>
  <cacheFields count="11">
    <cacheField name="Year" numFmtId="0">
      <sharedItems count="13">
        <s v="2013-14"/>
        <s v="2014-15"/>
        <s v="2015-16"/>
        <s v="2016-17"/>
        <s v="2017-18"/>
        <s v="2018-19"/>
        <s v="2019-20"/>
        <s v="2020-21"/>
        <s v="2021-22"/>
        <s v="2022-23"/>
        <s v="2023-24"/>
        <s v="2024-25"/>
        <s v="2025-26"/>
      </sharedItems>
    </cacheField>
    <cacheField name="ReportingLevel" numFmtId="0">
      <sharedItems count="2">
        <s v="4:National"/>
        <s v="3:SDA" u="1"/>
      </sharedItems>
    </cacheField>
    <cacheField name="lvl" numFmtId="0">
      <sharedItems/>
    </cacheField>
    <cacheField name="Code" numFmtId="0">
      <sharedItems/>
    </cacheField>
    <cacheField name="Total" numFmtId="0">
      <sharedItems containsString="0" containsBlank="1" containsNumber="1" minValue="160" maxValue="220.79"/>
    </cacheField>
    <cacheField name="Area Manager" numFmtId="0">
      <sharedItems containsString="0" containsBlank="1" containsNumber="1" containsInteger="1" minValue="0" maxValue="1"/>
    </cacheField>
    <cacheField name="Group Manager" numFmtId="0">
      <sharedItems containsSemiMixedTypes="0" containsString="0" containsNumber="1" containsInteger="1" minValue="2" maxValue="6"/>
    </cacheField>
    <cacheField name="Station Manager" numFmtId="0">
      <sharedItems containsSemiMixedTypes="0" containsString="0" containsNumber="1" minValue="6" maxValue="12.85"/>
    </cacheField>
    <cacheField name="Watch Manager" numFmtId="0">
      <sharedItems containsSemiMixedTypes="0" containsString="0" containsNumber="1" minValue="24" maxValue="51.56"/>
    </cacheField>
    <cacheField name="Crew Manager" numFmtId="0">
      <sharedItems containsSemiMixedTypes="0" containsString="0" containsNumber="1" minValue="25.79" maxValue="51.01"/>
    </cacheField>
    <cacheField name="Control Operator" numFmtId="0">
      <sharedItems containsSemiMixedTypes="0" containsString="0" containsNumber="1" minValue="76" maxValue="119.33"/>
    </cacheField>
  </cacheFields>
  <extLst>
    <ext xmlns:x14="http://schemas.microsoft.com/office/spreadsheetml/2009/9/main" uri="{725AE2AE-9491-48be-B2B4-4EB974FC3084}">
      <x14:pivotCacheDefinition pivotCacheId="143"/>
    </ext>
  </extLst>
</pivotCacheDefinition>
</file>

<file path=xl/pivotCache/pivotCacheDefinition2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16.516398148146" createdVersion="6" refreshedVersion="8" minRefreshableVersion="3" recordCount="13" xr:uid="{00000000-000A-0000-FFFF-FFFFC4000000}">
  <cacheSource type="worksheet">
    <worksheetSource name="hrod_HR_CS_FTE_RoleArea_Support"/>
  </cacheSource>
  <cacheFields count="12">
    <cacheField name="Year" numFmtId="0">
      <sharedItems count="13">
        <s v="2013-14"/>
        <s v="2014-15"/>
        <s v="2015-16"/>
        <s v="2016-17"/>
        <s v="2017-18"/>
        <s v="2018-19"/>
        <s v="2019-20"/>
        <s v="2020-21"/>
        <s v="2021-22"/>
        <s v="2022-23"/>
        <s v="2023-24"/>
        <s v="2024-25"/>
        <s v="2025-26"/>
      </sharedItems>
    </cacheField>
    <cacheField name="Code" numFmtId="0">
      <sharedItems/>
    </cacheField>
    <cacheField name="ReportingLevel" numFmtId="0">
      <sharedItems count="4">
        <s v="4:National"/>
        <s v="Total" u="1"/>
        <s v="04:National" u="1"/>
        <s v="3:SDA" u="1"/>
      </sharedItems>
    </cacheField>
    <cacheField name="lvl" numFmtId="0">
      <sharedItems/>
    </cacheField>
    <cacheField name="Director" numFmtId="0">
      <sharedItems containsString="0" containsBlank="1" containsNumber="1" containsInteger="1" minValue="2" maxValue="4"/>
    </cacheField>
    <cacheField name="Service Manager" numFmtId="0">
      <sharedItems containsSemiMixedTypes="0" containsString="0" containsNumber="1" minValue="40" maxValue="99.97"/>
    </cacheField>
    <cacheField name="Team Leader" numFmtId="0">
      <sharedItems containsSemiMixedTypes="0" containsString="0" containsNumber="1" minValue="19.8" maxValue="44.69"/>
    </cacheField>
    <cacheField name="Professional" numFmtId="0">
      <sharedItems containsSemiMixedTypes="0" containsString="0" containsNumber="1" minValue="42.3" maxValue="100.35"/>
    </cacheField>
    <cacheField name="Specialist Technical" numFmtId="0">
      <sharedItems containsSemiMixedTypes="0" containsString="0" containsNumber="1" minValue="256.40000000000003" maxValue="449.55000000000018"/>
    </cacheField>
    <cacheField name="Tech Support" numFmtId="0">
      <sharedItems containsSemiMixedTypes="0" containsString="0" containsNumber="1" minValue="53.880000000000038" maxValue="199.5"/>
    </cacheField>
    <cacheField name="Administration" numFmtId="0">
      <sharedItems containsSemiMixedTypes="0" containsString="0" containsNumber="1" minValue="116.98999999999998" maxValue="223.6"/>
    </cacheField>
    <cacheField name="Total" numFmtId="0">
      <sharedItems containsSemiMixedTypes="0" containsString="0" containsNumber="1" minValue="718.56228571428574" maxValue="862.46000000000026"/>
    </cacheField>
  </cacheFields>
  <extLst>
    <ext xmlns:x14="http://schemas.microsoft.com/office/spreadsheetml/2009/9/main" uri="{725AE2AE-9491-48be-B2B4-4EB974FC3084}">
      <x14:pivotCacheDefinition pivotCacheId="157"/>
    </ext>
  </extLst>
</pivotCacheDefinition>
</file>

<file path=xl/pivotCache/pivotCacheDefinition3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16.518960532405" createdVersion="8" refreshedVersion="8" minRefreshableVersion="3" recordCount="16" xr:uid="{AD8A7151-81E9-4F92-81C3-53CE0E8FFB89}">
  <cacheSource type="worksheet">
    <worksheetSource name="hrod_HR_Gender_Timeseries_1"/>
  </cacheSource>
  <cacheFields count="13">
    <cacheField name="Year" numFmtId="0">
      <sharedItems count="16">
        <s v="2010-11"/>
        <s v="2017-18"/>
        <s v="2013-14"/>
        <s v="2014-15"/>
        <s v="2015-16"/>
        <s v="2016-17"/>
        <s v="2023-24"/>
        <s v="2025-26"/>
        <s v="2018-19"/>
        <s v="2019-20"/>
        <s v="2011-12"/>
        <s v="2020-21"/>
        <s v="2024-25"/>
        <s v="2012-13"/>
        <s v="2021-22"/>
        <s v="2022-23"/>
      </sharedItems>
    </cacheField>
    <cacheField name="WTFemale" numFmtId="0">
      <sharedItems containsSemiMixedTypes="0" containsString="0" containsNumber="1" containsInteger="1" minValue="146" maxValue="229"/>
    </cacheField>
    <cacheField name="WTMale" numFmtId="0">
      <sharedItems containsSemiMixedTypes="0" containsString="0" containsNumber="1" containsInteger="1" minValue="3202" maxValue="4055"/>
    </cacheField>
    <cacheField name="RDSFemale" numFmtId="0">
      <sharedItems containsSemiMixedTypes="0" containsString="0" containsNumber="1" containsInteger="1" minValue="158" maxValue="208"/>
    </cacheField>
    <cacheField name="RDSMale" numFmtId="0">
      <sharedItems containsSemiMixedTypes="0" containsString="0" containsNumber="1" containsInteger="1" minValue="2502" maxValue="2903"/>
    </cacheField>
    <cacheField name="RDS FulltimeFemale" numFmtId="0">
      <sharedItems containsString="0" containsBlank="1" containsNumber="1" containsInteger="1" minValue="1" maxValue="11"/>
    </cacheField>
    <cacheField name="RDS FulltimeMale" numFmtId="0">
      <sharedItems containsString="0" containsBlank="1" containsNumber="1" containsInteger="1" minValue="17" maxValue="53"/>
    </cacheField>
    <cacheField name="ControlFemale" numFmtId="0">
      <sharedItems containsSemiMixedTypes="0" containsString="0" containsNumber="1" containsInteger="1" minValue="136" maxValue="203"/>
    </cacheField>
    <cacheField name="ControlMale" numFmtId="0">
      <sharedItems containsSemiMixedTypes="0" containsString="0" containsNumber="1" containsInteger="1" minValue="24" maxValue="41"/>
    </cacheField>
    <cacheField name="SupportFemale" numFmtId="0">
      <sharedItems containsSemiMixedTypes="0" containsString="0" containsNumber="1" containsInteger="1" minValue="427" maxValue="650"/>
    </cacheField>
    <cacheField name="SupportMale" numFmtId="0">
      <sharedItems containsSemiMixedTypes="0" containsString="0" containsNumber="1" containsInteger="1" minValue="365" maxValue="487"/>
    </cacheField>
    <cacheField name="VolFemale" numFmtId="0">
      <sharedItems containsSemiMixedTypes="0" containsString="0" containsNumber="1" containsInteger="1" minValue="38" maxValue="63"/>
    </cacheField>
    <cacheField name="VolMale" numFmtId="0">
      <sharedItems containsSemiMixedTypes="0" containsString="0" containsNumber="1" containsInteger="1" minValue="214" maxValue="400"/>
    </cacheField>
  </cacheFields>
  <extLst>
    <ext xmlns:x14="http://schemas.microsoft.com/office/spreadsheetml/2009/9/main" uri="{725AE2AE-9491-48be-B2B4-4EB974FC3084}">
      <x14:pivotCacheDefinition/>
    </ext>
  </extLst>
</pivotCacheDefinition>
</file>

<file path=xl/pivotCache/pivotCacheDefinition3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16.550760185186" createdVersion="6" refreshedVersion="8" minRefreshableVersion="3" recordCount="73" xr:uid="{00000000-000A-0000-FFFF-FFFFC0000000}">
  <cacheSource type="worksheet">
    <worksheetSource name="hrod_HR_Gender"/>
  </cacheSource>
  <cacheFields count="5">
    <cacheField name="Year" numFmtId="0">
      <sharedItems count="13">
        <s v="2013-14"/>
        <s v="2014-15"/>
        <s v="2016-17"/>
        <s v="2018-19"/>
        <s v="2021-22"/>
        <s v="2022-23"/>
        <s v="2024-25"/>
        <s v="2025-26"/>
        <s v="2015-16"/>
        <s v="2020-21"/>
        <s v="2019-20"/>
        <s v="2023-24"/>
        <s v="2017-18"/>
      </sharedItems>
    </cacheField>
    <cacheField name="Type" numFmtId="0">
      <sharedItems count="6">
        <s v="Vol"/>
        <s v="WT"/>
        <s v="RDS"/>
        <s v="Support"/>
        <s v="Control"/>
        <s v="RDS Fulltime"/>
      </sharedItems>
    </cacheField>
    <cacheField name="Total" numFmtId="0">
      <sharedItems containsSemiMixedTypes="0" containsString="0" containsNumber="1" containsInteger="1" minValue="18" maxValue="4001"/>
    </cacheField>
    <cacheField name="Female" numFmtId="0">
      <sharedItems containsSemiMixedTypes="0" containsString="0" containsNumber="1" containsInteger="1" minValue="1" maxValue="545"/>
    </cacheField>
    <cacheField name="Male" numFmtId="0">
      <sharedItems containsSemiMixedTypes="0" containsString="0" containsNumber="1" containsInteger="1" minValue="17" maxValue="3842"/>
    </cacheField>
  </cacheFields>
  <extLst>
    <ext xmlns:x14="http://schemas.microsoft.com/office/spreadsheetml/2009/9/main" uri="{725AE2AE-9491-48be-B2B4-4EB974FC3084}">
      <x14:pivotCacheDefinition pivotCacheId="144"/>
    </ext>
  </extLst>
</pivotCacheDefinition>
</file>

<file path=xl/pivotCache/pivotCacheDefinition3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16.572345486115" createdVersion="6" refreshedVersion="8" minRefreshableVersion="3" recordCount="81" xr:uid="{00000000-000A-0000-FFFF-FFFFAA000000}">
  <cacheSource type="worksheet">
    <worksheetSource name="hrod_HR_Service"/>
  </cacheSource>
  <cacheFields count="7">
    <cacheField name="Year" numFmtId="0">
      <sharedItems count="9">
        <s v="2019-20"/>
        <s v="2020-21"/>
        <s v="2023-24"/>
        <s v="2025-26"/>
        <s v="2017-18"/>
        <s v="2018-19"/>
        <s v="2022-23"/>
        <s v="2024-25"/>
        <s v="2021-22"/>
      </sharedItems>
    </cacheField>
    <cacheField name="Service Length (Years)" numFmtId="0">
      <sharedItems count="11">
        <s v="10-14"/>
        <s v="5-9"/>
        <s v="Over 40"/>
        <s v="30-34"/>
        <s v="Under 5"/>
        <s v="35-39"/>
        <s v="20-24"/>
        <s v="25-29"/>
        <s v="15-19"/>
        <s v="&gt;40" u="1"/>
        <s v="&lt;5" u="1"/>
      </sharedItems>
    </cacheField>
    <cacheField name="Wholetime Operational" numFmtId="0">
      <sharedItems containsSemiMixedTypes="0" containsString="0" containsNumber="1" containsInteger="1" minValue="1" maxValue="879"/>
    </cacheField>
    <cacheField name="Retained Duty System" numFmtId="0">
      <sharedItems containsSemiMixedTypes="0" containsString="0" containsNumber="1" containsInteger="1" minValue="22" maxValue="827"/>
    </cacheField>
    <cacheField name="Retained Full-time" numFmtId="0">
      <sharedItems containsString="0" containsBlank="1" containsNumber="1" containsInteger="1" minValue="1" maxValue="16"/>
    </cacheField>
    <cacheField name="Control" numFmtId="0">
      <sharedItems containsString="0" containsBlank="1" containsNumber="1" containsInteger="1" minValue="3" maxValue="62"/>
    </cacheField>
    <cacheField name="Volunteer" numFmtId="0">
      <sharedItems containsSemiMixedTypes="0" containsString="0" containsNumber="1" containsInteger="1" minValue="1" maxValue="97"/>
    </cacheField>
  </cacheFields>
  <extLst>
    <ext xmlns:x14="http://schemas.microsoft.com/office/spreadsheetml/2009/9/main" uri="{725AE2AE-9491-48be-B2B4-4EB974FC3084}">
      <x14:pivotCacheDefinition pivotCacheId="130"/>
    </ext>
  </extLst>
</pivotCacheDefinition>
</file>

<file path=xl/pivotCache/pivotCacheDefinition3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16.584151620373" createdVersion="8" refreshedVersion="8" minRefreshableVersion="3" recordCount="62" xr:uid="{8906A88F-6C3D-497D-8C73-EF162421EEA0}">
  <cacheSource type="worksheet">
    <worksheetSource name="hrod_HR_Leavers__2"/>
  </cacheSource>
  <cacheFields count="9">
    <cacheField name="Year" numFmtId="0">
      <sharedItems count="8">
        <s v="2018-19"/>
        <s v="2019-20"/>
        <s v="2020-21"/>
        <s v="2021-22"/>
        <s v="2022-23"/>
        <s v="2023-24"/>
        <s v="2024-25"/>
        <s v="2025-26"/>
      </sharedItems>
    </cacheField>
    <cacheField name="Reason for Leaving" numFmtId="0">
      <sharedItems count="12">
        <s v="Dismissal"/>
        <s v="End of contract"/>
        <s v="Other"/>
        <s v="Resignation"/>
        <s v="Retirement - 30 Years Service"/>
        <s v="Retirement - Age"/>
        <s v="Retirement - Early"/>
        <s v="Retirement - Health"/>
        <s v="Transfer - To another F&amp;R Service"/>
        <s v="TUPE Transfer"/>
        <s v="Voluntary Severance"/>
        <s v="Redundancy"/>
      </sharedItems>
    </cacheField>
    <cacheField name="Wholetime Operational" numFmtId="0">
      <sharedItems containsSemiMixedTypes="0" containsString="0" containsNumber="1" containsInteger="1" minValue="0" maxValue="289"/>
    </cacheField>
    <cacheField name="Retained Duty System" numFmtId="0">
      <sharedItems containsSemiMixedTypes="0" containsString="0" containsNumber="1" containsInteger="1" minValue="0" maxValue="175"/>
    </cacheField>
    <cacheField name="Retained Full-time" numFmtId="0">
      <sharedItems containsSemiMixedTypes="0" containsString="0" containsNumber="1" containsInteger="1" minValue="0" maxValue="2"/>
    </cacheField>
    <cacheField name="Control" numFmtId="0">
      <sharedItems containsSemiMixedTypes="0" containsString="0" containsNumber="1" containsInteger="1" minValue="0" maxValue="18"/>
    </cacheField>
    <cacheField name="Support" numFmtId="0">
      <sharedItems containsSemiMixedTypes="0" containsString="0" containsNumber="1" containsInteger="1" minValue="0" maxValue="67"/>
    </cacheField>
    <cacheField name="Volunteers" numFmtId="0">
      <sharedItems containsSemiMixedTypes="0" containsString="0" containsNumber="1" containsInteger="1" minValue="0" maxValue="32"/>
    </cacheField>
    <cacheField name="Total" numFmtId="0">
      <sharedItems containsSemiMixedTypes="0" containsString="0" containsNumber="1" containsInteger="1" minValue="1" maxValue="372"/>
    </cacheField>
  </cacheFields>
  <extLst>
    <ext xmlns:x14="http://schemas.microsoft.com/office/spreadsheetml/2009/9/main" uri="{725AE2AE-9491-48be-B2B4-4EB974FC3084}">
      <x14:pivotCacheDefinition pivotCacheId="1456221594"/>
    </ext>
  </extLst>
</pivotCacheDefinition>
</file>

<file path=xl/pivotCache/pivotCacheDefinition3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16.585141550924" createdVersion="6" refreshedVersion="8" minRefreshableVersion="3" recordCount="16" xr:uid="{00000000-000A-0000-FFFF-FFFFB3000000}">
  <cacheSource type="worksheet">
    <worksheetSource name="hrod_HR_Entrants_Gender"/>
  </cacheSource>
  <cacheFields count="8">
    <cacheField name="Year" numFmtId="0">
      <sharedItems count="8">
        <s v="2018-19"/>
        <s v="2019-20"/>
        <s v="2020-21"/>
        <s v="2021-22"/>
        <s v="2022-23"/>
        <s v="2023-24"/>
        <s v="2024-25"/>
        <s v="2025-26"/>
      </sharedItems>
    </cacheField>
    <cacheField name="Gender" numFmtId="0">
      <sharedItems count="2">
        <s v="Female"/>
        <s v="Male"/>
      </sharedItems>
    </cacheField>
    <cacheField name="Wholetime Operational" numFmtId="0">
      <sharedItems containsSemiMixedTypes="0" containsString="0" containsNumber="1" containsInteger="1" minValue="3" maxValue="212"/>
    </cacheField>
    <cacheField name="Retained Duty System" numFmtId="0">
      <sharedItems containsSemiMixedTypes="0" containsString="0" containsNumber="1" containsInteger="1" minValue="7" maxValue="222"/>
    </cacheField>
    <cacheField name="Control" numFmtId="0">
      <sharedItems containsSemiMixedTypes="0" containsString="0" containsNumber="1" containsInteger="1" minValue="0" maxValue="24"/>
    </cacheField>
    <cacheField name="Support" numFmtId="0">
      <sharedItems containsSemiMixedTypes="0" containsString="0" containsNumber="1" containsInteger="1" minValue="22" maxValue="69"/>
    </cacheField>
    <cacheField name="Volunteers" numFmtId="0">
      <sharedItems containsSemiMixedTypes="0" containsString="0" containsNumber="1" containsInteger="1" minValue="0" maxValue="17"/>
    </cacheField>
    <cacheField name="Total" numFmtId="0">
      <sharedItems containsSemiMixedTypes="0" containsString="0" containsNumber="1" containsInteger="1" minValue="48" maxValue="464"/>
    </cacheField>
  </cacheFields>
  <extLst>
    <ext xmlns:x14="http://schemas.microsoft.com/office/spreadsheetml/2009/9/main" uri="{725AE2AE-9491-48be-B2B4-4EB974FC3084}">
      <x14:pivotCacheDefinition pivotCacheId="158"/>
    </ext>
  </extLst>
</pivotCacheDefinition>
</file>

<file path=xl/pivotCache/pivotCacheDefinition3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16.585171874998" createdVersion="6" refreshedVersion="8" minRefreshableVersion="3" recordCount="86" xr:uid="{00000000-000A-0000-FFFF-FFFFB4000000}">
  <cacheSource type="worksheet">
    <worksheetSource name="hrod_HR_Entrants_Age"/>
  </cacheSource>
  <cacheFields count="8">
    <cacheField name="Year" numFmtId="0">
      <sharedItems count="8">
        <s v="2018-19"/>
        <s v="2019-20"/>
        <s v="2020-21"/>
        <s v="2021-22"/>
        <s v="2022-23"/>
        <s v="2023-24"/>
        <s v="2024-25"/>
        <s v="2025-26"/>
      </sharedItems>
    </cacheField>
    <cacheField name="Age Range" numFmtId="0">
      <sharedItems count="12">
        <s v="20-24"/>
        <s v="25-29"/>
        <s v="30-34"/>
        <s v="35-39"/>
        <s v="40-44"/>
        <s v="45-49"/>
        <s v="50-54"/>
        <s v="55-59"/>
        <s v="60-64"/>
        <s v="65-69"/>
        <s v="Under 20"/>
        <s v="70-74"/>
      </sharedItems>
    </cacheField>
    <cacheField name="Wholetime Operational" numFmtId="0">
      <sharedItems containsSemiMixedTypes="0" containsString="0" containsNumber="1" containsInteger="1" minValue="0" maxValue="68"/>
    </cacheField>
    <cacheField name="Retained Duty System" numFmtId="0">
      <sharedItems containsSemiMixedTypes="0" containsString="0" containsNumber="1" containsInteger="1" minValue="0" maxValue="58"/>
    </cacheField>
    <cacheField name="Control" numFmtId="0">
      <sharedItems containsSemiMixedTypes="0" containsString="0" containsNumber="1" containsInteger="1" minValue="0" maxValue="9"/>
    </cacheField>
    <cacheField name="Support" numFmtId="0">
      <sharedItems containsSemiMixedTypes="0" containsString="0" containsNumber="1" containsInteger="1" minValue="0" maxValue="21"/>
    </cacheField>
    <cacheField name="Volunteers" numFmtId="0">
      <sharedItems containsSemiMixedTypes="0" containsString="0" containsNumber="1" containsInteger="1" minValue="0" maxValue="6"/>
    </cacheField>
    <cacheField name="Total" numFmtId="0">
      <sharedItems containsSemiMixedTypes="0" containsString="0" containsNumber="1" containsInteger="1" minValue="1" maxValue="137"/>
    </cacheField>
  </cacheFields>
  <extLst>
    <ext xmlns:x14="http://schemas.microsoft.com/office/spreadsheetml/2009/9/main" uri="{725AE2AE-9491-48be-B2B4-4EB974FC3084}">
      <x14:pivotCacheDefinition pivotCacheId="159"/>
    </ext>
  </extLst>
</pivotCacheDefinition>
</file>

<file path=xl/pivotCache/pivotCacheDefinition3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16.585205671297" createdVersion="8" refreshedVersion="8" minRefreshableVersion="3" recordCount="21" xr:uid="{E7B7493F-78CB-451A-A158-C6FF2B683FE2}">
  <cacheSource type="worksheet">
    <worksheetSource name="hrod_HR_Entrants_Ethnicity__2"/>
  </cacheSource>
  <cacheFields count="7">
    <cacheField name="FiscalYr" numFmtId="0">
      <sharedItems count="8">
        <s v="2018-19"/>
        <s v="2019-20"/>
        <s v="2020-21"/>
        <s v="2021-22"/>
        <s v="2023-24"/>
        <s v="2025-26"/>
        <s v="2022-23"/>
        <s v="2024-25"/>
      </sharedItems>
    </cacheField>
    <cacheField name="EthStat" numFmtId="0">
      <sharedItems count="3">
        <s v="Ethnic Minority"/>
        <s v="Not Stated"/>
        <s v="White"/>
      </sharedItems>
    </cacheField>
    <cacheField name="WT" numFmtId="0">
      <sharedItems containsString="0" containsBlank="1" containsNumber="1" minValue="0.92592592592592582" maxValue="100"/>
    </cacheField>
    <cacheField name="RDS" numFmtId="0">
      <sharedItems containsString="0" containsBlank="1" containsNumber="1" minValue="0.43668122270742354" maxValue="100"/>
    </cacheField>
    <cacheField name="Control" numFmtId="0">
      <sharedItems containsString="0" containsBlank="1" containsNumber="1" minValue="10" maxValue="100"/>
    </cacheField>
    <cacheField name="Support" numFmtId="0">
      <sharedItems containsString="0" containsBlank="1" containsNumber="1" minValue="2.1739130434782608" maxValue="100"/>
    </cacheField>
    <cacheField name="Vol" numFmtId="0">
      <sharedItems containsString="0" containsBlank="1" containsNumber="1" minValue="4.7619047619047619" maxValue="100"/>
    </cacheField>
  </cacheFields>
  <extLst>
    <ext xmlns:x14="http://schemas.microsoft.com/office/spreadsheetml/2009/9/main" uri="{725AE2AE-9491-48be-B2B4-4EB974FC3084}">
      <x14:pivotCacheDefinition pivotCacheId="1464648369"/>
    </ext>
  </extLst>
</pivotCacheDefinition>
</file>

<file path=xl/pivotCache/pivotCacheDefinition3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16.588845949074" createdVersion="8" refreshedVersion="8" minRefreshableVersion="3" recordCount="20" xr:uid="{A26CDE1E-7426-49D6-9265-DECF3842B1DC}">
  <cacheSource type="worksheet">
    <worksheetSource name="hrod_HR_Entrants_Disability__2"/>
  </cacheSource>
  <cacheFields count="7">
    <cacheField name="FiscalYr" numFmtId="0">
      <sharedItems count="8">
        <s v="2018-19"/>
        <s v="2019-20"/>
        <s v="2020-21"/>
        <s v="2022-23"/>
        <s v="2023-24"/>
        <s v="2021-22"/>
        <s v="2025-26"/>
        <s v="2024-25"/>
      </sharedItems>
    </cacheField>
    <cacheField name="DisStat" numFmtId="0">
      <sharedItems count="3">
        <s v="Disabled"/>
        <s v="Not Disabled"/>
        <s v="Not Known"/>
      </sharedItems>
    </cacheField>
    <cacheField name="WT" numFmtId="0">
      <sharedItems containsString="0" containsBlank="1" containsNumber="1" minValue="0.84033613445378152" maxValue="100"/>
    </cacheField>
    <cacheField name="RDS" numFmtId="0">
      <sharedItems containsString="0" containsBlank="1" containsNumber="1" minValue="0.44843049327354262" maxValue="100"/>
    </cacheField>
    <cacheField name="Control" numFmtId="0">
      <sharedItems containsString="0" containsBlank="1" containsNumber="1" minValue="10" maxValue="100"/>
    </cacheField>
    <cacheField name="Support" numFmtId="0">
      <sharedItems containsString="0" containsBlank="1" containsNumber="1" minValue="2.1739130434782608" maxValue="100"/>
    </cacheField>
    <cacheField name="Vol" numFmtId="0">
      <sharedItems containsString="0" containsBlank="1" containsNumber="1" containsInteger="1" minValue="100" maxValue="100"/>
    </cacheField>
  </cacheFields>
  <extLst>
    <ext xmlns:x14="http://schemas.microsoft.com/office/spreadsheetml/2009/9/main" uri="{725AE2AE-9491-48be-B2B4-4EB974FC3084}">
      <x14:pivotCacheDefinition pivotCacheId="364994653"/>
    </ext>
  </extLst>
</pivotCacheDefinition>
</file>

<file path=xl/pivotCache/pivotCacheDefinition3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16.601432986114" createdVersion="6" refreshedVersion="8" minRefreshableVersion="3" recordCount="158" xr:uid="{00000000-000A-0000-FFFF-FFFFAC000000}">
  <cacheSource type="worksheet">
    <worksheetSource name="hrod_HR_Age__2"/>
  </cacheSource>
  <cacheFields count="8">
    <cacheField name="Year" numFmtId="0">
      <sharedItems count="13">
        <s v="2013-14"/>
        <s v="2014-15"/>
        <s v="2015-16"/>
        <s v="2016-17"/>
        <s v="2017-18"/>
        <s v="2019-20"/>
        <s v="2020-21"/>
        <s v="2021-22"/>
        <s v="2022-23"/>
        <s v="2024-25"/>
        <s v="2018-19"/>
        <s v="2023-24"/>
        <s v="2025-26"/>
      </sharedItems>
    </cacheField>
    <cacheField name="Age Range" numFmtId="0">
      <sharedItems count="18">
        <s v="66 and over"/>
        <s v="40-44"/>
        <s v="35-39"/>
        <s v="55-59"/>
        <s v="25-29"/>
        <s v="50-54"/>
        <s v="45-49"/>
        <s v="60-64"/>
        <s v="20-24"/>
        <s v="65-69"/>
        <s v="Under 20"/>
        <s v="30-34"/>
        <s v="70-74"/>
        <s v="Over 75"/>
        <s v="20-29"/>
        <s v="55-65"/>
        <s v="Not Recorded"/>
        <s v="30-39"/>
      </sharedItems>
    </cacheField>
    <cacheField name="Wholetime Operational" numFmtId="0">
      <sharedItems containsString="0" containsBlank="1" containsNumber="1" containsInteger="1" minValue="1" maxValue="1254"/>
    </cacheField>
    <cacheField name="Retained Duty System" numFmtId="0">
      <sharedItems containsString="0" containsBlank="1" containsNumber="1" containsInteger="1" minValue="1" maxValue="691"/>
    </cacheField>
    <cacheField name="Retained Full-time" numFmtId="0">
      <sharedItems containsString="0" containsBlank="1" containsNumber="1" containsInteger="1" minValue="1" maxValue="20"/>
    </cacheField>
    <cacheField name="Control" numFmtId="0">
      <sharedItems containsString="0" containsBlank="1" containsNumber="1" containsInteger="1" minValue="1" maxValue="52"/>
    </cacheField>
    <cacheField name="Support Staff" numFmtId="0">
      <sharedItems containsString="0" containsBlank="1" containsNumber="1" containsInteger="1" minValue="1" maxValue="248"/>
    </cacheField>
    <cacheField name="Volunteer" numFmtId="0">
      <sharedItems containsString="0" containsBlank="1" containsNumber="1" containsInteger="1" minValue="1" maxValue="89"/>
    </cacheField>
  </cacheFields>
  <extLst>
    <ext xmlns:x14="http://schemas.microsoft.com/office/spreadsheetml/2009/9/main" uri="{725AE2AE-9491-48be-B2B4-4EB974FC3084}">
      <x14:pivotCacheDefinition pivotCacheId="129"/>
    </ext>
  </extLst>
</pivotCacheDefinition>
</file>

<file path=xl/pivotCache/pivotCacheDefinition3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18.426632870367" createdVersion="6" refreshedVersion="8" minRefreshableVersion="3" recordCount="396" xr:uid="{00000000-000A-0000-FFFF-FFFFBD000000}">
  <cacheSource type="worksheet">
    <worksheetSource name="hrod_HR_RDS_RoleArea"/>
  </cacheSource>
  <cacheFields count="7">
    <cacheField name="Year" numFmtId="0">
      <sharedItems count="13">
        <s v="2013-14"/>
        <s v="2014-15"/>
        <s v="2015-16"/>
        <s v="2016-17"/>
        <s v="2017-18"/>
        <s v="2018-19"/>
        <s v="2019-20"/>
        <s v="2020-21"/>
        <s v="2021-22"/>
        <s v="2022-23"/>
        <s v="2023-24"/>
        <s v="2024-25"/>
        <s v="2025-26"/>
      </sharedItems>
    </cacheField>
    <cacheField name="ReportingLevel" numFmtId="0">
      <sharedItems/>
    </cacheField>
    <cacheField name="Area" numFmtId="0">
      <sharedItems count="38">
        <s v="Aberdeen City"/>
        <s v="Aberdeenshire"/>
        <s v="Angus"/>
        <s v="Argyll and Bute"/>
        <s v="City of Edinburgh"/>
        <s v="Clackmannanshire"/>
        <s v="Dumfries and Galloway"/>
        <s v="Dundee City"/>
        <s v="East Ayrshire"/>
        <s v="East Dunbartonshire"/>
        <s v="East Lothian"/>
        <s v="East Renfrewshire"/>
        <s v="Falkirk"/>
        <s v="Fife"/>
        <s v="Glasgow City"/>
        <s v="Highland"/>
        <s v="Inverclyde"/>
        <s v="Midlothian"/>
        <s v="Moray"/>
        <s v="Na h-Eileanan Siar"/>
        <s v="North Ayrshire"/>
        <s v="North Lanarkshire"/>
        <s v="Orkney Islands"/>
        <s v="Perth and Kinross"/>
        <s v="Renfrewshire"/>
        <s v="Scottish Borders"/>
        <s v="Shetland Islands"/>
        <s v="South Ayrshire"/>
        <s v="South Lanarkshire"/>
        <s v="Stirling"/>
        <s v="West Dunbartonshire"/>
        <s v="West Lothian"/>
        <s v="Dumfries &amp; Galloway" u="1"/>
        <s v="Edinburgh City" u="1"/>
        <s v="NULL" u="1"/>
        <s v="Perth &amp; Kinross" u="1"/>
        <s v="Dumfries and Gallowa" u="1"/>
        <s v="Argyll &amp; Bute" u="1"/>
      </sharedItems>
    </cacheField>
    <cacheField name="GSS Code" numFmtId="0">
      <sharedItems containsBlank="1"/>
    </cacheField>
    <cacheField name="Watch Manager" numFmtId="0">
      <sharedItems containsSemiMixedTypes="0" containsString="0" containsNumber="1" containsInteger="1" minValue="0" maxValue="115"/>
    </cacheField>
    <cacheField name="Crew Manager" numFmtId="0">
      <sharedItems containsSemiMixedTypes="0" containsString="0" containsNumber="1" containsInteger="1" minValue="0" maxValue="103"/>
    </cacheField>
    <cacheField name="Firefighter" numFmtId="0">
      <sharedItems containsSemiMixedTypes="0" containsString="0" containsNumber="1" containsInteger="1" minValue="0" maxValue="394"/>
    </cacheField>
  </cacheFields>
  <extLst>
    <ext xmlns:x14="http://schemas.microsoft.com/office/spreadsheetml/2009/9/main" uri="{725AE2AE-9491-48be-B2B4-4EB974FC3084}">
      <x14:pivotCacheDefinition pivotCacheId="138"/>
    </ext>
  </extLst>
</pivotCacheDefinition>
</file>

<file path=xl/pivotCache/pivotCacheDefinition4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18.427705208334" createdVersion="8" refreshedVersion="8" minRefreshableVersion="3" recordCount="15" xr:uid="{1A72196F-7A66-4A88-AA1E-6A63377881ED}">
  <cacheSource type="worksheet">
    <worksheetSource name="hrod_HR_Disability_Known"/>
  </cacheSource>
  <cacheFields count="9">
    <cacheField name="Year" numFmtId="0">
      <sharedItems count="17">
        <s v="2011-12"/>
        <s v="2012-13"/>
        <s v="2013-14"/>
        <s v="2014-15"/>
        <s v="2015-16"/>
        <s v="2016-17"/>
        <s v="2017-18"/>
        <s v="2018-19"/>
        <s v="2019-20"/>
        <s v="2020-21"/>
        <s v="2021-22"/>
        <s v="2022-23"/>
        <s v="2023-24"/>
        <s v="2024-25"/>
        <s v="2025-26"/>
        <s v="Formula1" f="1"/>
        <s v="Formula2" f="1"/>
      </sharedItems>
    </cacheField>
    <cacheField name="Wholetime Operational" numFmtId="0">
      <sharedItems containsSemiMixedTypes="0" containsString="0" containsNumber="1" minValue="0" maxValue="1.0765202211230724"/>
    </cacheField>
    <cacheField name="Retained Duty System" numFmtId="0">
      <sharedItems containsSemiMixedTypes="0" containsString="0" containsNumber="1" minValue="0.1" maxValue="0.45264623955431754"/>
    </cacheField>
    <cacheField name="Retained Fulltime" numFmtId="0">
      <sharedItems containsString="0" containsBlank="1" containsNumber="1" containsInteger="1" minValue="0" maxValue="0"/>
    </cacheField>
    <cacheField name="Control" numFmtId="0">
      <sharedItems containsSemiMixedTypes="0" containsString="0" containsNumber="1" minValue="0" maxValue="2.2000000000000002"/>
    </cacheField>
    <cacheField name="Support" numFmtId="0">
      <sharedItems containsSemiMixedTypes="0" containsString="0" containsNumber="1" minValue="0.4" maxValue="3.1100478468899522"/>
    </cacheField>
    <cacheField name="Volunteer" numFmtId="0">
      <sharedItems containsString="0" containsBlank="1" containsNumber="1" minValue="0.3" maxValue="0.5"/>
    </cacheField>
    <cacheField name="Total" numFmtId="0">
      <sharedItems containsSemiMixedTypes="0" containsString="0" containsNumber="1" minValue="0.1" maxValue="0.9496919917864477"/>
    </cacheField>
    <cacheField name="Total (excluding volunters)" numFmtId="0">
      <sharedItems containsSemiMixedTypes="0" containsString="0" containsNumber="1" minValue="0.1" maxValue="1.0040705563093621"/>
    </cacheField>
  </cacheFields>
  <calculatedItems count="2">
    <calculatedItem>
      <pivotArea cacheIndex="1" outline="0" fieldPosition="0">
        <references count="1">
          <reference field="0" count="1">
            <x v="15"/>
          </reference>
        </references>
      </pivotArea>
    </calculatedItem>
    <calculatedItem>
      <pivotArea cacheIndex="1" outline="0" fieldPosition="0">
        <references count="1">
          <reference field="0" count="1">
            <x v="16"/>
          </reference>
        </references>
      </pivotArea>
    </calculatedItem>
  </calculatedItems>
  <extLst>
    <ext xmlns:x14="http://schemas.microsoft.com/office/spreadsheetml/2009/9/main" uri="{725AE2AE-9491-48be-B2B4-4EB974FC3084}">
      <x14:pivotCacheDefinition/>
    </ext>
  </extLst>
</pivotCacheDefinition>
</file>

<file path=xl/pivotCache/pivotCacheDefinition4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18.427741087966" createdVersion="8" refreshedVersion="8" minRefreshableVersion="3" recordCount="12" xr:uid="{86D4460A-54F3-4608-98BD-6CDACAB80B4E}">
  <cacheSource type="worksheet">
    <worksheetSource name="hrod_HR_Disability_NotKnown__2"/>
  </cacheSource>
  <cacheFields count="9">
    <cacheField name="Year" numFmtId="0">
      <sharedItems count="12">
        <s v="2014-15"/>
        <s v="2015-16"/>
        <s v="2016-17"/>
        <s v="2017-18"/>
        <s v="2018-19"/>
        <s v="2019-20"/>
        <s v="2020-21"/>
        <s v="2021-22"/>
        <s v="2022-23"/>
        <s v="2023-24"/>
        <s v="2024-25"/>
        <s v="2025-26"/>
      </sharedItems>
    </cacheField>
    <cacheField name="Wholetime Operational" numFmtId="0">
      <sharedItems containsSemiMixedTypes="0" containsString="0" containsNumber="1" minValue="70.976176641487513" maxValue="100"/>
    </cacheField>
    <cacheField name="Retained Duty System" numFmtId="0">
      <sharedItems containsSemiMixedTypes="0" containsString="0" containsNumber="1" minValue="73.789366745682358" maxValue="98"/>
    </cacheField>
    <cacheField name="Retained Fulltime" numFmtId="0">
      <sharedItems containsString="0" containsBlank="1" containsNumber="1" minValue="55.555555555555557" maxValue="68.333333333333329"/>
    </cacheField>
    <cacheField name="Control" numFmtId="0">
      <sharedItems containsSemiMixedTypes="0" containsString="0" containsNumber="1" minValue="60.4" maxValue="100"/>
    </cacheField>
    <cacheField name="Support" numFmtId="0">
      <sharedItems containsSemiMixedTypes="0" containsString="0" containsNumber="1" minValue="57.41626794258373" maxValue="95"/>
    </cacheField>
    <cacheField name="Volunteer" numFmtId="0">
      <sharedItems containsSemiMixedTypes="0" containsString="0" containsNumber="1" minValue="47.4" maxValue="96.4"/>
    </cacheField>
    <cacheField name="Total" numFmtId="0">
      <sharedItems containsSemiMixedTypes="0" containsString="0" containsNumber="1" minValue="70.378447722899296" maxValue="99"/>
    </cacheField>
    <cacheField name="Total (excluding volunters)" numFmtId="0">
      <sharedItems containsSemiMixedTypes="0" containsString="0" containsNumber="1" minValue="70.722484807562452" maxValue="99"/>
    </cacheField>
  </cacheFields>
  <extLst>
    <ext xmlns:x14="http://schemas.microsoft.com/office/spreadsheetml/2009/9/main" uri="{725AE2AE-9491-48be-B2B4-4EB974FC3084}">
      <x14:pivotCacheDefinition/>
    </ext>
  </extLst>
</pivotCacheDefinition>
</file>

<file path=xl/pivotCache/pivotCacheDefinition4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18.428528472221" createdVersion="6" refreshedVersion="8" minRefreshableVersion="3" recordCount="346" xr:uid="{00000000-000A-0000-FFFF-FFFFC1000000}">
  <cacheSource type="worksheet">
    <worksheetSource name="hrod_HR_Gender_Role"/>
  </cacheSource>
  <cacheFields count="6">
    <cacheField name="Year" numFmtId="0">
      <sharedItems count="13">
        <s v="2013-14"/>
        <s v="2014-15"/>
        <s v="2015-16"/>
        <s v="2016-17"/>
        <s v="2017-18"/>
        <s v="2018-19"/>
        <s v="2019-20"/>
        <s v="2020-21"/>
        <s v="2021-22"/>
        <s v="2022-23"/>
        <s v="2023-24"/>
        <s v="2024-25"/>
        <s v="2025-26"/>
      </sharedItems>
    </cacheField>
    <cacheField name="Type" numFmtId="0">
      <sharedItems count="6">
        <s v="Support"/>
        <s v="Vol"/>
        <s v="WT"/>
        <s v="Control"/>
        <s v="RDS"/>
        <s v="RDS Fulltime"/>
      </sharedItems>
    </cacheField>
    <cacheField name="PostConv" numFmtId="0">
      <sharedItems containsBlank="1" count="17">
        <s v="Administration"/>
        <s v="Firefighter"/>
        <s v="Area Manager"/>
        <s v="Crew Manager"/>
        <s v="Director"/>
        <s v="Team Leader"/>
        <s v="Watch Manager"/>
        <s v="Tech Support"/>
        <s v="Service Manager"/>
        <s v="Station Manager"/>
        <s v="Group Manager"/>
        <s v="Specialist Technical"/>
        <s v="Professional"/>
        <s v="Brigade Manager"/>
        <m/>
        <s v="Watch Manger"/>
        <s v="Technical Support" u="1"/>
      </sharedItems>
    </cacheField>
    <cacheField name="Total" numFmtId="0">
      <sharedItems containsSemiMixedTypes="0" containsString="0" containsNumber="1" containsInteger="1" minValue="0" maxValue="2374"/>
    </cacheField>
    <cacheField name="Female" numFmtId="0">
      <sharedItems containsString="0" containsBlank="1" containsNumber="1" containsInteger="1" minValue="0" maxValue="248"/>
    </cacheField>
    <cacheField name="Male" numFmtId="0">
      <sharedItems containsSemiMixedTypes="0" containsString="0" containsNumber="1" containsInteger="1" minValue="0" maxValue="2268"/>
    </cacheField>
  </cacheFields>
  <extLst>
    <ext xmlns:x14="http://schemas.microsoft.com/office/spreadsheetml/2009/9/main" uri="{725AE2AE-9491-48be-B2B4-4EB974FC3084}">
      <x14:pivotCacheDefinition pivotCacheId="128"/>
    </ext>
  </extLst>
</pivotCacheDefinition>
</file>

<file path=xl/pivotCache/pivotCacheDefinition4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18.429372685183" createdVersion="6" refreshedVersion="8" minRefreshableVersion="3" recordCount="307" xr:uid="{00000000-000A-0000-FFFF-FFFFC6000000}">
  <cacheSource type="worksheet">
    <worksheetSource name="hrod_HR_FTE_Gender_Role"/>
  </cacheSource>
  <cacheFields count="6">
    <cacheField name="Year" numFmtId="0">
      <sharedItems count="13">
        <s v="2013-14"/>
        <s v="2014-15"/>
        <s v="2015-16"/>
        <s v="2016-17"/>
        <s v="2017-18"/>
        <s v="2018-19"/>
        <s v="2019-20"/>
        <s v="2020-21"/>
        <s v="2021-22"/>
        <s v="2022-23"/>
        <s v="2023-24"/>
        <s v="2024-25"/>
        <s v="2025-26"/>
      </sharedItems>
    </cacheField>
    <cacheField name="Type" numFmtId="0">
      <sharedItems count="5">
        <s v="Control"/>
        <s v="RDS"/>
        <s v="WT"/>
        <s v="Support"/>
        <s v="RDS Fulltime"/>
      </sharedItems>
    </cacheField>
    <cacheField name="PostConv" numFmtId="0">
      <sharedItems containsBlank="1" count="16">
        <s v="Firefighter"/>
        <s v="Crew Manager"/>
        <s v="Group Manager"/>
        <s v="Watch Manager"/>
        <s v="Director"/>
        <s v="Station Manager"/>
        <s v="Service Manager"/>
        <s v="Specialist Technical"/>
        <s v="Tech Support"/>
        <s v="Brigade Manager"/>
        <s v="Professional"/>
        <s v="Watch Manger"/>
        <s v="Area Manager"/>
        <s v="Administration"/>
        <s v="Team Leader"/>
        <m/>
      </sharedItems>
    </cacheField>
    <cacheField name="Total" numFmtId="0">
      <sharedItems containsString="0" containsBlank="1" containsNumber="1" minValue="2" maxValue="2373.7600000000002"/>
    </cacheField>
    <cacheField name="Female" numFmtId="0">
      <sharedItems containsString="0" containsBlank="1" containsNumber="1" minValue="0" maxValue="204.51"/>
    </cacheField>
    <cacheField name="Male" numFmtId="0">
      <sharedItems containsString="0" containsBlank="1" containsNumber="1" minValue="0" maxValue="2267.7600000000002"/>
    </cacheField>
  </cacheFields>
  <extLst>
    <ext xmlns:x14="http://schemas.microsoft.com/office/spreadsheetml/2009/9/main" uri="{725AE2AE-9491-48be-B2B4-4EB974FC3084}">
      <x14:pivotCacheDefinition pivotCacheId="145"/>
    </ext>
  </extLst>
</pivotCacheDefinition>
</file>

<file path=xl/pivotCache/pivotCacheDefinition4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26.558337962961" createdVersion="6" refreshedVersion="8" minRefreshableVersion="3" recordCount="23" xr:uid="{6E7BAD77-91E1-4FF8-8B94-04C311A8C7A9}">
  <cacheSource type="worksheet">
    <worksheetSource name="RR_vCapabilities_StationsTotals"/>
  </cacheSource>
  <cacheFields count="3">
    <cacheField name="Fiscal_Yr" numFmtId="0">
      <sharedItems count="7">
        <s v="2019-20"/>
        <s v="2020-21"/>
        <s v="2021-22"/>
        <s v="2022-23"/>
        <s v="2023-24"/>
        <s v="2024-25"/>
        <s v="2025-26"/>
      </sharedItems>
    </cacheField>
    <cacheField name="CapabilityType" numFmtId="0">
      <sharedItems containsBlank="1" count="6">
        <s v="National Fire Resilience"/>
        <s v="Specialist"/>
        <s v="Tactical"/>
        <m/>
        <s v="NationalFireResilience"/>
        <s v="WaterPumping"/>
      </sharedItems>
    </cacheField>
    <cacheField name="Number of Stations with Capability" numFmtId="0">
      <sharedItems containsSemiMixedTypes="0" containsString="0" containsNumber="1" containsInteger="1" minValue="1" maxValue="351"/>
    </cacheField>
  </cacheFields>
  <extLst>
    <ext xmlns:x14="http://schemas.microsoft.com/office/spreadsheetml/2009/9/main" uri="{725AE2AE-9491-48be-B2B4-4EB974FC3084}">
      <x14:pivotCacheDefinition/>
    </ext>
  </extLst>
</pivotCacheDefinition>
</file>

<file path=xl/pivotCache/pivotCacheDefinition4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26.558379745373" createdVersion="8" refreshedVersion="8" minRefreshableVersion="3" recordCount="154" xr:uid="{04242813-8191-435F-9379-2E7402C07BE6}">
  <cacheSource type="worksheet">
    <worksheetSource name="RR_vCapabilities"/>
  </cacheSource>
  <cacheFields count="4">
    <cacheField name="Fiscal_Yr" numFmtId="0">
      <sharedItems count="7">
        <s v="2019-20"/>
        <s v="2020-21"/>
        <s v="2021-22"/>
        <s v="2022-23"/>
        <s v="2023-24"/>
        <s v="2024-25"/>
        <s v="2025-26"/>
      </sharedItems>
    </cacheField>
    <cacheField name="CapabilityType" numFmtId="0">
      <sharedItems containsBlank="1"/>
    </cacheField>
    <cacheField name="Capability" numFmtId="0">
      <sharedItems containsBlank="1" count="47">
        <s v="MTA"/>
        <s v="CSU"/>
        <s v="DIM"/>
        <s v="Flood"/>
        <s v="HSU"/>
        <s v="HVP"/>
        <s v="MD"/>
        <s v="SOR"/>
        <s v="SRT"/>
        <s v="USAR"/>
        <s v="EPU"/>
        <s v="HighR"/>
        <s v="HvR"/>
        <s v="Prime Movers"/>
        <s v="Rope"/>
        <s v="Welfare"/>
        <s v="Foam"/>
        <s v="MOG"/>
        <s v="RRU"/>
        <s v="Water C"/>
        <s v="Wildfire"/>
        <s v="ONE PUMP"/>
        <s v="THREE PUMPS"/>
        <s v="TWO PUMPS"/>
        <s v="PUMPS"/>
        <s v=""/>
        <m/>
        <s v="Heavy Rescue Unit" u="1"/>
        <s v="Specialist Operational Response" u="1"/>
        <s v="Detection, Identification and Monitoring Unit" u="1"/>
        <s v="Wildfire Tier 2" u="1"/>
        <s v="Command Support Unit" u="1"/>
        <s v="Detection, Identification and Monitorting Unit" u="1"/>
        <s v="Flooding" u="1"/>
        <s v="Hazmat Support Unit" u="1"/>
        <s v="High Volume Pump" u="1"/>
        <s v="Mass Decontamination" u="1"/>
        <s v="Speciliaist Operational Response" u="1"/>
        <s v="Swift Water Response" u="1"/>
        <s v="Urban Search and Rescue" u="1"/>
        <s v="Environmental Protection Unit" u="1"/>
        <s v="Heavy Rescue" u="1"/>
        <s v="High Reach Rescue" u="1"/>
        <s v="HRU" u="1"/>
        <s v="Rope Rescue" u="1"/>
        <s v="Rapid Response Unit" u="1"/>
        <s v="Water Carrier" u="1"/>
      </sharedItems>
    </cacheField>
    <cacheField name="Value" numFmtId="0">
      <sharedItems containsSemiMixedTypes="0" containsString="0" containsNumber="1" containsInteger="1" minValue="1" maxValue="251"/>
    </cacheField>
  </cacheFields>
  <extLst>
    <ext xmlns:x14="http://schemas.microsoft.com/office/spreadsheetml/2009/9/main" uri="{725AE2AE-9491-48be-B2B4-4EB974FC3084}">
      <x14:pivotCacheDefinition/>
    </ext>
  </extLst>
</pivotCacheDefinition>
</file>

<file path=xl/pivotCache/pivotCacheDefinition4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26.600078009258" createdVersion="8" refreshedVersion="8" minRefreshableVersion="3" recordCount="384" xr:uid="{CFA9DFC6-60FA-4F93-BC86-DB0BB6C2D29D}">
  <cacheSource type="worksheet">
    <worksheetSource ref="A1:F385" sheet="PrimaryCrewingAreaData"/>
  </cacheSource>
  <cacheFields count="6">
    <cacheField name="Year" numFmtId="0">
      <sharedItems count="12">
        <s v="2014-15"/>
        <s v="2015-16"/>
        <s v="2016-17"/>
        <s v="2017-18"/>
        <s v="2018-19"/>
        <s v="2019-20"/>
        <s v="2020-21"/>
        <s v="2021-22"/>
        <s v="2022-23"/>
        <s v="2023-24"/>
        <s v="2024-25"/>
        <s v="2025-26"/>
      </sharedItems>
    </cacheField>
    <cacheField name="LA" numFmtId="0">
      <sharedItems count="32">
        <s v="Aberdeen City"/>
        <s v="Aberdeenshire"/>
        <s v="Angus"/>
        <s v="Argyll and Bute"/>
        <s v="City of Edinburgh"/>
        <s v="Clackmannanshire"/>
        <s v="Dumfries and Galloway"/>
        <s v="Dundee City"/>
        <s v="East Ayrshire"/>
        <s v="East Dunbartonshire"/>
        <s v="East Lothian"/>
        <s v="East Renfrewshire"/>
        <s v="Falkirk"/>
        <s v="Fife"/>
        <s v="Glasgow City"/>
        <s v="Highland"/>
        <s v="Inverclyde"/>
        <s v="Midlothian"/>
        <s v="Moray"/>
        <s v="Na h-Eileanan Siar"/>
        <s v="North Ayrshire"/>
        <s v="North Lanarkshire"/>
        <s v="Orkney Islands"/>
        <s v="Perth and Kinross"/>
        <s v="Renfrewshire"/>
        <s v="Scottish Borders"/>
        <s v="Shetland Islands"/>
        <s v="South Ayrshire"/>
        <s v="South Lanarkshire"/>
        <s v="Stirling"/>
        <s v="West Dunbartonshire"/>
        <s v="West Lothian"/>
      </sharedItems>
    </cacheField>
    <cacheField name="Wholetime" numFmtId="0">
      <sharedItems containsString="0" containsBlank="1" containsNumber="1" containsInteger="1" minValue="1" maxValue="11"/>
    </cacheField>
    <cacheField name="Retained" numFmtId="0">
      <sharedItems containsString="0" containsBlank="1" containsNumber="1" containsInteger="1" minValue="1" maxValue="51"/>
    </cacheField>
    <cacheField name="Volunteer" numFmtId="0">
      <sharedItems containsString="0" containsBlank="1" containsNumber="1" containsInteger="1" minValue="1" maxValue="25"/>
    </cacheField>
    <cacheField name="Total" numFmtId="0">
      <sharedItems containsSemiMixedTypes="0" containsString="0" containsNumber="1" containsInteger="1" minValue="2" maxValue="61"/>
    </cacheField>
  </cacheFields>
  <extLst>
    <ext xmlns:x14="http://schemas.microsoft.com/office/spreadsheetml/2009/9/main" uri="{725AE2AE-9491-48be-B2B4-4EB974FC3084}">
      <x14:pivotCacheDefinition pivotCacheId="700424806"/>
    </ext>
  </extLst>
</pivotCacheDefinition>
</file>

<file path=xl/pivotCache/pivotCacheDefinition4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26.613064120371" createdVersion="8" refreshedVersion="8" minRefreshableVersion="3" recordCount="256" xr:uid="{4777B9BB-3589-4D25-8A64-81ED33798A1F}">
  <cacheSource type="worksheet">
    <worksheetSource ref="A1:H257" sheet="CrewingModelAreaData"/>
  </cacheSource>
  <cacheFields count="8">
    <cacheField name="Year" numFmtId="0">
      <sharedItems count="8">
        <s v="2018-19"/>
        <s v="2019-20"/>
        <s v="2020-21"/>
        <s v="2021-22"/>
        <s v="2022-23"/>
        <s v="2023-24"/>
        <s v="2024-25"/>
        <s v="2025-26"/>
      </sharedItems>
    </cacheField>
    <cacheField name="LA" numFmtId="0">
      <sharedItems count="32">
        <s v="Aberdeen City"/>
        <s v="Aberdeenshire"/>
        <s v="Angus"/>
        <s v="Argyll and Bute"/>
        <s v="City of Edinburgh"/>
        <s v="Clackmannanshire"/>
        <s v="Dumfries and Galloway"/>
        <s v="Dundee City"/>
        <s v="East Ayrshire"/>
        <s v="East Dunbartonshire"/>
        <s v="East Lothian"/>
        <s v="East Renfrewshire"/>
        <s v="Falkirk"/>
        <s v="Fife"/>
        <s v="Glasgow City"/>
        <s v="Highland"/>
        <s v="Inverclyde"/>
        <s v="Midlothian"/>
        <s v="Moray"/>
        <s v="Na h-Eileanan Siar"/>
        <s v="North Ayrshire"/>
        <s v="North Lanarkshire"/>
        <s v="Orkney Islands"/>
        <s v="Perth and Kinross"/>
        <s v="Renfrewshire"/>
        <s v="Scottish Borders"/>
        <s v="Shetland Islands"/>
        <s v="South Ayrshire"/>
        <s v="South Lanarkshire"/>
        <s v="Stirling"/>
        <s v="West Dunbartonshire"/>
        <s v="West Lothian"/>
      </sharedItems>
    </cacheField>
    <cacheField name="Wholetime" numFmtId="0">
      <sharedItems containsString="0" containsBlank="1" containsNumber="1" containsInteger="1" minValue="1" maxValue="11"/>
    </cacheField>
    <cacheField name="Wholetime and Retained" numFmtId="0">
      <sharedItems containsString="0" containsBlank="1" containsNumber="1" containsInteger="1" minValue="1" maxValue="3"/>
    </cacheField>
    <cacheField name="Wholetime and Day" numFmtId="0">
      <sharedItems containsString="0" containsBlank="1" containsNumber="1" containsInteger="1" minValue="1" maxValue="1"/>
    </cacheField>
    <cacheField name="Volunteer" numFmtId="0">
      <sharedItems containsString="0" containsBlank="1" containsNumber="1" containsInteger="1" minValue="1" maxValue="25"/>
    </cacheField>
    <cacheField name="Retained" numFmtId="0">
      <sharedItems containsString="0" containsBlank="1" containsNumber="1" containsInteger="1" minValue="1" maxValue="51"/>
    </cacheField>
    <cacheField name="Total" numFmtId="0">
      <sharedItems containsSemiMixedTypes="0" containsString="0" containsNumber="1" containsInteger="1" minValue="2" maxValue="61"/>
    </cacheField>
  </cacheFields>
  <extLst>
    <ext xmlns:x14="http://schemas.microsoft.com/office/spreadsheetml/2009/9/main" uri="{725AE2AE-9491-48be-B2B4-4EB974FC3084}">
      <x14:pivotCacheDefinition pivotCacheId="553685690"/>
    </ext>
  </extLst>
</pivotCacheDefinition>
</file>

<file path=xl/pivotCache/pivotCacheDefinition4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30.566660879631" createdVersion="6" refreshedVersion="8" minRefreshableVersion="3" recordCount="403" xr:uid="{00000000-000A-0000-FFFF-FFFFC3000000}">
  <cacheSource type="worksheet">
    <worksheetSource name="hrod_HR_RDS_FTE_RoleArea"/>
  </cacheSource>
  <cacheFields count="8">
    <cacheField name="Year" numFmtId="0">
      <sharedItems containsBlank="1" count="14">
        <m/>
        <s v="2013-14"/>
        <s v="2014-15"/>
        <s v="2015-16"/>
        <s v="2016-17"/>
        <s v="2017-18"/>
        <s v="2018-19"/>
        <s v="2019-20"/>
        <s v="2020-21"/>
        <s v="2021-22"/>
        <s v="2022-23"/>
        <s v="2023-24"/>
        <s v="2024-25"/>
        <s v="2025-26"/>
      </sharedItems>
    </cacheField>
    <cacheField name="ReportingLevel" numFmtId="0">
      <sharedItems containsBlank="1" count="2">
        <m/>
        <s v="1:LA"/>
      </sharedItems>
    </cacheField>
    <cacheField name="Code" numFmtId="0">
      <sharedItems containsBlank="1"/>
    </cacheField>
    <cacheField name="lvl" numFmtId="0">
      <sharedItems containsBlank="1" count="37">
        <m/>
        <s v="ALL"/>
        <s v="Clackmannanshire"/>
        <s v="Dumfries and Galloway"/>
        <s v="East Ayrshire"/>
        <s v="East Lothian"/>
        <s v="East Renfrewshire"/>
        <s v="Na h-Eileanan Siar"/>
        <s v="Falkirk"/>
        <s v="Highland"/>
        <s v="Inverclyde"/>
        <s v="Midlothian"/>
        <s v="Moray"/>
        <s v="North Ayrshire"/>
        <s v="Orkney Islands"/>
        <s v="Perth and Kinross"/>
        <s v="Scottish Borders"/>
        <s v="Shetland Islands"/>
        <s v="South Ayrshire"/>
        <s v="South Lanarkshire"/>
        <s v="Stirling"/>
        <s v="Aberdeen City"/>
        <s v="Aberdeenshire"/>
        <s v="Argyll and Bute"/>
        <s v="City of Edinburgh"/>
        <s v="Renfrewshire"/>
        <s v="West Dunbartonshire"/>
        <s v="West Lothian"/>
        <s v="Angus"/>
        <s v="Dundee City"/>
        <s v="North Lanarkshire"/>
        <s v="East Dunbartonshire"/>
        <s v="Glasgow City"/>
        <s v="Fife"/>
        <s v="Dumfries and Gallowa" u="1"/>
        <s v="Argyll &amp; Bute" u="1"/>
        <s v="NULL" u="1"/>
      </sharedItems>
    </cacheField>
    <cacheField name="Total" numFmtId="0">
      <sharedItems containsString="0" containsBlank="1" containsNumber="1" minValue="0" maxValue="3431"/>
    </cacheField>
    <cacheField name="Watch Manager" numFmtId="0">
      <sharedItems containsString="0" containsBlank="1" containsNumber="1" minValue="0" maxValue="325.25"/>
    </cacheField>
    <cacheField name="Crew Manager" numFmtId="0">
      <sharedItems containsString="0" containsBlank="1" containsNumber="1" minValue="0" maxValue="659.5"/>
    </cacheField>
    <cacheField name="Firefighter" numFmtId="0">
      <sharedItems containsString="0" containsBlank="1" containsNumber="1" minValue="0" maxValue="2446.25"/>
    </cacheField>
  </cacheFields>
  <extLst>
    <ext xmlns:x14="http://schemas.microsoft.com/office/spreadsheetml/2009/9/main" uri="{725AE2AE-9491-48be-B2B4-4EB974FC3084}">
      <x14:pivotCacheDefinition pivotCacheId="142"/>
    </ext>
  </extLst>
</pivotCacheDefinition>
</file>

<file path=xl/pivotCache/pivotCacheDefinition4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31.687138657406" createdVersion="8" refreshedVersion="8" minRefreshableVersion="3" recordCount="15" xr:uid="{987A1AC9-C505-4AFF-BD56-732C66F31DA6}">
  <cacheSource type="worksheet">
    <worksheetSource name="pp_PPED_Audits__3"/>
  </cacheSource>
  <cacheFields count="22">
    <cacheField name="FSEC" numFmtId="0">
      <sharedItems/>
    </cacheField>
    <cacheField name="PremisesType" numFmtId="0">
      <sharedItems count="15">
        <s v="Other Workplace"/>
        <s v="Care Home"/>
        <s v="Other Premises Open to Public"/>
        <s v="Public Building"/>
        <s v="Shop"/>
        <s v="Factory or Warehouse"/>
        <s v="Hotel"/>
        <s v="HMO"/>
        <s v="Office"/>
        <s v="Other Sleeping Accommodation"/>
        <s v="Further Education"/>
        <s v="Hospital / Prison"/>
        <s v="Hostel"/>
        <s v="Licensed Premises"/>
        <s v="School"/>
      </sharedItems>
    </cacheField>
    <cacheField name="Total" numFmtId="0">
      <sharedItems containsSemiMixedTypes="0" containsString="0" containsNumber="1" containsInteger="1" minValue="386" maxValue="14823"/>
    </cacheField>
    <cacheField name="2009-10" numFmtId="0">
      <sharedItems containsSemiMixedTypes="0" containsString="0" containsNumber="1" containsInteger="1" minValue="0" maxValue="1117"/>
    </cacheField>
    <cacheField name="2010-11" numFmtId="0">
      <sharedItems containsSemiMixedTypes="0" containsString="0" containsNumber="1" containsInteger="1" minValue="0" maxValue="1212"/>
    </cacheField>
    <cacheField name="2011-12" numFmtId="0">
      <sharedItems containsSemiMixedTypes="0" containsString="0" containsNumber="1" containsInteger="1" minValue="0" maxValue="1619"/>
    </cacheField>
    <cacheField name="2012-13" numFmtId="0">
      <sharedItems containsSemiMixedTypes="0" containsString="0" containsNumber="1" containsInteger="1" minValue="0" maxValue="1761"/>
    </cacheField>
    <cacheField name="2013-14" numFmtId="0">
      <sharedItems containsSemiMixedTypes="0" containsString="0" containsNumber="1" containsInteger="1" minValue="0" maxValue="0"/>
    </cacheField>
    <cacheField name="2014-15" numFmtId="0">
      <sharedItems containsSemiMixedTypes="0" containsString="0" containsNumber="1" containsInteger="1" minValue="28" maxValue="1947"/>
    </cacheField>
    <cacheField name="2015-16" numFmtId="0">
      <sharedItems containsSemiMixedTypes="0" containsString="0" containsNumber="1" containsInteger="1" minValue="36" maxValue="3062"/>
    </cacheField>
    <cacheField name="2016-17" numFmtId="0">
      <sharedItems containsSemiMixedTypes="0" containsString="0" containsNumber="1" containsInteger="1" minValue="21" maxValue="2650"/>
    </cacheField>
    <cacheField name="2017-18" numFmtId="0">
      <sharedItems containsSemiMixedTypes="0" containsString="0" containsNumber="1" containsInteger="1" minValue="37" maxValue="2077"/>
    </cacheField>
    <cacheField name="2018-19" numFmtId="0">
      <sharedItems containsSemiMixedTypes="0" containsString="0" containsNumber="1" containsInteger="1" minValue="31" maxValue="1862"/>
    </cacheField>
    <cacheField name="2019-20" numFmtId="0">
      <sharedItems containsSemiMixedTypes="0" containsString="0" containsNumber="1" containsInteger="1" minValue="25" maxValue="1951"/>
    </cacheField>
    <cacheField name="2020-21" numFmtId="0">
      <sharedItems containsSemiMixedTypes="0" containsString="0" containsNumber="1" containsInteger="1" minValue="6" maxValue="1341"/>
    </cacheField>
    <cacheField name="2021-22" numFmtId="0">
      <sharedItems containsSemiMixedTypes="0" containsString="0" containsNumber="1" containsInteger="1" minValue="10" maxValue="1984"/>
    </cacheField>
    <cacheField name="2022-23" numFmtId="0">
      <sharedItems containsSemiMixedTypes="0" containsString="0" containsNumber="1" containsInteger="1" minValue="20" maxValue="1958"/>
    </cacheField>
    <cacheField name="2023-24" numFmtId="0">
      <sharedItems containsSemiMixedTypes="0" containsString="0" containsNumber="1" containsInteger="1" minValue="11" maxValue="1827"/>
    </cacheField>
    <cacheField name="2024-25" numFmtId="0">
      <sharedItems containsSemiMixedTypes="0" containsString="0" containsNumber="1" containsInteger="1" minValue="21" maxValue="2400"/>
    </cacheField>
    <cacheField name="2025-26" numFmtId="0">
      <sharedItems containsSemiMixedTypes="0" containsString="0" containsNumber="1" containsInteger="1" minValue="23" maxValue="2624"/>
    </cacheField>
    <cacheField name="Field1" numFmtId="0" formula="'2025-26'" databaseField="0"/>
    <cacheField name="Field2" numFmtId="0" formula="'2025-26'" databaseField="0"/>
  </cacheFields>
  <extLst>
    <ext xmlns:x14="http://schemas.microsoft.com/office/spreadsheetml/2009/9/main" uri="{725AE2AE-9491-48be-B2B4-4EB974FC3084}">
      <x14:pivotCacheDefinition/>
    </ext>
  </extLst>
</pivotCacheDefinition>
</file>

<file path=xl/pivotCache/pivotCacheDefinition5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31.691454282409" createdVersion="8" refreshedVersion="8" minRefreshableVersion="3" recordCount="12" xr:uid="{E9D4F793-B992-45AA-B42C-9D86D0C4A925}">
  <cacheSource type="worksheet">
    <worksheetSource name="pp_PPED_Workflows__3"/>
  </cacheSource>
  <cacheFields count="5">
    <cacheField name="Year" numFmtId="0">
      <sharedItems count="12">
        <s v="2014-15"/>
        <s v="2015-16"/>
        <s v="2016-17"/>
        <s v="2017-18"/>
        <s v="2018-19"/>
        <s v="2019-20"/>
        <s v="2020-21"/>
        <s v="2021-22"/>
        <s v="2022-23"/>
        <s v="2023-24"/>
        <s v="2024-25"/>
        <s v="2025-26"/>
      </sharedItems>
    </cacheField>
    <cacheField name="Audits" numFmtId="0">
      <sharedItems containsSemiMixedTypes="0" containsString="0" containsNumber="1" containsInteger="1" minValue="3319" maxValue="9834"/>
    </cacheField>
    <cacheField name="Post Fire Short Audits" numFmtId="0">
      <sharedItems containsString="0" containsBlank="1" containsNumber="1" containsInteger="1" minValue="145" maxValue="208"/>
    </cacheField>
    <cacheField name="Site Visits" numFmtId="0">
      <sharedItems containsSemiMixedTypes="0" containsString="0" containsNumber="1" containsInteger="1" minValue="603" maxValue="2592"/>
    </cacheField>
    <cacheField name="Consultations" numFmtId="0">
      <sharedItems containsSemiMixedTypes="0" containsString="0" containsNumber="1" containsInteger="1" minValue="1829" maxValue="3501"/>
    </cacheField>
  </cacheFields>
  <extLst>
    <ext xmlns:x14="http://schemas.microsoft.com/office/spreadsheetml/2009/9/main" uri="{725AE2AE-9491-48be-B2B4-4EB974FC3084}">
      <x14:pivotCacheDefinition/>
    </ext>
  </extLst>
</pivotCacheDefinition>
</file>

<file path=xl/pivotCache/pivotCacheDefinition5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31.779620601854" createdVersion="8" refreshedVersion="8" minRefreshableVersion="3" recordCount="7" xr:uid="{BB9380FE-ABA7-474F-BD21-2CA7612FA81C}">
  <cacheSource type="worksheet">
    <worksheetSource name="pp_PPED_Workflow_FireEngineeringConsultations__2"/>
  </cacheSource>
  <cacheFields count="2">
    <cacheField name="Fiscal_Yr" numFmtId="0">
      <sharedItems count="7">
        <s v="2019-20"/>
        <s v="2020-21"/>
        <s v="2021-22"/>
        <s v="2022-23"/>
        <s v="2023-24"/>
        <s v="2024-25"/>
        <s v="2025-26"/>
      </sharedItems>
    </cacheField>
    <cacheField name="Count" numFmtId="0">
      <sharedItems containsSemiMixedTypes="0" containsString="0" containsNumber="1" containsInteger="1" minValue="551" maxValue="816"/>
    </cacheField>
  </cacheFields>
  <extLst>
    <ext xmlns:x14="http://schemas.microsoft.com/office/spreadsheetml/2009/9/main" uri="{725AE2AE-9491-48be-B2B4-4EB974FC3084}">
      <x14:pivotCacheDefinition/>
    </ext>
  </extLst>
</pivotCacheDefinition>
</file>

<file path=xl/pivotCache/pivotCacheDefinition5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Robertson, Fiona" refreshedDate="46232.427554629627" createdVersion="8" refreshedVersion="8" minRefreshableVersion="3" recordCount="17" xr:uid="{02DE0269-4B10-4A1C-ADAE-369ACC8E699E}">
  <cacheSource type="worksheet">
    <worksheetSource name="pp_PPED_Audits_Outcome__2"/>
  </cacheSource>
  <cacheFields count="9">
    <cacheField name="FisYr" numFmtId="0">
      <sharedItems count="17">
        <s v="2009-10"/>
        <s v="2010-11"/>
        <s v="2011-12"/>
        <s v="2012-13"/>
        <s v="2013-14"/>
        <s v="2014-15"/>
        <s v="2015-16"/>
        <s v="2016-17"/>
        <s v="2017-18"/>
        <s v="2018-19"/>
        <s v="2019-20"/>
        <s v="2020-21"/>
        <s v="2021-22"/>
        <s v="2022-23"/>
        <s v="2023-24"/>
        <s v="2024-25"/>
        <s v="2025-26"/>
      </sharedItems>
    </cacheField>
    <cacheField name="A_Tally" numFmtId="0">
      <sharedItems containsSemiMixedTypes="0" containsString="0" containsNumber="1" containsInteger="1" minValue="0" maxValue="9185"/>
    </cacheField>
    <cacheField name="A_Hours" numFmtId="0">
      <sharedItems containsSemiMixedTypes="0" containsString="0" containsNumber="1" minValue="0" maxValue="47569.5"/>
    </cacheField>
    <cacheField name="B_Tally" numFmtId="0">
      <sharedItems containsSemiMixedTypes="0" containsString="0" containsNumber="1" containsInteger="1" minValue="0" maxValue="2264"/>
    </cacheField>
    <cacheField name="B_Hours" numFmtId="0">
      <sharedItems containsSemiMixedTypes="0" containsString="0" containsNumber="1" minValue="0" maxValue="11747"/>
    </cacheField>
    <cacheField name="Enforcement_Tally" numFmtId="0">
      <sharedItems containsSemiMixedTypes="0" containsString="0" containsNumber="1" containsInteger="1" minValue="0" maxValue="58"/>
    </cacheField>
    <cacheField name="Enforcement_Hours" numFmtId="0">
      <sharedItems containsSemiMixedTypes="0" containsString="0" containsNumber="1" minValue="0" maxValue="612"/>
    </cacheField>
    <cacheField name="Prohibition_Tally" numFmtId="0">
      <sharedItems containsSemiMixedTypes="0" containsString="0" containsNumber="1" containsInteger="1" minValue="0" maxValue="26"/>
    </cacheField>
    <cacheField name="Prohibition_Hours" numFmtId="0">
      <sharedItems containsSemiMixedTypes="0" containsString="0" containsNumber="1" minValue="0" maxValue="290.25"/>
    </cacheField>
  </cacheFields>
  <extLst>
    <ext xmlns:x14="http://schemas.microsoft.com/office/spreadsheetml/2009/9/main" uri="{725AE2AE-9491-48be-B2B4-4EB974FC3084}">
      <x14:pivotCacheDefinition/>
    </ext>
  </extLst>
</pivotCacheDefinition>
</file>

<file path=xl/pivotCache/pivotCacheDefinition5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Robertson, Fiona" refreshedDate="46232.430136689814" createdVersion="8" refreshedVersion="8" minRefreshableVersion="3" recordCount="180" xr:uid="{FE58E30C-76AC-429A-B3B9-6B9CD4F781B0}">
  <cacheSource type="worksheet">
    <worksheetSource name="pp_PPED_Audits_Outcome_Premises"/>
  </cacheSource>
  <cacheFields count="11">
    <cacheField name="FisYr" numFmtId="0">
      <sharedItems count="12">
        <s v="2014-15"/>
        <s v="2015-16"/>
        <s v="2016-17"/>
        <s v="2017-18"/>
        <s v="2018-19"/>
        <s v="2019-20"/>
        <s v="2020-21"/>
        <s v="2021-22"/>
        <s v="2022-23"/>
        <s v="2023-24"/>
        <s v="2024-25"/>
        <s v="2025-26"/>
      </sharedItems>
    </cacheField>
    <cacheField name="FSEC" numFmtId="0">
      <sharedItems/>
    </cacheField>
    <cacheField name="Type of Premises" numFmtId="0">
      <sharedItems count="15">
        <s v="Hospital / Prison"/>
        <s v="Other Sleeping Accommodation"/>
        <s v="Further Education"/>
        <s v="Licensed Premises"/>
        <s v="Office"/>
        <s v="Other Premises Open to Public"/>
        <s v="Public Building"/>
        <s v="School"/>
        <s v="Hostel"/>
        <s v="Other Workplace"/>
        <s v="Hotel"/>
        <s v="Factory or Warehouse"/>
        <s v="HMO"/>
        <s v="Shop"/>
        <s v="Care Home"/>
      </sharedItems>
    </cacheField>
    <cacheField name="A_Tally" numFmtId="0">
      <sharedItems containsSemiMixedTypes="0" containsString="0" containsNumber="1" containsInteger="1" minValue="6" maxValue="2916"/>
    </cacheField>
    <cacheField name="A_Hours" numFmtId="0">
      <sharedItems containsString="0" containsBlank="1" containsNumber="1" minValue="28" maxValue="10887.5"/>
    </cacheField>
    <cacheField name="B_Tally" numFmtId="0">
      <sharedItems containsString="0" containsBlank="1" containsNumber="1" containsInteger="1" minValue="1" maxValue="213"/>
    </cacheField>
    <cacheField name="B_Hours" numFmtId="0">
      <sharedItems containsString="0" containsBlank="1" containsNumber="1" minValue="4" maxValue="2008.25"/>
    </cacheField>
    <cacheField name="Enforcement_Tally" numFmtId="0">
      <sharedItems containsString="0" containsBlank="1" containsNumber="1" containsInteger="1" minValue="1" maxValue="14"/>
    </cacheField>
    <cacheField name="Enforcement_Hours" numFmtId="0">
      <sharedItems containsString="0" containsBlank="1" containsNumber="1" minValue="3" maxValue="436.5"/>
    </cacheField>
    <cacheField name="Prohibition_Tally" numFmtId="0">
      <sharedItems containsString="0" containsBlank="1" containsNumber="1" containsInteger="1" minValue="1" maxValue="12"/>
    </cacheField>
    <cacheField name="Prohibition_Hours" numFmtId="0">
      <sharedItems containsString="0" containsBlank="1" containsNumber="1" minValue="2" maxValue="181.25"/>
    </cacheField>
  </cacheFields>
  <extLst>
    <ext xmlns:x14="http://schemas.microsoft.com/office/spreadsheetml/2009/9/main" uri="{725AE2AE-9491-48be-B2B4-4EB974FC3084}">
      <x14:pivotCacheDefinition pivotCacheId="80784578"/>
    </ext>
  </extLst>
</pivotCacheDefinition>
</file>

<file path=xl/pivotCache/pivotCacheDefinition5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Robertson, Fiona" refreshedDate="46232.432385300926" createdVersion="8" refreshedVersion="8" minRefreshableVersion="3" recordCount="180" xr:uid="{CBF2E092-C8F5-4A44-BBB1-2C752440DAA7}">
  <cacheSource type="worksheet">
    <worksheetSource name="pp_PPED_Risk__2"/>
  </cacheSource>
  <cacheFields count="10">
    <cacheField name="Year" numFmtId="0">
      <sharedItems count="12">
        <s v="2014-15"/>
        <s v="2015-16"/>
        <s v="2017-18"/>
        <s v="2018-19"/>
        <s v="2019-20"/>
        <s v="2020-21"/>
        <s v="2021-22"/>
        <s v="2023-24"/>
        <s v="2024-25"/>
        <s v="2025-26"/>
        <s v="2016-17"/>
        <s v="2022-23"/>
      </sharedItems>
    </cacheField>
    <cacheField name="FSEC" numFmtId="0">
      <sharedItems/>
    </cacheField>
    <cacheField name="PremisesType" numFmtId="0">
      <sharedItems count="15">
        <s v="Licensed Premises"/>
        <s v="Other Workplace"/>
        <s v="Shop"/>
        <s v="Office"/>
        <s v="Other Sleeping Accommodation"/>
        <s v="Public Building"/>
        <s v="Factory or Warehouse"/>
        <s v="HMO"/>
        <s v="Hostel"/>
        <s v="Care Home"/>
        <s v="Further Education"/>
        <s v="School"/>
        <s v="Other Premises Open to Public"/>
        <s v="Hotel"/>
        <s v="Hospital / Prison"/>
      </sharedItems>
    </cacheField>
    <cacheField name="VL" numFmtId="0">
      <sharedItems containsSemiMixedTypes="0" containsString="0" containsNumber="1" containsInteger="1" minValue="0" maxValue="173"/>
    </cacheField>
    <cacheField name="L" numFmtId="0">
      <sharedItems containsSemiMixedTypes="0" containsString="0" containsNumber="1" containsInteger="1" minValue="0" maxValue="734"/>
    </cacheField>
    <cacheField name="M" numFmtId="0">
      <sharedItems containsSemiMixedTypes="0" containsString="0" containsNumber="1" containsInteger="1" minValue="6" maxValue="2548"/>
    </cacheField>
    <cacheField name="H" numFmtId="0">
      <sharedItems containsSemiMixedTypes="0" containsString="0" containsNumber="1" containsInteger="1" minValue="0" maxValue="487"/>
    </cacheField>
    <cacheField name="VH" numFmtId="0">
      <sharedItems containsSemiMixedTypes="0" containsString="0" containsNumber="1" containsInteger="1" minValue="0" maxValue="86"/>
    </cacheField>
    <cacheField name="Not Known" numFmtId="0">
      <sharedItems containsString="0" containsBlank="1" containsNumber="1" containsInteger="1" minValue="0" maxValue="310"/>
    </cacheField>
    <cacheField name="Total" numFmtId="0">
      <sharedItems containsString="0" containsBlank="1" containsNumber="1" containsInteger="1" minValue="21" maxValue="3062"/>
    </cacheField>
  </cacheFields>
  <extLst>
    <ext xmlns:x14="http://schemas.microsoft.com/office/spreadsheetml/2009/9/main" uri="{725AE2AE-9491-48be-B2B4-4EB974FC3084}">
      <x14:pivotCacheDefinition pivotCacheId="1512634001"/>
    </ext>
  </extLst>
</pivotCacheDefinition>
</file>

<file path=xl/pivotCache/pivotCacheDefinition5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33.360479745374" createdVersion="8" refreshedVersion="8" minRefreshableVersion="3" recordCount="12" xr:uid="{8C18765A-D30E-4ED4-A733-BBE9BA7525E1}">
  <cacheSource type="worksheet">
    <worksheetSource name="pp_PPED_Notices__3"/>
  </cacheSource>
  <cacheFields count="4">
    <cacheField name="Year" numFmtId="0">
      <sharedItems containsBlank="1" count="13">
        <s v="2014-15"/>
        <s v="2015-16"/>
        <s v="2016-17"/>
        <s v="2017-18"/>
        <s v="2018-19"/>
        <s v="2019-20"/>
        <s v="2020-21"/>
        <s v="2021-22"/>
        <s v="2022-23"/>
        <s v="2023-24"/>
        <s v="2024-25"/>
        <s v="2025-26"/>
        <m u="1"/>
      </sharedItems>
    </cacheField>
    <cacheField name="Enforcement Notice" numFmtId="0">
      <sharedItems containsSemiMixedTypes="0" containsString="0" containsNumber="1" containsInteger="1" minValue="2" maxValue="22"/>
    </cacheField>
    <cacheField name="Prohibition Notice" numFmtId="0">
      <sharedItems containsSemiMixedTypes="0" containsString="0" containsNumber="1" containsInteger="1" minValue="1" maxValue="29"/>
    </cacheField>
    <cacheField name="Alterations Notice" numFmtId="0">
      <sharedItems containsSemiMixedTypes="0" containsString="0" containsNumber="1" containsInteger="1" minValue="0" maxValue="4"/>
    </cacheField>
  </cacheFields>
  <extLst>
    <ext xmlns:x14="http://schemas.microsoft.com/office/spreadsheetml/2009/9/main" uri="{725AE2AE-9491-48be-B2B4-4EB974FC3084}">
      <x14:pivotCacheDefinition/>
    </ext>
  </extLst>
</pivotCacheDefinition>
</file>

<file path=xl/pivotCache/pivotCacheDefinition5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33.523796527777" createdVersion="8" refreshedVersion="8" minRefreshableVersion="3" recordCount="15" xr:uid="{062F2FB0-1732-4973-AFA3-5A5A15BA4177}">
  <cacheSource type="worksheet">
    <worksheetSource name="hrod_HR_StaffingFTE__2_1"/>
  </cacheSource>
  <cacheFields count="6">
    <cacheField name="Year" numFmtId="0">
      <sharedItems count="15">
        <s v="2013-14"/>
        <s v="2021-22"/>
        <s v="2025-26"/>
        <s v="2015-16"/>
        <s v="2019-20"/>
        <s v="2022-23"/>
        <s v="2018-19"/>
        <s v="2011-12"/>
        <s v="2014-15"/>
        <s v="2017-18"/>
        <s v="2020-21"/>
        <s v="2023-24"/>
        <s v="2012-13"/>
        <s v="2016-17"/>
        <s v="2024-25"/>
      </sharedItems>
    </cacheField>
    <cacheField name="WholeTime Operational" numFmtId="0">
      <sharedItems containsSemiMixedTypes="0" containsString="0" containsNumber="1" minValue="3419.08" maxValue="4159"/>
    </cacheField>
    <cacheField name="Retained Duty System" numFmtId="0">
      <sharedItems containsSemiMixedTypes="0" containsString="0" containsNumber="1" minValue="2287.2800000000016" maxValue="2813"/>
    </cacheField>
    <cacheField name="RDS Fulltime" numFmtId="0">
      <sharedItems containsString="0" containsBlank="1" containsNumber="1" containsInteger="1" minValue="18" maxValue="58"/>
    </cacheField>
    <cacheField name="Control" numFmtId="0">
      <sharedItems containsSemiMixedTypes="0" containsString="0" containsNumber="1" minValue="160" maxValue="225"/>
    </cacheField>
    <cacheField name="Support" numFmtId="0">
      <sharedItems containsSemiMixedTypes="0" containsString="0" containsNumber="1" minValue="719" maxValue="961"/>
    </cacheField>
  </cacheFields>
  <extLst>
    <ext xmlns:x14="http://schemas.microsoft.com/office/spreadsheetml/2009/9/main" uri="{725AE2AE-9491-48be-B2B4-4EB974FC3084}">
      <x14:pivotCacheDefinition/>
    </ext>
  </extLst>
</pivotCacheDefinition>
</file>

<file path=xl/pivotCache/pivotCacheDefinition5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33.702631250002" createdVersion="6" refreshedVersion="8" minRefreshableVersion="3" recordCount="32" xr:uid="{00000000-000A-0000-FFFF-FFFFBA000000}">
  <cacheSource type="worksheet">
    <worksheetSource name="hrod_HR_Role_DutySystem"/>
  </cacheSource>
  <cacheFields count="9">
    <cacheField name="Year" numFmtId="0">
      <sharedItems count="8">
        <s v="2018-19"/>
        <s v="2019-20"/>
        <s v="2020-21"/>
        <s v="2021-22"/>
        <s v="2022-23"/>
        <s v="2023-24"/>
        <s v="2024-25"/>
        <s v="2025-26"/>
      </sharedItems>
    </cacheField>
    <cacheField name="EmployeeGroup" numFmtId="0">
      <sharedItems count="4">
        <s v="Incident Command Officers"/>
        <s v="Office Duties"/>
        <s v="Operational Crews"/>
        <s v="Trainees"/>
      </sharedItems>
    </cacheField>
    <cacheField name="Brigade Commander" numFmtId="0">
      <sharedItems containsSemiMixedTypes="0" containsString="0" containsNumber="1" containsInteger="1" minValue="0" maxValue="6"/>
    </cacheField>
    <cacheField name="Area Commander" numFmtId="0">
      <sharedItems containsSemiMixedTypes="0" containsString="0" containsNumber="1" containsInteger="1" minValue="0" maxValue="35"/>
    </cacheField>
    <cacheField name="Group Commander" numFmtId="0">
      <sharedItems containsSemiMixedTypes="0" containsString="0" containsNumber="1" containsInteger="1" minValue="0" maxValue="80"/>
    </cacheField>
    <cacheField name="Station Commander" numFmtId="0">
      <sharedItems containsSemiMixedTypes="0" containsString="0" containsNumber="1" containsInteger="1" minValue="0" maxValue="160"/>
    </cacheField>
    <cacheField name="Watch Commander" numFmtId="0">
      <sharedItems containsSemiMixedTypes="0" containsString="0" containsNumber="1" containsInteger="1" minValue="0" maxValue="377"/>
    </cacheField>
    <cacheField name="Crew Commander" numFmtId="0">
      <sharedItems containsSemiMixedTypes="0" containsString="0" containsNumber="1" containsInteger="1" minValue="0" maxValue="597"/>
    </cacheField>
    <cacheField name="Firefighter" numFmtId="0">
      <sharedItems containsSemiMixedTypes="0" containsString="0" containsNumber="1" containsInteger="1" minValue="0" maxValue="1993"/>
    </cacheField>
  </cacheFields>
  <extLst>
    <ext xmlns:x14="http://schemas.microsoft.com/office/spreadsheetml/2009/9/main" uri="{725AE2AE-9491-48be-B2B4-4EB974FC3084}">
      <x14:pivotCacheDefinition pivotCacheId="135"/>
    </ext>
  </extLst>
</pivotCacheDefinition>
</file>

<file path=xl/pivotCache/pivotCacheDefinition5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40.561438078701" createdVersion="8" refreshedVersion="8" minRefreshableVersion="3" recordCount="16" xr:uid="{5B625D2B-4164-4319-8FF4-B2D99F84BE9B}">
  <cacheSource type="worksheet">
    <worksheetSource name="cset_HFSV_Outcome_Final"/>
  </cacheSource>
  <cacheFields count="7">
    <cacheField name="Year" numFmtId="0">
      <sharedItems count="16">
        <s v="2010-11"/>
        <s v="2011-12"/>
        <s v="2012-13"/>
        <s v="2013-14"/>
        <s v="2014-15"/>
        <s v="2015-16"/>
        <s v="2016-17"/>
        <s v="2017-18"/>
        <s v="2018-19"/>
        <s v="2019-20"/>
        <s v="2020-21"/>
        <s v="2021-22"/>
        <s v="2022-23"/>
        <s v="2023-24"/>
        <s v="2024-25"/>
        <s v="2025-26"/>
      </sharedItems>
    </cacheField>
    <cacheField name="HFSV_AlarmsInstalled" numFmtId="0">
      <sharedItems containsSemiMixedTypes="0" containsString="0" containsNumber="1" containsInteger="1" minValue="3481" maxValue="33998"/>
    </cacheField>
    <cacheField name="HFSV_AdviceOnly" numFmtId="0">
      <sharedItems containsSemiMixedTypes="0" containsString="0" containsNumber="1" containsInteger="1" minValue="12319" maxValue="46945"/>
    </cacheField>
    <cacheField name="Total_HFSV" numFmtId="0">
      <sharedItems containsSemiMixedTypes="0" containsString="0" containsNumber="1" containsInteger="1" minValue="19998" maxValue="71717"/>
    </cacheField>
    <cacheField name="Total_Alarms" numFmtId="0">
      <sharedItems containsString="0" containsBlank="1" containsNumber="1" containsInteger="1" minValue="10740" maxValue="46395"/>
    </cacheField>
    <cacheField name="New" numFmtId="0">
      <sharedItems containsString="0" containsBlank="1" containsNumber="1" containsInteger="1" minValue="7870" maxValue="30359"/>
    </cacheField>
    <cacheField name="Replacement" numFmtId="0">
      <sharedItems containsString="0" containsBlank="1" containsNumber="1" containsInteger="1" minValue="0" maxValue="16366"/>
    </cacheField>
  </cacheFields>
  <extLst>
    <ext xmlns:x14="http://schemas.microsoft.com/office/spreadsheetml/2009/9/main" uri="{725AE2AE-9491-48be-B2B4-4EB974FC3084}">
      <x14:pivotCacheDefinition/>
    </ext>
  </extLst>
</pivotCacheDefinition>
</file>

<file path=xl/pivotCache/pivotCacheDefinition5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40.689846759262" createdVersion="8" refreshedVersion="8" minRefreshableVersion="3" recordCount="448" xr:uid="{8A43F342-97CB-475F-B1BE-5026C42175ED}">
  <cacheSource type="worksheet">
    <worksheetSource name="cset_HFSV_Rate_LA_All_Final"/>
  </cacheSource>
  <cacheFields count="15">
    <cacheField name="Year" numFmtId="0">
      <sharedItems count="13">
        <s v="2013-14"/>
        <s v="2014-15"/>
        <s v="2015-16"/>
        <s v="2016-17"/>
        <s v="2017-18"/>
        <s v="2018-19"/>
        <s v="2019-20"/>
        <s v="2020-21"/>
        <s v="2021-22"/>
        <s v="2022-23"/>
        <s v="2023-24"/>
        <s v="2024-25"/>
        <s v="2025-26"/>
      </sharedItems>
    </cacheField>
    <cacheField name="Council" numFmtId="0">
      <sharedItems containsBlank="1" count="34">
        <s v="Angus"/>
        <s v="Argyll and Bute"/>
        <s v="City of Edinburgh"/>
        <s v="Dumfries and Galloway"/>
        <s v="East Dunbartonshire"/>
        <s v="Aberdeenshire"/>
        <s v="Orkney Islands"/>
        <s v="Perth and Kinross"/>
        <s v="South Ayrshire"/>
        <s v="Aberdeen City"/>
        <s v="Dundee City"/>
        <s v="East Ayrshire"/>
        <s v="Falkirk"/>
        <s v="Fife"/>
        <s v="Midlothian"/>
        <s v="Clackmannanshire"/>
        <s v="East Renfrewshire"/>
        <s v="Moray"/>
        <s v="North Lanarkshire"/>
        <s v="East Lothian"/>
        <s v="Highland"/>
        <s v="Na h-Eileanan Siar"/>
        <s v="Renfrewshire"/>
        <s v="Glasgow City"/>
        <s v="Inverclyde"/>
        <s v="North Ayrshire"/>
        <s v="Shetland Islands"/>
        <s v="Scottish Borders"/>
        <s v="Stirling"/>
        <s v="South Lanarkshire"/>
        <s v="West Dunbartonshire"/>
        <s v="West Lothian"/>
        <s v="Not Known" u="1"/>
        <m u="1"/>
      </sharedItems>
    </cacheField>
    <cacheField name="GSSCode" numFmtId="0">
      <sharedItems containsBlank="1"/>
    </cacheField>
    <cacheField name="HFSV - alarms installed" numFmtId="0">
      <sharedItems containsString="0" containsBlank="1" containsNumber="1" containsInteger="1" minValue="3" maxValue="3531"/>
    </cacheField>
    <cacheField name="HFSV - advice only" numFmtId="0">
      <sharedItems containsString="0" containsBlank="1" containsNumber="1" containsInteger="1" minValue="28" maxValue="7410"/>
    </cacheField>
    <cacheField name="Total HFSV" numFmtId="0">
      <sharedItems containsSemiMixedTypes="0" containsString="0" containsNumber="1" containsInteger="1" minValue="31" maxValue="10053"/>
    </cacheField>
    <cacheField name="TotalNewAlarms" numFmtId="0">
      <sharedItems containsString="0" containsBlank="1" containsNumber="1" containsInteger="1" minValue="-14" maxValue="3943"/>
    </cacheField>
    <cacheField name="TotalReplacedAlarms" numFmtId="0">
      <sharedItems containsString="0" containsBlank="1" containsNumber="1" containsInteger="1" minValue="8" maxValue="1853"/>
    </cacheField>
    <cacheField name="TotalAlarms" numFmtId="0">
      <sharedItems containsString="0" containsBlank="1" containsNumber="1" containsInteger="1" minValue="5" maxValue="5634"/>
    </cacheField>
    <cacheField name="Dwellings" numFmtId="0">
      <sharedItems containsSemiMixedTypes="0" containsString="0" containsNumber="1" containsInteger="1" minValue="10717" maxValue="329581"/>
    </cacheField>
    <cacheField name="VisitsPer100Dwelling" numFmtId="0">
      <sharedItems containsSemiMixedTypes="0" containsString="0" containsNumber="1" minValue="0.20200000000000001" maxValue="10.023"/>
    </cacheField>
    <cacheField name="AlarmsPer100Dwelling" numFmtId="0">
      <sharedItems containsString="0" containsBlank="1" containsNumber="1" minValue="3.3000000000000002E-2" maxValue="3.7"/>
    </cacheField>
    <cacheField name="Households" numFmtId="0">
      <sharedItems containsSemiMixedTypes="0" containsString="0" containsNumber="1" minValue="9945" maxValue="300340"/>
    </cacheField>
    <cacheField name="VisitsPer100Household" numFmtId="0">
      <sharedItems containsSemiMixedTypes="0" containsString="0" containsNumber="1" minValue="0.24" maxValue="10.609"/>
    </cacheField>
    <cacheField name="AlarmsPer100Household" numFmtId="0">
      <sharedItems containsString="0" containsBlank="1" containsNumber="1" minValue="3.9E-2" maxValue="3.996"/>
    </cacheField>
  </cacheFields>
  <extLst>
    <ext xmlns:x14="http://schemas.microsoft.com/office/spreadsheetml/2009/9/main" uri="{725AE2AE-9491-48be-B2B4-4EB974FC3084}">
      <x14:pivotCacheDefinition pivotCacheId="1414526592"/>
    </ext>
  </extLst>
</pivotCacheDefinition>
</file>

<file path=xl/pivotCache/pivotCacheDefinition6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41.585314351854" createdVersion="8" refreshedVersion="8" minRefreshableVersion="3" recordCount="61" xr:uid="{746BA8B0-52DA-4563-A259-D455064A81FA}">
  <cacheSource type="worksheet">
    <worksheetSource name="cset_simd_ownerocc"/>
  </cacheSource>
  <cacheFields count="7">
    <cacheField name="FisYr" numFmtId="0">
      <sharedItems containsBlank="1" count="14">
        <s v="NULL"/>
        <s v="2014-15"/>
        <s v="2015-16"/>
        <s v="2016-17"/>
        <s v="2017-18"/>
        <s v="2018-19"/>
        <s v="2019-20"/>
        <s v="2020-21"/>
        <s v="2021-22"/>
        <s v="2022-23"/>
        <s v="2023-24"/>
        <s v="2024-25"/>
        <s v="2025-26"/>
        <m u="1"/>
      </sharedItems>
    </cacheField>
    <cacheField name="SIMD2020_Quintile" numFmtId="0">
      <sharedItems containsMixedTypes="1" containsNumber="1" containsInteger="1" minValue="1" maxValue="5" count="6">
        <s v="NULL"/>
        <n v="1"/>
        <n v="2"/>
        <n v="3"/>
        <n v="4"/>
        <n v="5"/>
      </sharedItems>
    </cacheField>
    <cacheField name="Visits" numFmtId="0">
      <sharedItems containsMixedTypes="1" containsNumber="1" containsInteger="1" minValue="1867" maxValue="8892"/>
    </cacheField>
    <cacheField name="WithAlarmsFitted" numFmtId="0">
      <sharedItems containsMixedTypes="1" containsNumber="1" containsInteger="1" minValue="757" maxValue="4750"/>
    </cacheField>
    <cacheField name="pcAlarmsFitted" numFmtId="0">
      <sharedItems containsMixedTypes="1" containsNumber="1" minValue="23.3" maxValue="76.900000000000006"/>
    </cacheField>
    <cacheField name="RateAlarmsFittedper100OccupiedDwellings" numFmtId="0">
      <sharedItems containsMixedTypes="1" containsNumber="1" minValue="0.15" maxValue="0.99"/>
    </cacheField>
    <cacheField name="OccupiedDwellings" numFmtId="0">
      <sharedItems containsMixedTypes="1" containsNumber="1" containsInteger="1" minValue="449892" maxValue="550140"/>
    </cacheField>
  </cacheFields>
  <extLst>
    <ext xmlns:x14="http://schemas.microsoft.com/office/spreadsheetml/2009/9/main" uri="{725AE2AE-9491-48be-B2B4-4EB974FC3084}">
      <x14:pivotCacheDefinition/>
    </ext>
  </extLst>
</pivotCacheDefinition>
</file>

<file path=xl/pivotCache/pivotCacheDefinition6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54.493911342593" createdVersion="8" refreshedVersion="8" minRefreshableVersion="3" recordCount="16" xr:uid="{A0A15A99-4428-40DE-9C13-096F2AF85391}">
  <cacheSource type="worksheet">
    <worksheetSource name="hrod_HR_StaffingHeadcount__4"/>
  </cacheSource>
  <cacheFields count="7">
    <cacheField name="Year" numFmtId="0">
      <sharedItems count="16">
        <s v="2010-11"/>
        <s v="2011-12"/>
        <s v="2012-13"/>
        <s v="2013-14"/>
        <s v="2014-15"/>
        <s v="2015-16"/>
        <s v="2016-17"/>
        <s v="2017-18"/>
        <s v="2018-19"/>
        <s v="2019-20"/>
        <s v="2020-21"/>
        <s v="2021-22"/>
        <s v="2022-23"/>
        <s v="2023-24"/>
        <s v="2024-25"/>
        <s v="2025-26"/>
      </sharedItems>
    </cacheField>
    <cacheField name="WholeTime Operational" numFmtId="0">
      <sharedItems containsSemiMixedTypes="0" containsString="0" containsNumber="1" containsInteger="1" minValue="3422" maxValue="4206"/>
    </cacheField>
    <cacheField name="Retained Duty System" numFmtId="0">
      <sharedItems containsSemiMixedTypes="0" containsString="0" containsNumber="1" containsInteger="1" minValue="2705" maxValue="3076"/>
    </cacheField>
    <cacheField name="RDS Fulltime" numFmtId="0">
      <sharedItems containsString="0" containsBlank="1" containsNumber="1" containsInteger="1" minValue="18" maxValue="60"/>
    </cacheField>
    <cacheField name="Control" numFmtId="0">
      <sharedItems containsSemiMixedTypes="0" containsString="0" containsNumber="1" containsInteger="1" minValue="165" maxValue="234"/>
    </cacheField>
    <cacheField name="Support" numFmtId="0">
      <sharedItems containsSemiMixedTypes="0" containsString="0" containsNumber="1" containsInteger="1" minValue="792" maxValue="1136"/>
    </cacheField>
    <cacheField name="Volunteer" numFmtId="0">
      <sharedItems containsSemiMixedTypes="0" containsString="0" containsNumber="1" containsInteger="1" minValue="252" maxValue="459"/>
    </cacheField>
  </cacheFields>
  <extLst>
    <ext xmlns:x14="http://schemas.microsoft.com/office/spreadsheetml/2009/9/main" uri="{725AE2AE-9491-48be-B2B4-4EB974FC3084}">
      <x14:pivotCacheDefinition/>
    </ext>
  </extLst>
</pivotCacheDefinition>
</file>

<file path=xl/pivotCache/pivotCacheDefinition6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55.44117337963" createdVersion="8" refreshedVersion="8" minRefreshableVersion="3" recordCount="232" xr:uid="{C013C21D-AEEA-4A34-A01D-6728E901F424}">
  <cacheSource type="worksheet">
    <worksheetSource name="fleet_LocalAuthority__2"/>
  </cacheSource>
  <cacheFields count="10">
    <cacheField name="Year" numFmtId="0">
      <sharedItems count="8">
        <s v="2018-19"/>
        <s v="2019-20"/>
        <s v="2020-21"/>
        <s v="2021-22"/>
        <s v="2022-23"/>
        <s v="2023-24"/>
        <s v="2024-25"/>
        <s v="2025-26"/>
      </sharedItems>
    </cacheField>
    <cacheField name="LA Code" numFmtId="0">
      <sharedItems containsBlank="1"/>
    </cacheField>
    <cacheField name="Local Authority Area" numFmtId="0">
      <sharedItems containsBlank="1" count="33">
        <m/>
        <s v="Aberdeen City"/>
        <s v="Aberdeenshire"/>
        <s v="Angus"/>
        <s v="Clackmannanshire"/>
        <s v="Dundee City"/>
        <s v="East Ayrshire"/>
        <s v="East Dunbartonshire"/>
        <s v="East Lothian"/>
        <s v="East Renfrewshire"/>
        <s v="Falkirk"/>
        <s v="Fife"/>
        <s v="Glasgow City"/>
        <s v="Highland"/>
        <s v="Inverclyde"/>
        <s v="Midlothian"/>
        <s v="Moray"/>
        <s v="Na h-Eileanan Siar"/>
        <s v="North Ayrshire"/>
        <s v="North Lanarkshire"/>
        <s v="Orkney Islands"/>
        <s v="Renfrewshire"/>
        <s v="Scottish Borders"/>
        <s v="Shetland Islands"/>
        <s v="South Ayrshire"/>
        <s v="South Lanarkshire"/>
        <s v="Stirling"/>
        <s v="West Dunbartonshire"/>
        <s v="West Lothian"/>
        <s v="Dumfries and Galloway" u="1"/>
        <s v="Argyll and Bute" u="1"/>
        <s v="Perth and Kinross" u="1"/>
        <s v="City of Edinburgh" u="1"/>
      </sharedItems>
    </cacheField>
    <cacheField name="Pumping Appliances" numFmtId="0">
      <sharedItems containsSemiMixedTypes="0" containsString="0" containsNumber="1" containsInteger="1" minValue="2" maxValue="146"/>
    </cacheField>
    <cacheField name="Aerial Appliances" numFmtId="0">
      <sharedItems containsSemiMixedTypes="0" containsString="0" containsNumber="1" containsInteger="1" minValue="0" maxValue="10"/>
    </cacheField>
    <cacheField name="Resilience Appliances" numFmtId="0">
      <sharedItems containsSemiMixedTypes="0" containsString="0" containsNumber="1" containsInteger="1" minValue="0" maxValue="8"/>
    </cacheField>
    <cacheField name="Vehicles for Rescue Work" numFmtId="0">
      <sharedItems containsSemiMixedTypes="0" containsString="0" containsNumber="1" containsInteger="1" minValue="0" maxValue="16"/>
    </cacheField>
    <cacheField name="Small Firefighting Vehicles" numFmtId="0">
      <sharedItems containsSemiMixedTypes="0" containsString="0" containsNumber="1" containsInteger="1" minValue="0" maxValue="40"/>
    </cacheField>
    <cacheField name="Other Operational" numFmtId="0">
      <sharedItems containsSemiMixedTypes="0" containsString="0" containsNumber="1" containsInteger="1" minValue="0" maxValue="22"/>
    </cacheField>
    <cacheField name="Total Appliances" numFmtId="0">
      <sharedItems containsSemiMixedTypes="0" containsString="0" containsNumber="1" containsInteger="1" minValue="2" maxValue="242"/>
    </cacheField>
  </cacheFields>
  <extLst>
    <ext xmlns:x14="http://schemas.microsoft.com/office/spreadsheetml/2009/9/main" uri="{725AE2AE-9491-48be-B2B4-4EB974FC3084}">
      <x14:pivotCacheDefinition pivotCacheId="2080512633"/>
    </ext>
  </extLst>
</pivotCacheDefinition>
</file>

<file path=xl/pivotCache/pivotCacheDefinition6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55.458616898148" createdVersion="6" refreshedVersion="8" minRefreshableVersion="3" recordCount="68" xr:uid="{00000000-000A-0000-FFFF-FFFFB9000000}">
  <cacheSource type="worksheet">
    <worksheetSource name="hrod_HR_Role"/>
  </cacheSource>
  <cacheFields count="10">
    <cacheField name="Year" numFmtId="0">
      <sharedItems count="13">
        <s v="2013-14"/>
        <s v="2014-15"/>
        <s v="2015-16"/>
        <s v="2016-17"/>
        <s v="2017-18"/>
        <s v="2018-19"/>
        <s v="2019-20"/>
        <s v="2020-21"/>
        <s v="2021-22"/>
        <s v="2022-23"/>
        <s v="2023-24"/>
        <s v="2024-25"/>
        <s v="2025-26"/>
      </sharedItems>
    </cacheField>
    <cacheField name="Type" numFmtId="0">
      <sharedItems count="6">
        <s v="Control"/>
        <s v="Vol"/>
        <s v="WT"/>
        <s v="RDS"/>
        <s v="Support"/>
        <s v="RDS Fulltime"/>
      </sharedItems>
    </cacheField>
    <cacheField name="Total" numFmtId="0">
      <sharedItems containsSemiMixedTypes="0" containsString="0" containsNumber="1" containsInteger="1" minValue="0" maxValue="4001"/>
    </cacheField>
    <cacheField name="Brigade Manager" numFmtId="0">
      <sharedItems containsString="0" containsBlank="1" containsNumber="1" containsInteger="1" minValue="4" maxValue="9"/>
    </cacheField>
    <cacheField name="Area Manager" numFmtId="0">
      <sharedItems containsString="0" containsBlank="1" containsNumber="1" containsInteger="1" minValue="1" maxValue="35"/>
    </cacheField>
    <cacheField name="Group Manager" numFmtId="0">
      <sharedItems containsString="0" containsBlank="1" containsNumber="1" containsInteger="1" minValue="2" maxValue="115"/>
    </cacheField>
    <cacheField name="Station Manager" numFmtId="0">
      <sharedItems containsString="0" containsBlank="1" containsNumber="1" containsInteger="1" minValue="6" maxValue="160"/>
    </cacheField>
    <cacheField name="Watch Manager" numFmtId="0">
      <sharedItems containsString="0" containsBlank="1" containsNumber="1" containsInteger="1" minValue="9" maxValue="679"/>
    </cacheField>
    <cacheField name="Crew Manager" numFmtId="0">
      <sharedItems containsString="0" containsBlank="1" containsNumber="1" containsInteger="1" minValue="1" maxValue="689"/>
    </cacheField>
    <cacheField name="Firefighter" numFmtId="0">
      <sharedItems containsString="0" containsBlank="1" containsNumber="1" containsInteger="1" minValue="80" maxValue="2374"/>
    </cacheField>
  </cacheFields>
  <extLst>
    <ext xmlns:x14="http://schemas.microsoft.com/office/spreadsheetml/2009/9/main" uri="{725AE2AE-9491-48be-B2B4-4EB974FC3084}">
      <x14:pivotCacheDefinition pivotCacheId="134"/>
    </ext>
  </extLst>
</pivotCacheDefinition>
</file>

<file path=xl/pivotCache/pivotCacheDefinition6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55.483064236112" createdVersion="8" refreshedVersion="8" minRefreshableVersion="3" recordCount="124" xr:uid="{4FDCFA12-C4A5-42BC-854E-A3E4C39B018D}">
  <cacheSource type="worksheet">
    <worksheetSource name="hrod_HR_Ethnicity"/>
  </cacheSource>
  <cacheFields count="5">
    <cacheField name="FisYr" numFmtId="0">
      <sharedItems count="16">
        <s v="2010-11"/>
        <s v="2011-12"/>
        <s v="2012-13"/>
        <s v="2013-14"/>
        <s v="2014-15"/>
        <s v="2015-16"/>
        <s v="2016-17"/>
        <s v="2017-18"/>
        <s v="2018-19"/>
        <s v="2019-20"/>
        <s v="2020-21"/>
        <s v="2021-22"/>
        <s v="2022-23"/>
        <s v="2023-24"/>
        <s v="2024-25"/>
        <s v="2025-26"/>
      </sharedItems>
    </cacheField>
    <cacheField name="Type" numFmtId="0">
      <sharedItems containsBlank="1" count="9">
        <s v="Control"/>
        <s v="RDS"/>
        <s v="Support"/>
        <s v="Total"/>
        <s v="Total (ex Vol)"/>
        <s v="Vol"/>
        <s v="WT"/>
        <s v="RDS Fulltime"/>
        <m/>
      </sharedItems>
    </cacheField>
    <cacheField name="White" numFmtId="0">
      <sharedItems containsString="0" containsBlank="1" containsNumber="1" minValue="26.7" maxValue="90.6"/>
    </cacheField>
    <cacheField name="Ethnic Minority" numFmtId="0">
      <sharedItems containsString="0" containsBlank="1" containsNumber="1" minValue="0.1" maxValue="2.7932960893854748"/>
    </cacheField>
    <cacheField name="Not Stated" numFmtId="0">
      <sharedItems containsString="0" containsBlank="1" containsNumber="1" minValue="9" maxValue="72.8"/>
    </cacheField>
  </cacheFields>
  <extLst>
    <ext xmlns:x14="http://schemas.microsoft.com/office/spreadsheetml/2009/9/main" uri="{725AE2AE-9491-48be-B2B4-4EB974FC3084}">
      <x14:pivotCacheDefinition/>
    </ext>
  </extLst>
</pivotCacheDefinition>
</file>

<file path=xl/pivotCache/pivotCacheDefinition6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55.543573263887" createdVersion="8" refreshedVersion="8" minRefreshableVersion="3" recordCount="25" xr:uid="{073DB4E9-A890-4E0C-8FBF-98DC54F06A74}">
  <cacheSource type="worksheet">
    <worksheetSource name="cset_DistinctVisits_Final"/>
  </cacheSource>
  <cacheFields count="12">
    <cacheField name="FisYr" numFmtId="0">
      <sharedItems count="13">
        <s v="2013-14"/>
        <s v="2014-15"/>
        <s v="2015-16"/>
        <s v="2016-17"/>
        <s v="2017-18"/>
        <s v="2018-19"/>
        <s v="2019-20"/>
        <s v="2020-21"/>
        <s v="2021-22"/>
        <s v="2022-23"/>
        <s v="2023-24"/>
        <s v="2024-25"/>
        <s v="2025-26"/>
      </sharedItems>
    </cacheField>
    <cacheField name="Counted" numFmtId="0">
      <sharedItems count="2">
        <s v="All"/>
        <s v="withAlarmsInstalled"/>
      </sharedItems>
    </cacheField>
    <cacheField name="OneYrDistinct" numFmtId="0">
      <sharedItems containsSemiMixedTypes="0" containsString="0" containsNumber="1" containsInteger="1" minValue="1741" maxValue="69038"/>
    </cacheField>
    <cacheField name="ThreeYrDistinct" numFmtId="0">
      <sharedItems containsString="0" containsBlank="1" containsNumber="1" containsInteger="1" minValue="6102" maxValue="180398"/>
    </cacheField>
    <cacheField name="FiveYrDistinct" numFmtId="0">
      <sharedItems containsString="0" containsBlank="1" containsNumber="1" containsInteger="1" minValue="19172" maxValue="272384"/>
    </cacheField>
    <cacheField name="OneYrDistinctNew" numFmtId="0">
      <sharedItems containsString="0" containsBlank="1" containsNumber="1" containsInteger="1" minValue="12799" maxValue="47485"/>
    </cacheField>
    <cacheField name="HouseholdsinYr" numFmtId="0">
      <sharedItems containsSemiMixedTypes="0" containsString="0" containsNumber="1" minValue="2400342" maxValue="2570799"/>
    </cacheField>
    <cacheField name="HouseholdsThreeYrAv" numFmtId="0">
      <sharedItems containsSemiMixedTypes="0" containsString="0" containsNumber="1" containsInteger="1" minValue="2387809" maxValue="2552832"/>
    </cacheField>
    <cacheField name="HouseholdsFiveYrAv" numFmtId="0">
      <sharedItems containsSemiMixedTypes="0" containsString="0" containsNumber="1" containsInteger="1" minValue="2376011" maxValue="2547423"/>
    </cacheField>
    <cacheField name="pcOYDH" numFmtId="0">
      <sharedItems containsSemiMixedTypes="0" containsString="0" containsNumber="1" minValue="7.0000000000000007E-2" maxValue="2.84"/>
    </cacheField>
    <cacheField name="pcTYDH" numFmtId="0">
      <sharedItems containsString="0" containsBlank="1" containsNumber="1" minValue="0.24" maxValue="7.37"/>
    </cacheField>
    <cacheField name="pcFYDH" numFmtId="0">
      <sharedItems containsString="0" containsBlank="1" containsNumber="1" minValue="0.75" maxValue="10.99"/>
    </cacheField>
  </cacheFields>
  <extLst>
    <ext xmlns:x14="http://schemas.microsoft.com/office/spreadsheetml/2009/9/main" uri="{725AE2AE-9491-48be-B2B4-4EB974FC3084}">
      <x14:pivotCacheDefinition/>
    </ext>
  </extLst>
</pivotCacheDefinition>
</file>

<file path=xl/pivotCache/pivotCacheDefinition6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55.546293634259" createdVersion="8" refreshedVersion="8" minRefreshableVersion="3" recordCount="26" xr:uid="{8D5A0897-B52E-4642-8963-19343D417C5F}">
  <cacheSource type="worksheet">
    <worksheetSource name="NR_Households"/>
  </cacheSource>
  <cacheFields count="3">
    <cacheField name="Council" numFmtId="0">
      <sharedItems/>
    </cacheField>
    <cacheField name="Year" numFmtId="0">
      <sharedItems containsSemiMixedTypes="0" containsString="0" containsNumber="1" containsInteger="1" minValue="1991" maxValue="2025" count="26">
        <n v="1991"/>
        <n v="2001"/>
        <n v="2002"/>
        <n v="2003"/>
        <n v="2004"/>
        <n v="2005"/>
        <n v="2006"/>
        <n v="2007"/>
        <n v="2008"/>
        <n v="2009"/>
        <n v="2010"/>
        <n v="2011"/>
        <n v="2012"/>
        <n v="2013"/>
        <n v="2014"/>
        <n v="2015"/>
        <n v="2016"/>
        <n v="2017"/>
        <n v="2018"/>
        <n v="2019"/>
        <n v="2020"/>
        <n v="2021"/>
        <n v="2022"/>
        <n v="2023"/>
        <n v="2024"/>
        <n v="2025"/>
      </sharedItems>
    </cacheField>
    <cacheField name="Households" numFmtId="0">
      <sharedItems containsSemiMixedTypes="0" containsString="0" containsNumber="1" minValue="2042809" maxValue="2570799"/>
    </cacheField>
  </cacheFields>
  <extLst>
    <ext xmlns:x14="http://schemas.microsoft.com/office/spreadsheetml/2009/9/main" uri="{725AE2AE-9491-48be-B2B4-4EB974FC3084}">
      <x14:pivotCacheDefinition/>
    </ext>
  </extLst>
</pivotCacheDefinition>
</file>

<file path=xl/pivotCache/pivotCacheDefinition6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r:id="rId1" refreshedBy="Mackintosh, Gemma" refreshedDate="46255.548326851851" createdVersion="8" refreshedVersion="8" minRefreshableVersion="3" recordCount="13" xr:uid="{AD03364B-9088-4886-95C7-2E5CAE87E74B}">
  <cacheSource type="worksheet">
    <worksheetSource name="cset_DistinctVisits_percent__2"/>
  </cacheSource>
  <cacheFields count="4">
    <cacheField name="Year" numFmtId="0">
      <sharedItems count="14">
        <s v="2013-14"/>
        <s v="2014-15"/>
        <s v="2015-16"/>
        <s v="2016-17"/>
        <s v="2017-18"/>
        <s v="2018-19"/>
        <s v="2019-20"/>
        <s v="2020-21"/>
        <s v="2021-22"/>
        <s v="2022-23"/>
        <s v="2023-24"/>
        <s v="2024-25"/>
        <s v="2025-26"/>
        <s v="2024-26" u="1"/>
      </sharedItems>
    </cacheField>
    <cacheField name="In One Year" numFmtId="0">
      <sharedItems containsSemiMixedTypes="0" containsString="0" containsNumber="1" minValue="4.4000000000000003E-3" maxValue="2.8399999999999998E-2"/>
    </cacheField>
    <cacheField name="Over Three Years" numFmtId="0">
      <sharedItems containsString="0" containsBlank="1" containsNumber="1" minValue="2.52E-2" maxValue="7.3700000000000002E-2"/>
    </cacheField>
    <cacheField name="Over Five Years" numFmtId="0">
      <sharedItems containsString="0" containsBlank="1" containsNumber="1" minValue="4.8799999999999996E-2" maxValue="0.1099"/>
    </cacheField>
  </cacheFields>
  <extLst>
    <ext xmlns:x14="http://schemas.microsoft.com/office/spreadsheetml/2009/9/main" uri="{725AE2AE-9491-48be-B2B4-4EB974FC3084}">
      <x14:pivotCacheDefinition/>
    </ext>
  </extLst>
</pivotCacheDefinition>
</file>

<file path=xl/pivotCache/pivotCacheRecords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2">
  <r>
    <x v="0"/>
    <n v="9522"/>
    <n v="8378"/>
    <n v="6148"/>
    <n v="21422"/>
    <n v="45974"/>
    <n v="43449"/>
    <n v="0"/>
    <n v="134893"/>
  </r>
  <r>
    <x v="1"/>
    <n v="9301"/>
    <n v="8100"/>
    <n v="5611"/>
    <n v="17596"/>
    <n v="41757"/>
    <n v="43048"/>
    <n v="0"/>
    <n v="125413"/>
  </r>
  <r>
    <x v="2"/>
    <n v="9270"/>
    <n v="8385"/>
    <n v="5779"/>
    <n v="17567"/>
    <n v="43991"/>
    <n v="49733"/>
    <n v="0"/>
    <n v="134725"/>
  </r>
  <r>
    <x v="3"/>
    <n v="7684"/>
    <n v="7945"/>
    <n v="5617"/>
    <n v="13019"/>
    <n v="42665"/>
    <n v="52260"/>
    <n v="0"/>
    <n v="129190"/>
  </r>
  <r>
    <x v="4"/>
    <n v="7694"/>
    <n v="7954"/>
    <n v="5364"/>
    <n v="13881"/>
    <n v="42205"/>
    <n v="50848"/>
    <n v="0"/>
    <n v="127946"/>
  </r>
  <r>
    <x v="5"/>
    <n v="7266"/>
    <n v="7987"/>
    <n v="5517"/>
    <n v="13947"/>
    <n v="41141"/>
    <n v="48727"/>
    <n v="0"/>
    <n v="124585"/>
  </r>
  <r>
    <x v="6"/>
    <n v="7040"/>
    <n v="7889"/>
    <n v="5512"/>
    <n v="13665"/>
    <n v="40173"/>
    <n v="48769"/>
    <n v="0"/>
    <n v="123048"/>
  </r>
  <r>
    <x v="7"/>
    <n v="1270"/>
    <n v="1639"/>
    <n v="1291"/>
    <n v="2992"/>
    <n v="9416"/>
    <n v="16017"/>
    <n v="0"/>
    <n v="32625"/>
  </r>
  <r>
    <x v="8"/>
    <n v="2198"/>
    <n v="2826"/>
    <n v="2403"/>
    <n v="5628"/>
    <n v="18596"/>
    <n v="39107"/>
    <n v="0"/>
    <n v="70758"/>
  </r>
  <r>
    <x v="9"/>
    <n v="2300"/>
    <n v="3133"/>
    <n v="2463"/>
    <n v="5787"/>
    <n v="18149"/>
    <n v="30792"/>
    <n v="0"/>
    <n v="62624"/>
  </r>
  <r>
    <x v="10"/>
    <n v="2410"/>
    <n v="3147"/>
    <n v="2485"/>
    <n v="6086"/>
    <n v="18432"/>
    <n v="28179"/>
    <n v="0"/>
    <n v="60739"/>
  </r>
  <r>
    <x v="11"/>
    <n v="1993"/>
    <n v="2601"/>
    <n v="2090"/>
    <n v="5412"/>
    <n v="16549"/>
    <n v="25840"/>
    <n v="38"/>
    <n v="54523"/>
  </r>
</pivotCacheRecords>
</file>

<file path=xl/pivotCache/pivotCacheRecords2.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2">
  <r>
    <x v="0"/>
    <n v="3.2383018810173998"/>
    <n v="2.4963871217651699"/>
    <n v="1.7888109120957101"/>
    <n v="2.17919399729813"/>
    <n v="2.1170750711117798"/>
    <n v="3.6214893874166001"/>
    <n v="2.53191808848096"/>
  </r>
  <r>
    <x v="1"/>
    <n v="3.1868346484751102"/>
    <n v="2.3587378131879699"/>
    <n v="1.6718611261747101"/>
    <n v="1.78860036633983"/>
    <n v="1.9208273399"/>
    <n v="3.5313264951207199"/>
    <n v="2.3452202857356599"/>
  </r>
  <r>
    <x v="2"/>
    <n v="3.1836633765377398"/>
    <n v="2.4072968224256099"/>
    <n v="1.7431198195046"/>
    <n v="1.77315129774044"/>
    <n v="2.02073514685482"/>
    <n v="4.0293256937670296"/>
    <n v="2.5074446305602098"/>
  </r>
  <r>
    <x v="3"/>
    <n v="2.6751335129753002"/>
    <n v="2.23490559668745"/>
    <n v="1.7018839798088801"/>
    <n v="1.3071088286823001"/>
    <n v="1.9537466004626001"/>
    <n v="4.1736147049239998"/>
    <n v="2.3903269376653702"/>
  </r>
  <r>
    <x v="4"/>
    <n v="2.7273436226099399"/>
    <n v="2.2093953467700702"/>
    <n v="1.6209257770713299"/>
    <n v="1.39846824355774"/>
    <n v="1.92917123571634"/>
    <n v="3.99921035100841"/>
    <n v="2.35853856363368"/>
  </r>
  <r>
    <x v="5"/>
    <n v="2.6244121620157301"/>
    <n v="2.2083850613962599"/>
    <n v="1.6496084534584401"/>
    <n v="1.4152106479203099"/>
    <n v="1.87941605212535"/>
    <n v="3.77556001518685"/>
    <n v="2.2909655946010599"/>
  </r>
  <r>
    <x v="6"/>
    <n v="2.5909500763667817"/>
    <n v="2.1887441563666123"/>
    <n v="1.6055974529491785"/>
    <n v="1.3978495723593021"/>
    <n v="1.8302517057382788"/>
    <n v="3.7077274669399558"/>
    <n v="2.2522651144912418"/>
  </r>
  <r>
    <x v="7"/>
    <n v="0.48141437268295645"/>
    <n v="0.45840896568505429"/>
    <n v="0.36746497554977431"/>
    <n v="0.31022444614256844"/>
    <n v="0.42915501219418262"/>
    <n v="1.1999685342583262"/>
    <n v="0.59687156970362243"/>
  </r>
  <r>
    <x v="8"/>
    <n v="0.86048614726918959"/>
    <n v="0.79249568838598416"/>
    <n v="0.67354317907895844"/>
    <n v="0.59173152968067744"/>
    <n v="0.8446089414273964"/>
    <n v="2.8791941466373943"/>
    <n v="1.291227942115732"/>
  </r>
  <r>
    <x v="9"/>
    <n v="0.90041771552281002"/>
    <n v="0.87858775361404406"/>
    <n v="0.69036073660901975"/>
    <n v="0.60844889165992899"/>
    <n v="0.82430671531328326"/>
    <n v="2.2670147585664622"/>
    <n v="1.1427945765433676"/>
  </r>
  <r>
    <x v="10"/>
    <n v="0.97465098597473188"/>
    <n v="0.92497068133922355"/>
    <n v="0.67739227145847869"/>
    <n v="0.64712737542319532"/>
    <n v="0.84588756469098614"/>
    <n v="1.989648939475245"/>
    <n v="1.1063368608950657"/>
  </r>
  <r>
    <x v="11"/>
    <n v="0.80937625640130129"/>
    <n v="0.76244580654806393"/>
    <n v="0.56198960453678881"/>
    <n v="0.56558402402791552"/>
    <n v="0.75715843914365921"/>
    <n v="1.7881486709986367"/>
    <n v="0.97440011537976179"/>
  </r>
</pivotCacheRecords>
</file>

<file path=xl/pivotCache/pivotCacheRecords3.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4">
  <r>
    <x v="0"/>
    <n v="465"/>
    <n v="28"/>
    <n v="37"/>
    <n v="22"/>
    <n v="15"/>
    <n v="30"/>
    <n v="23"/>
    <n v="620"/>
    <m/>
    <n v="59"/>
    <n v="31"/>
    <n v="805"/>
    <n v="1515"/>
  </r>
  <r>
    <x v="1"/>
    <n v="452"/>
    <n v="31"/>
    <n v="21"/>
    <m/>
    <n v="19"/>
    <n v="29"/>
    <n v="25"/>
    <n v="577"/>
    <m/>
    <n v="65"/>
    <n v="31"/>
    <n v="628"/>
    <n v="1301"/>
  </r>
  <r>
    <x v="2"/>
    <n v="449"/>
    <n v="14"/>
    <n v="23"/>
    <n v="25"/>
    <n v="16"/>
    <n v="36"/>
    <n v="24"/>
    <n v="587"/>
    <m/>
    <n v="85"/>
    <n v="27"/>
    <n v="875"/>
    <n v="1574"/>
  </r>
  <r>
    <x v="3"/>
    <n v="438"/>
    <n v="12"/>
    <n v="14"/>
    <n v="24"/>
    <n v="18"/>
    <n v="39"/>
    <n v="47"/>
    <n v="592"/>
    <m/>
    <n v="65"/>
    <n v="42"/>
    <n v="811"/>
    <n v="1510"/>
  </r>
  <r>
    <x v="4"/>
    <n v="418"/>
    <n v="26"/>
    <n v="43"/>
    <n v="26"/>
    <n v="17"/>
    <n v="34"/>
    <n v="68"/>
    <n v="632"/>
    <m/>
    <n v="65"/>
    <n v="62"/>
    <n v="788"/>
    <n v="1547"/>
  </r>
  <r>
    <x v="5"/>
    <n v="417"/>
    <n v="25"/>
    <n v="43"/>
    <n v="27"/>
    <n v="20"/>
    <n v="41"/>
    <n v="59"/>
    <n v="632"/>
    <n v="95"/>
    <n v="74"/>
    <n v="64"/>
    <n v="641"/>
    <n v="1506"/>
  </r>
  <r>
    <x v="6"/>
    <n v="431"/>
    <n v="28"/>
    <n v="42"/>
    <n v="39"/>
    <n v="25"/>
    <n v="39"/>
    <n v="62"/>
    <n v="666"/>
    <n v="198"/>
    <n v="90"/>
    <n v="65"/>
    <n v="532"/>
    <n v="1551"/>
  </r>
  <r>
    <x v="7"/>
    <n v="421"/>
    <n v="26"/>
    <n v="39"/>
    <n v="41"/>
    <n v="29"/>
    <n v="36"/>
    <n v="63"/>
    <n v="655"/>
    <n v="285"/>
    <n v="86"/>
    <n v="71"/>
    <n v="470"/>
    <n v="1567"/>
  </r>
  <r>
    <x v="8"/>
    <n v="445"/>
    <n v="25"/>
    <n v="38"/>
    <n v="24"/>
    <n v="28"/>
    <n v="30"/>
    <n v="60"/>
    <n v="650"/>
    <n v="335"/>
    <n v="94"/>
    <n v="61"/>
    <n v="491"/>
    <n v="1631"/>
  </r>
  <r>
    <x v="9"/>
    <n v="427"/>
    <n v="25"/>
    <n v="23"/>
    <n v="25"/>
    <n v="28"/>
    <n v="30"/>
    <n v="77"/>
    <n v="635"/>
    <n v="313"/>
    <n v="109"/>
    <n v="60"/>
    <n v="560"/>
    <n v="1677"/>
  </r>
  <r>
    <x v="10"/>
    <n v="429"/>
    <n v="25"/>
    <n v="23"/>
    <n v="24"/>
    <n v="28"/>
    <n v="31"/>
    <n v="77"/>
    <n v="637"/>
    <n v="319"/>
    <n v="90"/>
    <n v="55"/>
    <n v="527"/>
    <n v="1628"/>
  </r>
  <r>
    <x v="11"/>
    <n v="424"/>
    <n v="16"/>
    <n v="21"/>
    <n v="24"/>
    <n v="28"/>
    <n v="35"/>
    <n v="73"/>
    <n v="621"/>
    <n v="327"/>
    <n v="85"/>
    <n v="61"/>
    <n v="491"/>
    <n v="1585"/>
  </r>
  <r>
    <x v="12"/>
    <n v="424"/>
    <n v="16"/>
    <n v="19"/>
    <n v="24"/>
    <n v="28"/>
    <n v="30"/>
    <n v="89"/>
    <n v="630"/>
    <n v="329"/>
    <n v="83"/>
    <n v="61"/>
    <n v="473"/>
    <n v="1576"/>
  </r>
  <r>
    <x v="13"/>
    <n v="420"/>
    <n v="16"/>
    <n v="17"/>
    <n v="24"/>
    <n v="28"/>
    <n v="34"/>
    <n v="82"/>
    <n v="621"/>
    <n v="331"/>
    <n v="91"/>
    <n v="59"/>
    <n v="473"/>
    <n v="1575"/>
  </r>
</pivotCacheRecords>
</file>

<file path=xl/pivotCache/pivotCacheRecords4.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0">
  <r>
    <x v="0"/>
    <x v="0"/>
    <n v="18"/>
    <n v="21"/>
    <n v="38"/>
    <n v="77"/>
  </r>
  <r>
    <x v="0"/>
    <x v="1"/>
    <n v="11"/>
    <n v="12"/>
    <n v="30"/>
    <n v="53"/>
  </r>
  <r>
    <x v="0"/>
    <x v="2"/>
    <n v="11"/>
    <n v="15"/>
    <n v="46"/>
    <n v="72"/>
  </r>
  <r>
    <x v="0"/>
    <x v="3"/>
    <n v="10"/>
    <n v="9"/>
    <n v="34"/>
    <n v="53"/>
  </r>
  <r>
    <x v="0"/>
    <x v="4"/>
    <n v="19"/>
    <n v="25"/>
    <n v="19"/>
    <n v="63"/>
  </r>
  <r>
    <x v="0"/>
    <x v="5"/>
    <n v="14"/>
    <n v="34"/>
    <n v="18"/>
    <n v="66"/>
  </r>
  <r>
    <x v="0"/>
    <x v="6"/>
    <n v="22"/>
    <n v="32"/>
    <n v="16"/>
    <n v="70"/>
  </r>
  <r>
    <x v="0"/>
    <x v="7"/>
    <n v="25"/>
    <n v="13"/>
    <n v="13"/>
    <n v="51"/>
  </r>
  <r>
    <x v="0"/>
    <x v="8"/>
    <n v="18"/>
    <n v="12"/>
    <n v="21"/>
    <n v="51"/>
  </r>
  <r>
    <x v="0"/>
    <x v="9"/>
    <n v="9"/>
    <n v="28"/>
    <n v="14"/>
    <n v="51"/>
  </r>
</pivotCacheRecords>
</file>

<file path=xl/pivotCache/pivotCacheRecords5.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0">
  <r>
    <x v="0"/>
    <x v="0"/>
    <n v="2"/>
    <n v="3"/>
    <n v="0"/>
    <n v="5"/>
  </r>
  <r>
    <x v="0"/>
    <x v="1"/>
    <n v="2"/>
    <n v="3"/>
    <n v="3"/>
    <n v="8"/>
  </r>
  <r>
    <x v="0"/>
    <x v="2"/>
    <n v="1"/>
    <n v="6"/>
    <n v="4"/>
    <n v="11"/>
  </r>
  <r>
    <x v="0"/>
    <x v="3"/>
    <n v="1"/>
    <n v="1"/>
    <n v="1"/>
    <n v="3"/>
  </r>
  <r>
    <x v="0"/>
    <x v="4"/>
    <n v="0"/>
    <n v="5"/>
    <n v="1"/>
    <n v="6"/>
  </r>
  <r>
    <x v="0"/>
    <x v="5"/>
    <n v="6"/>
    <n v="3"/>
    <n v="0"/>
    <n v="9"/>
  </r>
  <r>
    <x v="0"/>
    <x v="6"/>
    <n v="2"/>
    <n v="9"/>
    <n v="1"/>
    <n v="12"/>
  </r>
  <r>
    <x v="0"/>
    <x v="7"/>
    <n v="4"/>
    <n v="3"/>
    <n v="2"/>
    <n v="9"/>
  </r>
  <r>
    <x v="0"/>
    <x v="8"/>
    <n v="1"/>
    <n v="7"/>
    <n v="0"/>
    <n v="8"/>
  </r>
  <r>
    <x v="0"/>
    <x v="9"/>
    <n v="11"/>
    <n v="13"/>
    <n v="2"/>
    <n v="26"/>
  </r>
</pivotCacheRecords>
</file>

<file path=xl/pivotCache/pivotCacheRecords6.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28">
  <r>
    <x v="0"/>
    <s v="S12000033"/>
    <n v="1"/>
    <n v="1"/>
    <n v="1"/>
    <m/>
    <n v="2"/>
    <n v="1"/>
    <n v="2"/>
    <n v="0"/>
    <n v="1"/>
    <n v="1"/>
  </r>
  <r>
    <x v="1"/>
    <s v="S12000034"/>
    <n v="3"/>
    <n v="1"/>
    <n v="1"/>
    <n v="3"/>
    <n v="1"/>
    <n v="1"/>
    <n v="0"/>
    <n v="1"/>
    <n v="0"/>
    <n v="1"/>
  </r>
  <r>
    <x v="2"/>
    <s v="S12000035"/>
    <n v="3"/>
    <m/>
    <n v="1"/>
    <m/>
    <m/>
    <n v="1"/>
    <n v="0"/>
    <n v="0"/>
    <n v="0"/>
    <n v="1"/>
  </r>
  <r>
    <x v="3"/>
    <s v="S12000036"/>
    <n v="4"/>
    <n v="2"/>
    <n v="8"/>
    <n v="6"/>
    <n v="3"/>
    <n v="15"/>
    <n v="9"/>
    <n v="6"/>
    <n v="7"/>
    <n v="5"/>
  </r>
  <r>
    <x v="4"/>
    <s v="S12000005"/>
    <m/>
    <m/>
    <m/>
    <m/>
    <m/>
    <m/>
    <m/>
    <n v="0"/>
    <n v="0"/>
    <n v="0"/>
  </r>
  <r>
    <x v="5"/>
    <s v="S12000006"/>
    <n v="1"/>
    <m/>
    <m/>
    <n v="3"/>
    <n v="2"/>
    <n v="1"/>
    <n v="1"/>
    <n v="1"/>
    <n v="1"/>
    <n v="1"/>
  </r>
  <r>
    <x v="6"/>
    <s v="S12000042"/>
    <n v="9"/>
    <n v="3"/>
    <n v="3"/>
    <n v="3"/>
    <n v="5"/>
    <n v="13"/>
    <n v="6"/>
    <n v="0"/>
    <n v="2"/>
    <n v="5"/>
  </r>
  <r>
    <x v="7"/>
    <s v="S12000008"/>
    <n v="1"/>
    <n v="1"/>
    <n v="3"/>
    <m/>
    <n v="1"/>
    <n v="1"/>
    <n v="0"/>
    <n v="1"/>
    <n v="0"/>
    <n v="2"/>
  </r>
  <r>
    <x v="8"/>
    <s v="S12000045"/>
    <n v="3"/>
    <m/>
    <n v="4"/>
    <m/>
    <n v="1"/>
    <n v="0"/>
    <n v="1"/>
    <n v="0"/>
    <n v="0"/>
    <n v="2"/>
  </r>
  <r>
    <x v="9"/>
    <s v="S12000010"/>
    <n v="2"/>
    <m/>
    <m/>
    <m/>
    <n v="2"/>
    <n v="1"/>
    <n v="1"/>
    <n v="1"/>
    <n v="1"/>
    <n v="1"/>
  </r>
  <r>
    <x v="10"/>
    <s v="S12000011"/>
    <m/>
    <m/>
    <m/>
    <m/>
    <m/>
    <m/>
    <m/>
    <n v="0"/>
    <n v="1"/>
    <n v="0"/>
  </r>
  <r>
    <x v="11"/>
    <s v="S12000014"/>
    <n v="2"/>
    <m/>
    <m/>
    <m/>
    <n v="2"/>
    <n v="3"/>
    <n v="4"/>
    <n v="1"/>
    <n v="1"/>
    <n v="1"/>
  </r>
  <r>
    <x v="12"/>
    <s v="S12000047"/>
    <m/>
    <n v="3"/>
    <n v="6"/>
    <n v="2"/>
    <n v="7"/>
    <n v="1"/>
    <n v="7"/>
    <n v="2"/>
    <n v="2"/>
    <n v="0"/>
  </r>
  <r>
    <x v="13"/>
    <s v="S12000049"/>
    <n v="19"/>
    <n v="20"/>
    <n v="23"/>
    <n v="12"/>
    <n v="14"/>
    <n v="9"/>
    <n v="8"/>
    <n v="9"/>
    <n v="11"/>
    <n v="7"/>
  </r>
  <r>
    <x v="14"/>
    <s v="S12000017"/>
    <n v="1"/>
    <m/>
    <m/>
    <m/>
    <m/>
    <n v="1"/>
    <n v="1"/>
    <n v="0"/>
    <n v="2"/>
    <n v="2"/>
  </r>
  <r>
    <x v="15"/>
    <s v="S12000018"/>
    <n v="4"/>
    <n v="3"/>
    <n v="2"/>
    <n v="1"/>
    <n v="2"/>
    <n v="2"/>
    <n v="2"/>
    <n v="2"/>
    <n v="0"/>
    <n v="1"/>
  </r>
  <r>
    <x v="16"/>
    <s v="S12000019"/>
    <n v="3"/>
    <n v="2"/>
    <n v="1"/>
    <n v="3"/>
    <n v="1"/>
    <n v="0"/>
    <n v="1"/>
    <n v="0"/>
    <n v="0"/>
    <n v="0"/>
  </r>
  <r>
    <x v="17"/>
    <s v="S12000020"/>
    <m/>
    <m/>
    <n v="1"/>
    <n v="3"/>
    <m/>
    <n v="2"/>
    <n v="1"/>
    <n v="1"/>
    <n v="0"/>
    <n v="2"/>
  </r>
  <r>
    <x v="18"/>
    <s v="S12000021"/>
    <n v="5"/>
    <n v="2"/>
    <n v="2"/>
    <n v="3"/>
    <n v="1"/>
    <n v="3"/>
    <n v="2"/>
    <n v="5"/>
    <n v="2"/>
    <n v="5"/>
  </r>
  <r>
    <x v="19"/>
    <s v="S12000050"/>
    <n v="3"/>
    <n v="6"/>
    <n v="3"/>
    <n v="8"/>
    <n v="4"/>
    <n v="5"/>
    <n v="8"/>
    <n v="7"/>
    <n v="1"/>
    <n v="5"/>
  </r>
  <r>
    <x v="20"/>
    <s v="S12000048"/>
    <m/>
    <m/>
    <m/>
    <m/>
    <m/>
    <m/>
    <m/>
    <n v="1"/>
    <n v="0"/>
    <n v="1"/>
  </r>
  <r>
    <x v="21"/>
    <s v="S12000038"/>
    <n v="2"/>
    <n v="1"/>
    <n v="1"/>
    <n v="2"/>
    <n v="3"/>
    <n v="1"/>
    <n v="2"/>
    <n v="3"/>
    <n v="0"/>
    <n v="2"/>
  </r>
  <r>
    <x v="22"/>
    <s v="S12000026"/>
    <n v="2"/>
    <n v="3"/>
    <n v="3"/>
    <n v="1"/>
    <n v="2"/>
    <n v="0"/>
    <n v="0"/>
    <n v="0"/>
    <n v="3"/>
    <n v="0"/>
  </r>
  <r>
    <x v="23"/>
    <s v="S12000028"/>
    <m/>
    <n v="1"/>
    <m/>
    <m/>
    <n v="2"/>
    <n v="1"/>
    <n v="0"/>
    <n v="1"/>
    <n v="0"/>
    <n v="0"/>
  </r>
  <r>
    <x v="24"/>
    <s v="S12000029"/>
    <n v="2"/>
    <m/>
    <n v="1"/>
    <n v="1"/>
    <n v="5"/>
    <n v="2"/>
    <n v="2"/>
    <n v="5"/>
    <n v="6"/>
    <n v="2"/>
  </r>
  <r>
    <x v="25"/>
    <s v="S12000030"/>
    <n v="3"/>
    <m/>
    <n v="1"/>
    <m/>
    <n v="1"/>
    <n v="0"/>
    <n v="0"/>
    <n v="0"/>
    <n v="0"/>
    <n v="0"/>
  </r>
  <r>
    <x v="26"/>
    <s v="S12000039"/>
    <n v="1"/>
    <m/>
    <n v="2"/>
    <m/>
    <m/>
    <n v="0"/>
    <n v="1"/>
    <n v="0"/>
    <n v="4"/>
    <n v="2"/>
  </r>
  <r>
    <x v="27"/>
    <s v="S12000040"/>
    <n v="3"/>
    <n v="4"/>
    <n v="5"/>
    <n v="2"/>
    <n v="2"/>
    <n v="2"/>
    <n v="7"/>
    <n v="4"/>
    <n v="6"/>
    <n v="2"/>
  </r>
</pivotCacheRecords>
</file>

<file path=xl/pivotCache/pivotCacheRecords7.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0">
  <r>
    <x v="0"/>
    <x v="0"/>
    <n v="1"/>
    <n v="0"/>
    <n v="4"/>
    <n v="5"/>
  </r>
  <r>
    <x v="0"/>
    <x v="1"/>
    <n v="0"/>
    <n v="0"/>
    <n v="7"/>
    <n v="7"/>
  </r>
  <r>
    <x v="0"/>
    <x v="2"/>
    <n v="0"/>
    <n v="0"/>
    <n v="1"/>
    <n v="1"/>
  </r>
  <r>
    <x v="0"/>
    <x v="3"/>
    <n v="0"/>
    <n v="0"/>
    <n v="2"/>
    <n v="2"/>
  </r>
  <r>
    <x v="0"/>
    <x v="4"/>
    <n v="0"/>
    <n v="0"/>
    <n v="1"/>
    <n v="1"/>
  </r>
  <r>
    <x v="0"/>
    <x v="5"/>
    <n v="1"/>
    <n v="0"/>
    <n v="0"/>
    <n v="1"/>
  </r>
  <r>
    <x v="0"/>
    <x v="6"/>
    <n v="0"/>
    <n v="0"/>
    <n v="0"/>
    <n v="0"/>
  </r>
  <r>
    <x v="0"/>
    <x v="7"/>
    <n v="0"/>
    <n v="1"/>
    <n v="0"/>
    <n v="1"/>
  </r>
  <r>
    <x v="0"/>
    <x v="8"/>
    <n v="0"/>
    <n v="0"/>
    <n v="1"/>
    <n v="1"/>
  </r>
  <r>
    <x v="0"/>
    <x v="9"/>
    <n v="0"/>
    <n v="0"/>
    <n v="1"/>
    <n v="1"/>
  </r>
</pivotCacheRecords>
</file>

<file path=xl/pivotCache/pivotCacheRecords8.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0">
  <r>
    <x v="0"/>
    <x v="0"/>
    <n v="0"/>
    <n v="0"/>
    <n v="0"/>
    <n v="0"/>
  </r>
  <r>
    <x v="0"/>
    <x v="1"/>
    <n v="0"/>
    <n v="0"/>
    <n v="0"/>
    <n v="0"/>
  </r>
  <r>
    <x v="0"/>
    <x v="2"/>
    <n v="0"/>
    <n v="0"/>
    <n v="2"/>
    <n v="2"/>
  </r>
  <r>
    <x v="0"/>
    <x v="3"/>
    <n v="0"/>
    <n v="0"/>
    <n v="0"/>
    <n v="0"/>
  </r>
  <r>
    <x v="0"/>
    <x v="4"/>
    <n v="0"/>
    <n v="0"/>
    <n v="0"/>
    <n v="0"/>
  </r>
  <r>
    <x v="0"/>
    <x v="5"/>
    <n v="0"/>
    <n v="0"/>
    <n v="0"/>
    <n v="0"/>
  </r>
  <r>
    <x v="0"/>
    <x v="6"/>
    <n v="0"/>
    <n v="0"/>
    <n v="0"/>
    <n v="0"/>
  </r>
  <r>
    <x v="0"/>
    <x v="7"/>
    <n v="0"/>
    <n v="0"/>
    <n v="1"/>
    <n v="1"/>
  </r>
  <r>
    <x v="0"/>
    <x v="8"/>
    <n v="0"/>
    <n v="0"/>
    <n v="0"/>
    <n v="0"/>
  </r>
  <r>
    <x v="0"/>
    <x v="9"/>
    <n v="0"/>
    <n v="0"/>
    <n v="0"/>
    <n v="0"/>
  </r>
</pivotCacheRecords>
</file>

<file path=xl/pivotCache/pivotCacheRecords9.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385">
  <r>
    <x v="0"/>
    <x v="0"/>
    <s v="S12000045"/>
    <n v="5"/>
    <n v="18"/>
    <n v="1"/>
    <m/>
    <n v="5"/>
    <n v="1"/>
    <m/>
    <n v="1"/>
    <n v="2"/>
    <n v="2"/>
    <n v="6"/>
    <n v="2"/>
    <n v="4"/>
    <n v="4"/>
    <n v="3"/>
  </r>
  <r>
    <x v="0"/>
    <x v="1"/>
    <s v="S12000019"/>
    <n v="3"/>
    <n v="18"/>
    <n v="35"/>
    <n v="5"/>
    <n v="2"/>
    <n v="2"/>
    <n v="1"/>
    <m/>
    <n v="4"/>
    <n v="14"/>
    <n v="38"/>
    <m/>
    <n v="1"/>
    <n v="1"/>
    <n v="2"/>
  </r>
  <r>
    <x v="0"/>
    <x v="2"/>
    <s v="S12000021"/>
    <n v="7"/>
    <n v="58"/>
    <n v="2"/>
    <n v="1"/>
    <n v="6"/>
    <n v="1"/>
    <m/>
    <n v="1"/>
    <n v="1"/>
    <n v="2"/>
    <n v="11"/>
    <n v="9"/>
    <n v="1"/>
    <n v="6"/>
    <n v="3"/>
  </r>
  <r>
    <x v="0"/>
    <x v="3"/>
    <s v="S12000038"/>
    <n v="1"/>
    <n v="51"/>
    <n v="16"/>
    <m/>
    <n v="21"/>
    <m/>
    <m/>
    <m/>
    <n v="31"/>
    <n v="12"/>
    <n v="37"/>
    <n v="10"/>
    <n v="10"/>
    <n v="17"/>
    <n v="9"/>
  </r>
  <r>
    <x v="0"/>
    <x v="4"/>
    <s v="S12000026"/>
    <n v="17"/>
    <n v="34"/>
    <n v="22"/>
    <n v="2"/>
    <n v="85"/>
    <n v="41"/>
    <m/>
    <n v="2"/>
    <n v="21"/>
    <n v="8"/>
    <n v="117"/>
    <n v="11"/>
    <n v="7"/>
    <n v="7"/>
    <n v="7"/>
  </r>
  <r>
    <x v="1"/>
    <x v="5"/>
    <s v="S12000033"/>
    <n v="23"/>
    <n v="41"/>
    <n v="192"/>
    <n v="2"/>
    <n v="25"/>
    <n v="2"/>
    <n v="5"/>
    <m/>
    <n v="10"/>
    <n v="1"/>
    <n v="1"/>
    <n v="7"/>
    <m/>
    <n v="1"/>
    <n v="5"/>
  </r>
  <r>
    <x v="1"/>
    <x v="6"/>
    <s v="S12000034"/>
    <n v="13"/>
    <n v="109"/>
    <n v="44"/>
    <n v="2"/>
    <n v="106"/>
    <n v="38"/>
    <m/>
    <m/>
    <n v="24"/>
    <n v="3"/>
    <m/>
    <n v="8"/>
    <n v="15"/>
    <n v="5"/>
    <n v="6"/>
  </r>
  <r>
    <x v="1"/>
    <x v="7"/>
    <s v="S12000010"/>
    <n v="8"/>
    <n v="27"/>
    <n v="13"/>
    <n v="9"/>
    <n v="32"/>
    <n v="22"/>
    <n v="1"/>
    <n v="5"/>
    <n v="8"/>
    <n v="3"/>
    <n v="9"/>
    <n v="7"/>
    <n v="3"/>
    <n v="4"/>
    <n v="5"/>
  </r>
  <r>
    <x v="1"/>
    <x v="8"/>
    <s v="S12000011"/>
    <n v="1"/>
    <n v="10"/>
    <m/>
    <m/>
    <n v="5"/>
    <n v="1"/>
    <n v="1"/>
    <m/>
    <n v="4"/>
    <n v="4"/>
    <n v="18"/>
    <n v="1"/>
    <m/>
    <n v="9"/>
    <n v="3"/>
  </r>
  <r>
    <x v="1"/>
    <x v="9"/>
    <s v="S12000017"/>
    <n v="17"/>
    <n v="91"/>
    <n v="76"/>
    <n v="6"/>
    <n v="115"/>
    <n v="7"/>
    <n v="2"/>
    <n v="1"/>
    <n v="8"/>
    <m/>
    <n v="5"/>
    <n v="2"/>
    <n v="2"/>
    <n v="1"/>
    <n v="3"/>
  </r>
  <r>
    <x v="1"/>
    <x v="10"/>
    <s v="S12000018"/>
    <n v="6"/>
    <n v="21"/>
    <n v="6"/>
    <m/>
    <m/>
    <n v="2"/>
    <n v="1"/>
    <m/>
    <n v="1"/>
    <n v="3"/>
    <n v="8"/>
    <n v="5"/>
    <n v="2"/>
    <n v="4"/>
    <n v="4"/>
  </r>
  <r>
    <x v="1"/>
    <x v="11"/>
    <s v="S12000044"/>
    <n v="12"/>
    <n v="87"/>
    <n v="30"/>
    <m/>
    <n v="38"/>
    <n v="5"/>
    <n v="2"/>
    <n v="6"/>
    <n v="23"/>
    <n v="15"/>
    <n v="118"/>
    <n v="18"/>
    <n v="36"/>
    <n v="113"/>
    <n v="51"/>
  </r>
  <r>
    <x v="1"/>
    <x v="12"/>
    <s v="S12000027"/>
    <m/>
    <n v="10"/>
    <n v="6"/>
    <n v="1"/>
    <n v="4"/>
    <n v="1"/>
    <m/>
    <m/>
    <n v="1"/>
    <m/>
    <m/>
    <n v="1"/>
    <m/>
    <m/>
    <m/>
  </r>
  <r>
    <x v="1"/>
    <x v="13"/>
    <s v="S12000040"/>
    <n v="7"/>
    <n v="47"/>
    <n v="4"/>
    <n v="1"/>
    <n v="33"/>
    <n v="13"/>
    <m/>
    <n v="2"/>
    <n v="8"/>
    <n v="6"/>
    <n v="6"/>
    <n v="7"/>
    <n v="25"/>
    <n v="15"/>
    <n v="2"/>
  </r>
  <r>
    <x v="2"/>
    <x v="14"/>
    <s v="S12000035"/>
    <n v="6"/>
    <n v="29"/>
    <n v="32"/>
    <n v="15"/>
    <n v="146"/>
    <n v="41"/>
    <m/>
    <n v="4"/>
    <n v="11"/>
    <n v="6"/>
    <n v="15"/>
    <n v="6"/>
    <n v="8"/>
    <n v="9"/>
    <n v="3"/>
  </r>
  <r>
    <x v="2"/>
    <x v="15"/>
    <s v="S12000042"/>
    <n v="3"/>
    <n v="37"/>
    <n v="570"/>
    <n v="1"/>
    <n v="28"/>
    <m/>
    <n v="1"/>
    <m/>
    <n v="5"/>
    <n v="2"/>
    <n v="2"/>
    <n v="4"/>
    <n v="3"/>
    <m/>
    <m/>
  </r>
  <r>
    <x v="2"/>
    <x v="0"/>
    <s v="S12000045"/>
    <n v="11"/>
    <n v="28"/>
    <n v="19"/>
    <m/>
    <n v="6"/>
    <n v="2"/>
    <m/>
    <m/>
    <n v="1"/>
    <n v="4"/>
    <n v="1"/>
    <n v="2"/>
    <n v="1"/>
    <n v="1"/>
    <n v="5"/>
  </r>
  <r>
    <x v="2"/>
    <x v="16"/>
    <s v="S12000020"/>
    <n v="8"/>
    <n v="31"/>
    <n v="4"/>
    <n v="1"/>
    <n v="28"/>
    <n v="15"/>
    <m/>
    <n v="1"/>
    <n v="7"/>
    <n v="20"/>
    <n v="3"/>
    <n v="3"/>
    <n v="19"/>
    <n v="2"/>
    <m/>
  </r>
  <r>
    <x v="2"/>
    <x v="12"/>
    <s v="S12000027"/>
    <n v="1"/>
    <n v="11"/>
    <m/>
    <n v="1"/>
    <n v="3"/>
    <m/>
    <m/>
    <m/>
    <m/>
    <m/>
    <m/>
    <m/>
    <m/>
    <m/>
    <m/>
  </r>
  <r>
    <x v="3"/>
    <x v="16"/>
    <s v="S12000020"/>
    <n v="10"/>
    <n v="42"/>
    <n v="15"/>
    <n v="2"/>
    <n v="45"/>
    <n v="44"/>
    <n v="2"/>
    <m/>
    <n v="3"/>
    <n v="21"/>
    <n v="5"/>
    <n v="3"/>
    <n v="14"/>
    <n v="9"/>
    <n v="1"/>
  </r>
  <r>
    <x v="3"/>
    <x v="17"/>
    <s v="S12000023"/>
    <m/>
    <n v="9"/>
    <m/>
    <m/>
    <n v="3"/>
    <m/>
    <m/>
    <m/>
    <m/>
    <m/>
    <m/>
    <m/>
    <n v="1"/>
    <m/>
    <m/>
  </r>
  <r>
    <x v="3"/>
    <x v="18"/>
    <s v="S12000039"/>
    <n v="4"/>
    <n v="18"/>
    <n v="21"/>
    <m/>
    <n v="16"/>
    <n v="2"/>
    <m/>
    <n v="1"/>
    <n v="6"/>
    <n v="7"/>
    <n v="10"/>
    <n v="2"/>
    <n v="10"/>
    <n v="11"/>
    <n v="1"/>
  </r>
  <r>
    <x v="3"/>
    <x v="13"/>
    <s v="S12000040"/>
    <n v="5"/>
    <n v="56"/>
    <n v="3"/>
    <n v="1"/>
    <n v="8"/>
    <m/>
    <m/>
    <n v="3"/>
    <n v="14"/>
    <n v="16"/>
    <n v="21"/>
    <n v="15"/>
    <n v="14"/>
    <n v="5"/>
    <n v="3"/>
  </r>
  <r>
    <x v="4"/>
    <x v="19"/>
    <s v="S12000041"/>
    <n v="6"/>
    <n v="39"/>
    <n v="6"/>
    <m/>
    <n v="14"/>
    <n v="6"/>
    <n v="1"/>
    <n v="5"/>
    <n v="17"/>
    <n v="4"/>
    <n v="3"/>
    <n v="13"/>
    <n v="2"/>
    <n v="3"/>
    <n v="7"/>
  </r>
  <r>
    <x v="4"/>
    <x v="8"/>
    <s v="S12000011"/>
    <n v="1"/>
    <n v="15"/>
    <m/>
    <m/>
    <n v="6"/>
    <n v="1"/>
    <n v="1"/>
    <n v="1"/>
    <n v="2"/>
    <n v="2"/>
    <n v="1"/>
    <n v="3"/>
    <n v="2"/>
    <m/>
    <n v="1"/>
  </r>
  <r>
    <x v="4"/>
    <x v="1"/>
    <s v="S12000019"/>
    <n v="3"/>
    <n v="19"/>
    <n v="17"/>
    <n v="2"/>
    <n v="13"/>
    <n v="2"/>
    <n v="2"/>
    <n v="2"/>
    <n v="20"/>
    <n v="12"/>
    <n v="22"/>
    <n v="3"/>
    <n v="6"/>
    <n v="4"/>
    <n v="11"/>
  </r>
  <r>
    <x v="4"/>
    <x v="11"/>
    <s v="S12000044"/>
    <n v="9"/>
    <n v="58"/>
    <n v="24"/>
    <m/>
    <n v="29"/>
    <n v="3"/>
    <m/>
    <n v="1"/>
    <n v="24"/>
    <n v="17"/>
    <n v="41"/>
    <n v="28"/>
    <n v="17"/>
    <n v="35"/>
    <n v="21"/>
  </r>
  <r>
    <x v="0"/>
    <x v="20"/>
    <s v="S12000006"/>
    <n v="7"/>
    <n v="38"/>
    <n v="29"/>
    <n v="3"/>
    <n v="58"/>
    <n v="1"/>
    <n v="1"/>
    <n v="2"/>
    <n v="12"/>
    <n v="1"/>
    <n v="21"/>
    <n v="17"/>
    <n v="12"/>
    <n v="9"/>
    <n v="2"/>
  </r>
  <r>
    <x v="0"/>
    <x v="9"/>
    <s v="S12000017"/>
    <n v="12"/>
    <n v="83"/>
    <n v="59"/>
    <n v="10"/>
    <n v="92"/>
    <n v="5"/>
    <m/>
    <m/>
    <n v="5"/>
    <m/>
    <n v="3"/>
    <m/>
    <n v="5"/>
    <m/>
    <n v="2"/>
  </r>
  <r>
    <x v="0"/>
    <x v="16"/>
    <s v="S12000020"/>
    <m/>
    <n v="15"/>
    <n v="14"/>
    <m/>
    <n v="46"/>
    <n v="8"/>
    <m/>
    <n v="1"/>
    <n v="4"/>
    <m/>
    <n v="1"/>
    <n v="6"/>
    <n v="16"/>
    <n v="3"/>
    <m/>
  </r>
  <r>
    <x v="0"/>
    <x v="21"/>
    <s v="S12000029"/>
    <n v="10"/>
    <n v="110"/>
    <n v="69"/>
    <m/>
    <n v="36"/>
    <n v="3"/>
    <m/>
    <n v="1"/>
    <n v="12"/>
    <n v="7"/>
    <n v="15"/>
    <n v="9"/>
    <n v="5"/>
    <n v="7"/>
    <n v="2"/>
  </r>
  <r>
    <x v="1"/>
    <x v="22"/>
    <s v="S12000036"/>
    <n v="35"/>
    <n v="123"/>
    <n v="178"/>
    <n v="33"/>
    <n v="141"/>
    <n v="29"/>
    <n v="4"/>
    <n v="5"/>
    <n v="80"/>
    <n v="20"/>
    <n v="74"/>
    <n v="65"/>
    <n v="7"/>
    <n v="52"/>
    <n v="11"/>
  </r>
  <r>
    <x v="1"/>
    <x v="23"/>
    <s v="S12000008"/>
    <n v="8"/>
    <n v="57"/>
    <n v="3"/>
    <m/>
    <n v="28"/>
    <n v="2"/>
    <m/>
    <n v="1"/>
    <n v="6"/>
    <n v="3"/>
    <n v="16"/>
    <n v="3"/>
    <n v="3"/>
    <n v="12"/>
    <n v="1"/>
  </r>
  <r>
    <x v="1"/>
    <x v="24"/>
    <s v="S12000013"/>
    <n v="1"/>
    <n v="4"/>
    <m/>
    <n v="2"/>
    <n v="1"/>
    <m/>
    <m/>
    <m/>
    <m/>
    <m/>
    <n v="1"/>
    <m/>
    <m/>
    <m/>
    <m/>
  </r>
  <r>
    <x v="1"/>
    <x v="3"/>
    <s v="S12000038"/>
    <n v="1"/>
    <n v="45"/>
    <n v="70"/>
    <m/>
    <n v="27"/>
    <m/>
    <n v="1"/>
    <m/>
    <n v="10"/>
    <n v="4"/>
    <n v="32"/>
    <n v="7"/>
    <n v="23"/>
    <n v="7"/>
    <n v="11"/>
  </r>
  <r>
    <x v="2"/>
    <x v="7"/>
    <s v="S12000010"/>
    <n v="8"/>
    <n v="27"/>
    <n v="12"/>
    <n v="9"/>
    <n v="13"/>
    <n v="5"/>
    <m/>
    <n v="1"/>
    <n v="9"/>
    <n v="20"/>
    <n v="8"/>
    <n v="11"/>
    <n v="3"/>
    <n v="8"/>
    <n v="5"/>
  </r>
  <r>
    <x v="2"/>
    <x v="25"/>
    <s v="S12000046"/>
    <n v="47"/>
    <n v="148"/>
    <n v="958"/>
    <n v="19"/>
    <n v="99"/>
    <n v="6"/>
    <n v="3"/>
    <n v="7"/>
    <n v="84"/>
    <n v="45"/>
    <n v="52"/>
    <n v="24"/>
    <n v="18"/>
    <n v="27"/>
    <n v="25"/>
  </r>
  <r>
    <x v="2"/>
    <x v="24"/>
    <s v="S12000013"/>
    <n v="2"/>
    <n v="7"/>
    <n v="2"/>
    <n v="1"/>
    <n v="8"/>
    <n v="1"/>
    <m/>
    <m/>
    <m/>
    <m/>
    <m/>
    <m/>
    <m/>
    <m/>
    <m/>
  </r>
  <r>
    <x v="3"/>
    <x v="22"/>
    <s v="S12000036"/>
    <n v="45"/>
    <n v="134"/>
    <n v="183"/>
    <n v="17"/>
    <n v="115"/>
    <n v="58"/>
    <n v="6"/>
    <n v="3"/>
    <n v="55"/>
    <n v="18"/>
    <n v="27"/>
    <n v="47"/>
    <n v="4"/>
    <n v="22"/>
    <n v="10"/>
  </r>
  <r>
    <x v="3"/>
    <x v="26"/>
    <s v="S12000015"/>
    <n v="13"/>
    <n v="138"/>
    <n v="175"/>
    <n v="2"/>
    <n v="69"/>
    <n v="7"/>
    <m/>
    <n v="2"/>
    <n v="8"/>
    <n v="5"/>
    <n v="11"/>
    <n v="9"/>
    <n v="10"/>
    <n v="10"/>
    <n v="5"/>
  </r>
  <r>
    <x v="3"/>
    <x v="4"/>
    <s v="S12000026"/>
    <n v="17"/>
    <n v="36"/>
    <n v="17"/>
    <m/>
    <n v="60"/>
    <n v="13"/>
    <n v="3"/>
    <n v="2"/>
    <n v="20"/>
    <n v="15"/>
    <n v="21"/>
    <n v="5"/>
    <n v="9"/>
    <n v="9"/>
    <n v="4"/>
  </r>
  <r>
    <x v="3"/>
    <x v="27"/>
    <s v="S12000030"/>
    <n v="2"/>
    <n v="45"/>
    <n v="56"/>
    <n v="5"/>
    <n v="41"/>
    <n v="31"/>
    <n v="2"/>
    <n v="2"/>
    <n v="11"/>
    <n v="15"/>
    <n v="2"/>
    <n v="7"/>
    <n v="2"/>
    <n v="2"/>
    <n v="1"/>
  </r>
  <r>
    <x v="4"/>
    <x v="5"/>
    <s v="S12000033"/>
    <n v="22"/>
    <n v="113"/>
    <n v="136"/>
    <n v="2"/>
    <n v="32"/>
    <n v="1"/>
    <n v="5"/>
    <n v="2"/>
    <n v="5"/>
    <n v="9"/>
    <n v="10"/>
    <n v="6"/>
    <n v="7"/>
    <n v="6"/>
    <n v="8"/>
  </r>
  <r>
    <x v="4"/>
    <x v="28"/>
    <s v="S12000024"/>
    <n v="69"/>
    <n v="86"/>
    <n v="18"/>
    <n v="7"/>
    <n v="48"/>
    <n v="30"/>
    <m/>
    <n v="1"/>
    <n v="5"/>
    <n v="2"/>
    <n v="8"/>
    <n v="5"/>
    <n v="7"/>
    <n v="3"/>
    <n v="4"/>
  </r>
  <r>
    <x v="5"/>
    <x v="16"/>
    <s v="S12000020"/>
    <n v="4"/>
    <n v="21"/>
    <n v="6"/>
    <n v="1"/>
    <n v="20"/>
    <n v="23"/>
    <n v="1"/>
    <n v="1"/>
    <m/>
    <n v="7"/>
    <n v="7"/>
    <n v="4"/>
    <n v="4"/>
    <n v="1"/>
    <m/>
  </r>
  <r>
    <x v="5"/>
    <x v="2"/>
    <s v="S12000021"/>
    <n v="3"/>
    <n v="62"/>
    <n v="8"/>
    <n v="7"/>
    <n v="8"/>
    <n v="11"/>
    <n v="5"/>
    <n v="1"/>
    <n v="8"/>
    <n v="2"/>
    <n v="14"/>
    <n v="7"/>
    <n v="4"/>
    <n v="3"/>
    <n v="5"/>
  </r>
  <r>
    <x v="5"/>
    <x v="13"/>
    <s v="S12000040"/>
    <n v="5"/>
    <n v="45"/>
    <n v="26"/>
    <m/>
    <n v="10"/>
    <n v="2"/>
    <n v="1"/>
    <n v="1"/>
    <n v="9"/>
    <n v="11"/>
    <n v="17"/>
    <n v="22"/>
    <n v="17"/>
    <n v="5"/>
    <n v="3"/>
  </r>
  <r>
    <x v="6"/>
    <x v="5"/>
    <s v="S12000033"/>
    <n v="17"/>
    <n v="72"/>
    <n v="71"/>
    <m/>
    <n v="2"/>
    <n v="5"/>
    <n v="1"/>
    <m/>
    <n v="1"/>
    <n v="1"/>
    <n v="3"/>
    <m/>
    <n v="2"/>
    <n v="3"/>
    <n v="3"/>
  </r>
  <r>
    <x v="6"/>
    <x v="19"/>
    <s v="S12000041"/>
    <n v="7"/>
    <n v="42"/>
    <n v="3"/>
    <m/>
    <m/>
    <n v="3"/>
    <m/>
    <m/>
    <m/>
    <m/>
    <n v="3"/>
    <n v="1"/>
    <m/>
    <m/>
    <m/>
  </r>
  <r>
    <x v="6"/>
    <x v="20"/>
    <s v="S12000006"/>
    <n v="8"/>
    <n v="69"/>
    <n v="34"/>
    <m/>
    <n v="5"/>
    <n v="2"/>
    <m/>
    <m/>
    <n v="1"/>
    <n v="1"/>
    <n v="4"/>
    <n v="2"/>
    <m/>
    <n v="1"/>
    <m/>
  </r>
  <r>
    <x v="6"/>
    <x v="23"/>
    <s v="S12000008"/>
    <n v="8"/>
    <n v="50"/>
    <n v="2"/>
    <m/>
    <n v="1"/>
    <n v="3"/>
    <m/>
    <m/>
    <n v="3"/>
    <m/>
    <n v="2"/>
    <m/>
    <m/>
    <m/>
    <m/>
  </r>
  <r>
    <x v="6"/>
    <x v="3"/>
    <s v="S12000038"/>
    <n v="2"/>
    <n v="39"/>
    <n v="9"/>
    <m/>
    <n v="9"/>
    <n v="3"/>
    <n v="1"/>
    <m/>
    <n v="3"/>
    <n v="6"/>
    <n v="2"/>
    <n v="2"/>
    <n v="2"/>
    <m/>
    <n v="2"/>
  </r>
  <r>
    <x v="6"/>
    <x v="29"/>
    <s v="S12000028"/>
    <n v="6"/>
    <n v="46"/>
    <n v="17"/>
    <n v="2"/>
    <n v="15"/>
    <n v="10"/>
    <m/>
    <m/>
    <n v="3"/>
    <n v="7"/>
    <n v="10"/>
    <m/>
    <n v="1"/>
    <m/>
    <n v="5"/>
  </r>
  <r>
    <x v="7"/>
    <x v="25"/>
    <s v="S12000046"/>
    <n v="8"/>
    <n v="90"/>
    <n v="757"/>
    <n v="3"/>
    <n v="65"/>
    <n v="8"/>
    <n v="2"/>
    <n v="2"/>
    <n v="10"/>
    <n v="15"/>
    <n v="27"/>
    <n v="29"/>
    <n v="2"/>
    <n v="7"/>
    <n v="20"/>
  </r>
  <r>
    <x v="0"/>
    <x v="5"/>
    <s v="S12000033"/>
    <n v="4"/>
    <n v="71"/>
    <n v="164"/>
    <n v="2"/>
    <n v="72"/>
    <n v="3"/>
    <n v="4"/>
    <m/>
    <n v="27"/>
    <n v="1"/>
    <n v="6"/>
    <n v="6"/>
    <n v="1"/>
    <n v="2"/>
    <n v="6"/>
  </r>
  <r>
    <x v="0"/>
    <x v="22"/>
    <s v="S12000036"/>
    <n v="40"/>
    <n v="127"/>
    <n v="134"/>
    <n v="69"/>
    <n v="105"/>
    <n v="42"/>
    <n v="3"/>
    <n v="7"/>
    <n v="127"/>
    <n v="28"/>
    <n v="89"/>
    <n v="108"/>
    <n v="15"/>
    <n v="43"/>
    <n v="19"/>
  </r>
  <r>
    <x v="0"/>
    <x v="15"/>
    <s v="S12000042"/>
    <n v="37"/>
    <n v="40"/>
    <n v="315"/>
    <n v="1"/>
    <n v="34"/>
    <n v="2"/>
    <m/>
    <m/>
    <n v="23"/>
    <n v="1"/>
    <n v="3"/>
    <n v="3"/>
    <m/>
    <n v="1"/>
    <m/>
  </r>
  <r>
    <x v="0"/>
    <x v="8"/>
    <s v="S12000011"/>
    <n v="1"/>
    <n v="14"/>
    <n v="14"/>
    <m/>
    <n v="7"/>
    <n v="2"/>
    <n v="1"/>
    <n v="3"/>
    <n v="18"/>
    <n v="7"/>
    <n v="25"/>
    <n v="8"/>
    <m/>
    <n v="11"/>
    <n v="8"/>
  </r>
  <r>
    <x v="0"/>
    <x v="26"/>
    <s v="S12000015"/>
    <n v="13"/>
    <n v="118"/>
    <n v="222"/>
    <n v="1"/>
    <n v="57"/>
    <n v="3"/>
    <n v="2"/>
    <n v="4"/>
    <n v="11"/>
    <n v="3"/>
    <n v="13"/>
    <n v="22"/>
    <n v="14"/>
    <n v="10"/>
    <n v="5"/>
  </r>
  <r>
    <x v="1"/>
    <x v="26"/>
    <s v="S12000015"/>
    <n v="18"/>
    <n v="137"/>
    <n v="272"/>
    <n v="1"/>
    <n v="61"/>
    <n v="6"/>
    <n v="2"/>
    <n v="4"/>
    <n v="9"/>
    <n v="12"/>
    <n v="31"/>
    <n v="18"/>
    <n v="23"/>
    <n v="12"/>
    <n v="12"/>
  </r>
  <r>
    <x v="1"/>
    <x v="16"/>
    <s v="S12000020"/>
    <n v="11"/>
    <n v="38"/>
    <n v="13"/>
    <n v="4"/>
    <n v="38"/>
    <n v="28"/>
    <m/>
    <n v="2"/>
    <n v="2"/>
    <n v="2"/>
    <n v="2"/>
    <n v="3"/>
    <n v="43"/>
    <n v="7"/>
    <m/>
  </r>
  <r>
    <x v="1"/>
    <x v="2"/>
    <s v="S12000021"/>
    <n v="5"/>
    <n v="72"/>
    <n v="6"/>
    <n v="4"/>
    <n v="36"/>
    <n v="30"/>
    <m/>
    <n v="1"/>
    <n v="4"/>
    <n v="5"/>
    <n v="39"/>
    <n v="13"/>
    <n v="34"/>
    <n v="4"/>
    <n v="10"/>
  </r>
  <r>
    <x v="1"/>
    <x v="17"/>
    <s v="S12000023"/>
    <n v="1"/>
    <n v="14"/>
    <n v="6"/>
    <n v="1"/>
    <n v="9"/>
    <n v="1"/>
    <m/>
    <m/>
    <m/>
    <m/>
    <m/>
    <m/>
    <m/>
    <m/>
    <m/>
  </r>
  <r>
    <x v="1"/>
    <x v="18"/>
    <s v="S12000039"/>
    <n v="7"/>
    <n v="26"/>
    <n v="19"/>
    <m/>
    <n v="17"/>
    <n v="2"/>
    <n v="1"/>
    <m/>
    <n v="3"/>
    <n v="5"/>
    <n v="7"/>
    <n v="7"/>
    <n v="117"/>
    <n v="9"/>
    <m/>
  </r>
  <r>
    <x v="2"/>
    <x v="6"/>
    <s v="S12000034"/>
    <n v="25"/>
    <n v="89"/>
    <n v="41"/>
    <n v="2"/>
    <n v="59"/>
    <n v="54"/>
    <m/>
    <m/>
    <n v="12"/>
    <n v="62"/>
    <n v="2"/>
    <n v="3"/>
    <n v="8"/>
    <n v="2"/>
    <n v="3"/>
  </r>
  <r>
    <x v="2"/>
    <x v="30"/>
    <s v="S12000005"/>
    <n v="15"/>
    <n v="19"/>
    <n v="2"/>
    <n v="2"/>
    <n v="2"/>
    <n v="1"/>
    <m/>
    <m/>
    <n v="2"/>
    <n v="10"/>
    <n v="6"/>
    <n v="3"/>
    <m/>
    <n v="6"/>
    <m/>
  </r>
  <r>
    <x v="2"/>
    <x v="20"/>
    <s v="S12000006"/>
    <n v="11"/>
    <n v="76"/>
    <n v="44"/>
    <n v="6"/>
    <n v="110"/>
    <n v="10"/>
    <n v="2"/>
    <n v="7"/>
    <n v="5"/>
    <n v="18"/>
    <n v="18"/>
    <n v="8"/>
    <n v="22"/>
    <n v="19"/>
    <n v="7"/>
  </r>
  <r>
    <x v="2"/>
    <x v="23"/>
    <s v="S12000008"/>
    <n v="6"/>
    <n v="46"/>
    <n v="9"/>
    <m/>
    <n v="24"/>
    <n v="9"/>
    <m/>
    <n v="2"/>
    <n v="4"/>
    <n v="2"/>
    <n v="23"/>
    <n v="7"/>
    <n v="22"/>
    <n v="6"/>
    <n v="4"/>
  </r>
  <r>
    <x v="2"/>
    <x v="29"/>
    <s v="S12000028"/>
    <n v="19"/>
    <n v="51"/>
    <n v="32"/>
    <n v="6"/>
    <n v="59"/>
    <n v="34"/>
    <m/>
    <n v="4"/>
    <n v="15"/>
    <n v="4"/>
    <n v="22"/>
    <n v="12"/>
    <n v="9"/>
    <n v="9"/>
    <n v="34"/>
  </r>
  <r>
    <x v="3"/>
    <x v="5"/>
    <s v="S12000033"/>
    <n v="13"/>
    <n v="46"/>
    <n v="170"/>
    <n v="1"/>
    <n v="35"/>
    <n v="1"/>
    <n v="3"/>
    <n v="1"/>
    <n v="9"/>
    <n v="3"/>
    <n v="12"/>
    <n v="6"/>
    <n v="6"/>
    <n v="5"/>
    <n v="4"/>
  </r>
  <r>
    <x v="3"/>
    <x v="6"/>
    <s v="S12000034"/>
    <n v="15"/>
    <n v="92"/>
    <n v="39"/>
    <m/>
    <n v="72"/>
    <n v="52"/>
    <n v="1"/>
    <n v="6"/>
    <n v="10"/>
    <n v="8"/>
    <n v="10"/>
    <n v="8"/>
    <n v="15"/>
    <n v="11"/>
    <n v="5"/>
  </r>
  <r>
    <x v="3"/>
    <x v="12"/>
    <s v="S12000027"/>
    <n v="1"/>
    <n v="16"/>
    <n v="3"/>
    <m/>
    <m/>
    <m/>
    <m/>
    <m/>
    <n v="1"/>
    <n v="1"/>
    <n v="1"/>
    <m/>
    <m/>
    <m/>
    <m/>
  </r>
  <r>
    <x v="4"/>
    <x v="15"/>
    <s v="S12000042"/>
    <n v="14"/>
    <n v="39"/>
    <n v="280"/>
    <n v="2"/>
    <n v="15"/>
    <m/>
    <m/>
    <m/>
    <n v="10"/>
    <n v="6"/>
    <n v="5"/>
    <n v="4"/>
    <n v="1"/>
    <n v="1"/>
    <n v="4"/>
  </r>
  <r>
    <x v="5"/>
    <x v="6"/>
    <s v="S12000034"/>
    <n v="15"/>
    <n v="81"/>
    <n v="20"/>
    <n v="5"/>
    <n v="44"/>
    <n v="47"/>
    <m/>
    <n v="3"/>
    <n v="8"/>
    <n v="30"/>
    <n v="34"/>
    <n v="9"/>
    <n v="19"/>
    <n v="17"/>
    <n v="19"/>
  </r>
  <r>
    <x v="5"/>
    <x v="8"/>
    <s v="S12000011"/>
    <m/>
    <n v="7"/>
    <n v="2"/>
    <m/>
    <n v="6"/>
    <n v="2"/>
    <m/>
    <m/>
    <m/>
    <n v="5"/>
    <m/>
    <n v="3"/>
    <n v="1"/>
    <n v="2"/>
    <m/>
  </r>
  <r>
    <x v="5"/>
    <x v="28"/>
    <s v="S12000024"/>
    <n v="36"/>
    <n v="71"/>
    <n v="10"/>
    <n v="2"/>
    <n v="67"/>
    <n v="33"/>
    <m/>
    <m/>
    <n v="6"/>
    <n v="6"/>
    <n v="6"/>
    <n v="6"/>
    <n v="2"/>
    <n v="1"/>
    <n v="2"/>
  </r>
  <r>
    <x v="5"/>
    <x v="3"/>
    <s v="S12000038"/>
    <n v="1"/>
    <n v="48"/>
    <n v="5"/>
    <m/>
    <n v="24"/>
    <n v="20"/>
    <n v="1"/>
    <m/>
    <n v="9"/>
    <n v="7"/>
    <n v="11"/>
    <n v="10"/>
    <n v="5"/>
    <n v="3"/>
    <n v="5"/>
  </r>
  <r>
    <x v="5"/>
    <x v="12"/>
    <s v="S12000027"/>
    <m/>
    <n v="11"/>
    <m/>
    <m/>
    <m/>
    <m/>
    <m/>
    <m/>
    <m/>
    <m/>
    <m/>
    <m/>
    <m/>
    <m/>
    <m/>
  </r>
  <r>
    <x v="5"/>
    <x v="21"/>
    <s v="S12000029"/>
    <n v="15"/>
    <n v="61"/>
    <n v="45"/>
    <m/>
    <n v="3"/>
    <n v="2"/>
    <m/>
    <n v="1"/>
    <n v="5"/>
    <n v="1"/>
    <n v="13"/>
    <n v="1"/>
    <n v="5"/>
    <n v="3"/>
    <n v="4"/>
  </r>
  <r>
    <x v="6"/>
    <x v="30"/>
    <s v="S12000005"/>
    <n v="2"/>
    <n v="19"/>
    <m/>
    <n v="4"/>
    <m/>
    <m/>
    <m/>
    <m/>
    <n v="1"/>
    <n v="2"/>
    <n v="1"/>
    <n v="3"/>
    <n v="2"/>
    <n v="1"/>
    <m/>
  </r>
  <r>
    <x v="6"/>
    <x v="31"/>
    <s v="S12000014"/>
    <n v="7"/>
    <n v="39"/>
    <m/>
    <m/>
    <m/>
    <m/>
    <n v="1"/>
    <m/>
    <n v="1"/>
    <n v="3"/>
    <n v="2"/>
    <n v="3"/>
    <n v="4"/>
    <n v="1"/>
    <n v="1"/>
  </r>
  <r>
    <x v="6"/>
    <x v="9"/>
    <s v="S12000017"/>
    <n v="18"/>
    <n v="56"/>
    <n v="16"/>
    <m/>
    <n v="17"/>
    <n v="2"/>
    <m/>
    <n v="1"/>
    <n v="1"/>
    <n v="1"/>
    <n v="2"/>
    <n v="2"/>
    <n v="4"/>
    <n v="2"/>
    <n v="2"/>
  </r>
  <r>
    <x v="0"/>
    <x v="7"/>
    <s v="S12000010"/>
    <n v="8"/>
    <n v="22"/>
    <n v="24"/>
    <n v="7"/>
    <n v="6"/>
    <n v="2"/>
    <n v="1"/>
    <n v="1"/>
    <n v="4"/>
    <n v="5"/>
    <n v="6"/>
    <n v="12"/>
    <n v="3"/>
    <n v="1"/>
    <m/>
  </r>
  <r>
    <x v="0"/>
    <x v="10"/>
    <s v="S12000018"/>
    <n v="2"/>
    <n v="40"/>
    <n v="9"/>
    <m/>
    <n v="4"/>
    <m/>
    <n v="1"/>
    <n v="3"/>
    <n v="7"/>
    <n v="13"/>
    <n v="21"/>
    <n v="9"/>
    <n v="7"/>
    <n v="24"/>
    <n v="7"/>
  </r>
  <r>
    <x v="1"/>
    <x v="30"/>
    <s v="S12000005"/>
    <n v="12"/>
    <n v="22"/>
    <n v="3"/>
    <m/>
    <n v="2"/>
    <n v="2"/>
    <m/>
    <n v="1"/>
    <m/>
    <m/>
    <m/>
    <n v="2"/>
    <n v="2"/>
    <n v="5"/>
    <m/>
  </r>
  <r>
    <x v="1"/>
    <x v="15"/>
    <s v="S12000042"/>
    <n v="19"/>
    <n v="38"/>
    <n v="489"/>
    <m/>
    <n v="3"/>
    <m/>
    <m/>
    <n v="1"/>
    <n v="21"/>
    <n v="2"/>
    <n v="7"/>
    <n v="13"/>
    <n v="1"/>
    <n v="1"/>
    <n v="3"/>
  </r>
  <r>
    <x v="1"/>
    <x v="0"/>
    <s v="S12000045"/>
    <n v="7"/>
    <n v="29"/>
    <n v="24"/>
    <m/>
    <n v="5"/>
    <n v="1"/>
    <m/>
    <m/>
    <n v="2"/>
    <n v="5"/>
    <n v="2"/>
    <n v="3"/>
    <n v="7"/>
    <n v="5"/>
    <n v="5"/>
  </r>
  <r>
    <x v="2"/>
    <x v="8"/>
    <s v="S12000011"/>
    <n v="1"/>
    <n v="20"/>
    <n v="9"/>
    <m/>
    <n v="8"/>
    <n v="4"/>
    <m/>
    <n v="2"/>
    <n v="4"/>
    <n v="2"/>
    <n v="10"/>
    <n v="2"/>
    <m/>
    <n v="14"/>
    <n v="4"/>
  </r>
  <r>
    <x v="2"/>
    <x v="10"/>
    <s v="S12000018"/>
    <n v="1"/>
    <n v="37"/>
    <n v="7"/>
    <m/>
    <n v="3"/>
    <n v="2"/>
    <m/>
    <n v="3"/>
    <n v="11"/>
    <n v="3"/>
    <n v="27"/>
    <n v="4"/>
    <n v="9"/>
    <n v="4"/>
    <n v="4"/>
  </r>
  <r>
    <x v="2"/>
    <x v="11"/>
    <s v="S12000044"/>
    <n v="6"/>
    <n v="55"/>
    <n v="22"/>
    <m/>
    <n v="29"/>
    <n v="2"/>
    <n v="2"/>
    <m/>
    <n v="48"/>
    <n v="16"/>
    <n v="86"/>
    <n v="22"/>
    <n v="58"/>
    <n v="61"/>
    <n v="89"/>
  </r>
  <r>
    <x v="2"/>
    <x v="28"/>
    <s v="S12000024"/>
    <n v="57"/>
    <n v="81"/>
    <n v="30"/>
    <n v="4"/>
    <n v="34"/>
    <n v="39"/>
    <m/>
    <n v="2"/>
    <n v="15"/>
    <n v="4"/>
    <n v="3"/>
    <n v="8"/>
    <n v="2"/>
    <n v="5"/>
    <n v="3"/>
  </r>
  <r>
    <x v="2"/>
    <x v="21"/>
    <s v="S12000029"/>
    <n v="12"/>
    <n v="102"/>
    <n v="36"/>
    <n v="1"/>
    <n v="26"/>
    <n v="2"/>
    <n v="1"/>
    <n v="5"/>
    <n v="4"/>
    <n v="4"/>
    <n v="22"/>
    <n v="9"/>
    <n v="12"/>
    <n v="6"/>
    <n v="9"/>
  </r>
  <r>
    <x v="3"/>
    <x v="19"/>
    <s v="S12000041"/>
    <n v="15"/>
    <n v="35"/>
    <n v="4"/>
    <n v="1"/>
    <n v="19"/>
    <n v="16"/>
    <m/>
    <n v="2"/>
    <n v="12"/>
    <m/>
    <n v="3"/>
    <n v="7"/>
    <n v="3"/>
    <m/>
    <n v="2"/>
  </r>
  <r>
    <x v="3"/>
    <x v="30"/>
    <s v="S12000005"/>
    <n v="1"/>
    <n v="19"/>
    <n v="5"/>
    <m/>
    <n v="6"/>
    <n v="1"/>
    <n v="1"/>
    <m/>
    <n v="1"/>
    <n v="23"/>
    <n v="1"/>
    <n v="1"/>
    <n v="3"/>
    <n v="2"/>
    <m/>
  </r>
  <r>
    <x v="3"/>
    <x v="15"/>
    <s v="S12000042"/>
    <n v="9"/>
    <n v="36"/>
    <n v="195"/>
    <n v="1"/>
    <n v="41"/>
    <n v="4"/>
    <n v="2"/>
    <n v="1"/>
    <n v="5"/>
    <n v="1"/>
    <n v="5"/>
    <n v="2"/>
    <n v="2"/>
    <n v="2"/>
    <m/>
  </r>
  <r>
    <x v="3"/>
    <x v="7"/>
    <s v="S12000010"/>
    <n v="5"/>
    <n v="28"/>
    <n v="12"/>
    <n v="2"/>
    <n v="11"/>
    <n v="21"/>
    <m/>
    <n v="1"/>
    <n v="11"/>
    <n v="13"/>
    <n v="2"/>
    <n v="16"/>
    <n v="10"/>
    <n v="8"/>
    <n v="4"/>
  </r>
  <r>
    <x v="4"/>
    <x v="30"/>
    <s v="S12000005"/>
    <n v="5"/>
    <n v="22"/>
    <n v="8"/>
    <n v="2"/>
    <n v="3"/>
    <n v="2"/>
    <m/>
    <m/>
    <n v="1"/>
    <n v="17"/>
    <m/>
    <n v="1"/>
    <n v="7"/>
    <n v="2"/>
    <m/>
  </r>
  <r>
    <x v="4"/>
    <x v="26"/>
    <s v="S12000015"/>
    <n v="29"/>
    <n v="135"/>
    <n v="214"/>
    <m/>
    <n v="85"/>
    <n v="10"/>
    <m/>
    <n v="4"/>
    <n v="12"/>
    <n v="122"/>
    <n v="9"/>
    <n v="12"/>
    <n v="10"/>
    <n v="5"/>
    <n v="10"/>
  </r>
  <r>
    <x v="4"/>
    <x v="9"/>
    <s v="S12000017"/>
    <n v="15"/>
    <n v="81"/>
    <n v="45"/>
    <n v="2"/>
    <n v="25"/>
    <n v="3"/>
    <m/>
    <n v="1"/>
    <n v="5"/>
    <n v="4"/>
    <n v="4"/>
    <n v="3"/>
    <n v="4"/>
    <n v="3"/>
    <n v="1"/>
  </r>
  <r>
    <x v="4"/>
    <x v="2"/>
    <s v="S12000021"/>
    <n v="2"/>
    <n v="100"/>
    <n v="9"/>
    <n v="2"/>
    <n v="31"/>
    <n v="19"/>
    <n v="1"/>
    <m/>
    <n v="3"/>
    <n v="4"/>
    <n v="23"/>
    <n v="3"/>
    <n v="27"/>
    <n v="7"/>
    <n v="13"/>
  </r>
  <r>
    <x v="4"/>
    <x v="17"/>
    <s v="S12000023"/>
    <m/>
    <n v="3"/>
    <m/>
    <m/>
    <n v="5"/>
    <m/>
    <m/>
    <m/>
    <m/>
    <m/>
    <m/>
    <m/>
    <m/>
    <m/>
    <n v="1"/>
  </r>
  <r>
    <x v="5"/>
    <x v="20"/>
    <s v="S12000006"/>
    <n v="7"/>
    <n v="61"/>
    <n v="21"/>
    <n v="6"/>
    <n v="90"/>
    <n v="67"/>
    <m/>
    <n v="4"/>
    <n v="12"/>
    <n v="23"/>
    <n v="20"/>
    <n v="44"/>
    <n v="43"/>
    <n v="30"/>
    <n v="7"/>
  </r>
  <r>
    <x v="5"/>
    <x v="9"/>
    <s v="S12000017"/>
    <n v="20"/>
    <n v="95"/>
    <n v="65"/>
    <n v="15"/>
    <n v="236"/>
    <n v="33"/>
    <n v="1"/>
    <m/>
    <n v="11"/>
    <n v="1"/>
    <n v="8"/>
    <n v="3"/>
    <n v="1"/>
    <n v="3"/>
    <n v="1"/>
  </r>
  <r>
    <x v="5"/>
    <x v="17"/>
    <s v="S12000023"/>
    <n v="1"/>
    <n v="12"/>
    <m/>
    <m/>
    <n v="9"/>
    <n v="1"/>
    <m/>
    <m/>
    <m/>
    <m/>
    <m/>
    <m/>
    <m/>
    <m/>
    <m/>
  </r>
  <r>
    <x v="6"/>
    <x v="0"/>
    <s v="S12000045"/>
    <n v="2"/>
    <n v="22"/>
    <n v="13"/>
    <m/>
    <n v="3"/>
    <n v="1"/>
    <m/>
    <m/>
    <n v="1"/>
    <m/>
    <n v="3"/>
    <m/>
    <m/>
    <m/>
    <m/>
  </r>
  <r>
    <x v="6"/>
    <x v="7"/>
    <s v="S12000010"/>
    <n v="3"/>
    <n v="23"/>
    <n v="5"/>
    <m/>
    <n v="1"/>
    <m/>
    <m/>
    <m/>
    <n v="3"/>
    <n v="2"/>
    <n v="1"/>
    <n v="3"/>
    <n v="2"/>
    <m/>
    <n v="1"/>
  </r>
  <r>
    <x v="6"/>
    <x v="17"/>
    <s v="S12000023"/>
    <n v="1"/>
    <n v="5"/>
    <m/>
    <n v="1"/>
    <n v="2"/>
    <m/>
    <m/>
    <m/>
    <m/>
    <m/>
    <m/>
    <m/>
    <m/>
    <m/>
    <m/>
  </r>
  <r>
    <x v="7"/>
    <x v="14"/>
    <s v="S12000035"/>
    <n v="3"/>
    <n v="12"/>
    <n v="10"/>
    <m/>
    <n v="106"/>
    <n v="42"/>
    <m/>
    <m/>
    <n v="1"/>
    <n v="5"/>
    <n v="2"/>
    <n v="3"/>
    <n v="1"/>
    <n v="3"/>
    <n v="1"/>
  </r>
  <r>
    <x v="7"/>
    <x v="1"/>
    <s v="S12000019"/>
    <n v="2"/>
    <n v="15"/>
    <n v="31"/>
    <m/>
    <n v="2"/>
    <n v="2"/>
    <m/>
    <m/>
    <n v="7"/>
    <n v="12"/>
    <n v="2"/>
    <n v="3"/>
    <n v="5"/>
    <m/>
    <n v="7"/>
  </r>
  <r>
    <x v="7"/>
    <x v="12"/>
    <s v="S12000027"/>
    <n v="1"/>
    <n v="7"/>
    <n v="3"/>
    <n v="2"/>
    <n v="11"/>
    <n v="13"/>
    <m/>
    <m/>
    <m/>
    <m/>
    <m/>
    <m/>
    <m/>
    <m/>
    <m/>
  </r>
  <r>
    <x v="0"/>
    <x v="6"/>
    <s v="S12000034"/>
    <n v="11"/>
    <n v="79"/>
    <n v="48"/>
    <m/>
    <n v="59"/>
    <n v="28"/>
    <m/>
    <m/>
    <n v="14"/>
    <n v="16"/>
    <n v="1"/>
    <n v="1"/>
    <n v="2"/>
    <n v="6"/>
    <n v="2"/>
  </r>
  <r>
    <x v="0"/>
    <x v="19"/>
    <s v="S12000041"/>
    <n v="13"/>
    <n v="38"/>
    <n v="6"/>
    <n v="1"/>
    <n v="27"/>
    <n v="9"/>
    <m/>
    <n v="2"/>
    <n v="34"/>
    <n v="4"/>
    <n v="5"/>
    <n v="20"/>
    <n v="25"/>
    <n v="13"/>
    <n v="9"/>
  </r>
  <r>
    <x v="0"/>
    <x v="14"/>
    <s v="S12000035"/>
    <n v="5"/>
    <n v="27"/>
    <n v="2"/>
    <n v="5"/>
    <n v="101"/>
    <n v="24"/>
    <n v="2"/>
    <n v="2"/>
    <n v="9"/>
    <n v="36"/>
    <n v="13"/>
    <n v="2"/>
    <n v="3"/>
    <n v="4"/>
    <n v="18"/>
  </r>
  <r>
    <x v="0"/>
    <x v="28"/>
    <s v="S12000024"/>
    <n v="49"/>
    <n v="85"/>
    <n v="32"/>
    <n v="1"/>
    <n v="18"/>
    <n v="30"/>
    <m/>
    <n v="1"/>
    <n v="4"/>
    <n v="3"/>
    <n v="5"/>
    <n v="4"/>
    <n v="3"/>
    <n v="11"/>
    <n v="1"/>
  </r>
  <r>
    <x v="0"/>
    <x v="12"/>
    <s v="S12000027"/>
    <n v="1"/>
    <n v="14"/>
    <n v="6"/>
    <n v="2"/>
    <n v="8"/>
    <m/>
    <m/>
    <m/>
    <m/>
    <m/>
    <m/>
    <m/>
    <m/>
    <n v="1"/>
    <m/>
  </r>
  <r>
    <x v="0"/>
    <x v="29"/>
    <s v="S12000028"/>
    <n v="3"/>
    <n v="46"/>
    <n v="23"/>
    <n v="5"/>
    <n v="39"/>
    <n v="14"/>
    <n v="1"/>
    <n v="1"/>
    <n v="16"/>
    <n v="10"/>
    <n v="36"/>
    <n v="8"/>
    <n v="20"/>
    <n v="15"/>
    <n v="10"/>
  </r>
  <r>
    <x v="0"/>
    <x v="13"/>
    <s v="S12000040"/>
    <n v="9"/>
    <n v="45"/>
    <n v="13"/>
    <n v="4"/>
    <n v="5"/>
    <n v="1"/>
    <m/>
    <n v="16"/>
    <n v="34"/>
    <n v="21"/>
    <n v="30"/>
    <n v="15"/>
    <n v="29"/>
    <n v="13"/>
    <n v="3"/>
  </r>
  <r>
    <x v="1"/>
    <x v="19"/>
    <s v="S12000041"/>
    <n v="8"/>
    <n v="36"/>
    <n v="4"/>
    <m/>
    <n v="12"/>
    <n v="27"/>
    <m/>
    <m/>
    <n v="39"/>
    <n v="7"/>
    <n v="3"/>
    <n v="19"/>
    <n v="8"/>
    <n v="8"/>
    <n v="3"/>
  </r>
  <r>
    <x v="1"/>
    <x v="20"/>
    <s v="S12000006"/>
    <n v="10"/>
    <n v="91"/>
    <n v="27"/>
    <n v="3"/>
    <n v="82"/>
    <n v="7"/>
    <n v="1"/>
    <n v="1"/>
    <n v="9"/>
    <n v="11"/>
    <n v="10"/>
    <n v="15"/>
    <n v="19"/>
    <n v="7"/>
    <n v="3"/>
  </r>
  <r>
    <x v="1"/>
    <x v="31"/>
    <s v="S12000014"/>
    <n v="10"/>
    <n v="45"/>
    <n v="8"/>
    <n v="1"/>
    <n v="18"/>
    <n v="5"/>
    <n v="2"/>
    <n v="4"/>
    <n v="17"/>
    <n v="6"/>
    <n v="16"/>
    <n v="7"/>
    <n v="10"/>
    <n v="8"/>
    <n v="3"/>
  </r>
  <r>
    <x v="1"/>
    <x v="28"/>
    <s v="S12000024"/>
    <n v="65"/>
    <n v="88"/>
    <n v="38"/>
    <m/>
    <n v="11"/>
    <n v="27"/>
    <m/>
    <m/>
    <n v="13"/>
    <n v="2"/>
    <n v="1"/>
    <n v="13"/>
    <n v="6"/>
    <n v="3"/>
    <n v="3"/>
  </r>
  <r>
    <x v="1"/>
    <x v="21"/>
    <s v="S12000029"/>
    <n v="15"/>
    <n v="102"/>
    <n v="59"/>
    <m/>
    <n v="25"/>
    <n v="3"/>
    <m/>
    <n v="1"/>
    <n v="6"/>
    <n v="3"/>
    <n v="5"/>
    <n v="8"/>
    <n v="4"/>
    <n v="16"/>
    <n v="3"/>
  </r>
  <r>
    <x v="2"/>
    <x v="22"/>
    <s v="S12000036"/>
    <n v="27"/>
    <n v="110"/>
    <n v="211"/>
    <n v="30"/>
    <n v="110"/>
    <n v="22"/>
    <n v="2"/>
    <n v="5"/>
    <n v="109"/>
    <n v="24"/>
    <n v="79"/>
    <n v="27"/>
    <n v="1"/>
    <n v="22"/>
    <n v="4"/>
  </r>
  <r>
    <x v="2"/>
    <x v="26"/>
    <s v="S12000015"/>
    <n v="24"/>
    <n v="132"/>
    <n v="202"/>
    <m/>
    <n v="31"/>
    <n v="5"/>
    <n v="6"/>
    <n v="2"/>
    <n v="14"/>
    <n v="7"/>
    <n v="15"/>
    <n v="17"/>
    <n v="11"/>
    <n v="9"/>
    <n v="7"/>
  </r>
  <r>
    <x v="2"/>
    <x v="17"/>
    <s v="S12000023"/>
    <n v="1"/>
    <n v="9"/>
    <n v="2"/>
    <n v="6"/>
    <n v="10"/>
    <n v="1"/>
    <m/>
    <m/>
    <m/>
    <m/>
    <m/>
    <m/>
    <m/>
    <m/>
    <m/>
  </r>
  <r>
    <x v="2"/>
    <x v="3"/>
    <s v="S12000038"/>
    <n v="1"/>
    <n v="56"/>
    <n v="8"/>
    <m/>
    <n v="22"/>
    <m/>
    <m/>
    <n v="2"/>
    <n v="16"/>
    <n v="2"/>
    <n v="25"/>
    <n v="6"/>
    <n v="13"/>
    <n v="9"/>
    <n v="9"/>
  </r>
  <r>
    <x v="2"/>
    <x v="27"/>
    <s v="S12000030"/>
    <n v="16"/>
    <n v="46"/>
    <n v="33"/>
    <n v="4"/>
    <n v="22"/>
    <n v="10"/>
    <m/>
    <m/>
    <n v="5"/>
    <n v="3"/>
    <n v="6"/>
    <n v="3"/>
    <n v="3"/>
    <n v="4"/>
    <n v="5"/>
  </r>
  <r>
    <x v="2"/>
    <x v="18"/>
    <s v="S12000039"/>
    <n v="4"/>
    <n v="24"/>
    <n v="13"/>
    <m/>
    <n v="17"/>
    <n v="6"/>
    <m/>
    <n v="2"/>
    <n v="3"/>
    <n v="3"/>
    <n v="8"/>
    <n v="3"/>
    <n v="31"/>
    <n v="5"/>
    <n v="2"/>
  </r>
  <r>
    <x v="3"/>
    <x v="25"/>
    <s v="S12000046"/>
    <n v="41"/>
    <n v="109"/>
    <n v="831"/>
    <n v="15"/>
    <n v="81"/>
    <n v="4"/>
    <n v="6"/>
    <n v="5"/>
    <n v="25"/>
    <n v="11"/>
    <n v="28"/>
    <n v="9"/>
    <n v="5"/>
    <n v="14"/>
    <n v="3"/>
  </r>
  <r>
    <x v="3"/>
    <x v="21"/>
    <s v="S12000029"/>
    <n v="24"/>
    <n v="115"/>
    <n v="74"/>
    <n v="3"/>
    <n v="37"/>
    <n v="4"/>
    <n v="2"/>
    <n v="1"/>
    <n v="14"/>
    <n v="9"/>
    <n v="14"/>
    <n v="8"/>
    <n v="16"/>
    <n v="7"/>
    <n v="5"/>
  </r>
  <r>
    <x v="4"/>
    <x v="25"/>
    <s v="S12000046"/>
    <n v="68"/>
    <n v="127"/>
    <n v="602"/>
    <n v="13"/>
    <n v="102"/>
    <n v="1"/>
    <n v="7"/>
    <n v="2"/>
    <n v="51"/>
    <n v="18"/>
    <n v="57"/>
    <n v="26"/>
    <n v="10"/>
    <n v="24"/>
    <n v="18"/>
  </r>
  <r>
    <x v="4"/>
    <x v="24"/>
    <s v="S12000013"/>
    <n v="2"/>
    <n v="6"/>
    <m/>
    <m/>
    <n v="8"/>
    <m/>
    <m/>
    <m/>
    <n v="1"/>
    <n v="1"/>
    <m/>
    <m/>
    <n v="2"/>
    <n v="1"/>
    <m/>
  </r>
  <r>
    <x v="4"/>
    <x v="4"/>
    <s v="S12000026"/>
    <n v="15"/>
    <n v="36"/>
    <n v="31"/>
    <n v="1"/>
    <n v="44"/>
    <n v="23"/>
    <m/>
    <m/>
    <n v="11"/>
    <n v="15"/>
    <n v="11"/>
    <n v="16"/>
    <n v="9"/>
    <n v="3"/>
    <n v="4"/>
  </r>
  <r>
    <x v="4"/>
    <x v="29"/>
    <s v="S12000028"/>
    <n v="8"/>
    <n v="56"/>
    <n v="28"/>
    <n v="3"/>
    <n v="38"/>
    <n v="7"/>
    <m/>
    <n v="2"/>
    <n v="11"/>
    <n v="19"/>
    <n v="13"/>
    <n v="6"/>
    <n v="17"/>
    <n v="11"/>
    <n v="10"/>
  </r>
  <r>
    <x v="4"/>
    <x v="13"/>
    <s v="S12000040"/>
    <n v="11"/>
    <n v="60"/>
    <n v="9"/>
    <m/>
    <n v="15"/>
    <n v="1"/>
    <m/>
    <n v="8"/>
    <n v="8"/>
    <n v="28"/>
    <n v="19"/>
    <n v="17"/>
    <n v="21"/>
    <n v="11"/>
    <n v="5"/>
  </r>
  <r>
    <x v="5"/>
    <x v="14"/>
    <s v="S12000035"/>
    <n v="7"/>
    <n v="28"/>
    <n v="38"/>
    <n v="8"/>
    <n v="107"/>
    <n v="49"/>
    <n v="2"/>
    <n v="3"/>
    <n v="5"/>
    <n v="7"/>
    <n v="8"/>
    <n v="5"/>
    <n v="7"/>
    <n v="6"/>
    <n v="2"/>
  </r>
  <r>
    <x v="5"/>
    <x v="25"/>
    <s v="S12000046"/>
    <n v="25"/>
    <n v="86"/>
    <n v="646"/>
    <n v="6"/>
    <n v="74"/>
    <n v="5"/>
    <n v="4"/>
    <n v="3"/>
    <n v="42"/>
    <n v="17"/>
    <n v="58"/>
    <n v="23"/>
    <n v="10"/>
    <n v="27"/>
    <n v="13"/>
  </r>
  <r>
    <x v="0"/>
    <x v="30"/>
    <s v="S12000005"/>
    <m/>
    <n v="22"/>
    <n v="2"/>
    <m/>
    <n v="5"/>
    <n v="4"/>
    <m/>
    <m/>
    <n v="1"/>
    <n v="3"/>
    <n v="2"/>
    <n v="1"/>
    <n v="1"/>
    <n v="3"/>
    <m/>
  </r>
  <r>
    <x v="0"/>
    <x v="25"/>
    <s v="S12000046"/>
    <n v="41"/>
    <n v="102"/>
    <n v="475"/>
    <n v="15"/>
    <n v="83"/>
    <n v="1"/>
    <n v="11"/>
    <n v="6"/>
    <n v="98"/>
    <n v="27"/>
    <n v="93"/>
    <n v="31"/>
    <n v="54"/>
    <n v="63"/>
    <n v="22"/>
  </r>
  <r>
    <x v="1"/>
    <x v="4"/>
    <s v="S12000026"/>
    <n v="16"/>
    <n v="39"/>
    <n v="37"/>
    <n v="1"/>
    <n v="55"/>
    <n v="35"/>
    <m/>
    <n v="6"/>
    <n v="20"/>
    <n v="16"/>
    <n v="20"/>
    <n v="12"/>
    <n v="10"/>
    <n v="13"/>
    <n v="10"/>
  </r>
  <r>
    <x v="2"/>
    <x v="19"/>
    <s v="S12000041"/>
    <n v="1"/>
    <n v="35"/>
    <n v="9"/>
    <m/>
    <n v="12"/>
    <n v="11"/>
    <m/>
    <m/>
    <n v="8"/>
    <n v="1"/>
    <n v="6"/>
    <n v="7"/>
    <n v="2"/>
    <n v="2"/>
    <n v="5"/>
  </r>
  <r>
    <x v="2"/>
    <x v="2"/>
    <s v="S12000021"/>
    <n v="5"/>
    <n v="72"/>
    <n v="6"/>
    <n v="3"/>
    <n v="20"/>
    <n v="47"/>
    <m/>
    <n v="1"/>
    <n v="9"/>
    <n v="9"/>
    <n v="11"/>
    <n v="16"/>
    <n v="22"/>
    <n v="5"/>
    <n v="4"/>
  </r>
  <r>
    <x v="2"/>
    <x v="4"/>
    <s v="S12000026"/>
    <n v="18"/>
    <n v="32"/>
    <n v="39"/>
    <m/>
    <n v="53"/>
    <n v="26"/>
    <n v="1"/>
    <n v="6"/>
    <n v="29"/>
    <n v="19"/>
    <n v="31"/>
    <n v="8"/>
    <n v="9"/>
    <n v="11"/>
    <n v="3"/>
  </r>
  <r>
    <x v="3"/>
    <x v="0"/>
    <s v="S12000045"/>
    <n v="1"/>
    <n v="32"/>
    <n v="22"/>
    <m/>
    <n v="7"/>
    <n v="1"/>
    <m/>
    <n v="3"/>
    <n v="4"/>
    <n v="4"/>
    <n v="6"/>
    <n v="5"/>
    <n v="1"/>
    <n v="3"/>
    <n v="3"/>
  </r>
  <r>
    <x v="3"/>
    <x v="8"/>
    <s v="S12000011"/>
    <n v="1"/>
    <n v="16"/>
    <n v="2"/>
    <m/>
    <n v="8"/>
    <m/>
    <m/>
    <m/>
    <m/>
    <n v="1"/>
    <n v="1"/>
    <m/>
    <n v="1"/>
    <m/>
    <m/>
  </r>
  <r>
    <x v="3"/>
    <x v="9"/>
    <s v="S12000017"/>
    <n v="12"/>
    <n v="79"/>
    <n v="60"/>
    <n v="27"/>
    <n v="82"/>
    <n v="10"/>
    <m/>
    <n v="1"/>
    <n v="4"/>
    <n v="2"/>
    <n v="1"/>
    <n v="4"/>
    <n v="2"/>
    <m/>
    <n v="2"/>
  </r>
  <r>
    <x v="3"/>
    <x v="3"/>
    <s v="S12000038"/>
    <n v="3"/>
    <n v="56"/>
    <n v="6"/>
    <m/>
    <n v="16"/>
    <m/>
    <n v="2"/>
    <m/>
    <n v="4"/>
    <n v="1"/>
    <n v="1"/>
    <m/>
    <n v="1"/>
    <n v="1"/>
    <m/>
  </r>
  <r>
    <x v="4"/>
    <x v="22"/>
    <s v="S12000036"/>
    <n v="66"/>
    <n v="120"/>
    <n v="142"/>
    <n v="21"/>
    <n v="112"/>
    <n v="23"/>
    <n v="2"/>
    <n v="5"/>
    <n v="85"/>
    <n v="16"/>
    <n v="26"/>
    <n v="40"/>
    <n v="7"/>
    <n v="41"/>
    <n v="8"/>
  </r>
  <r>
    <x v="4"/>
    <x v="23"/>
    <s v="S12000008"/>
    <n v="3"/>
    <n v="57"/>
    <n v="7"/>
    <m/>
    <n v="24"/>
    <n v="8"/>
    <m/>
    <m/>
    <n v="9"/>
    <n v="8"/>
    <n v="11"/>
    <n v="6"/>
    <n v="7"/>
    <n v="3"/>
    <n v="2"/>
  </r>
  <r>
    <x v="4"/>
    <x v="21"/>
    <s v="S12000029"/>
    <n v="26"/>
    <n v="98"/>
    <n v="52"/>
    <m/>
    <n v="31"/>
    <n v="2"/>
    <m/>
    <m/>
    <n v="5"/>
    <n v="1"/>
    <n v="8"/>
    <n v="10"/>
    <n v="6"/>
    <n v="9"/>
    <n v="4"/>
  </r>
  <r>
    <x v="5"/>
    <x v="5"/>
    <s v="S12000033"/>
    <n v="15"/>
    <n v="70"/>
    <n v="231"/>
    <m/>
    <n v="44"/>
    <n v="17"/>
    <n v="2"/>
    <n v="1"/>
    <n v="7"/>
    <n v="6"/>
    <n v="13"/>
    <n v="9"/>
    <n v="8"/>
    <n v="6"/>
    <n v="4"/>
  </r>
  <r>
    <x v="5"/>
    <x v="19"/>
    <s v="S12000041"/>
    <n v="7"/>
    <n v="38"/>
    <n v="7"/>
    <m/>
    <n v="2"/>
    <n v="6"/>
    <m/>
    <n v="7"/>
    <n v="10"/>
    <n v="8"/>
    <n v="10"/>
    <n v="9"/>
    <n v="8"/>
    <n v="2"/>
    <n v="9"/>
  </r>
  <r>
    <x v="5"/>
    <x v="18"/>
    <s v="S12000039"/>
    <n v="6"/>
    <n v="19"/>
    <n v="21"/>
    <m/>
    <n v="20"/>
    <n v="3"/>
    <m/>
    <n v="2"/>
    <n v="12"/>
    <n v="1"/>
    <n v="13"/>
    <n v="7"/>
    <n v="15"/>
    <n v="5"/>
    <n v="4"/>
  </r>
  <r>
    <x v="6"/>
    <x v="26"/>
    <s v="S12000047"/>
    <n v="2"/>
    <n v="120"/>
    <n v="79"/>
    <n v="2"/>
    <n v="2"/>
    <n v="10"/>
    <m/>
    <n v="1"/>
    <n v="2"/>
    <n v="3"/>
    <n v="7"/>
    <n v="6"/>
    <n v="13"/>
    <n v="3"/>
    <m/>
  </r>
  <r>
    <x v="7"/>
    <x v="20"/>
    <s v="S12000006"/>
    <n v="7"/>
    <n v="35"/>
    <n v="33"/>
    <m/>
    <n v="17"/>
    <n v="20"/>
    <n v="2"/>
    <m/>
    <n v="6"/>
    <m/>
    <n v="3"/>
    <n v="2"/>
    <n v="6"/>
    <n v="7"/>
    <n v="3"/>
  </r>
  <r>
    <x v="7"/>
    <x v="26"/>
    <s v="S12000015"/>
    <n v="1"/>
    <n v="121"/>
    <n v="156"/>
    <m/>
    <n v="11"/>
    <n v="14"/>
    <m/>
    <n v="3"/>
    <n v="3"/>
    <n v="13"/>
    <n v="13"/>
    <n v="5"/>
    <n v="20"/>
    <n v="1"/>
    <n v="9"/>
  </r>
  <r>
    <x v="8"/>
    <x v="30"/>
    <s v="S12000005"/>
    <n v="1"/>
    <n v="15"/>
    <n v="2"/>
    <m/>
    <m/>
    <m/>
    <m/>
    <m/>
    <m/>
    <n v="6"/>
    <n v="1"/>
    <m/>
    <n v="2"/>
    <m/>
    <m/>
  </r>
  <r>
    <x v="8"/>
    <x v="28"/>
    <s v="S12000024"/>
    <n v="24"/>
    <n v="46"/>
    <n v="10"/>
    <n v="1"/>
    <n v="15"/>
    <n v="10"/>
    <m/>
    <n v="1"/>
    <n v="12"/>
    <n v="7"/>
    <n v="3"/>
    <n v="4"/>
    <n v="3"/>
    <n v="1"/>
    <n v="1"/>
  </r>
  <r>
    <x v="8"/>
    <x v="18"/>
    <s v="S12000039"/>
    <m/>
    <n v="14"/>
    <n v="11"/>
    <m/>
    <n v="3"/>
    <m/>
    <m/>
    <n v="1"/>
    <n v="1"/>
    <n v="3"/>
    <n v="3"/>
    <n v="3"/>
    <n v="2"/>
    <n v="1"/>
    <n v="1"/>
  </r>
  <r>
    <x v="9"/>
    <x v="6"/>
    <s v="S12000034"/>
    <n v="8"/>
    <n v="67"/>
    <n v="16"/>
    <n v="2"/>
    <n v="28"/>
    <n v="147"/>
    <m/>
    <n v="5"/>
    <n v="3"/>
    <n v="7"/>
    <n v="11"/>
    <n v="6"/>
    <n v="19"/>
    <n v="4"/>
    <n v="10"/>
  </r>
  <r>
    <x v="9"/>
    <x v="14"/>
    <s v="S12000035"/>
    <n v="6"/>
    <n v="29"/>
    <n v="18"/>
    <n v="2"/>
    <n v="78"/>
    <n v="301"/>
    <m/>
    <n v="2"/>
    <n v="2"/>
    <n v="1"/>
    <n v="3"/>
    <n v="9"/>
    <n v="5"/>
    <n v="2"/>
    <n v="1"/>
  </r>
  <r>
    <x v="9"/>
    <x v="22"/>
    <s v="S12000036"/>
    <n v="35"/>
    <n v="110"/>
    <n v="202"/>
    <n v="12"/>
    <n v="82"/>
    <n v="32"/>
    <n v="1"/>
    <n v="1"/>
    <n v="32"/>
    <n v="5"/>
    <n v="22"/>
    <n v="8"/>
    <n v="5"/>
    <n v="11"/>
    <n v="6"/>
  </r>
  <r>
    <x v="9"/>
    <x v="0"/>
    <s v="S12000045"/>
    <n v="4"/>
    <n v="25"/>
    <n v="23"/>
    <m/>
    <n v="2"/>
    <n v="1"/>
    <m/>
    <m/>
    <n v="2"/>
    <n v="3"/>
    <m/>
    <n v="1"/>
    <m/>
    <n v="1"/>
    <n v="1"/>
  </r>
  <r>
    <x v="9"/>
    <x v="10"/>
    <s v="S12000018"/>
    <n v="9"/>
    <n v="29"/>
    <n v="6"/>
    <m/>
    <n v="6"/>
    <n v="12"/>
    <m/>
    <n v="2"/>
    <n v="2"/>
    <n v="1"/>
    <n v="5"/>
    <n v="6"/>
    <n v="5"/>
    <n v="3"/>
    <n v="5"/>
  </r>
  <r>
    <x v="5"/>
    <x v="1"/>
    <s v="S12000019"/>
    <n v="3"/>
    <n v="18"/>
    <n v="8"/>
    <m/>
    <n v="5"/>
    <n v="1"/>
    <m/>
    <m/>
    <n v="6"/>
    <n v="12"/>
    <n v="5"/>
    <n v="8"/>
    <m/>
    <n v="4"/>
    <m/>
  </r>
  <r>
    <x v="5"/>
    <x v="27"/>
    <s v="S12000030"/>
    <n v="5"/>
    <n v="46"/>
    <n v="87"/>
    <n v="3"/>
    <n v="25"/>
    <n v="6"/>
    <m/>
    <m/>
    <n v="3"/>
    <n v="10"/>
    <n v="6"/>
    <n v="3"/>
    <n v="3"/>
    <n v="4"/>
    <m/>
  </r>
  <r>
    <x v="6"/>
    <x v="15"/>
    <s v="S12000042"/>
    <n v="14"/>
    <n v="34"/>
    <n v="70"/>
    <n v="1"/>
    <n v="16"/>
    <n v="5"/>
    <m/>
    <m/>
    <n v="3"/>
    <n v="4"/>
    <n v="2"/>
    <n v="1"/>
    <n v="2"/>
    <n v="2"/>
    <n v="1"/>
  </r>
  <r>
    <x v="6"/>
    <x v="25"/>
    <s v="S12000049"/>
    <n v="8"/>
    <n v="108"/>
    <n v="227"/>
    <n v="7"/>
    <n v="31"/>
    <n v="4"/>
    <n v="5"/>
    <n v="1"/>
    <n v="10"/>
    <n v="7"/>
    <n v="30"/>
    <n v="13"/>
    <n v="8"/>
    <n v="6"/>
    <n v="14"/>
  </r>
  <r>
    <x v="7"/>
    <x v="30"/>
    <s v="S12000005"/>
    <n v="1"/>
    <n v="19"/>
    <n v="5"/>
    <m/>
    <m/>
    <n v="4"/>
    <m/>
    <m/>
    <n v="2"/>
    <n v="1"/>
    <n v="5"/>
    <n v="1"/>
    <n v="1"/>
    <m/>
    <n v="2"/>
  </r>
  <r>
    <x v="7"/>
    <x v="23"/>
    <s v="S12000008"/>
    <n v="2"/>
    <n v="53"/>
    <n v="4"/>
    <m/>
    <n v="10"/>
    <n v="8"/>
    <m/>
    <n v="1"/>
    <n v="3"/>
    <n v="1"/>
    <n v="5"/>
    <n v="3"/>
    <n v="8"/>
    <n v="7"/>
    <n v="5"/>
  </r>
  <r>
    <x v="7"/>
    <x v="7"/>
    <s v="S12000010"/>
    <n v="2"/>
    <n v="18"/>
    <n v="8"/>
    <m/>
    <n v="14"/>
    <n v="10"/>
    <m/>
    <n v="1"/>
    <n v="11"/>
    <n v="10"/>
    <n v="1"/>
    <n v="13"/>
    <n v="5"/>
    <n v="9"/>
    <n v="4"/>
  </r>
  <r>
    <x v="7"/>
    <x v="31"/>
    <s v="S12000014"/>
    <n v="8"/>
    <n v="38"/>
    <n v="4"/>
    <n v="1"/>
    <n v="17"/>
    <m/>
    <m/>
    <n v="1"/>
    <n v="4"/>
    <n v="8"/>
    <n v="7"/>
    <n v="11"/>
    <n v="9"/>
    <n v="1"/>
    <n v="3"/>
  </r>
  <r>
    <x v="7"/>
    <x v="3"/>
    <s v="S12000038"/>
    <n v="2"/>
    <n v="37"/>
    <n v="5"/>
    <m/>
    <n v="25"/>
    <n v="6"/>
    <m/>
    <m/>
    <n v="2"/>
    <n v="6"/>
    <n v="3"/>
    <n v="2"/>
    <n v="7"/>
    <m/>
    <m/>
  </r>
  <r>
    <x v="8"/>
    <x v="6"/>
    <s v="S12000034"/>
    <n v="20"/>
    <n v="101"/>
    <n v="28"/>
    <n v="1"/>
    <n v="61"/>
    <n v="101"/>
    <n v="1"/>
    <n v="7"/>
    <n v="10"/>
    <n v="21"/>
    <n v="21"/>
    <n v="15"/>
    <n v="15"/>
    <n v="11"/>
    <n v="16"/>
  </r>
  <r>
    <x v="8"/>
    <x v="10"/>
    <s v="S12000018"/>
    <n v="4"/>
    <n v="36"/>
    <n v="9"/>
    <m/>
    <n v="3"/>
    <n v="5"/>
    <m/>
    <m/>
    <n v="1"/>
    <n v="2"/>
    <n v="7"/>
    <n v="5"/>
    <m/>
    <m/>
    <n v="1"/>
  </r>
  <r>
    <x v="8"/>
    <x v="16"/>
    <s v="S12000020"/>
    <n v="6"/>
    <n v="36"/>
    <n v="10"/>
    <n v="2"/>
    <n v="25"/>
    <n v="41"/>
    <m/>
    <m/>
    <n v="2"/>
    <n v="8"/>
    <n v="10"/>
    <n v="1"/>
    <n v="8"/>
    <n v="2"/>
    <m/>
  </r>
  <r>
    <x v="8"/>
    <x v="4"/>
    <s v="S12000026"/>
    <n v="17"/>
    <n v="40"/>
    <n v="30"/>
    <m/>
    <n v="12"/>
    <n v="18"/>
    <m/>
    <m/>
    <n v="3"/>
    <n v="4"/>
    <n v="9"/>
    <n v="7"/>
    <n v="5"/>
    <n v="3"/>
    <n v="1"/>
  </r>
  <r>
    <x v="9"/>
    <x v="30"/>
    <s v="S12000005"/>
    <m/>
    <n v="22"/>
    <m/>
    <m/>
    <n v="1"/>
    <m/>
    <m/>
    <m/>
    <m/>
    <m/>
    <n v="1"/>
    <n v="1"/>
    <m/>
    <m/>
    <m/>
  </r>
  <r>
    <x v="9"/>
    <x v="23"/>
    <s v="S12000008"/>
    <n v="8"/>
    <n v="54"/>
    <n v="21"/>
    <m/>
    <n v="14"/>
    <n v="31"/>
    <m/>
    <m/>
    <n v="3"/>
    <n v="2"/>
    <n v="22"/>
    <n v="1"/>
    <n v="20"/>
    <n v="4"/>
    <n v="3"/>
  </r>
  <r>
    <x v="9"/>
    <x v="3"/>
    <s v="S12000038"/>
    <n v="2"/>
    <n v="64"/>
    <n v="22"/>
    <m/>
    <n v="25"/>
    <n v="26"/>
    <m/>
    <n v="1"/>
    <n v="6"/>
    <n v="6"/>
    <n v="15"/>
    <n v="13"/>
    <n v="6"/>
    <n v="8"/>
    <n v="4"/>
  </r>
  <r>
    <x v="9"/>
    <x v="18"/>
    <s v="S12000039"/>
    <n v="8"/>
    <n v="17"/>
    <n v="18"/>
    <m/>
    <n v="19"/>
    <n v="40"/>
    <m/>
    <n v="1"/>
    <n v="1"/>
    <n v="1"/>
    <n v="3"/>
    <n v="2"/>
    <n v="14"/>
    <n v="3"/>
    <n v="2"/>
  </r>
  <r>
    <x v="10"/>
    <x v="19"/>
    <s v="S12000041"/>
    <n v="5"/>
    <n v="36"/>
    <n v="6"/>
    <m/>
    <n v="7"/>
    <n v="5"/>
    <m/>
    <n v="1"/>
    <n v="1"/>
    <n v="4"/>
    <n v="1"/>
    <n v="1"/>
    <n v="3"/>
    <m/>
    <m/>
  </r>
  <r>
    <x v="10"/>
    <x v="27"/>
    <s v="S12000030"/>
    <m/>
    <n v="34"/>
    <n v="53"/>
    <n v="3"/>
    <n v="21"/>
    <n v="23"/>
    <m/>
    <n v="1"/>
    <n v="2"/>
    <n v="8"/>
    <n v="2"/>
    <n v="3"/>
    <n v="4"/>
    <n v="4"/>
    <m/>
  </r>
  <r>
    <x v="11"/>
    <x v="12"/>
    <s v="S12000027"/>
    <n v="1"/>
    <n v="16"/>
    <n v="6"/>
    <n v="3"/>
    <n v="7"/>
    <n v="22"/>
    <m/>
    <m/>
    <m/>
    <n v="2"/>
    <m/>
    <m/>
    <m/>
    <m/>
    <n v="1"/>
  </r>
  <r>
    <x v="11"/>
    <x v="29"/>
    <s v="S12000028"/>
    <n v="6"/>
    <n v="49"/>
    <n v="27"/>
    <n v="2"/>
    <n v="46"/>
    <n v="47"/>
    <m/>
    <n v="1"/>
    <n v="8"/>
    <n v="2"/>
    <n v="8"/>
    <n v="4"/>
    <n v="6"/>
    <n v="7"/>
    <n v="6"/>
  </r>
  <r>
    <x v="11"/>
    <x v="13"/>
    <s v="S12000040"/>
    <n v="7"/>
    <n v="51"/>
    <n v="17"/>
    <n v="1"/>
    <n v="11"/>
    <n v="11"/>
    <n v="3"/>
    <n v="2"/>
    <n v="8"/>
    <n v="32"/>
    <n v="28"/>
    <n v="14"/>
    <n v="11"/>
    <n v="6"/>
    <n v="2"/>
  </r>
  <r>
    <x v="11"/>
    <x v="18"/>
    <s v="S12000039"/>
    <n v="6"/>
    <n v="15"/>
    <n v="12"/>
    <m/>
    <n v="10"/>
    <n v="6"/>
    <n v="1"/>
    <m/>
    <m/>
    <n v="5"/>
    <n v="3"/>
    <n v="5"/>
    <n v="42"/>
    <n v="5"/>
    <n v="1"/>
  </r>
  <r>
    <x v="11"/>
    <x v="5"/>
    <s v="S12000033"/>
    <n v="8"/>
    <n v="69"/>
    <n v="245"/>
    <m/>
    <n v="20"/>
    <n v="17"/>
    <n v="7"/>
    <m/>
    <n v="3"/>
    <n v="3"/>
    <n v="18"/>
    <n v="3"/>
    <n v="1"/>
    <n v="3"/>
    <n v="2"/>
  </r>
  <r>
    <x v="11"/>
    <x v="0"/>
    <s v="S12000045"/>
    <m/>
    <n v="34"/>
    <n v="16"/>
    <m/>
    <n v="4"/>
    <n v="1"/>
    <m/>
    <m/>
    <n v="2"/>
    <n v="10"/>
    <n v="2"/>
    <m/>
    <m/>
    <m/>
    <n v="1"/>
  </r>
  <r>
    <x v="11"/>
    <x v="22"/>
    <s v="S12000036"/>
    <n v="43"/>
    <n v="108"/>
    <n v="513"/>
    <n v="21"/>
    <n v="102"/>
    <n v="60"/>
    <n v="2"/>
    <n v="3"/>
    <n v="63"/>
    <n v="4"/>
    <n v="24"/>
    <n v="13"/>
    <n v="4"/>
    <n v="3"/>
    <n v="3"/>
  </r>
  <r>
    <x v="11"/>
    <x v="2"/>
    <s v="S12000021"/>
    <m/>
    <n v="71"/>
    <m/>
    <n v="2"/>
    <n v="12"/>
    <n v="6"/>
    <n v="7"/>
    <m/>
    <n v="8"/>
    <n v="4"/>
    <n v="15"/>
    <n v="9"/>
    <n v="3"/>
    <n v="6"/>
    <n v="5"/>
  </r>
  <r>
    <x v="11"/>
    <x v="26"/>
    <s v="S12000015"/>
    <n v="12"/>
    <n v="108"/>
    <n v="157"/>
    <m/>
    <n v="21"/>
    <n v="34"/>
    <m/>
    <m/>
    <n v="5"/>
    <n v="13"/>
    <n v="5"/>
    <n v="3"/>
    <n v="7"/>
    <m/>
    <n v="2"/>
  </r>
  <r>
    <x v="0"/>
    <x v="23"/>
    <s v="S12000008"/>
    <n v="10"/>
    <n v="30"/>
    <n v="19"/>
    <m/>
    <n v="22"/>
    <m/>
    <m/>
    <m/>
    <n v="11"/>
    <n v="5"/>
    <n v="21"/>
    <n v="11"/>
    <n v="13"/>
    <n v="7"/>
    <n v="4"/>
  </r>
  <r>
    <x v="0"/>
    <x v="11"/>
    <s v="S12000044"/>
    <n v="7"/>
    <n v="39"/>
    <n v="55"/>
    <m/>
    <n v="20"/>
    <n v="2"/>
    <m/>
    <n v="5"/>
    <n v="35"/>
    <n v="3"/>
    <n v="42"/>
    <n v="9"/>
    <n v="26"/>
    <n v="42"/>
    <n v="16"/>
  </r>
  <r>
    <x v="1"/>
    <x v="14"/>
    <s v="S12000035"/>
    <n v="11"/>
    <n v="32"/>
    <n v="19"/>
    <n v="12"/>
    <n v="176"/>
    <n v="30"/>
    <n v="1"/>
    <n v="2"/>
    <n v="3"/>
    <n v="10"/>
    <n v="18"/>
    <n v="6"/>
    <n v="11"/>
    <n v="6"/>
    <n v="4"/>
  </r>
  <r>
    <x v="1"/>
    <x v="1"/>
    <s v="S12000019"/>
    <n v="3"/>
    <n v="16"/>
    <n v="23"/>
    <n v="3"/>
    <n v="6"/>
    <n v="1"/>
    <m/>
    <n v="1"/>
    <n v="6"/>
    <n v="12"/>
    <n v="16"/>
    <n v="4"/>
    <n v="4"/>
    <n v="1"/>
    <n v="2"/>
  </r>
  <r>
    <x v="1"/>
    <x v="29"/>
    <s v="S12000028"/>
    <n v="19"/>
    <n v="58"/>
    <n v="29"/>
    <n v="3"/>
    <n v="48"/>
    <n v="15"/>
    <m/>
    <m/>
    <n v="15"/>
    <n v="4"/>
    <n v="26"/>
    <n v="9"/>
    <n v="45"/>
    <n v="9"/>
    <n v="8"/>
  </r>
  <r>
    <x v="2"/>
    <x v="5"/>
    <s v="S12000033"/>
    <n v="21"/>
    <n v="103"/>
    <n v="219"/>
    <n v="2"/>
    <n v="50"/>
    <n v="4"/>
    <m/>
    <n v="1"/>
    <n v="10"/>
    <n v="4"/>
    <n v="6"/>
    <n v="6"/>
    <n v="2"/>
    <n v="5"/>
    <n v="2"/>
  </r>
  <r>
    <x v="2"/>
    <x v="9"/>
    <s v="S12000017"/>
    <n v="18"/>
    <n v="93"/>
    <n v="47"/>
    <n v="10"/>
    <n v="67"/>
    <n v="9"/>
    <m/>
    <m/>
    <n v="8"/>
    <n v="1"/>
    <n v="8"/>
    <n v="1"/>
    <n v="4"/>
    <n v="1"/>
    <n v="1"/>
  </r>
  <r>
    <x v="2"/>
    <x v="13"/>
    <s v="S12000040"/>
    <n v="10"/>
    <n v="47"/>
    <n v="2"/>
    <n v="1"/>
    <n v="16"/>
    <n v="1"/>
    <n v="2"/>
    <n v="4"/>
    <n v="22"/>
    <n v="15"/>
    <n v="12"/>
    <n v="11"/>
    <n v="18"/>
    <n v="11"/>
    <n v="5"/>
  </r>
  <r>
    <x v="3"/>
    <x v="20"/>
    <s v="S12000006"/>
    <n v="18"/>
    <n v="88"/>
    <n v="39"/>
    <n v="8"/>
    <n v="86"/>
    <n v="7"/>
    <m/>
    <n v="12"/>
    <n v="15"/>
    <n v="10"/>
    <n v="35"/>
    <n v="15"/>
    <n v="30"/>
    <n v="9"/>
    <n v="7"/>
  </r>
  <r>
    <x v="3"/>
    <x v="10"/>
    <s v="S12000018"/>
    <m/>
    <n v="35"/>
    <n v="10"/>
    <m/>
    <n v="6"/>
    <n v="1"/>
    <n v="1"/>
    <n v="1"/>
    <n v="3"/>
    <n v="1"/>
    <n v="1"/>
    <n v="1"/>
    <n v="3"/>
    <n v="1"/>
    <n v="1"/>
  </r>
  <r>
    <x v="3"/>
    <x v="24"/>
    <s v="S12000013"/>
    <n v="4"/>
    <n v="11"/>
    <m/>
    <m/>
    <n v="5"/>
    <n v="2"/>
    <m/>
    <m/>
    <m/>
    <m/>
    <n v="1"/>
    <m/>
    <m/>
    <m/>
    <m/>
  </r>
  <r>
    <x v="3"/>
    <x v="2"/>
    <s v="S12000021"/>
    <n v="2"/>
    <n v="40"/>
    <n v="3"/>
    <m/>
    <n v="29"/>
    <n v="4"/>
    <n v="1"/>
    <m/>
    <n v="7"/>
    <n v="1"/>
    <n v="8"/>
    <n v="2"/>
    <n v="1"/>
    <n v="3"/>
    <n v="1"/>
  </r>
  <r>
    <x v="3"/>
    <x v="11"/>
    <s v="S12000044"/>
    <n v="10"/>
    <n v="59"/>
    <n v="24"/>
    <m/>
    <n v="27"/>
    <n v="5"/>
    <m/>
    <n v="4"/>
    <n v="26"/>
    <n v="6"/>
    <n v="81"/>
    <n v="18"/>
    <n v="24"/>
    <n v="40"/>
    <n v="27"/>
  </r>
  <r>
    <x v="3"/>
    <x v="28"/>
    <s v="S12000024"/>
    <n v="58"/>
    <n v="80"/>
    <n v="6"/>
    <n v="9"/>
    <n v="70"/>
    <n v="36"/>
    <m/>
    <n v="1"/>
    <n v="4"/>
    <n v="2"/>
    <n v="5"/>
    <n v="14"/>
    <n v="3"/>
    <n v="4"/>
    <n v="1"/>
  </r>
  <r>
    <x v="4"/>
    <x v="6"/>
    <s v="S12000034"/>
    <n v="26"/>
    <n v="88"/>
    <n v="48"/>
    <n v="7"/>
    <n v="73"/>
    <n v="48"/>
    <n v="3"/>
    <n v="3"/>
    <n v="13"/>
    <n v="8"/>
    <n v="13"/>
    <n v="4"/>
    <n v="21"/>
    <n v="13"/>
    <n v="5"/>
  </r>
  <r>
    <x v="5"/>
    <x v="30"/>
    <s v="S12000005"/>
    <n v="4"/>
    <n v="22"/>
    <n v="3"/>
    <m/>
    <m/>
    <m/>
    <m/>
    <m/>
    <m/>
    <n v="8"/>
    <n v="1"/>
    <n v="4"/>
    <n v="3"/>
    <n v="4"/>
    <m/>
  </r>
  <r>
    <x v="5"/>
    <x v="15"/>
    <s v="S12000042"/>
    <n v="3"/>
    <n v="35"/>
    <n v="336"/>
    <n v="1"/>
    <n v="17"/>
    <n v="1"/>
    <m/>
    <n v="2"/>
    <n v="12"/>
    <n v="1"/>
    <n v="4"/>
    <n v="7"/>
    <n v="4"/>
    <m/>
    <n v="1"/>
  </r>
  <r>
    <x v="5"/>
    <x v="4"/>
    <s v="S12000026"/>
    <n v="18"/>
    <n v="32"/>
    <n v="16"/>
    <m/>
    <n v="8"/>
    <n v="2"/>
    <m/>
    <m/>
    <n v="4"/>
    <n v="11"/>
    <n v="1"/>
    <n v="6"/>
    <n v="5"/>
    <m/>
    <n v="1"/>
  </r>
  <r>
    <x v="6"/>
    <x v="14"/>
    <s v="S12000035"/>
    <m/>
    <n v="7"/>
    <n v="15"/>
    <n v="6"/>
    <n v="69"/>
    <n v="9"/>
    <n v="2"/>
    <m/>
    <m/>
    <n v="2"/>
    <n v="1"/>
    <n v="4"/>
    <n v="2"/>
    <n v="1"/>
    <n v="2"/>
  </r>
  <r>
    <x v="6"/>
    <x v="10"/>
    <s v="S12000018"/>
    <m/>
    <n v="21"/>
    <n v="4"/>
    <m/>
    <n v="1"/>
    <m/>
    <m/>
    <m/>
    <n v="1"/>
    <m/>
    <n v="1"/>
    <n v="1"/>
    <m/>
    <m/>
    <m/>
  </r>
  <r>
    <x v="6"/>
    <x v="2"/>
    <s v="S12000021"/>
    <m/>
    <n v="66"/>
    <m/>
    <m/>
    <n v="10"/>
    <n v="2"/>
    <m/>
    <m/>
    <n v="2"/>
    <m/>
    <n v="6"/>
    <n v="1"/>
    <n v="1"/>
    <m/>
    <n v="1"/>
  </r>
  <r>
    <x v="6"/>
    <x v="4"/>
    <s v="S12000026"/>
    <n v="16"/>
    <n v="34"/>
    <n v="5"/>
    <m/>
    <n v="3"/>
    <m/>
    <m/>
    <m/>
    <n v="1"/>
    <n v="2"/>
    <n v="2"/>
    <m/>
    <n v="1"/>
    <m/>
    <n v="2"/>
  </r>
  <r>
    <x v="6"/>
    <x v="21"/>
    <s v="S12000029"/>
    <n v="9"/>
    <n v="83"/>
    <n v="23"/>
    <m/>
    <n v="6"/>
    <m/>
    <m/>
    <m/>
    <n v="1"/>
    <n v="1"/>
    <n v="5"/>
    <n v="1"/>
    <n v="6"/>
    <n v="5"/>
    <n v="5"/>
  </r>
  <r>
    <x v="7"/>
    <x v="0"/>
    <s v="S12000045"/>
    <n v="2"/>
    <n v="28"/>
    <n v="25"/>
    <m/>
    <n v="5"/>
    <n v="1"/>
    <m/>
    <m/>
    <n v="3"/>
    <n v="5"/>
    <n v="2"/>
    <m/>
    <m/>
    <n v="1"/>
    <m/>
  </r>
  <r>
    <x v="7"/>
    <x v="4"/>
    <s v="S12000026"/>
    <n v="17"/>
    <n v="29"/>
    <n v="13"/>
    <m/>
    <n v="8"/>
    <n v="9"/>
    <m/>
    <m/>
    <n v="4"/>
    <n v="5"/>
    <n v="5"/>
    <n v="4"/>
    <n v="3"/>
    <n v="1"/>
    <n v="3"/>
  </r>
  <r>
    <x v="7"/>
    <x v="13"/>
    <s v="S12000040"/>
    <n v="7"/>
    <n v="42"/>
    <n v="19"/>
    <n v="1"/>
    <n v="15"/>
    <m/>
    <n v="1"/>
    <n v="1"/>
    <n v="15"/>
    <n v="22"/>
    <n v="18"/>
    <n v="12"/>
    <n v="16"/>
    <n v="5"/>
    <n v="3"/>
  </r>
  <r>
    <x v="8"/>
    <x v="2"/>
    <s v="S12000021"/>
    <n v="5"/>
    <n v="87"/>
    <n v="10"/>
    <n v="3"/>
    <n v="38"/>
    <n v="16"/>
    <n v="7"/>
    <m/>
    <n v="22"/>
    <n v="1"/>
    <n v="60"/>
    <n v="10"/>
    <n v="4"/>
    <n v="3"/>
    <n v="5"/>
  </r>
  <r>
    <x v="4"/>
    <x v="27"/>
    <s v="S12000030"/>
    <n v="7"/>
    <n v="56"/>
    <n v="37"/>
    <n v="2"/>
    <n v="33"/>
    <n v="4"/>
    <m/>
    <n v="1"/>
    <n v="1"/>
    <n v="36"/>
    <n v="4"/>
    <n v="4"/>
    <n v="3"/>
    <n v="2"/>
    <n v="3"/>
  </r>
  <r>
    <x v="5"/>
    <x v="22"/>
    <s v="S12000036"/>
    <n v="44"/>
    <n v="107"/>
    <n v="91"/>
    <n v="11"/>
    <n v="97"/>
    <n v="84"/>
    <n v="4"/>
    <n v="2"/>
    <n v="52"/>
    <n v="28"/>
    <n v="42"/>
    <n v="31"/>
    <n v="7"/>
    <n v="45"/>
    <n v="3"/>
  </r>
  <r>
    <x v="5"/>
    <x v="23"/>
    <s v="S12000008"/>
    <n v="2"/>
    <n v="54"/>
    <n v="8"/>
    <m/>
    <n v="13"/>
    <n v="11"/>
    <m/>
    <m/>
    <n v="3"/>
    <n v="10"/>
    <n v="6"/>
    <n v="3"/>
    <m/>
    <m/>
    <m/>
  </r>
  <r>
    <x v="5"/>
    <x v="7"/>
    <s v="S12000010"/>
    <n v="5"/>
    <n v="23"/>
    <n v="12"/>
    <m/>
    <n v="4"/>
    <n v="2"/>
    <m/>
    <n v="1"/>
    <n v="10"/>
    <n v="8"/>
    <n v="2"/>
    <n v="7"/>
    <n v="1"/>
    <n v="1"/>
    <n v="2"/>
  </r>
  <r>
    <x v="5"/>
    <x v="31"/>
    <s v="S12000014"/>
    <n v="9"/>
    <n v="41"/>
    <n v="4"/>
    <n v="1"/>
    <n v="19"/>
    <m/>
    <n v="1"/>
    <n v="5"/>
    <n v="22"/>
    <n v="12"/>
    <n v="13"/>
    <n v="14"/>
    <n v="8"/>
    <n v="1"/>
    <m/>
  </r>
  <r>
    <x v="5"/>
    <x v="26"/>
    <s v="S12000015"/>
    <n v="13"/>
    <n v="132"/>
    <n v="156"/>
    <n v="1"/>
    <n v="54"/>
    <n v="17"/>
    <n v="1"/>
    <m/>
    <n v="7"/>
    <n v="10"/>
    <n v="4"/>
    <n v="9"/>
    <n v="7"/>
    <n v="2"/>
    <n v="4"/>
  </r>
  <r>
    <x v="6"/>
    <x v="6"/>
    <s v="S12000034"/>
    <n v="8"/>
    <n v="27"/>
    <n v="6"/>
    <m/>
    <n v="7"/>
    <n v="19"/>
    <m/>
    <m/>
    <n v="4"/>
    <n v="1"/>
    <n v="1"/>
    <n v="3"/>
    <n v="4"/>
    <m/>
    <n v="1"/>
  </r>
  <r>
    <x v="6"/>
    <x v="24"/>
    <s v="S12000013"/>
    <n v="2"/>
    <n v="9"/>
    <m/>
    <m/>
    <m/>
    <m/>
    <m/>
    <m/>
    <m/>
    <m/>
    <m/>
    <m/>
    <m/>
    <m/>
    <m/>
  </r>
  <r>
    <x v="6"/>
    <x v="12"/>
    <s v="S12000027"/>
    <m/>
    <n v="8"/>
    <n v="1"/>
    <m/>
    <n v="1"/>
    <m/>
    <m/>
    <m/>
    <m/>
    <m/>
    <m/>
    <m/>
    <m/>
    <m/>
    <m/>
  </r>
  <r>
    <x v="7"/>
    <x v="22"/>
    <s v="S12000036"/>
    <n v="46"/>
    <n v="107"/>
    <n v="331"/>
    <n v="2"/>
    <n v="73"/>
    <n v="67"/>
    <m/>
    <n v="4"/>
    <n v="26"/>
    <n v="8"/>
    <n v="14"/>
    <n v="11"/>
    <n v="2"/>
    <n v="16"/>
    <n v="3"/>
  </r>
  <r>
    <x v="7"/>
    <x v="18"/>
    <s v="S12000039"/>
    <n v="6"/>
    <n v="16"/>
    <n v="17"/>
    <m/>
    <n v="14"/>
    <n v="3"/>
    <m/>
    <m/>
    <n v="2"/>
    <n v="3"/>
    <n v="1"/>
    <n v="2"/>
    <n v="3"/>
    <n v="2"/>
    <m/>
  </r>
  <r>
    <x v="8"/>
    <x v="14"/>
    <s v="S12000035"/>
    <n v="7"/>
    <n v="41"/>
    <n v="29"/>
    <n v="8"/>
    <n v="125"/>
    <n v="102"/>
    <n v="1"/>
    <n v="1"/>
    <n v="8"/>
    <n v="10"/>
    <n v="3"/>
    <n v="13"/>
    <n v="3"/>
    <n v="9"/>
    <n v="19"/>
  </r>
  <r>
    <x v="8"/>
    <x v="31"/>
    <s v="S12000014"/>
    <n v="6"/>
    <n v="35"/>
    <n v="3"/>
    <n v="1"/>
    <n v="17"/>
    <m/>
    <n v="1"/>
    <n v="1"/>
    <n v="2"/>
    <n v="4"/>
    <n v="6"/>
    <n v="3"/>
    <n v="7"/>
    <n v="4"/>
    <n v="1"/>
  </r>
  <r>
    <x v="9"/>
    <x v="32"/>
    <m/>
    <m/>
    <n v="5"/>
    <n v="77"/>
    <m/>
    <n v="3"/>
    <n v="49"/>
    <m/>
    <m/>
    <n v="3"/>
    <m/>
    <n v="3"/>
    <n v="1"/>
    <n v="1"/>
    <m/>
    <n v="4"/>
  </r>
  <r>
    <x v="9"/>
    <x v="16"/>
    <s v="S12000020"/>
    <n v="3"/>
    <n v="19"/>
    <n v="9"/>
    <m/>
    <n v="28"/>
    <n v="51"/>
    <m/>
    <m/>
    <n v="3"/>
    <n v="2"/>
    <n v="4"/>
    <n v="3"/>
    <n v="1"/>
    <n v="2"/>
    <m/>
  </r>
  <r>
    <x v="9"/>
    <x v="27"/>
    <s v="S12000030"/>
    <n v="1"/>
    <n v="34"/>
    <n v="31"/>
    <m/>
    <n v="19"/>
    <n v="5"/>
    <m/>
    <m/>
    <n v="1"/>
    <m/>
    <n v="1"/>
    <n v="1"/>
    <n v="1"/>
    <m/>
    <n v="1"/>
  </r>
  <r>
    <x v="10"/>
    <x v="14"/>
    <s v="S12000035"/>
    <n v="3"/>
    <n v="23"/>
    <n v="15"/>
    <n v="2"/>
    <n v="54"/>
    <n v="381"/>
    <m/>
    <n v="3"/>
    <m/>
    <n v="1"/>
    <n v="4"/>
    <n v="9"/>
    <n v="4"/>
    <n v="4"/>
    <n v="5"/>
  </r>
  <r>
    <x v="10"/>
    <x v="22"/>
    <s v="S12000036"/>
    <n v="40"/>
    <n v="111"/>
    <n v="294"/>
    <n v="11"/>
    <n v="99"/>
    <n v="35"/>
    <n v="4"/>
    <n v="1"/>
    <n v="57"/>
    <n v="12"/>
    <n v="11"/>
    <n v="12"/>
    <n v="1"/>
    <n v="10"/>
    <n v="8"/>
  </r>
  <r>
    <x v="10"/>
    <x v="10"/>
    <s v="S12000018"/>
    <n v="9"/>
    <n v="34"/>
    <n v="14"/>
    <m/>
    <n v="6"/>
    <n v="8"/>
    <m/>
    <n v="1"/>
    <n v="2"/>
    <m/>
    <n v="1"/>
    <n v="4"/>
    <n v="3"/>
    <n v="4"/>
    <n v="5"/>
  </r>
  <r>
    <x v="10"/>
    <x v="16"/>
    <s v="S12000020"/>
    <n v="2"/>
    <n v="21"/>
    <n v="5"/>
    <m/>
    <n v="18"/>
    <n v="51"/>
    <m/>
    <m/>
    <n v="1"/>
    <n v="2"/>
    <n v="6"/>
    <m/>
    <n v="2"/>
    <n v="1"/>
    <n v="1"/>
  </r>
  <r>
    <x v="10"/>
    <x v="28"/>
    <s v="S12000024"/>
    <n v="4"/>
    <n v="61"/>
    <n v="17"/>
    <m/>
    <n v="32"/>
    <n v="60"/>
    <n v="1"/>
    <n v="1"/>
    <n v="5"/>
    <n v="4"/>
    <n v="4"/>
    <n v="1"/>
    <n v="1"/>
    <n v="1"/>
    <n v="1"/>
  </r>
  <r>
    <x v="11"/>
    <x v="24"/>
    <s v="S12000013"/>
    <n v="3"/>
    <n v="10"/>
    <n v="1"/>
    <n v="1"/>
    <n v="5"/>
    <n v="20"/>
    <m/>
    <m/>
    <m/>
    <m/>
    <n v="1"/>
    <m/>
    <n v="1"/>
    <m/>
    <m/>
  </r>
  <r>
    <x v="11"/>
    <x v="4"/>
    <s v="S12000026"/>
    <n v="16"/>
    <n v="36"/>
    <n v="28"/>
    <m/>
    <n v="39"/>
    <n v="87"/>
    <m/>
    <n v="2"/>
    <n v="9"/>
    <n v="7"/>
    <n v="5"/>
    <n v="20"/>
    <m/>
    <n v="1"/>
    <n v="1"/>
  </r>
  <r>
    <x v="11"/>
    <x v="15"/>
    <s v="S12000042"/>
    <n v="7"/>
    <n v="35"/>
    <n v="239"/>
    <n v="1"/>
    <n v="10"/>
    <n v="11"/>
    <m/>
    <m/>
    <n v="6"/>
    <n v="4"/>
    <n v="5"/>
    <n v="1"/>
    <m/>
    <n v="1"/>
    <n v="2"/>
  </r>
  <r>
    <x v="9"/>
    <x v="21"/>
    <s v="S12000029"/>
    <n v="23"/>
    <n v="143"/>
    <n v="59"/>
    <m/>
    <n v="59"/>
    <n v="21"/>
    <m/>
    <m/>
    <n v="4"/>
    <n v="7"/>
    <n v="13"/>
    <n v="18"/>
    <n v="6"/>
    <n v="13"/>
    <n v="12"/>
  </r>
  <r>
    <x v="10"/>
    <x v="30"/>
    <s v="S12000005"/>
    <n v="2"/>
    <n v="18"/>
    <n v="4"/>
    <n v="1"/>
    <n v="2"/>
    <n v="3"/>
    <m/>
    <m/>
    <n v="3"/>
    <n v="3"/>
    <n v="2"/>
    <n v="3"/>
    <n v="6"/>
    <n v="5"/>
    <n v="1"/>
  </r>
  <r>
    <x v="10"/>
    <x v="0"/>
    <s v="S12000045"/>
    <m/>
    <n v="33"/>
    <n v="21"/>
    <m/>
    <n v="5"/>
    <n v="1"/>
    <m/>
    <m/>
    <n v="3"/>
    <m/>
    <n v="7"/>
    <n v="3"/>
    <n v="1"/>
    <m/>
    <n v="1"/>
  </r>
  <r>
    <x v="10"/>
    <x v="8"/>
    <s v="S12000011"/>
    <n v="1"/>
    <n v="13"/>
    <n v="10"/>
    <m/>
    <n v="9"/>
    <n v="5"/>
    <m/>
    <m/>
    <m/>
    <n v="3"/>
    <n v="3"/>
    <n v="1"/>
    <n v="1"/>
    <m/>
    <m/>
  </r>
  <r>
    <x v="10"/>
    <x v="1"/>
    <s v="S12000019"/>
    <n v="2"/>
    <n v="14"/>
    <n v="21"/>
    <m/>
    <n v="7"/>
    <n v="36"/>
    <m/>
    <m/>
    <n v="53"/>
    <n v="11"/>
    <n v="1"/>
    <n v="6"/>
    <m/>
    <m/>
    <n v="2"/>
  </r>
  <r>
    <x v="10"/>
    <x v="29"/>
    <s v="S12000028"/>
    <n v="10"/>
    <n v="59"/>
    <n v="36"/>
    <n v="2"/>
    <n v="56"/>
    <n v="53"/>
    <m/>
    <n v="2"/>
    <n v="4"/>
    <n v="5"/>
    <n v="18"/>
    <n v="6"/>
    <n v="9"/>
    <n v="11"/>
    <n v="9"/>
  </r>
  <r>
    <x v="10"/>
    <x v="13"/>
    <s v="S12000040"/>
    <n v="8"/>
    <n v="50"/>
    <n v="14"/>
    <m/>
    <n v="11"/>
    <n v="20"/>
    <m/>
    <m/>
    <n v="8"/>
    <n v="64"/>
    <n v="15"/>
    <n v="22"/>
    <n v="19"/>
    <n v="3"/>
    <n v="6"/>
  </r>
  <r>
    <x v="11"/>
    <x v="28"/>
    <s v="S12000024"/>
    <n v="28"/>
    <n v="56"/>
    <n v="28"/>
    <n v="8"/>
    <n v="53"/>
    <n v="41"/>
    <n v="1"/>
    <m/>
    <n v="9"/>
    <n v="2"/>
    <n v="3"/>
    <n v="10"/>
    <n v="5"/>
    <n v="4"/>
    <n v="7"/>
  </r>
  <r>
    <x v="11"/>
    <x v="16"/>
    <s v="S12000020"/>
    <n v="1"/>
    <n v="20"/>
    <n v="3"/>
    <m/>
    <n v="3"/>
    <n v="16"/>
    <m/>
    <m/>
    <n v="1"/>
    <n v="2"/>
    <n v="6"/>
    <m/>
    <n v="2"/>
    <n v="1"/>
    <m/>
  </r>
  <r>
    <x v="7"/>
    <x v="29"/>
    <s v="S12000028"/>
    <n v="5"/>
    <n v="53"/>
    <n v="4"/>
    <n v="1"/>
    <n v="25"/>
    <n v="8"/>
    <n v="1"/>
    <n v="2"/>
    <n v="3"/>
    <n v="17"/>
    <n v="11"/>
    <n v="6"/>
    <n v="6"/>
    <n v="9"/>
    <n v="3"/>
  </r>
  <r>
    <x v="7"/>
    <x v="21"/>
    <s v="S12000029"/>
    <n v="11"/>
    <n v="78"/>
    <n v="10"/>
    <n v="2"/>
    <n v="13"/>
    <n v="1"/>
    <m/>
    <m/>
    <n v="4"/>
    <n v="4"/>
    <n v="15"/>
    <n v="8"/>
    <n v="13"/>
    <n v="5"/>
    <n v="1"/>
  </r>
  <r>
    <x v="8"/>
    <x v="22"/>
    <s v="S12000036"/>
    <n v="24"/>
    <n v="92"/>
    <n v="303"/>
    <n v="10"/>
    <n v="33"/>
    <n v="22"/>
    <n v="1"/>
    <n v="1"/>
    <n v="23"/>
    <n v="15"/>
    <n v="13"/>
    <n v="11"/>
    <n v="9"/>
    <n v="4"/>
    <n v="3"/>
  </r>
  <r>
    <x v="8"/>
    <x v="15"/>
    <s v="S12000042"/>
    <n v="17"/>
    <n v="36"/>
    <n v="150"/>
    <n v="1"/>
    <n v="18"/>
    <n v="1"/>
    <m/>
    <m/>
    <n v="5"/>
    <n v="11"/>
    <n v="7"/>
    <m/>
    <n v="2"/>
    <n v="2"/>
    <n v="1"/>
  </r>
  <r>
    <x v="8"/>
    <x v="25"/>
    <s v="S12000046"/>
    <n v="33"/>
    <n v="127"/>
    <n v="704"/>
    <n v="8"/>
    <n v="75"/>
    <n v="9"/>
    <n v="11"/>
    <n v="1"/>
    <n v="25"/>
    <n v="20"/>
    <n v="38"/>
    <n v="27"/>
    <n v="12"/>
    <n v="8"/>
    <n v="13"/>
  </r>
  <r>
    <x v="8"/>
    <x v="24"/>
    <s v="S12000013"/>
    <n v="2"/>
    <n v="15"/>
    <n v="13"/>
    <m/>
    <n v="4"/>
    <m/>
    <m/>
    <m/>
    <m/>
    <m/>
    <m/>
    <m/>
    <m/>
    <m/>
    <m/>
  </r>
  <r>
    <x v="8"/>
    <x v="13"/>
    <s v="S12000040"/>
    <n v="8"/>
    <n v="41"/>
    <n v="21"/>
    <m/>
    <n v="10"/>
    <n v="2"/>
    <m/>
    <m/>
    <n v="6"/>
    <n v="10"/>
    <n v="3"/>
    <m/>
    <n v="4"/>
    <n v="2"/>
    <n v="4"/>
  </r>
  <r>
    <x v="9"/>
    <x v="5"/>
    <s v="S12000033"/>
    <n v="14"/>
    <n v="73"/>
    <n v="132"/>
    <n v="1"/>
    <n v="68"/>
    <n v="22"/>
    <n v="1"/>
    <m/>
    <n v="5"/>
    <n v="3"/>
    <n v="2"/>
    <n v="6"/>
    <n v="1"/>
    <n v="10"/>
    <n v="10"/>
  </r>
  <r>
    <x v="9"/>
    <x v="31"/>
    <s v="S12000014"/>
    <n v="11"/>
    <n v="37"/>
    <n v="20"/>
    <n v="1"/>
    <n v="19"/>
    <m/>
    <n v="1"/>
    <n v="1"/>
    <n v="2"/>
    <n v="8"/>
    <n v="5"/>
    <n v="6"/>
    <n v="8"/>
    <m/>
    <n v="3"/>
  </r>
  <r>
    <x v="9"/>
    <x v="1"/>
    <s v="S12000019"/>
    <n v="2"/>
    <n v="12"/>
    <n v="18"/>
    <m/>
    <n v="8"/>
    <n v="60"/>
    <m/>
    <m/>
    <n v="5"/>
    <n v="7"/>
    <n v="4"/>
    <n v="4"/>
    <n v="5"/>
    <n v="1"/>
    <n v="6"/>
  </r>
  <r>
    <x v="9"/>
    <x v="2"/>
    <s v="S12000021"/>
    <n v="3"/>
    <n v="79"/>
    <n v="11"/>
    <m/>
    <n v="30"/>
    <n v="25"/>
    <n v="1"/>
    <n v="1"/>
    <n v="10"/>
    <n v="4"/>
    <n v="16"/>
    <n v="11"/>
    <n v="37"/>
    <n v="10"/>
    <n v="21"/>
  </r>
  <r>
    <x v="9"/>
    <x v="11"/>
    <s v="S12000044"/>
    <n v="12"/>
    <n v="58"/>
    <n v="16"/>
    <m/>
    <n v="48"/>
    <n v="5"/>
    <n v="3"/>
    <n v="1"/>
    <n v="21"/>
    <n v="2"/>
    <n v="49"/>
    <n v="11"/>
    <n v="26"/>
    <n v="141"/>
    <n v="38"/>
  </r>
  <r>
    <x v="9"/>
    <x v="17"/>
    <s v="S12000023"/>
    <n v="1"/>
    <n v="8"/>
    <n v="1"/>
    <n v="1"/>
    <n v="8"/>
    <n v="4"/>
    <m/>
    <m/>
    <m/>
    <m/>
    <n v="1"/>
    <m/>
    <m/>
    <m/>
    <m/>
  </r>
  <r>
    <x v="9"/>
    <x v="13"/>
    <s v="S12000040"/>
    <n v="7"/>
    <n v="49"/>
    <n v="38"/>
    <m/>
    <n v="14"/>
    <n v="10"/>
    <n v="1"/>
    <n v="1"/>
    <n v="9"/>
    <n v="10"/>
    <n v="18"/>
    <n v="15"/>
    <n v="16"/>
    <n v="3"/>
    <n v="4"/>
  </r>
  <r>
    <x v="10"/>
    <x v="5"/>
    <s v="S12000033"/>
    <n v="10"/>
    <n v="76"/>
    <n v="230"/>
    <m/>
    <n v="37"/>
    <n v="28"/>
    <m/>
    <m/>
    <n v="3"/>
    <n v="2"/>
    <n v="7"/>
    <n v="5"/>
    <n v="3"/>
    <n v="3"/>
    <n v="3"/>
  </r>
  <r>
    <x v="10"/>
    <x v="2"/>
    <s v="S12000021"/>
    <n v="4"/>
    <n v="76"/>
    <m/>
    <n v="2"/>
    <n v="23"/>
    <n v="18"/>
    <n v="8"/>
    <m/>
    <n v="11"/>
    <n v="2"/>
    <n v="15"/>
    <n v="5"/>
    <n v="4"/>
    <m/>
    <n v="1"/>
  </r>
  <r>
    <x v="10"/>
    <x v="17"/>
    <s v="S12000023"/>
    <n v="1"/>
    <n v="8"/>
    <m/>
    <n v="1"/>
    <n v="16"/>
    <n v="13"/>
    <m/>
    <m/>
    <m/>
    <n v="2"/>
    <m/>
    <n v="2"/>
    <m/>
    <m/>
    <m/>
  </r>
  <r>
    <x v="11"/>
    <x v="9"/>
    <s v="S12000017"/>
    <n v="19"/>
    <n v="87"/>
    <n v="63"/>
    <n v="24"/>
    <n v="127"/>
    <n v="82"/>
    <m/>
    <m/>
    <n v="5"/>
    <n v="1"/>
    <m/>
    <n v="3"/>
    <n v="1"/>
    <n v="2"/>
    <n v="5"/>
  </r>
  <r>
    <x v="11"/>
    <x v="17"/>
    <s v="S12000023"/>
    <n v="1"/>
    <n v="7"/>
    <n v="3"/>
    <n v="1"/>
    <n v="11"/>
    <n v="4"/>
    <m/>
    <m/>
    <m/>
    <n v="4"/>
    <m/>
    <n v="1"/>
    <n v="2"/>
    <n v="1"/>
    <m/>
  </r>
  <r>
    <x v="11"/>
    <x v="11"/>
    <s v="S12000044"/>
    <n v="7"/>
    <n v="49"/>
    <n v="15"/>
    <n v="1"/>
    <n v="33"/>
    <n v="12"/>
    <m/>
    <m/>
    <n v="6"/>
    <n v="7"/>
    <n v="43"/>
    <n v="9"/>
    <n v="21"/>
    <n v="92"/>
    <n v="32"/>
  </r>
  <r>
    <x v="7"/>
    <x v="9"/>
    <s v="S12000017"/>
    <n v="19"/>
    <n v="83"/>
    <n v="27"/>
    <n v="4"/>
    <n v="55"/>
    <n v="5"/>
    <m/>
    <n v="1"/>
    <n v="3"/>
    <n v="3"/>
    <n v="2"/>
    <n v="3"/>
    <n v="2"/>
    <m/>
    <m/>
  </r>
  <r>
    <x v="7"/>
    <x v="2"/>
    <s v="S12000021"/>
    <n v="3"/>
    <n v="64"/>
    <n v="6"/>
    <m/>
    <n v="19"/>
    <n v="14"/>
    <n v="1"/>
    <m/>
    <n v="1"/>
    <n v="2"/>
    <n v="14"/>
    <n v="7"/>
    <n v="10"/>
    <n v="7"/>
    <n v="5"/>
  </r>
  <r>
    <x v="7"/>
    <x v="11"/>
    <s v="S12000044"/>
    <n v="5"/>
    <n v="57"/>
    <n v="18"/>
    <n v="1"/>
    <n v="27"/>
    <m/>
    <m/>
    <n v="1"/>
    <n v="4"/>
    <n v="4"/>
    <n v="16"/>
    <n v="22"/>
    <n v="12"/>
    <n v="9"/>
    <n v="9"/>
  </r>
  <r>
    <x v="7"/>
    <x v="28"/>
    <s v="S12000024"/>
    <n v="32"/>
    <n v="60"/>
    <n v="8"/>
    <n v="2"/>
    <n v="16"/>
    <n v="8"/>
    <m/>
    <m/>
    <n v="1"/>
    <n v="3"/>
    <n v="5"/>
    <n v="4"/>
    <n v="1"/>
    <n v="4"/>
    <n v="2"/>
  </r>
  <r>
    <x v="8"/>
    <x v="5"/>
    <s v="S12000033"/>
    <n v="22"/>
    <n v="102"/>
    <n v="142"/>
    <n v="1"/>
    <n v="48"/>
    <n v="12"/>
    <m/>
    <n v="1"/>
    <n v="4"/>
    <n v="3"/>
    <n v="7"/>
    <n v="5"/>
    <n v="5"/>
    <n v="3"/>
    <n v="2"/>
  </r>
  <r>
    <x v="8"/>
    <x v="20"/>
    <s v="S12000006"/>
    <n v="16"/>
    <n v="72"/>
    <n v="40"/>
    <n v="8"/>
    <n v="99"/>
    <n v="92"/>
    <m/>
    <n v="1"/>
    <n v="2"/>
    <n v="2"/>
    <n v="2"/>
    <n v="12"/>
    <n v="11"/>
    <n v="7"/>
    <n v="1"/>
  </r>
  <r>
    <x v="8"/>
    <x v="7"/>
    <s v="S12000010"/>
    <n v="1"/>
    <n v="27"/>
    <n v="19"/>
    <m/>
    <n v="9"/>
    <n v="9"/>
    <m/>
    <n v="1"/>
    <n v="11"/>
    <n v="18"/>
    <n v="4"/>
    <n v="12"/>
    <n v="4"/>
    <n v="4"/>
    <m/>
  </r>
  <r>
    <x v="8"/>
    <x v="8"/>
    <s v="S12000011"/>
    <m/>
    <n v="13"/>
    <n v="11"/>
    <m/>
    <n v="10"/>
    <n v="2"/>
    <m/>
    <n v="1"/>
    <n v="1"/>
    <n v="5"/>
    <n v="4"/>
    <n v="1"/>
    <n v="1"/>
    <m/>
    <m/>
  </r>
  <r>
    <x v="8"/>
    <x v="9"/>
    <s v="S12000017"/>
    <n v="18"/>
    <n v="90"/>
    <n v="21"/>
    <n v="3"/>
    <n v="87"/>
    <n v="1"/>
    <n v="1"/>
    <m/>
    <n v="5"/>
    <m/>
    <n v="3"/>
    <n v="3"/>
    <n v="7"/>
    <n v="2"/>
    <n v="1"/>
  </r>
  <r>
    <x v="8"/>
    <x v="1"/>
    <s v="S12000019"/>
    <n v="2"/>
    <n v="20"/>
    <n v="8"/>
    <m/>
    <n v="6"/>
    <n v="1"/>
    <m/>
    <m/>
    <n v="9"/>
    <n v="14"/>
    <n v="4"/>
    <n v="1"/>
    <n v="3"/>
    <m/>
    <n v="19"/>
  </r>
  <r>
    <x v="8"/>
    <x v="12"/>
    <s v="S12000027"/>
    <m/>
    <n v="15"/>
    <n v="8"/>
    <n v="7"/>
    <n v="22"/>
    <n v="12"/>
    <m/>
    <m/>
    <m/>
    <m/>
    <m/>
    <n v="1"/>
    <n v="1"/>
    <m/>
    <m/>
  </r>
  <r>
    <x v="9"/>
    <x v="8"/>
    <s v="S12000011"/>
    <m/>
    <n v="11"/>
    <n v="13"/>
    <m/>
    <n v="8"/>
    <n v="5"/>
    <m/>
    <m/>
    <m/>
    <n v="9"/>
    <n v="4"/>
    <n v="4"/>
    <m/>
    <m/>
    <m/>
  </r>
  <r>
    <x v="9"/>
    <x v="28"/>
    <s v="S12000024"/>
    <n v="25"/>
    <n v="62"/>
    <n v="15"/>
    <m/>
    <n v="63"/>
    <n v="31"/>
    <m/>
    <n v="1"/>
    <n v="5"/>
    <n v="3"/>
    <n v="3"/>
    <n v="3"/>
    <m/>
    <n v="4"/>
    <n v="5"/>
  </r>
  <r>
    <x v="9"/>
    <x v="29"/>
    <s v="S12000028"/>
    <n v="9"/>
    <n v="52"/>
    <n v="31"/>
    <n v="2"/>
    <n v="49"/>
    <n v="20"/>
    <m/>
    <n v="1"/>
    <n v="8"/>
    <n v="8"/>
    <n v="41"/>
    <n v="6"/>
    <n v="13"/>
    <n v="12"/>
    <n v="5"/>
  </r>
  <r>
    <x v="10"/>
    <x v="7"/>
    <s v="S12000010"/>
    <n v="1"/>
    <n v="23"/>
    <n v="11"/>
    <m/>
    <n v="4"/>
    <n v="1"/>
    <m/>
    <m/>
    <n v="68"/>
    <n v="2"/>
    <n v="2"/>
    <n v="7"/>
    <n v="3"/>
    <m/>
    <n v="1"/>
  </r>
  <r>
    <x v="10"/>
    <x v="3"/>
    <s v="S12000038"/>
    <n v="4"/>
    <n v="64"/>
    <n v="86"/>
    <m/>
    <n v="24"/>
    <n v="43"/>
    <n v="3"/>
    <n v="6"/>
    <n v="2"/>
    <n v="6"/>
    <n v="17"/>
    <n v="8"/>
    <n v="7"/>
    <n v="8"/>
    <n v="2"/>
  </r>
  <r>
    <x v="10"/>
    <x v="4"/>
    <s v="S12000026"/>
    <n v="18"/>
    <n v="32"/>
    <n v="18"/>
    <m/>
    <n v="26"/>
    <n v="85"/>
    <m/>
    <m/>
    <n v="4"/>
    <n v="3"/>
    <n v="6"/>
    <n v="8"/>
    <n v="5"/>
    <m/>
    <m/>
  </r>
  <r>
    <x v="11"/>
    <x v="31"/>
    <s v="S12000014"/>
    <n v="12"/>
    <n v="39"/>
    <n v="11"/>
    <n v="1"/>
    <n v="18"/>
    <n v="3"/>
    <n v="1"/>
    <n v="9"/>
    <n v="5"/>
    <n v="34"/>
    <n v="9"/>
    <n v="10"/>
    <n v="13"/>
    <n v="5"/>
    <n v="3"/>
  </r>
  <r>
    <x v="11"/>
    <x v="14"/>
    <s v="S12000035"/>
    <n v="3"/>
    <n v="24"/>
    <n v="24"/>
    <n v="7"/>
    <n v="81"/>
    <n v="253"/>
    <n v="1"/>
    <n v="1"/>
    <n v="2"/>
    <n v="2"/>
    <n v="3"/>
    <n v="5"/>
    <n v="1"/>
    <n v="2"/>
    <n v="2"/>
  </r>
  <r>
    <x v="11"/>
    <x v="7"/>
    <s v="S12000010"/>
    <m/>
    <n v="21"/>
    <n v="31"/>
    <m/>
    <n v="6"/>
    <n v="7"/>
    <m/>
    <n v="3"/>
    <n v="49"/>
    <n v="5"/>
    <m/>
    <n v="3"/>
    <n v="4"/>
    <n v="1"/>
    <n v="3"/>
  </r>
  <r>
    <x v="8"/>
    <x v="11"/>
    <s v="S12000044"/>
    <n v="10"/>
    <n v="48"/>
    <n v="22"/>
    <n v="1"/>
    <n v="31"/>
    <n v="4"/>
    <m/>
    <m/>
    <n v="7"/>
    <n v="9"/>
    <n v="37"/>
    <n v="6"/>
    <n v="11"/>
    <n v="10"/>
    <n v="1"/>
  </r>
  <r>
    <x v="8"/>
    <x v="29"/>
    <s v="S12000028"/>
    <n v="6"/>
    <n v="46"/>
    <n v="27"/>
    <n v="2"/>
    <n v="45"/>
    <n v="17"/>
    <m/>
    <m/>
    <n v="13"/>
    <n v="5"/>
    <n v="43"/>
    <n v="3"/>
    <n v="17"/>
    <n v="12"/>
    <n v="4"/>
  </r>
  <r>
    <x v="8"/>
    <x v="21"/>
    <s v="S12000029"/>
    <n v="12"/>
    <n v="113"/>
    <n v="26"/>
    <m/>
    <n v="36"/>
    <n v="1"/>
    <n v="1"/>
    <n v="1"/>
    <n v="7"/>
    <n v="3"/>
    <n v="9"/>
    <n v="8"/>
    <n v="5"/>
    <n v="9"/>
    <n v="7"/>
  </r>
  <r>
    <x v="8"/>
    <x v="27"/>
    <s v="S12000030"/>
    <n v="2"/>
    <n v="37"/>
    <n v="48"/>
    <n v="2"/>
    <n v="8"/>
    <n v="1"/>
    <m/>
    <n v="1"/>
    <n v="4"/>
    <n v="1"/>
    <n v="2"/>
    <n v="1"/>
    <n v="2"/>
    <m/>
    <n v="1"/>
  </r>
  <r>
    <x v="9"/>
    <x v="19"/>
    <s v="S12000041"/>
    <n v="7"/>
    <n v="38"/>
    <n v="6"/>
    <m/>
    <n v="9"/>
    <n v="15"/>
    <m/>
    <n v="2"/>
    <n v="4"/>
    <n v="7"/>
    <n v="3"/>
    <n v="2"/>
    <n v="7"/>
    <m/>
    <n v="3"/>
  </r>
  <r>
    <x v="9"/>
    <x v="20"/>
    <s v="S12000006"/>
    <n v="13"/>
    <n v="52"/>
    <n v="25"/>
    <m/>
    <n v="33"/>
    <n v="204"/>
    <m/>
    <n v="2"/>
    <n v="3"/>
    <n v="3"/>
    <n v="6"/>
    <n v="4"/>
    <n v="5"/>
    <n v="5"/>
    <n v="3"/>
  </r>
  <r>
    <x v="9"/>
    <x v="24"/>
    <s v="S12000013"/>
    <n v="3"/>
    <n v="11"/>
    <n v="1"/>
    <n v="3"/>
    <n v="14"/>
    <n v="1"/>
    <m/>
    <m/>
    <m/>
    <m/>
    <m/>
    <m/>
    <n v="1"/>
    <m/>
    <m/>
  </r>
  <r>
    <x v="9"/>
    <x v="4"/>
    <s v="S12000026"/>
    <n v="16"/>
    <n v="36"/>
    <n v="3"/>
    <m/>
    <n v="34"/>
    <n v="52"/>
    <m/>
    <m/>
    <n v="4"/>
    <n v="3"/>
    <n v="5"/>
    <n v="3"/>
    <n v="2"/>
    <m/>
    <n v="2"/>
  </r>
  <r>
    <x v="9"/>
    <x v="12"/>
    <s v="S12000027"/>
    <n v="1"/>
    <n v="16"/>
    <n v="4"/>
    <n v="6"/>
    <n v="15"/>
    <n v="17"/>
    <m/>
    <m/>
    <m/>
    <n v="8"/>
    <m/>
    <n v="2"/>
    <m/>
    <n v="1"/>
    <n v="1"/>
  </r>
  <r>
    <x v="10"/>
    <x v="15"/>
    <s v="S12000042"/>
    <n v="15"/>
    <n v="36"/>
    <n v="219"/>
    <m/>
    <n v="4"/>
    <n v="16"/>
    <n v="2"/>
    <n v="3"/>
    <n v="11"/>
    <n v="4"/>
    <n v="3"/>
    <n v="6"/>
    <n v="1"/>
    <m/>
    <n v="3"/>
  </r>
  <r>
    <x v="10"/>
    <x v="23"/>
    <s v="S12000008"/>
    <n v="9"/>
    <n v="59"/>
    <n v="14"/>
    <m/>
    <n v="11"/>
    <n v="35"/>
    <m/>
    <n v="1"/>
    <n v="4"/>
    <n v="4"/>
    <n v="8"/>
    <n v="3"/>
    <n v="17"/>
    <n v="5"/>
    <n v="8"/>
  </r>
  <r>
    <x v="10"/>
    <x v="31"/>
    <s v="S12000014"/>
    <n v="11"/>
    <n v="38"/>
    <n v="17"/>
    <m/>
    <n v="21"/>
    <n v="1"/>
    <m/>
    <n v="3"/>
    <n v="6"/>
    <n v="33"/>
    <n v="6"/>
    <n v="13"/>
    <n v="11"/>
    <n v="5"/>
    <n v="2"/>
  </r>
  <r>
    <x v="10"/>
    <x v="12"/>
    <s v="S12000027"/>
    <n v="1"/>
    <n v="13"/>
    <n v="4"/>
    <n v="5"/>
    <n v="10"/>
    <n v="27"/>
    <m/>
    <m/>
    <m/>
    <n v="2"/>
    <m/>
    <n v="1"/>
    <m/>
    <m/>
    <m/>
  </r>
  <r>
    <x v="10"/>
    <x v="21"/>
    <s v="S12000029"/>
    <n v="36"/>
    <n v="123"/>
    <n v="48"/>
    <m/>
    <n v="35"/>
    <n v="28"/>
    <m/>
    <m/>
    <n v="8"/>
    <n v="10"/>
    <n v="29"/>
    <n v="15"/>
    <n v="15"/>
    <n v="15"/>
    <n v="8"/>
  </r>
  <r>
    <x v="10"/>
    <x v="18"/>
    <s v="S12000039"/>
    <n v="3"/>
    <n v="20"/>
    <n v="15"/>
    <m/>
    <n v="13"/>
    <n v="25"/>
    <m/>
    <m/>
    <n v="2"/>
    <m/>
    <n v="2"/>
    <n v="2"/>
    <n v="10"/>
    <n v="6"/>
    <m/>
  </r>
  <r>
    <x v="11"/>
    <x v="3"/>
    <s v="S12000038"/>
    <n v="3"/>
    <n v="67"/>
    <n v="16"/>
    <n v="1"/>
    <n v="26"/>
    <n v="30"/>
    <m/>
    <n v="2"/>
    <n v="3"/>
    <n v="5"/>
    <n v="12"/>
    <n v="1"/>
    <n v="4"/>
    <n v="13"/>
    <n v="7"/>
  </r>
  <r>
    <x v="11"/>
    <x v="10"/>
    <s v="S12000018"/>
    <n v="4"/>
    <n v="29"/>
    <n v="16"/>
    <m/>
    <n v="5"/>
    <n v="5"/>
    <m/>
    <m/>
    <m/>
    <n v="1"/>
    <m/>
    <n v="3"/>
    <n v="2"/>
    <n v="2"/>
    <n v="5"/>
  </r>
  <r>
    <x v="11"/>
    <x v="1"/>
    <s v="S12000019"/>
    <n v="2"/>
    <n v="26"/>
    <n v="24"/>
    <m/>
    <n v="9"/>
    <n v="24"/>
    <m/>
    <n v="2"/>
    <n v="67"/>
    <n v="1"/>
    <n v="6"/>
    <n v="10"/>
    <n v="3"/>
    <n v="10"/>
    <n v="18"/>
  </r>
  <r>
    <x v="11"/>
    <x v="25"/>
    <s v="S12000046"/>
    <n v="38"/>
    <n v="141"/>
    <n v="916"/>
    <n v="5"/>
    <n v="104"/>
    <n v="9"/>
    <m/>
    <n v="3"/>
    <n v="28"/>
    <n v="45"/>
    <n v="56"/>
    <n v="7"/>
    <n v="11"/>
    <n v="20"/>
    <n v="16"/>
  </r>
  <r>
    <x v="11"/>
    <x v="6"/>
    <s v="S12000034"/>
    <n v="15"/>
    <n v="80"/>
    <n v="21"/>
    <m/>
    <n v="23"/>
    <n v="48"/>
    <m/>
    <n v="5"/>
    <n v="5"/>
    <n v="1"/>
    <n v="4"/>
    <n v="4"/>
    <n v="4"/>
    <n v="4"/>
    <n v="9"/>
  </r>
  <r>
    <x v="11"/>
    <x v="20"/>
    <s v="S12000006"/>
    <n v="10"/>
    <n v="60"/>
    <n v="36"/>
    <n v="9"/>
    <n v="35"/>
    <n v="291"/>
    <m/>
    <m/>
    <n v="8"/>
    <n v="95"/>
    <n v="5"/>
    <n v="4"/>
    <n v="10"/>
    <n v="3"/>
    <n v="2"/>
  </r>
  <r>
    <x v="6"/>
    <x v="16"/>
    <s v="S12000020"/>
    <n v="3"/>
    <n v="6"/>
    <n v="2"/>
    <m/>
    <n v="5"/>
    <n v="12"/>
    <m/>
    <m/>
    <m/>
    <n v="4"/>
    <n v="3"/>
    <m/>
    <n v="6"/>
    <m/>
    <n v="1"/>
  </r>
  <r>
    <x v="6"/>
    <x v="13"/>
    <s v="S12000040"/>
    <n v="9"/>
    <n v="46"/>
    <n v="5"/>
    <m/>
    <n v="1"/>
    <m/>
    <m/>
    <m/>
    <n v="1"/>
    <n v="2"/>
    <n v="5"/>
    <n v="2"/>
    <n v="12"/>
    <n v="2"/>
    <n v="1"/>
  </r>
  <r>
    <x v="7"/>
    <x v="5"/>
    <s v="S12000033"/>
    <n v="14"/>
    <n v="61"/>
    <n v="180"/>
    <m/>
    <n v="39"/>
    <n v="1"/>
    <m/>
    <m/>
    <n v="3"/>
    <n v="4"/>
    <n v="1"/>
    <n v="2"/>
    <n v="7"/>
    <n v="1"/>
    <n v="2"/>
  </r>
  <r>
    <x v="7"/>
    <x v="6"/>
    <s v="S12000034"/>
    <n v="10"/>
    <n v="106"/>
    <n v="20"/>
    <n v="1"/>
    <n v="9"/>
    <n v="12"/>
    <n v="1"/>
    <n v="1"/>
    <n v="1"/>
    <n v="2"/>
    <n v="3"/>
    <n v="6"/>
    <n v="7"/>
    <n v="4"/>
    <n v="3"/>
  </r>
  <r>
    <x v="7"/>
    <x v="19"/>
    <s v="S12000041"/>
    <n v="6"/>
    <n v="42"/>
    <n v="5"/>
    <m/>
    <n v="16"/>
    <n v="4"/>
    <n v="1"/>
    <n v="1"/>
    <n v="2"/>
    <n v="19"/>
    <n v="5"/>
    <n v="7"/>
    <n v="9"/>
    <n v="4"/>
    <n v="3"/>
  </r>
  <r>
    <x v="7"/>
    <x v="16"/>
    <s v="S12000020"/>
    <n v="4"/>
    <n v="15"/>
    <n v="4"/>
    <m/>
    <n v="6"/>
    <n v="15"/>
    <n v="1"/>
    <n v="1"/>
    <n v="1"/>
    <n v="2"/>
    <n v="2"/>
    <n v="3"/>
    <n v="4"/>
    <n v="1"/>
    <m/>
  </r>
  <r>
    <x v="7"/>
    <x v="24"/>
    <s v="S12000013"/>
    <m/>
    <m/>
    <m/>
    <m/>
    <n v="4"/>
    <m/>
    <m/>
    <m/>
    <m/>
    <m/>
    <m/>
    <m/>
    <m/>
    <m/>
    <m/>
  </r>
  <r>
    <x v="8"/>
    <x v="19"/>
    <s v="S12000041"/>
    <n v="6"/>
    <n v="40"/>
    <n v="7"/>
    <m/>
    <n v="5"/>
    <n v="14"/>
    <m/>
    <n v="1"/>
    <n v="1"/>
    <n v="17"/>
    <n v="8"/>
    <n v="2"/>
    <n v="3"/>
    <n v="1"/>
    <m/>
  </r>
  <r>
    <x v="8"/>
    <x v="26"/>
    <s v="S12000015"/>
    <n v="2"/>
    <n v="77"/>
    <n v="199"/>
    <n v="1"/>
    <n v="10"/>
    <n v="9"/>
    <n v="1"/>
    <m/>
    <n v="2"/>
    <n v="2"/>
    <m/>
    <n v="6"/>
    <n v="4"/>
    <m/>
    <m/>
  </r>
  <r>
    <x v="9"/>
    <x v="15"/>
    <s v="S12000042"/>
    <n v="16"/>
    <n v="37"/>
    <n v="197"/>
    <n v="1"/>
    <n v="18"/>
    <n v="16"/>
    <n v="1"/>
    <m/>
    <n v="8"/>
    <n v="19"/>
    <n v="4"/>
    <n v="4"/>
    <n v="3"/>
    <m/>
    <n v="4"/>
  </r>
  <r>
    <x v="10"/>
    <x v="6"/>
    <s v="S12000034"/>
    <n v="21"/>
    <n v="81"/>
    <n v="28"/>
    <n v="2"/>
    <n v="54"/>
    <n v="114"/>
    <n v="1"/>
    <n v="5"/>
    <n v="6"/>
    <n v="5"/>
    <n v="5"/>
    <n v="11"/>
    <n v="10"/>
    <n v="4"/>
    <n v="8"/>
  </r>
  <r>
    <x v="10"/>
    <x v="20"/>
    <s v="S12000006"/>
    <n v="12"/>
    <n v="91"/>
    <n v="33"/>
    <n v="2"/>
    <n v="95"/>
    <n v="320"/>
    <m/>
    <n v="4"/>
    <n v="4"/>
    <m/>
    <n v="6"/>
    <n v="5"/>
    <n v="5"/>
    <n v="4"/>
    <n v="1"/>
  </r>
  <r>
    <x v="10"/>
    <x v="26"/>
    <s v="S12000015"/>
    <n v="13"/>
    <n v="113"/>
    <n v="230"/>
    <m/>
    <n v="31"/>
    <n v="45"/>
    <n v="1"/>
    <n v="2"/>
    <n v="6"/>
    <n v="47"/>
    <n v="14"/>
    <n v="7"/>
    <n v="25"/>
    <n v="2"/>
    <n v="3"/>
  </r>
  <r>
    <x v="10"/>
    <x v="25"/>
    <s v="S12000046"/>
    <n v="42"/>
    <n v="133"/>
    <n v="835"/>
    <n v="8"/>
    <n v="96"/>
    <n v="46"/>
    <n v="1"/>
    <n v="2"/>
    <n v="18"/>
    <n v="38"/>
    <n v="97"/>
    <n v="20"/>
    <n v="29"/>
    <n v="13"/>
    <n v="23"/>
  </r>
  <r>
    <x v="10"/>
    <x v="11"/>
    <s v="S12000044"/>
    <n v="9"/>
    <n v="48"/>
    <n v="10"/>
    <n v="1"/>
    <n v="27"/>
    <n v="3"/>
    <m/>
    <m/>
    <n v="17"/>
    <n v="15"/>
    <n v="52"/>
    <n v="14"/>
    <n v="21"/>
    <n v="103"/>
    <n v="24"/>
  </r>
  <r>
    <x v="11"/>
    <x v="21"/>
    <s v="S12000029"/>
    <n v="23"/>
    <n v="116"/>
    <n v="39"/>
    <m/>
    <n v="35"/>
    <n v="15"/>
    <m/>
    <n v="2"/>
    <n v="7"/>
    <n v="6"/>
    <n v="10"/>
    <n v="10"/>
    <n v="7"/>
    <n v="13"/>
    <n v="6"/>
  </r>
  <r>
    <x v="11"/>
    <x v="23"/>
    <s v="S12000008"/>
    <n v="12"/>
    <n v="56"/>
    <n v="19"/>
    <m/>
    <n v="9"/>
    <n v="32"/>
    <m/>
    <m/>
    <n v="1"/>
    <n v="1"/>
    <n v="5"/>
    <n v="4"/>
    <n v="11"/>
    <n v="2"/>
    <n v="6"/>
  </r>
  <r>
    <x v="11"/>
    <x v="8"/>
    <s v="S12000011"/>
    <n v="1"/>
    <n v="14"/>
    <n v="10"/>
    <m/>
    <n v="5"/>
    <n v="10"/>
    <m/>
    <n v="1"/>
    <n v="1"/>
    <n v="3"/>
    <m/>
    <m/>
    <n v="1"/>
    <m/>
    <n v="1"/>
  </r>
  <r>
    <x v="11"/>
    <x v="30"/>
    <s v="S12000005"/>
    <n v="3"/>
    <n v="18"/>
    <n v="3"/>
    <m/>
    <n v="3"/>
    <n v="3"/>
    <m/>
    <m/>
    <n v="4"/>
    <n v="6"/>
    <m/>
    <n v="1"/>
    <n v="6"/>
    <m/>
    <m/>
  </r>
  <r>
    <x v="11"/>
    <x v="27"/>
    <s v="S12000030"/>
    <n v="4"/>
    <n v="42"/>
    <n v="81"/>
    <n v="1"/>
    <n v="46"/>
    <n v="13"/>
    <m/>
    <m/>
    <n v="6"/>
    <n v="3"/>
    <n v="2"/>
    <n v="2"/>
    <n v="4"/>
    <n v="2"/>
    <n v="2"/>
  </r>
  <r>
    <x v="11"/>
    <x v="19"/>
    <s v="S12000041"/>
    <n v="7"/>
    <n v="40"/>
    <n v="4"/>
    <m/>
    <n v="6"/>
    <n v="24"/>
    <m/>
    <m/>
    <n v="7"/>
    <n v="2"/>
    <n v="2"/>
    <m/>
    <n v="1"/>
    <n v="1"/>
    <n v="2"/>
  </r>
  <r>
    <x v="0"/>
    <x v="31"/>
    <s v="S12000014"/>
    <n v="12"/>
    <n v="52"/>
    <n v="15"/>
    <n v="1"/>
    <n v="20"/>
    <n v="2"/>
    <m/>
    <n v="7"/>
    <n v="27"/>
    <n v="23"/>
    <n v="17"/>
    <n v="17"/>
    <n v="30"/>
    <n v="10"/>
    <n v="10"/>
  </r>
  <r>
    <x v="0"/>
    <x v="24"/>
    <s v="S12000013"/>
    <n v="2"/>
    <n v="6"/>
    <n v="7"/>
    <m/>
    <n v="2"/>
    <m/>
    <m/>
    <m/>
    <m/>
    <n v="1"/>
    <m/>
    <m/>
    <m/>
    <n v="1"/>
    <m/>
  </r>
  <r>
    <x v="0"/>
    <x v="17"/>
    <s v="S12000023"/>
    <n v="1"/>
    <n v="10"/>
    <n v="1"/>
    <m/>
    <n v="4"/>
    <m/>
    <m/>
    <m/>
    <m/>
    <m/>
    <m/>
    <m/>
    <m/>
    <m/>
    <m/>
  </r>
  <r>
    <x v="0"/>
    <x v="27"/>
    <s v="S12000030"/>
    <n v="1"/>
    <n v="39"/>
    <n v="105"/>
    <n v="3"/>
    <n v="43"/>
    <n v="19"/>
    <m/>
    <n v="1"/>
    <n v="2"/>
    <n v="1"/>
    <m/>
    <m/>
    <n v="1"/>
    <n v="2"/>
    <m/>
  </r>
  <r>
    <x v="0"/>
    <x v="18"/>
    <s v="S12000039"/>
    <n v="2"/>
    <n v="15"/>
    <n v="9"/>
    <m/>
    <n v="17"/>
    <n v="1"/>
    <m/>
    <n v="1"/>
    <n v="2"/>
    <n v="3"/>
    <n v="6"/>
    <n v="5"/>
    <n v="104"/>
    <n v="7"/>
    <n v="4"/>
  </r>
  <r>
    <x v="1"/>
    <x v="25"/>
    <s v="S12000046"/>
    <n v="69"/>
    <n v="165"/>
    <n v="1115"/>
    <n v="27"/>
    <n v="88"/>
    <n v="6"/>
    <n v="12"/>
    <n v="5"/>
    <n v="139"/>
    <n v="61"/>
    <n v="147"/>
    <n v="33"/>
    <n v="24"/>
    <n v="41"/>
    <n v="24"/>
  </r>
  <r>
    <x v="1"/>
    <x v="27"/>
    <s v="S12000030"/>
    <n v="13"/>
    <n v="40"/>
    <n v="249"/>
    <n v="3"/>
    <n v="16"/>
    <n v="3"/>
    <m/>
    <m/>
    <n v="3"/>
    <n v="3"/>
    <n v="1"/>
    <n v="4"/>
    <n v="1"/>
    <n v="1"/>
    <n v="3"/>
  </r>
  <r>
    <x v="2"/>
    <x v="31"/>
    <s v="S12000014"/>
    <n v="8"/>
    <n v="47"/>
    <n v="9"/>
    <n v="1"/>
    <n v="13"/>
    <n v="2"/>
    <n v="1"/>
    <n v="5"/>
    <n v="9"/>
    <n v="22"/>
    <n v="13"/>
    <n v="2"/>
    <n v="16"/>
    <n v="12"/>
    <m/>
  </r>
  <r>
    <x v="2"/>
    <x v="1"/>
    <s v="S12000019"/>
    <n v="3"/>
    <n v="19"/>
    <n v="21"/>
    <n v="3"/>
    <n v="10"/>
    <m/>
    <m/>
    <m/>
    <n v="3"/>
    <n v="31"/>
    <n v="3"/>
    <m/>
    <n v="3"/>
    <m/>
    <n v="1"/>
  </r>
  <r>
    <x v="3"/>
    <x v="14"/>
    <s v="S12000035"/>
    <n v="5"/>
    <n v="22"/>
    <n v="25"/>
    <n v="4"/>
    <n v="62"/>
    <n v="38"/>
    <m/>
    <m/>
    <n v="4"/>
    <n v="4"/>
    <n v="5"/>
    <n v="5"/>
    <n v="3"/>
    <n v="3"/>
    <n v="5"/>
  </r>
  <r>
    <x v="3"/>
    <x v="23"/>
    <s v="S12000008"/>
    <n v="5"/>
    <n v="59"/>
    <n v="8"/>
    <m/>
    <n v="25"/>
    <n v="7"/>
    <n v="2"/>
    <m/>
    <n v="4"/>
    <n v="15"/>
    <n v="9"/>
    <n v="7"/>
    <n v="10"/>
    <n v="12"/>
    <n v="2"/>
  </r>
  <r>
    <x v="3"/>
    <x v="31"/>
    <s v="S12000014"/>
    <n v="14"/>
    <n v="41"/>
    <n v="5"/>
    <n v="1"/>
    <n v="13"/>
    <m/>
    <m/>
    <n v="4"/>
    <n v="11"/>
    <n v="25"/>
    <n v="11"/>
    <n v="7"/>
    <n v="18"/>
    <n v="6"/>
    <n v="3"/>
  </r>
  <r>
    <x v="3"/>
    <x v="1"/>
    <s v="S12000019"/>
    <n v="3"/>
    <n v="16"/>
    <n v="32"/>
    <n v="3"/>
    <n v="5"/>
    <n v="1"/>
    <n v="2"/>
    <n v="3"/>
    <n v="11"/>
    <n v="2"/>
    <n v="4"/>
    <n v="3"/>
    <n v="4"/>
    <n v="2"/>
    <n v="4"/>
  </r>
  <r>
    <x v="3"/>
    <x v="29"/>
    <s v="S12000028"/>
    <n v="11"/>
    <n v="45"/>
    <n v="32"/>
    <n v="2"/>
    <n v="67"/>
    <n v="38"/>
    <n v="1"/>
    <m/>
    <n v="30"/>
    <n v="28"/>
    <n v="20"/>
    <n v="14"/>
    <n v="3"/>
    <n v="19"/>
    <n v="9"/>
  </r>
  <r>
    <x v="4"/>
    <x v="14"/>
    <s v="S12000035"/>
    <n v="3"/>
    <n v="35"/>
    <n v="34"/>
    <n v="4"/>
    <n v="60"/>
    <n v="40"/>
    <n v="1"/>
    <m/>
    <n v="5"/>
    <n v="2"/>
    <n v="12"/>
    <n v="5"/>
    <n v="8"/>
    <n v="5"/>
    <n v="6"/>
  </r>
  <r>
    <x v="4"/>
    <x v="20"/>
    <s v="S12000006"/>
    <n v="12"/>
    <n v="77"/>
    <n v="32"/>
    <n v="7"/>
    <n v="86"/>
    <n v="16"/>
    <n v="5"/>
    <n v="10"/>
    <n v="17"/>
    <n v="55"/>
    <n v="30"/>
    <n v="29"/>
    <n v="17"/>
    <n v="34"/>
    <n v="13"/>
  </r>
  <r>
    <x v="4"/>
    <x v="0"/>
    <s v="S12000045"/>
    <n v="2"/>
    <n v="26"/>
    <n v="19"/>
    <m/>
    <n v="5"/>
    <n v="1"/>
    <n v="2"/>
    <m/>
    <n v="7"/>
    <n v="4"/>
    <n v="12"/>
    <n v="4"/>
    <m/>
    <n v="2"/>
    <m/>
  </r>
  <r>
    <x v="4"/>
    <x v="7"/>
    <s v="S12000010"/>
    <n v="7"/>
    <n v="29"/>
    <n v="6"/>
    <n v="9"/>
    <n v="30"/>
    <n v="11"/>
    <m/>
    <n v="1"/>
    <n v="7"/>
    <n v="16"/>
    <n v="4"/>
    <n v="13"/>
    <n v="5"/>
    <n v="9"/>
    <n v="2"/>
  </r>
  <r>
    <x v="4"/>
    <x v="31"/>
    <s v="S12000014"/>
    <n v="24"/>
    <n v="46"/>
    <n v="5"/>
    <n v="1"/>
    <n v="11"/>
    <n v="18"/>
    <m/>
    <n v="6"/>
    <n v="19"/>
    <n v="26"/>
    <n v="8"/>
    <n v="9"/>
    <n v="13"/>
    <n v="10"/>
    <n v="5"/>
  </r>
  <r>
    <x v="4"/>
    <x v="10"/>
    <s v="S12000018"/>
    <n v="2"/>
    <n v="35"/>
    <n v="7"/>
    <m/>
    <n v="6"/>
    <m/>
    <n v="1"/>
    <m/>
    <n v="3"/>
    <n v="10"/>
    <n v="3"/>
    <n v="3"/>
    <n v="2"/>
    <n v="2"/>
    <n v="4"/>
  </r>
  <r>
    <x v="4"/>
    <x v="16"/>
    <s v="S12000020"/>
    <n v="8"/>
    <n v="31"/>
    <n v="9"/>
    <n v="1"/>
    <n v="11"/>
    <n v="28"/>
    <m/>
    <n v="1"/>
    <n v="4"/>
    <n v="3"/>
    <n v="14"/>
    <n v="2"/>
    <n v="7"/>
    <n v="8"/>
    <n v="3"/>
  </r>
  <r>
    <x v="4"/>
    <x v="3"/>
    <s v="S12000038"/>
    <n v="1"/>
    <n v="58"/>
    <n v="17"/>
    <m/>
    <n v="20"/>
    <n v="14"/>
    <m/>
    <n v="3"/>
    <n v="10"/>
    <n v="4"/>
    <n v="5"/>
    <n v="5"/>
    <n v="16"/>
    <n v="6"/>
    <n v="10"/>
  </r>
  <r>
    <x v="4"/>
    <x v="12"/>
    <s v="S12000027"/>
    <m/>
    <n v="8"/>
    <n v="3"/>
    <m/>
    <n v="2"/>
    <m/>
    <m/>
    <n v="1"/>
    <n v="1"/>
    <m/>
    <m/>
    <m/>
    <m/>
    <m/>
    <n v="1"/>
  </r>
  <r>
    <x v="4"/>
    <x v="18"/>
    <s v="S12000039"/>
    <n v="5"/>
    <n v="16"/>
    <n v="17"/>
    <m/>
    <n v="13"/>
    <n v="1"/>
    <m/>
    <m/>
    <n v="2"/>
    <n v="1"/>
    <n v="6"/>
    <n v="3"/>
    <n v="6"/>
    <n v="4"/>
    <n v="5"/>
  </r>
  <r>
    <x v="5"/>
    <x v="0"/>
    <s v="S12000045"/>
    <n v="4"/>
    <n v="32"/>
    <n v="29"/>
    <m/>
    <n v="6"/>
    <n v="1"/>
    <m/>
    <n v="1"/>
    <n v="8"/>
    <n v="8"/>
    <n v="6"/>
    <n v="1"/>
    <m/>
    <n v="4"/>
    <n v="1"/>
  </r>
  <r>
    <x v="5"/>
    <x v="10"/>
    <s v="S12000018"/>
    <n v="2"/>
    <n v="34"/>
    <n v="8"/>
    <m/>
    <n v="3"/>
    <n v="1"/>
    <m/>
    <m/>
    <m/>
    <n v="1"/>
    <n v="1"/>
    <n v="3"/>
    <m/>
    <n v="1"/>
    <m/>
  </r>
  <r>
    <x v="5"/>
    <x v="24"/>
    <s v="S12000013"/>
    <m/>
    <m/>
    <m/>
    <m/>
    <m/>
    <m/>
    <m/>
    <m/>
    <m/>
    <m/>
    <m/>
    <m/>
    <m/>
    <m/>
    <m/>
  </r>
  <r>
    <x v="5"/>
    <x v="11"/>
    <s v="S12000044"/>
    <n v="12"/>
    <n v="50"/>
    <n v="11"/>
    <n v="2"/>
    <n v="26"/>
    <n v="3"/>
    <m/>
    <n v="1"/>
    <n v="11"/>
    <n v="13"/>
    <n v="25"/>
    <n v="11"/>
    <n v="29"/>
    <n v="92"/>
    <n v="20"/>
  </r>
  <r>
    <x v="5"/>
    <x v="29"/>
    <s v="S12000028"/>
    <n v="7"/>
    <n v="44"/>
    <n v="31"/>
    <n v="2"/>
    <n v="40"/>
    <n v="20"/>
    <n v="2"/>
    <m/>
    <n v="7"/>
    <n v="7"/>
    <n v="10"/>
    <n v="10"/>
    <n v="25"/>
    <n v="13"/>
    <n v="7"/>
  </r>
  <r>
    <x v="6"/>
    <x v="22"/>
    <s v="S12000036"/>
    <n v="22"/>
    <n v="90"/>
    <n v="175"/>
    <n v="4"/>
    <n v="10"/>
    <n v="11"/>
    <m/>
    <n v="2"/>
    <n v="20"/>
    <n v="5"/>
    <n v="8"/>
    <n v="9"/>
    <n v="2"/>
    <n v="6"/>
    <m/>
  </r>
  <r>
    <x v="6"/>
    <x v="8"/>
    <s v="S12000011"/>
    <m/>
    <n v="14"/>
    <n v="1"/>
    <m/>
    <n v="1"/>
    <m/>
    <m/>
    <m/>
    <m/>
    <n v="2"/>
    <n v="2"/>
    <m/>
    <m/>
    <m/>
    <n v="1"/>
  </r>
  <r>
    <x v="6"/>
    <x v="1"/>
    <s v="S12000019"/>
    <n v="3"/>
    <n v="20"/>
    <n v="4"/>
    <m/>
    <m/>
    <m/>
    <m/>
    <m/>
    <n v="4"/>
    <m/>
    <n v="1"/>
    <n v="2"/>
    <n v="1"/>
    <m/>
    <n v="2"/>
  </r>
  <r>
    <x v="6"/>
    <x v="11"/>
    <s v="S12000050"/>
    <n v="3"/>
    <n v="41"/>
    <n v="3"/>
    <n v="1"/>
    <n v="14"/>
    <n v="1"/>
    <m/>
    <m/>
    <n v="1"/>
    <n v="2"/>
    <n v="8"/>
    <n v="4"/>
    <n v="10"/>
    <n v="26"/>
    <n v="3"/>
  </r>
  <r>
    <x v="6"/>
    <x v="28"/>
    <s v="S12000048"/>
    <n v="36"/>
    <n v="68"/>
    <n v="7"/>
    <n v="9"/>
    <n v="2"/>
    <n v="15"/>
    <m/>
    <m/>
    <n v="2"/>
    <n v="2"/>
    <n v="7"/>
    <n v="1"/>
    <m/>
    <n v="3"/>
    <m/>
  </r>
  <r>
    <x v="6"/>
    <x v="27"/>
    <s v="S12000030"/>
    <n v="1"/>
    <n v="49"/>
    <n v="13"/>
    <n v="2"/>
    <n v="2"/>
    <n v="2"/>
    <m/>
    <m/>
    <n v="2"/>
    <n v="2"/>
    <n v="4"/>
    <n v="1"/>
    <n v="1"/>
    <m/>
    <n v="1"/>
  </r>
  <r>
    <x v="6"/>
    <x v="18"/>
    <s v="S12000039"/>
    <n v="1"/>
    <n v="8"/>
    <n v="5"/>
    <m/>
    <n v="2"/>
    <m/>
    <m/>
    <n v="1"/>
    <n v="1"/>
    <n v="7"/>
    <m/>
    <n v="1"/>
    <m/>
    <n v="1"/>
    <n v="1"/>
  </r>
  <r>
    <x v="7"/>
    <x v="15"/>
    <s v="S12000042"/>
    <n v="11"/>
    <n v="37"/>
    <n v="189"/>
    <n v="1"/>
    <n v="8"/>
    <m/>
    <m/>
    <m/>
    <n v="6"/>
    <n v="3"/>
    <n v="4"/>
    <n v="3"/>
    <n v="3"/>
    <n v="3"/>
    <n v="3"/>
  </r>
  <r>
    <x v="7"/>
    <x v="8"/>
    <s v="S12000011"/>
    <m/>
    <n v="10"/>
    <n v="4"/>
    <m/>
    <n v="8"/>
    <m/>
    <m/>
    <m/>
    <m/>
    <n v="1"/>
    <m/>
    <m/>
    <m/>
    <m/>
    <m/>
  </r>
  <r>
    <x v="7"/>
    <x v="10"/>
    <s v="S12000018"/>
    <n v="2"/>
    <n v="28"/>
    <n v="2"/>
    <m/>
    <n v="3"/>
    <m/>
    <m/>
    <m/>
    <m/>
    <m/>
    <n v="2"/>
    <n v="2"/>
    <n v="1"/>
    <m/>
    <n v="3"/>
  </r>
  <r>
    <x v="7"/>
    <x v="17"/>
    <s v="S12000023"/>
    <m/>
    <n v="8"/>
    <m/>
    <n v="2"/>
    <n v="5"/>
    <m/>
    <m/>
    <m/>
    <m/>
    <m/>
    <m/>
    <m/>
    <m/>
    <m/>
    <m/>
  </r>
  <r>
    <x v="7"/>
    <x v="27"/>
    <s v="S12000030"/>
    <n v="1"/>
    <n v="40"/>
    <n v="86"/>
    <n v="1"/>
    <n v="10"/>
    <n v="15"/>
    <m/>
    <n v="1"/>
    <n v="4"/>
    <n v="1"/>
    <n v="5"/>
    <n v="2"/>
    <n v="3"/>
    <n v="3"/>
    <n v="3"/>
  </r>
  <r>
    <x v="8"/>
    <x v="23"/>
    <s v="S12000008"/>
    <n v="7"/>
    <n v="51"/>
    <n v="14"/>
    <m/>
    <n v="10"/>
    <n v="24"/>
    <m/>
    <m/>
    <n v="4"/>
    <n v="3"/>
    <n v="18"/>
    <n v="4"/>
    <n v="13"/>
    <m/>
    <n v="2"/>
  </r>
  <r>
    <x v="8"/>
    <x v="0"/>
    <s v="S12000045"/>
    <n v="5"/>
    <n v="23"/>
    <n v="12"/>
    <m/>
    <n v="4"/>
    <m/>
    <m/>
    <m/>
    <n v="1"/>
    <n v="2"/>
    <n v="4"/>
    <n v="1"/>
    <n v="1"/>
    <m/>
    <m/>
  </r>
  <r>
    <x v="8"/>
    <x v="17"/>
    <s v="S12000023"/>
    <n v="1"/>
    <n v="5"/>
    <n v="2"/>
    <m/>
    <n v="1"/>
    <m/>
    <m/>
    <m/>
    <m/>
    <m/>
    <m/>
    <m/>
    <m/>
    <m/>
    <m/>
  </r>
  <r>
    <x v="8"/>
    <x v="3"/>
    <s v="S12000038"/>
    <n v="4"/>
    <n v="65"/>
    <n v="19"/>
    <m/>
    <n v="28"/>
    <n v="21"/>
    <m/>
    <m/>
    <n v="4"/>
    <n v="13"/>
    <n v="13"/>
    <n v="3"/>
    <n v="8"/>
    <n v="12"/>
    <m/>
  </r>
  <r>
    <x v="9"/>
    <x v="7"/>
    <s v="S12000010"/>
    <n v="1"/>
    <n v="25"/>
    <n v="9"/>
    <m/>
    <n v="20"/>
    <n v="10"/>
    <m/>
    <m/>
    <n v="31"/>
    <n v="8"/>
    <n v="3"/>
    <n v="1"/>
    <n v="6"/>
    <n v="1"/>
    <n v="2"/>
  </r>
  <r>
    <x v="9"/>
    <x v="26"/>
    <s v="S12000015"/>
    <n v="7"/>
    <n v="113"/>
    <n v="220"/>
    <m/>
    <n v="17"/>
    <n v="12"/>
    <m/>
    <m/>
    <n v="1"/>
    <m/>
    <n v="2"/>
    <n v="2"/>
    <n v="2"/>
    <m/>
    <m/>
  </r>
  <r>
    <x v="9"/>
    <x v="25"/>
    <s v="S12000046"/>
    <n v="13"/>
    <n v="135"/>
    <n v="528"/>
    <n v="9"/>
    <n v="104"/>
    <n v="17"/>
    <n v="2"/>
    <n v="3"/>
    <n v="24"/>
    <n v="20"/>
    <n v="27"/>
    <n v="11"/>
    <n v="3"/>
    <n v="8"/>
    <n v="10"/>
  </r>
  <r>
    <x v="9"/>
    <x v="9"/>
    <s v="S12000017"/>
    <n v="19"/>
    <n v="88"/>
    <n v="37"/>
    <n v="11"/>
    <n v="167"/>
    <n v="14"/>
    <m/>
    <m/>
    <n v="3"/>
    <n v="2"/>
    <n v="5"/>
    <n v="7"/>
    <n v="4"/>
    <n v="2"/>
    <n v="3"/>
  </r>
  <r>
    <x v="10"/>
    <x v="9"/>
    <s v="S12000017"/>
    <n v="22"/>
    <n v="78"/>
    <n v="88"/>
    <n v="18"/>
    <n v="137"/>
    <n v="38"/>
    <m/>
    <m/>
    <n v="4"/>
    <n v="2"/>
    <n v="5"/>
    <n v="4"/>
    <n v="4"/>
    <m/>
    <n v="2"/>
  </r>
  <r>
    <x v="10"/>
    <x v="24"/>
    <s v="S12000013"/>
    <n v="2"/>
    <n v="10"/>
    <n v="4"/>
    <n v="1"/>
    <n v="9"/>
    <n v="5"/>
    <m/>
    <n v="1"/>
    <m/>
    <m/>
    <m/>
    <n v="2"/>
    <m/>
    <n v="1"/>
    <n v="1"/>
  </r>
</pivotCacheRecords>
</file>

<file path=xl/pivotCache/pivotCacheRecords10.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384">
  <r>
    <x v="0"/>
    <x v="0"/>
    <s v="S12000033"/>
    <n v="356"/>
    <n v="1936.75"/>
    <n v="13"/>
    <n v="138.5"/>
    <n v="2"/>
    <n v="19.25"/>
    <m/>
    <m/>
  </r>
  <r>
    <x v="0"/>
    <x v="1"/>
    <s v="S12000015"/>
    <n v="483"/>
    <n v="1857.5"/>
    <n v="15"/>
    <n v="104.75"/>
    <m/>
    <m/>
    <m/>
    <m/>
  </r>
  <r>
    <x v="0"/>
    <x v="2"/>
    <s v="S12000020"/>
    <n v="110"/>
    <n v="771.25"/>
    <n v="4"/>
    <n v="72.5"/>
    <m/>
    <m/>
    <m/>
    <m/>
  </r>
  <r>
    <x v="0"/>
    <x v="3"/>
    <s v="S12000013"/>
    <n v="18"/>
    <n v="138.5"/>
    <n v="1"/>
    <n v="13.25"/>
    <m/>
    <m/>
    <m/>
    <m/>
  </r>
  <r>
    <x v="0"/>
    <x v="4"/>
    <s v="S12000023"/>
    <n v="16"/>
    <n v="108.5"/>
    <m/>
    <m/>
    <m/>
    <m/>
    <m/>
    <m/>
  </r>
  <r>
    <x v="0"/>
    <x v="5"/>
    <s v="S12000038"/>
    <n v="212"/>
    <n v="1318.75"/>
    <n v="3"/>
    <n v="28.75"/>
    <m/>
    <m/>
    <m/>
    <m/>
  </r>
  <r>
    <x v="0"/>
    <x v="6"/>
    <s v="S12000026"/>
    <n v="332"/>
    <n v="1463"/>
    <n v="49"/>
    <n v="381.75"/>
    <n v="1"/>
    <n v="31"/>
    <m/>
    <m/>
  </r>
  <r>
    <x v="0"/>
    <x v="7"/>
    <s v="S12000039"/>
    <n v="176"/>
    <n v="797.25"/>
    <m/>
    <m/>
    <m/>
    <m/>
    <m/>
    <m/>
  </r>
  <r>
    <x v="1"/>
    <x v="8"/>
    <s v="S12000005"/>
    <n v="51"/>
    <n v="190"/>
    <m/>
    <m/>
    <m/>
    <m/>
    <m/>
    <m/>
  </r>
  <r>
    <x v="1"/>
    <x v="9"/>
    <s v="S12000011"/>
    <n v="54"/>
    <n v="343.75"/>
    <n v="3"/>
    <n v="60"/>
    <m/>
    <m/>
    <m/>
    <m/>
  </r>
  <r>
    <x v="1"/>
    <x v="4"/>
    <s v="S12000023"/>
    <n v="31"/>
    <n v="146.75"/>
    <n v="1"/>
    <n v="13.25"/>
    <m/>
    <m/>
    <m/>
    <m/>
  </r>
  <r>
    <x v="2"/>
    <x v="0"/>
    <s v="S12000033"/>
    <n v="415"/>
    <n v="2311"/>
    <n v="20"/>
    <n v="156.5"/>
    <n v="7"/>
    <n v="48"/>
    <m/>
    <m/>
  </r>
  <r>
    <x v="2"/>
    <x v="10"/>
    <s v="S12000010"/>
    <n v="126"/>
    <n v="481.75"/>
    <n v="13"/>
    <n v="102.25"/>
    <m/>
    <m/>
    <m/>
    <m/>
  </r>
  <r>
    <x v="2"/>
    <x v="11"/>
    <s v="S12000029"/>
    <n v="243"/>
    <n v="1452.5"/>
    <n v="8"/>
    <n v="235.75"/>
    <n v="1"/>
    <n v="72.25"/>
    <m/>
    <m/>
  </r>
  <r>
    <x v="2"/>
    <x v="12"/>
    <s v="S12000030"/>
    <n v="146"/>
    <n v="598.5"/>
    <n v="14"/>
    <n v="101.25"/>
    <m/>
    <m/>
    <m/>
    <m/>
  </r>
  <r>
    <x v="3"/>
    <x v="13"/>
    <s v="S12000034"/>
    <n v="317"/>
    <n v="2121"/>
    <n v="27"/>
    <n v="291.25"/>
    <m/>
    <m/>
    <n v="1"/>
    <n v="23.25"/>
  </r>
  <r>
    <x v="3"/>
    <x v="14"/>
    <s v="S12000006"/>
    <n v="346"/>
    <n v="1646"/>
    <n v="33"/>
    <n v="312.25"/>
    <m/>
    <m/>
    <m/>
    <m/>
  </r>
  <r>
    <x v="3"/>
    <x v="15"/>
    <s v="S12000045"/>
    <n v="86"/>
    <n v="611"/>
    <n v="6"/>
    <n v="67.25"/>
    <m/>
    <m/>
    <m/>
    <m/>
  </r>
  <r>
    <x v="3"/>
    <x v="16"/>
    <s v="S12000027"/>
    <n v="22"/>
    <n v="189"/>
    <n v="1"/>
    <n v="8"/>
    <m/>
    <m/>
    <n v="1"/>
    <n v="3.5"/>
  </r>
  <r>
    <x v="4"/>
    <x v="13"/>
    <s v="S12000034"/>
    <n v="344"/>
    <n v="1895"/>
    <n v="29"/>
    <n v="240.5"/>
    <m/>
    <m/>
    <n v="1"/>
    <n v="7.5"/>
  </r>
  <r>
    <x v="4"/>
    <x v="17"/>
    <s v="S12000044"/>
    <n v="294"/>
    <n v="1348"/>
    <n v="13"/>
    <n v="182.75"/>
    <n v="2"/>
    <n v="68.75"/>
    <n v="1"/>
    <n v="63"/>
  </r>
  <r>
    <x v="5"/>
    <x v="18"/>
    <s v="S12000035"/>
    <n v="275"/>
    <m/>
    <n v="7"/>
    <m/>
    <m/>
    <m/>
    <m/>
    <m/>
  </r>
  <r>
    <x v="5"/>
    <x v="19"/>
    <s v="S12000042"/>
    <n v="419"/>
    <m/>
    <n v="5"/>
    <m/>
    <m/>
    <m/>
    <m/>
    <m/>
  </r>
  <r>
    <x v="5"/>
    <x v="20"/>
    <s v="S12000008"/>
    <n v="105"/>
    <m/>
    <n v="5"/>
    <m/>
    <m/>
    <m/>
    <m/>
    <m/>
  </r>
  <r>
    <x v="5"/>
    <x v="9"/>
    <s v="S12000011"/>
    <n v="28"/>
    <m/>
    <m/>
    <m/>
    <m/>
    <m/>
    <m/>
    <m/>
  </r>
  <r>
    <x v="5"/>
    <x v="1"/>
    <s v="S12000015"/>
    <n v="335"/>
    <m/>
    <n v="82"/>
    <m/>
    <m/>
    <m/>
    <n v="2"/>
    <m/>
  </r>
  <r>
    <x v="6"/>
    <x v="14"/>
    <s v="S12000006"/>
    <n v="122"/>
    <n v="533.25"/>
    <n v="5"/>
    <n v="39.25"/>
    <m/>
    <m/>
    <m/>
    <m/>
  </r>
  <r>
    <x v="6"/>
    <x v="21"/>
    <s v="S12000019"/>
    <n v="35"/>
    <n v="292.25"/>
    <n v="2"/>
    <n v="31.75"/>
    <m/>
    <m/>
    <m/>
    <m/>
  </r>
  <r>
    <x v="7"/>
    <x v="15"/>
    <s v="S12000045"/>
    <n v="67"/>
    <n v="330.5"/>
    <n v="5"/>
    <n v="29.25"/>
    <m/>
    <m/>
    <m/>
    <m/>
  </r>
  <r>
    <x v="7"/>
    <x v="22"/>
    <s v="S12000014"/>
    <n v="107"/>
    <n v="523"/>
    <n v="5"/>
    <n v="53.5"/>
    <m/>
    <m/>
    <m/>
    <m/>
  </r>
  <r>
    <x v="7"/>
    <x v="11"/>
    <s v="S12000029"/>
    <n v="156"/>
    <n v="1502.5"/>
    <n v="9"/>
    <n v="137.25"/>
    <m/>
    <m/>
    <m/>
    <m/>
  </r>
  <r>
    <x v="8"/>
    <x v="23"/>
    <s v="S12000046"/>
    <n v="1019"/>
    <n v="5074.75"/>
    <n v="92"/>
    <n v="844"/>
    <m/>
    <m/>
    <n v="1"/>
    <n v="18"/>
  </r>
  <r>
    <x v="8"/>
    <x v="3"/>
    <s v="S12000013"/>
    <n v="32"/>
    <n v="144.75"/>
    <n v="2"/>
    <n v="12.5"/>
    <m/>
    <m/>
    <m/>
    <m/>
  </r>
  <r>
    <x v="8"/>
    <x v="5"/>
    <s v="S12000038"/>
    <n v="187"/>
    <n v="947.75"/>
    <n v="3"/>
    <n v="24.5"/>
    <m/>
    <m/>
    <n v="1"/>
    <n v="11"/>
  </r>
  <r>
    <x v="9"/>
    <x v="22"/>
    <s v="S12000014"/>
    <n v="121"/>
    <n v="721.75"/>
    <n v="1"/>
    <n v="33"/>
    <m/>
    <m/>
    <m/>
    <m/>
  </r>
  <r>
    <x v="9"/>
    <x v="24"/>
    <s v="S12000018"/>
    <n v="88"/>
    <n v="492"/>
    <n v="3"/>
    <n v="41.5"/>
    <m/>
    <m/>
    <m/>
    <m/>
  </r>
  <r>
    <x v="9"/>
    <x v="2"/>
    <s v="S12000020"/>
    <n v="116"/>
    <n v="902"/>
    <n v="9"/>
    <n v="198.5"/>
    <m/>
    <m/>
    <m/>
    <m/>
  </r>
  <r>
    <x v="10"/>
    <x v="19"/>
    <s v="S12000042"/>
    <n v="316"/>
    <n v="1340.5"/>
    <n v="7"/>
    <n v="75"/>
    <m/>
    <m/>
    <m/>
    <m/>
  </r>
  <r>
    <x v="10"/>
    <x v="6"/>
    <s v="S12000026"/>
    <n v="197"/>
    <n v="1006"/>
    <n v="8"/>
    <n v="72"/>
    <m/>
    <m/>
    <m/>
    <m/>
  </r>
  <r>
    <x v="10"/>
    <x v="25"/>
    <s v="S12000028"/>
    <n v="277"/>
    <n v="1628"/>
    <n v="3"/>
    <n v="34.5"/>
    <m/>
    <m/>
    <n v="1"/>
    <n v="10.75"/>
  </r>
  <r>
    <x v="11"/>
    <x v="26"/>
    <s v="S12000036"/>
    <n v="884"/>
    <n v="4017"/>
    <n v="82"/>
    <n v="519.5"/>
    <m/>
    <m/>
    <n v="3"/>
    <n v="42.25"/>
  </r>
  <r>
    <x v="11"/>
    <x v="5"/>
    <s v="S12000038"/>
    <n v="186"/>
    <n v="1070"/>
    <n v="4"/>
    <n v="55.5"/>
    <m/>
    <m/>
    <m/>
    <m/>
  </r>
  <r>
    <x v="11"/>
    <x v="25"/>
    <s v="S12000028"/>
    <n v="219"/>
    <n v="1075.75"/>
    <m/>
    <m/>
    <m/>
    <m/>
    <m/>
    <m/>
  </r>
  <r>
    <x v="0"/>
    <x v="8"/>
    <s v="S12000005"/>
    <n v="42"/>
    <n v="247.25"/>
    <n v="2"/>
    <n v="16"/>
    <m/>
    <m/>
    <m/>
    <m/>
  </r>
  <r>
    <x v="0"/>
    <x v="10"/>
    <s v="S12000010"/>
    <n v="96"/>
    <n v="335.5"/>
    <n v="6"/>
    <n v="37.5"/>
    <m/>
    <m/>
    <m/>
    <m/>
  </r>
  <r>
    <x v="0"/>
    <x v="22"/>
    <s v="S12000014"/>
    <n v="232"/>
    <n v="1156"/>
    <n v="11"/>
    <n v="105.25"/>
    <m/>
    <m/>
    <m/>
    <m/>
  </r>
  <r>
    <x v="0"/>
    <x v="21"/>
    <s v="S12000019"/>
    <n v="122"/>
    <n v="365.5"/>
    <n v="4"/>
    <n v="31.25"/>
    <m/>
    <m/>
    <m/>
    <m/>
  </r>
  <r>
    <x v="1"/>
    <x v="13"/>
    <s v="S12000034"/>
    <n v="334"/>
    <n v="2016.25"/>
    <n v="39"/>
    <n v="438"/>
    <n v="1"/>
    <n v="28.25"/>
    <m/>
    <m/>
  </r>
  <r>
    <x v="1"/>
    <x v="21"/>
    <s v="S12000019"/>
    <n v="96"/>
    <n v="321.75"/>
    <n v="2"/>
    <n v="7.75"/>
    <m/>
    <m/>
    <m/>
    <m/>
  </r>
  <r>
    <x v="1"/>
    <x v="3"/>
    <s v="S12000013"/>
    <n v="5"/>
    <n v="27.25"/>
    <n v="4"/>
    <n v="78.75"/>
    <m/>
    <m/>
    <m/>
    <m/>
  </r>
  <r>
    <x v="2"/>
    <x v="15"/>
    <s v="S12000045"/>
    <n v="77"/>
    <n v="520.25"/>
    <n v="4"/>
    <n v="57"/>
    <m/>
    <m/>
    <m/>
    <m/>
  </r>
  <r>
    <x v="2"/>
    <x v="24"/>
    <s v="S12000018"/>
    <n v="107"/>
    <n v="429.5"/>
    <n v="8"/>
    <n v="55"/>
    <m/>
    <m/>
    <m/>
    <m/>
  </r>
  <r>
    <x v="2"/>
    <x v="2"/>
    <s v="S12000020"/>
    <n v="136"/>
    <n v="833.25"/>
    <n v="6"/>
    <n v="94.25"/>
    <n v="1"/>
    <n v="7"/>
    <m/>
    <m/>
  </r>
  <r>
    <x v="2"/>
    <x v="25"/>
    <s v="S12000028"/>
    <n v="294"/>
    <n v="1861.5"/>
    <n v="16"/>
    <n v="121.75"/>
    <n v="1"/>
    <n v="17.25"/>
    <m/>
    <m/>
  </r>
  <r>
    <x v="3"/>
    <x v="27"/>
    <s v="S12000017"/>
    <n v="227"/>
    <n v="1333"/>
    <n v="59"/>
    <n v="1064.25"/>
    <n v="6"/>
    <n v="232"/>
    <n v="4"/>
    <n v="38.5"/>
  </r>
  <r>
    <x v="3"/>
    <x v="17"/>
    <s v="S12000044"/>
    <n v="344"/>
    <n v="1826.5"/>
    <n v="7"/>
    <n v="65.5"/>
    <m/>
    <m/>
    <m/>
    <m/>
  </r>
  <r>
    <x v="4"/>
    <x v="19"/>
    <s v="S12000042"/>
    <n v="371"/>
    <n v="1559.5"/>
    <n v="10"/>
    <n v="90.75"/>
    <m/>
    <m/>
    <n v="3"/>
    <n v="23.5"/>
  </r>
  <r>
    <x v="4"/>
    <x v="10"/>
    <s v="S12000010"/>
    <n v="144"/>
    <n v="567.25"/>
    <n v="5"/>
    <n v="34.5"/>
    <m/>
    <m/>
    <m/>
    <m/>
  </r>
  <r>
    <x v="4"/>
    <x v="22"/>
    <s v="S12000014"/>
    <n v="201"/>
    <n v="1063.25"/>
    <m/>
    <m/>
    <m/>
    <m/>
    <m/>
    <m/>
  </r>
  <r>
    <x v="4"/>
    <x v="21"/>
    <s v="S12000019"/>
    <n v="131"/>
    <n v="878.5"/>
    <n v="7"/>
    <n v="91.25"/>
    <m/>
    <m/>
    <m/>
    <m/>
  </r>
  <r>
    <x v="4"/>
    <x v="28"/>
    <s v="S12000024"/>
    <n v="281"/>
    <n v="1204.5"/>
    <n v="12"/>
    <n v="81"/>
    <n v="1"/>
    <n v="14.25"/>
    <m/>
    <m/>
  </r>
  <r>
    <x v="4"/>
    <x v="16"/>
    <s v="S12000027"/>
    <n v="14"/>
    <n v="110.25"/>
    <n v="2"/>
    <n v="23.75"/>
    <m/>
    <m/>
    <m/>
    <m/>
  </r>
  <r>
    <x v="5"/>
    <x v="13"/>
    <s v="S12000034"/>
    <n v="345"/>
    <m/>
    <n v="6"/>
    <m/>
    <m/>
    <m/>
    <m/>
    <m/>
  </r>
  <r>
    <x v="5"/>
    <x v="24"/>
    <s v="S12000018"/>
    <n v="51"/>
    <m/>
    <n v="3"/>
    <m/>
    <m/>
    <m/>
    <m/>
    <m/>
  </r>
  <r>
    <x v="5"/>
    <x v="21"/>
    <s v="S12000019"/>
    <n v="64"/>
    <m/>
    <n v="6"/>
    <m/>
    <m/>
    <m/>
    <m/>
    <m/>
  </r>
  <r>
    <x v="5"/>
    <x v="4"/>
    <s v="S12000023"/>
    <n v="23"/>
    <m/>
    <m/>
    <m/>
    <m/>
    <m/>
    <m/>
    <m/>
  </r>
  <r>
    <x v="5"/>
    <x v="16"/>
    <s v="S12000027"/>
    <n v="11"/>
    <m/>
    <m/>
    <m/>
    <m/>
    <m/>
    <m/>
    <m/>
  </r>
  <r>
    <x v="6"/>
    <x v="17"/>
    <s v="S12000050"/>
    <n v="115"/>
    <n v="395.25"/>
    <n v="2"/>
    <n v="10.5"/>
    <m/>
    <m/>
    <m/>
    <m/>
  </r>
  <r>
    <x v="6"/>
    <x v="12"/>
    <s v="S12000030"/>
    <n v="74"/>
    <n v="377.5"/>
    <n v="6"/>
    <n v="138.5"/>
    <n v="1"/>
    <n v="54.5"/>
    <m/>
    <m/>
  </r>
  <r>
    <x v="6"/>
    <x v="7"/>
    <s v="S12000039"/>
    <n v="28"/>
    <n v="102.5"/>
    <m/>
    <m/>
    <m/>
    <m/>
    <m/>
    <m/>
  </r>
  <r>
    <x v="6"/>
    <x v="29"/>
    <s v="S12000040"/>
    <n v="86"/>
    <n v="305.5"/>
    <m/>
    <m/>
    <m/>
    <m/>
    <m/>
    <m/>
  </r>
  <r>
    <x v="7"/>
    <x v="30"/>
    <s v="S12000041"/>
    <n v="124"/>
    <n v="657"/>
    <m/>
    <m/>
    <m/>
    <m/>
    <m/>
    <m/>
  </r>
  <r>
    <x v="7"/>
    <x v="18"/>
    <s v="S12000035"/>
    <n v="173"/>
    <n v="911.75"/>
    <n v="16"/>
    <n v="148.75"/>
    <m/>
    <m/>
    <m/>
    <m/>
  </r>
  <r>
    <x v="7"/>
    <x v="14"/>
    <s v="S12000006"/>
    <n v="140"/>
    <n v="836.25"/>
    <n v="1"/>
    <n v="6.25"/>
    <m/>
    <m/>
    <m/>
    <m/>
  </r>
  <r>
    <x v="7"/>
    <x v="24"/>
    <s v="S12000018"/>
    <n v="43"/>
    <n v="225.75"/>
    <m/>
    <m/>
    <m/>
    <m/>
    <m/>
    <m/>
  </r>
  <r>
    <x v="8"/>
    <x v="26"/>
    <s v="S12000036"/>
    <n v="536"/>
    <n v="2521"/>
    <n v="28"/>
    <n v="135"/>
    <m/>
    <m/>
    <n v="2"/>
    <n v="8"/>
  </r>
  <r>
    <x v="8"/>
    <x v="10"/>
    <s v="S12000010"/>
    <n v="116"/>
    <n v="695"/>
    <n v="3"/>
    <n v="32"/>
    <m/>
    <m/>
    <m/>
    <m/>
  </r>
  <r>
    <x v="8"/>
    <x v="31"/>
    <s v="S12000021"/>
    <n v="263"/>
    <n v="2036.75"/>
    <n v="8"/>
    <n v="119.5"/>
    <m/>
    <m/>
    <m/>
    <m/>
  </r>
  <r>
    <x v="8"/>
    <x v="29"/>
    <s v="S12000040"/>
    <n v="109"/>
    <n v="544"/>
    <n v="2"/>
    <n v="10"/>
    <m/>
    <m/>
    <m/>
    <m/>
  </r>
  <r>
    <x v="10"/>
    <x v="15"/>
    <s v="S12000045"/>
    <n v="71"/>
    <n v="426.25"/>
    <n v="4"/>
    <n v="38.75"/>
    <m/>
    <m/>
    <m/>
    <m/>
  </r>
  <r>
    <x v="10"/>
    <x v="29"/>
    <s v="S12000040"/>
    <n v="240"/>
    <n v="1183.5"/>
    <m/>
    <m/>
    <m/>
    <m/>
    <m/>
    <m/>
  </r>
  <r>
    <x v="11"/>
    <x v="30"/>
    <s v="S12000041"/>
    <n v="96"/>
    <n v="601.75"/>
    <m/>
    <m/>
    <m/>
    <m/>
    <m/>
    <m/>
  </r>
  <r>
    <x v="11"/>
    <x v="18"/>
    <s v="S12000035"/>
    <n v="374"/>
    <n v="2016.25"/>
    <n v="37"/>
    <n v="518.5"/>
    <m/>
    <m/>
    <m/>
    <m/>
  </r>
  <r>
    <x v="11"/>
    <x v="24"/>
    <s v="S12000018"/>
    <n v="72"/>
    <n v="511"/>
    <m/>
    <m/>
    <m/>
    <m/>
    <m/>
    <m/>
  </r>
  <r>
    <x v="11"/>
    <x v="31"/>
    <s v="S12000021"/>
    <n v="144"/>
    <n v="892.75"/>
    <n v="4"/>
    <n v="66.5"/>
    <m/>
    <m/>
    <n v="1"/>
    <n v="2.5"/>
  </r>
  <r>
    <x v="11"/>
    <x v="28"/>
    <s v="S12000024"/>
    <n v="243"/>
    <n v="1186"/>
    <n v="12"/>
    <n v="171"/>
    <m/>
    <m/>
    <m/>
    <m/>
  </r>
  <r>
    <x v="11"/>
    <x v="16"/>
    <s v="S12000027"/>
    <n v="50"/>
    <n v="254.75"/>
    <n v="8"/>
    <n v="119"/>
    <m/>
    <m/>
    <m/>
    <m/>
  </r>
  <r>
    <x v="0"/>
    <x v="30"/>
    <s v="S12000041"/>
    <n v="202"/>
    <n v="853.5"/>
    <n v="4"/>
    <n v="21.75"/>
    <m/>
    <m/>
    <m/>
    <m/>
  </r>
  <r>
    <x v="0"/>
    <x v="26"/>
    <s v="S12000036"/>
    <n v="903"/>
    <n v="3293.5"/>
    <n v="53"/>
    <n v="292"/>
    <n v="1"/>
    <n v="5.5"/>
    <m/>
    <m/>
  </r>
  <r>
    <x v="0"/>
    <x v="14"/>
    <s v="S12000006"/>
    <n v="177"/>
    <n v="785.25"/>
    <n v="36"/>
    <n v="306.5"/>
    <m/>
    <m/>
    <n v="1"/>
    <n v="12.5"/>
  </r>
  <r>
    <x v="0"/>
    <x v="23"/>
    <s v="S12000046"/>
    <n v="1045"/>
    <n v="5340"/>
    <n v="77"/>
    <n v="444"/>
    <m/>
    <m/>
    <n v="1"/>
    <n v="5.5"/>
  </r>
  <r>
    <x v="0"/>
    <x v="17"/>
    <s v="S12000044"/>
    <n v="298"/>
    <n v="2166.75"/>
    <n v="3"/>
    <n v="23.75"/>
    <m/>
    <m/>
    <m/>
    <m/>
  </r>
  <r>
    <x v="0"/>
    <x v="12"/>
    <s v="S12000030"/>
    <n v="210"/>
    <n v="875.75"/>
    <n v="7"/>
    <n v="49.25"/>
    <m/>
    <m/>
    <m/>
    <m/>
  </r>
  <r>
    <x v="1"/>
    <x v="27"/>
    <s v="S12000017"/>
    <n v="287"/>
    <n v="1820.25"/>
    <n v="49"/>
    <n v="847.75"/>
    <n v="10"/>
    <n v="256.5"/>
    <m/>
    <m/>
  </r>
  <r>
    <x v="1"/>
    <x v="24"/>
    <s v="S12000018"/>
    <n v="62"/>
    <n v="263.75"/>
    <n v="1"/>
    <n v="17.25"/>
    <m/>
    <m/>
    <m/>
    <m/>
  </r>
  <r>
    <x v="1"/>
    <x v="11"/>
    <s v="S12000029"/>
    <n v="243"/>
    <n v="1871.5"/>
    <n v="7"/>
    <n v="246.25"/>
    <n v="1"/>
    <n v="90.5"/>
    <m/>
    <m/>
  </r>
  <r>
    <x v="1"/>
    <x v="12"/>
    <s v="S12000030"/>
    <n v="332"/>
    <n v="1013.5"/>
    <n v="8"/>
    <n v="39"/>
    <n v="1"/>
    <n v="21.75"/>
    <n v="1"/>
    <n v="2.5"/>
  </r>
  <r>
    <x v="1"/>
    <x v="7"/>
    <s v="S12000039"/>
    <n v="212"/>
    <n v="933.75"/>
    <n v="8"/>
    <n v="99.75"/>
    <m/>
    <m/>
    <m/>
    <m/>
  </r>
  <r>
    <x v="2"/>
    <x v="20"/>
    <s v="S12000008"/>
    <n v="152"/>
    <n v="1162.5"/>
    <n v="12"/>
    <n v="126.25"/>
    <n v="1"/>
    <n v="12.75"/>
    <m/>
    <m/>
  </r>
  <r>
    <x v="2"/>
    <x v="5"/>
    <s v="S12000038"/>
    <n v="164"/>
    <n v="1078.5"/>
    <n v="5"/>
    <n v="60"/>
    <m/>
    <m/>
    <m/>
    <m/>
  </r>
  <r>
    <x v="3"/>
    <x v="0"/>
    <s v="S12000033"/>
    <n v="294"/>
    <n v="1570.5"/>
    <n v="21"/>
    <n v="212.25"/>
    <n v="2"/>
    <n v="57.5"/>
    <n v="1"/>
    <n v="3.5"/>
  </r>
  <r>
    <x v="3"/>
    <x v="10"/>
    <s v="S12000010"/>
    <n v="138"/>
    <n v="536.5"/>
    <n v="6"/>
    <n v="35.75"/>
    <m/>
    <m/>
    <m/>
    <m/>
  </r>
  <r>
    <x v="3"/>
    <x v="1"/>
    <s v="S12000015"/>
    <n v="450"/>
    <n v="1686.5"/>
    <n v="14"/>
    <n v="150.5"/>
    <n v="2"/>
    <n v="38.75"/>
    <n v="2"/>
    <n v="19.5"/>
  </r>
  <r>
    <x v="4"/>
    <x v="26"/>
    <s v="S12000036"/>
    <n v="672"/>
    <n v="2918.5"/>
    <n v="42"/>
    <n v="362.75"/>
    <n v="5"/>
    <n v="63.5"/>
    <n v="4"/>
    <n v="16"/>
  </r>
  <r>
    <x v="4"/>
    <x v="14"/>
    <s v="S12000006"/>
    <n v="420"/>
    <n v="2070.25"/>
    <n v="20"/>
    <n v="205.5"/>
    <n v="2"/>
    <n v="17"/>
    <m/>
    <m/>
  </r>
  <r>
    <x v="4"/>
    <x v="25"/>
    <s v="S12000028"/>
    <n v="216"/>
    <n v="1373.25"/>
    <n v="13"/>
    <n v="108"/>
    <n v="3"/>
    <n v="44.25"/>
    <n v="1"/>
    <m/>
  </r>
  <r>
    <x v="5"/>
    <x v="23"/>
    <s v="S12000046"/>
    <n v="897"/>
    <m/>
    <n v="142"/>
    <m/>
    <m/>
    <m/>
    <n v="3"/>
    <m/>
  </r>
  <r>
    <x v="5"/>
    <x v="27"/>
    <s v="S12000017"/>
    <n v="462"/>
    <m/>
    <n v="31"/>
    <m/>
    <m/>
    <m/>
    <n v="3"/>
    <m/>
  </r>
  <r>
    <x v="5"/>
    <x v="2"/>
    <s v="S12000020"/>
    <n v="91"/>
    <m/>
    <n v="9"/>
    <m/>
    <m/>
    <m/>
    <n v="1"/>
    <m/>
  </r>
  <r>
    <x v="5"/>
    <x v="7"/>
    <s v="S12000039"/>
    <n v="125"/>
    <m/>
    <n v="3"/>
    <m/>
    <m/>
    <m/>
    <m/>
    <m/>
  </r>
  <r>
    <x v="6"/>
    <x v="22"/>
    <s v="S12000014"/>
    <n v="62"/>
    <n v="270.5"/>
    <m/>
    <m/>
    <m/>
    <m/>
    <m/>
    <m/>
  </r>
  <r>
    <x v="6"/>
    <x v="3"/>
    <s v="S12000013"/>
    <n v="11"/>
    <n v="62.75"/>
    <m/>
    <m/>
    <m/>
    <m/>
    <m/>
    <m/>
  </r>
  <r>
    <x v="6"/>
    <x v="31"/>
    <s v="S12000021"/>
    <n v="89"/>
    <n v="599.25"/>
    <m/>
    <m/>
    <m/>
    <m/>
    <m/>
    <m/>
  </r>
  <r>
    <x v="7"/>
    <x v="10"/>
    <s v="S12000010"/>
    <n v="97"/>
    <n v="604.5"/>
    <n v="9"/>
    <n v="188.25"/>
    <n v="2"/>
    <n v="70.75"/>
    <m/>
    <m/>
  </r>
  <r>
    <x v="7"/>
    <x v="9"/>
    <s v="S12000011"/>
    <n v="23"/>
    <n v="152"/>
    <m/>
    <m/>
    <m/>
    <m/>
    <m/>
    <m/>
  </r>
  <r>
    <x v="7"/>
    <x v="28"/>
    <s v="S12000024"/>
    <n v="146"/>
    <n v="838.5"/>
    <m/>
    <m/>
    <m/>
    <m/>
    <m/>
    <m/>
  </r>
  <r>
    <x v="7"/>
    <x v="29"/>
    <s v="S12000040"/>
    <n v="174"/>
    <n v="634"/>
    <n v="3"/>
    <n v="14.75"/>
    <m/>
    <m/>
    <m/>
    <m/>
  </r>
  <r>
    <x v="8"/>
    <x v="25"/>
    <s v="S12000028"/>
    <n v="223"/>
    <n v="1582.75"/>
    <n v="17"/>
    <n v="265.5"/>
    <n v="2"/>
    <n v="98.25"/>
    <n v="1"/>
    <n v="15.5"/>
  </r>
  <r>
    <x v="8"/>
    <x v="12"/>
    <s v="S12000030"/>
    <n v="109"/>
    <n v="503"/>
    <n v="1"/>
    <n v="44.5"/>
    <m/>
    <m/>
    <m/>
    <m/>
  </r>
  <r>
    <x v="9"/>
    <x v="32"/>
    <m/>
    <n v="134"/>
    <n v="655.25"/>
    <m/>
    <m/>
    <m/>
    <m/>
    <m/>
    <m/>
  </r>
  <r>
    <x v="9"/>
    <x v="19"/>
    <s v="S12000042"/>
    <n v="320"/>
    <n v="1517"/>
    <n v="8"/>
    <n v="49.5"/>
    <m/>
    <m/>
    <m/>
    <m/>
  </r>
  <r>
    <x v="9"/>
    <x v="20"/>
    <s v="S12000008"/>
    <n v="173"/>
    <n v="738.5"/>
    <n v="10"/>
    <n v="84"/>
    <m/>
    <m/>
    <n v="1"/>
    <n v="57.25"/>
  </r>
  <r>
    <x v="9"/>
    <x v="1"/>
    <s v="S12000015"/>
    <n v="365"/>
    <n v="2189"/>
    <n v="11"/>
    <n v="118.5"/>
    <m/>
    <m/>
    <n v="1"/>
    <n v="4"/>
  </r>
  <r>
    <x v="9"/>
    <x v="29"/>
    <s v="S12000040"/>
    <n v="195"/>
    <n v="974.5"/>
    <m/>
    <m/>
    <m/>
    <m/>
    <m/>
    <m/>
  </r>
  <r>
    <x v="10"/>
    <x v="10"/>
    <s v="S12000010"/>
    <n v="122"/>
    <n v="650.25"/>
    <n v="1"/>
    <n v="5.75"/>
    <m/>
    <m/>
    <m/>
    <m/>
  </r>
  <r>
    <x v="10"/>
    <x v="7"/>
    <s v="S12000039"/>
    <n v="94"/>
    <n v="563.75"/>
    <n v="4"/>
    <n v="25.5"/>
    <m/>
    <m/>
    <m/>
    <m/>
  </r>
  <r>
    <x v="11"/>
    <x v="19"/>
    <s v="S12000042"/>
    <n v="322"/>
    <n v="1368.5"/>
    <m/>
    <m/>
    <m/>
    <m/>
    <m/>
    <m/>
  </r>
  <r>
    <x v="11"/>
    <x v="10"/>
    <s v="S12000010"/>
    <n v="130"/>
    <n v="759.5"/>
    <n v="3"/>
    <n v="20.75"/>
    <m/>
    <m/>
    <m/>
    <m/>
  </r>
  <r>
    <x v="11"/>
    <x v="1"/>
    <s v="S12000015"/>
    <n v="361"/>
    <n v="2371.5"/>
    <n v="6"/>
    <n v="69.25"/>
    <m/>
    <m/>
    <n v="1"/>
    <n v="7"/>
  </r>
  <r>
    <x v="11"/>
    <x v="29"/>
    <s v="S12000040"/>
    <n v="202"/>
    <n v="1016.25"/>
    <n v="2"/>
    <n v="16.5"/>
    <m/>
    <m/>
    <n v="1"/>
    <n v="10.5"/>
  </r>
  <r>
    <x v="0"/>
    <x v="13"/>
    <s v="S12000034"/>
    <n v="252"/>
    <n v="1725.5"/>
    <n v="15"/>
    <n v="162"/>
    <n v="1"/>
    <n v="38"/>
    <n v="1"/>
    <n v="7.5"/>
  </r>
  <r>
    <x v="1"/>
    <x v="18"/>
    <s v="S12000035"/>
    <n v="328"/>
    <n v="2625.5"/>
    <n v="13"/>
    <n v="134"/>
    <n v="3"/>
    <n v="51.25"/>
    <m/>
    <m/>
  </r>
  <r>
    <x v="1"/>
    <x v="26"/>
    <s v="S12000036"/>
    <n v="790"/>
    <n v="2779.75"/>
    <n v="67"/>
    <n v="415"/>
    <n v="1"/>
    <n v="32"/>
    <m/>
    <m/>
  </r>
  <r>
    <x v="1"/>
    <x v="1"/>
    <s v="S12000015"/>
    <n v="600"/>
    <n v="2456.75"/>
    <n v="18"/>
    <n v="153.75"/>
    <n v="1"/>
    <n v="24.75"/>
    <m/>
    <m/>
  </r>
  <r>
    <x v="1"/>
    <x v="17"/>
    <s v="S12000044"/>
    <n v="539"/>
    <n v="3321.5"/>
    <n v="15"/>
    <n v="152.25"/>
    <m/>
    <m/>
    <m/>
    <m/>
  </r>
  <r>
    <x v="1"/>
    <x v="28"/>
    <s v="S12000024"/>
    <n v="269"/>
    <n v="1484.5"/>
    <n v="1"/>
    <n v="12"/>
    <m/>
    <m/>
    <m/>
    <m/>
  </r>
  <r>
    <x v="1"/>
    <x v="29"/>
    <s v="S12000040"/>
    <n v="161"/>
    <n v="715.25"/>
    <n v="15"/>
    <n v="129.25"/>
    <m/>
    <m/>
    <m/>
    <m/>
  </r>
  <r>
    <x v="2"/>
    <x v="14"/>
    <s v="S12000006"/>
    <n v="307"/>
    <n v="1238"/>
    <n v="56"/>
    <n v="490.5"/>
    <m/>
    <m/>
    <n v="1"/>
    <n v="10.5"/>
  </r>
  <r>
    <x v="2"/>
    <x v="22"/>
    <s v="S12000014"/>
    <n v="152"/>
    <n v="799.75"/>
    <n v="8"/>
    <n v="89.25"/>
    <m/>
    <m/>
    <m/>
    <m/>
  </r>
  <r>
    <x v="2"/>
    <x v="27"/>
    <s v="S12000017"/>
    <n v="241"/>
    <n v="1483.75"/>
    <n v="27"/>
    <n v="284.75"/>
    <n v="1"/>
    <n v="9.5"/>
    <n v="1"/>
    <n v="6.5"/>
  </r>
  <r>
    <x v="2"/>
    <x v="17"/>
    <s v="S12000044"/>
    <n v="485"/>
    <n v="2741.25"/>
    <n v="11"/>
    <n v="112"/>
    <m/>
    <m/>
    <m/>
    <m/>
  </r>
  <r>
    <x v="3"/>
    <x v="26"/>
    <s v="S12000036"/>
    <n v="707"/>
    <n v="2618.75"/>
    <n v="37"/>
    <n v="234.5"/>
    <m/>
    <m/>
    <n v="4"/>
    <n v="10"/>
  </r>
  <r>
    <x v="3"/>
    <x v="8"/>
    <s v="S12000005"/>
    <n v="56"/>
    <n v="253.5"/>
    <n v="8"/>
    <n v="36.75"/>
    <m/>
    <m/>
    <n v="1"/>
    <n v="10.25"/>
  </r>
  <r>
    <x v="3"/>
    <x v="25"/>
    <s v="S12000028"/>
    <n v="310"/>
    <n v="1986.75"/>
    <n v="9"/>
    <n v="68.75"/>
    <m/>
    <m/>
    <m/>
    <m/>
  </r>
  <r>
    <x v="3"/>
    <x v="29"/>
    <s v="S12000040"/>
    <n v="157"/>
    <n v="667.75"/>
    <n v="7"/>
    <n v="40.5"/>
    <m/>
    <m/>
    <m/>
    <m/>
  </r>
  <r>
    <x v="4"/>
    <x v="30"/>
    <s v="S12000041"/>
    <n v="115"/>
    <n v="476.75"/>
    <n v="11"/>
    <n v="49.5"/>
    <n v="1"/>
    <n v="6"/>
    <m/>
    <m/>
  </r>
  <r>
    <x v="4"/>
    <x v="15"/>
    <s v="S12000045"/>
    <n v="82"/>
    <n v="447.75"/>
    <n v="2"/>
    <n v="30"/>
    <m/>
    <m/>
    <m/>
    <m/>
  </r>
  <r>
    <x v="4"/>
    <x v="1"/>
    <s v="S12000015"/>
    <n v="644"/>
    <n v="2085.75"/>
    <n v="13"/>
    <n v="127"/>
    <n v="2"/>
    <n v="52"/>
    <m/>
    <m/>
  </r>
  <r>
    <x v="4"/>
    <x v="11"/>
    <s v="S12000029"/>
    <n v="242"/>
    <n v="1512.25"/>
    <n v="10"/>
    <n v="273"/>
    <n v="1"/>
    <n v="102.75"/>
    <m/>
    <m/>
  </r>
  <r>
    <x v="5"/>
    <x v="30"/>
    <s v="S12000041"/>
    <n v="123"/>
    <m/>
    <m/>
    <m/>
    <m/>
    <m/>
    <m/>
    <m/>
  </r>
  <r>
    <x v="5"/>
    <x v="8"/>
    <s v="S12000005"/>
    <n v="49"/>
    <m/>
    <m/>
    <m/>
    <m/>
    <m/>
    <m/>
    <m/>
  </r>
  <r>
    <x v="5"/>
    <x v="17"/>
    <s v="S12000044"/>
    <n v="299"/>
    <m/>
    <n v="7"/>
    <m/>
    <m/>
    <m/>
    <m/>
    <m/>
  </r>
  <r>
    <x v="5"/>
    <x v="28"/>
    <s v="S12000024"/>
    <n v="247"/>
    <m/>
    <n v="1"/>
    <m/>
    <m/>
    <m/>
    <m/>
    <m/>
  </r>
  <r>
    <x v="6"/>
    <x v="26"/>
    <s v="S12000036"/>
    <n v="354"/>
    <n v="1313.75"/>
    <n v="10"/>
    <n v="192.75"/>
    <m/>
    <m/>
    <m/>
    <m/>
  </r>
  <r>
    <x v="6"/>
    <x v="9"/>
    <s v="S12000011"/>
    <n v="20"/>
    <n v="121.5"/>
    <n v="1"/>
    <n v="11"/>
    <m/>
    <m/>
    <m/>
    <m/>
  </r>
  <r>
    <x v="6"/>
    <x v="23"/>
    <s v="S12000049"/>
    <n v="456"/>
    <n v="1818"/>
    <n v="23"/>
    <n v="113.75"/>
    <m/>
    <m/>
    <m/>
    <m/>
  </r>
  <r>
    <x v="7"/>
    <x v="27"/>
    <s v="S12000017"/>
    <n v="182"/>
    <n v="1196.25"/>
    <n v="25"/>
    <n v="340.25"/>
    <m/>
    <m/>
    <n v="1"/>
    <n v="3"/>
  </r>
  <r>
    <x v="8"/>
    <x v="13"/>
    <s v="S12000034"/>
    <n v="421"/>
    <n v="3511"/>
    <n v="8"/>
    <n v="130.75"/>
    <m/>
    <m/>
    <m/>
    <m/>
  </r>
  <r>
    <x v="8"/>
    <x v="1"/>
    <s v="S12000015"/>
    <n v="311"/>
    <n v="1554.25"/>
    <n v="2"/>
    <n v="22"/>
    <m/>
    <m/>
    <m/>
    <m/>
  </r>
  <r>
    <x v="8"/>
    <x v="6"/>
    <s v="S12000026"/>
    <n v="146"/>
    <n v="914"/>
    <n v="3"/>
    <n v="35"/>
    <m/>
    <m/>
    <m/>
    <m/>
  </r>
  <r>
    <x v="9"/>
    <x v="13"/>
    <s v="S12000034"/>
    <n v="323"/>
    <n v="2267"/>
    <n v="10"/>
    <n v="183"/>
    <m/>
    <m/>
    <m/>
    <m/>
  </r>
  <r>
    <x v="9"/>
    <x v="30"/>
    <s v="S12000041"/>
    <n v="101"/>
    <n v="520.5"/>
    <n v="2"/>
    <n v="23.75"/>
    <m/>
    <m/>
    <m/>
    <m/>
  </r>
  <r>
    <x v="9"/>
    <x v="15"/>
    <s v="S12000045"/>
    <n v="56"/>
    <n v="313.75"/>
    <n v="7"/>
    <n v="49.5"/>
    <m/>
    <m/>
    <m/>
    <m/>
  </r>
  <r>
    <x v="9"/>
    <x v="23"/>
    <s v="S12000046"/>
    <n v="879"/>
    <n v="4383.5"/>
    <n v="35"/>
    <n v="318.5"/>
    <n v="1"/>
    <n v="25"/>
    <n v="1"/>
    <m/>
  </r>
  <r>
    <x v="9"/>
    <x v="28"/>
    <s v="S12000024"/>
    <n v="217"/>
    <n v="1122"/>
    <n v="3"/>
    <n v="20.5"/>
    <m/>
    <m/>
    <m/>
    <m/>
  </r>
  <r>
    <x v="9"/>
    <x v="16"/>
    <s v="S12000027"/>
    <n v="64"/>
    <n v="426.25"/>
    <n v="7"/>
    <n v="73.5"/>
    <m/>
    <m/>
    <m/>
    <m/>
  </r>
  <r>
    <x v="10"/>
    <x v="14"/>
    <s v="S12000006"/>
    <n v="572"/>
    <n v="3808.25"/>
    <n v="10"/>
    <n v="84"/>
    <m/>
    <m/>
    <m/>
    <m/>
  </r>
  <r>
    <x v="10"/>
    <x v="21"/>
    <s v="S12000019"/>
    <n v="147"/>
    <n v="852.25"/>
    <n v="6"/>
    <n v="36"/>
    <m/>
    <m/>
    <m/>
    <m/>
  </r>
  <r>
    <x v="10"/>
    <x v="31"/>
    <s v="S12000021"/>
    <n v="159"/>
    <n v="988.75"/>
    <n v="10"/>
    <n v="237.5"/>
    <m/>
    <m/>
    <m/>
    <m/>
  </r>
  <r>
    <x v="10"/>
    <x v="28"/>
    <s v="S12000024"/>
    <n v="187"/>
    <n v="1193.5"/>
    <n v="6"/>
    <n v="70"/>
    <m/>
    <m/>
    <m/>
    <m/>
  </r>
  <r>
    <x v="11"/>
    <x v="20"/>
    <s v="S12000008"/>
    <n v="152"/>
    <n v="651.25"/>
    <n v="6"/>
    <n v="45"/>
    <m/>
    <m/>
    <n v="1"/>
    <n v="18.75"/>
  </r>
  <r>
    <x v="11"/>
    <x v="9"/>
    <s v="S12000011"/>
    <n v="47"/>
    <n v="301.75"/>
    <m/>
    <m/>
    <m/>
    <m/>
    <m/>
    <m/>
  </r>
  <r>
    <x v="11"/>
    <x v="27"/>
    <s v="S12000017"/>
    <n v="398"/>
    <n v="3116.25"/>
    <n v="21"/>
    <n v="472.5"/>
    <m/>
    <m/>
    <n v="1"/>
    <n v="9.75"/>
  </r>
  <r>
    <x v="11"/>
    <x v="2"/>
    <s v="S12000020"/>
    <n v="54"/>
    <n v="419.75"/>
    <n v="1"/>
    <n v="18"/>
    <m/>
    <m/>
    <m/>
    <m/>
  </r>
  <r>
    <x v="11"/>
    <x v="4"/>
    <s v="S12000023"/>
    <n v="33"/>
    <n v="171.25"/>
    <n v="2"/>
    <n v="85.25"/>
    <n v="1"/>
    <n v="35.5"/>
    <n v="1"/>
    <n v="14.5"/>
  </r>
  <r>
    <x v="0"/>
    <x v="18"/>
    <s v="S12000035"/>
    <n v="250"/>
    <n v="1985.5"/>
    <n v="3"/>
    <n v="38.5"/>
    <m/>
    <m/>
    <m/>
    <m/>
  </r>
  <r>
    <x v="0"/>
    <x v="29"/>
    <s v="S12000040"/>
    <n v="221"/>
    <n v="867.25"/>
    <n v="17"/>
    <n v="91.25"/>
    <m/>
    <m/>
    <m/>
    <m/>
  </r>
  <r>
    <x v="1"/>
    <x v="19"/>
    <s v="S12000042"/>
    <n v="588"/>
    <n v="2433.5"/>
    <n v="10"/>
    <n v="76.25"/>
    <m/>
    <m/>
    <m/>
    <m/>
  </r>
  <r>
    <x v="1"/>
    <x v="22"/>
    <s v="S12000014"/>
    <n v="151"/>
    <n v="754.5"/>
    <n v="9"/>
    <n v="57.25"/>
    <m/>
    <m/>
    <n v="1"/>
    <n v="11.5"/>
  </r>
  <r>
    <x v="1"/>
    <x v="23"/>
    <s v="S12000046"/>
    <n v="1812"/>
    <n v="7682.25"/>
    <n v="144"/>
    <n v="952.25"/>
    <n v="1"/>
    <n v="37.25"/>
    <m/>
    <m/>
  </r>
  <r>
    <x v="1"/>
    <x v="16"/>
    <s v="S12000027"/>
    <n v="24"/>
    <n v="127.25"/>
    <m/>
    <m/>
    <m/>
    <m/>
    <m/>
    <m/>
  </r>
  <r>
    <x v="2"/>
    <x v="18"/>
    <s v="S12000035"/>
    <n v="317"/>
    <n v="2229.75"/>
    <n v="14"/>
    <n v="172.25"/>
    <n v="2"/>
    <n v="56.5"/>
    <m/>
    <m/>
  </r>
  <r>
    <x v="2"/>
    <x v="1"/>
    <s v="S12000015"/>
    <n v="452"/>
    <n v="1850"/>
    <n v="30"/>
    <n v="353.5"/>
    <n v="1"/>
    <n v="76.75"/>
    <m/>
    <m/>
  </r>
  <r>
    <x v="2"/>
    <x v="3"/>
    <s v="S12000013"/>
    <n v="16"/>
    <n v="73.25"/>
    <n v="5"/>
    <n v="96.5"/>
    <n v="1"/>
    <n v="28.75"/>
    <m/>
    <m/>
  </r>
  <r>
    <x v="2"/>
    <x v="4"/>
    <s v="S12000023"/>
    <n v="24"/>
    <n v="132.75"/>
    <n v="5"/>
    <n v="53.25"/>
    <m/>
    <m/>
    <m/>
    <m/>
  </r>
  <r>
    <x v="2"/>
    <x v="6"/>
    <s v="S12000026"/>
    <n v="243"/>
    <n v="1093.5"/>
    <n v="42"/>
    <n v="392.75"/>
    <n v="1"/>
    <n v="32"/>
    <n v="1"/>
    <n v="6.5"/>
  </r>
  <r>
    <x v="2"/>
    <x v="7"/>
    <s v="S12000039"/>
    <n v="118"/>
    <n v="596.75"/>
    <n v="3"/>
    <n v="39.25"/>
    <m/>
    <m/>
    <m/>
    <m/>
  </r>
  <r>
    <x v="3"/>
    <x v="24"/>
    <s v="S12000018"/>
    <n v="57"/>
    <n v="256.5"/>
    <n v="8"/>
    <n v="62"/>
    <m/>
    <m/>
    <m/>
    <m/>
  </r>
  <r>
    <x v="3"/>
    <x v="4"/>
    <s v="S12000023"/>
    <n v="10"/>
    <n v="46.75"/>
    <n v="3"/>
    <n v="44.25"/>
    <m/>
    <m/>
    <m/>
    <m/>
  </r>
  <r>
    <x v="3"/>
    <x v="7"/>
    <s v="S12000039"/>
    <n v="100"/>
    <n v="682.75"/>
    <n v="9"/>
    <n v="115.25"/>
    <m/>
    <m/>
    <m/>
    <m/>
  </r>
  <r>
    <x v="4"/>
    <x v="18"/>
    <s v="S12000035"/>
    <n v="205"/>
    <n v="1662"/>
    <n v="15"/>
    <n v="154.75"/>
    <m/>
    <m/>
    <m/>
    <m/>
  </r>
  <r>
    <x v="4"/>
    <x v="9"/>
    <s v="S12000011"/>
    <n v="34"/>
    <n v="234"/>
    <n v="2"/>
    <n v="18.75"/>
    <m/>
    <m/>
    <m/>
    <m/>
  </r>
  <r>
    <x v="4"/>
    <x v="27"/>
    <s v="S12000017"/>
    <n v="172"/>
    <n v="1061.75"/>
    <n v="24"/>
    <n v="392.5"/>
    <n v="1"/>
    <n v="70.75"/>
    <n v="7"/>
    <n v="123"/>
  </r>
  <r>
    <x v="4"/>
    <x v="24"/>
    <s v="S12000018"/>
    <n v="73"/>
    <n v="338.75"/>
    <n v="5"/>
    <n v="63"/>
    <n v="1"/>
    <n v="33.25"/>
    <m/>
    <m/>
  </r>
  <r>
    <x v="4"/>
    <x v="6"/>
    <s v="S12000026"/>
    <n v="202"/>
    <n v="998.75"/>
    <n v="17"/>
    <n v="142.5"/>
    <m/>
    <m/>
    <m/>
    <m/>
  </r>
  <r>
    <x v="5"/>
    <x v="26"/>
    <s v="S12000036"/>
    <n v="631"/>
    <m/>
    <n v="17"/>
    <m/>
    <m/>
    <m/>
    <n v="1"/>
    <m/>
  </r>
  <r>
    <x v="5"/>
    <x v="14"/>
    <s v="S12000006"/>
    <n v="429"/>
    <m/>
    <n v="6"/>
    <m/>
    <m/>
    <m/>
    <m/>
    <m/>
  </r>
  <r>
    <x v="5"/>
    <x v="5"/>
    <s v="S12000038"/>
    <n v="140"/>
    <m/>
    <n v="9"/>
    <m/>
    <m/>
    <m/>
    <m/>
    <m/>
  </r>
  <r>
    <x v="5"/>
    <x v="29"/>
    <s v="S12000040"/>
    <n v="173"/>
    <m/>
    <n v="1"/>
    <m/>
    <n v="1"/>
    <m/>
    <m/>
    <m/>
  </r>
  <r>
    <x v="6"/>
    <x v="0"/>
    <s v="S12000033"/>
    <n v="176"/>
    <n v="1044.75"/>
    <n v="5"/>
    <n v="24.25"/>
    <m/>
    <m/>
    <n v="1"/>
    <n v="20"/>
  </r>
  <r>
    <x v="6"/>
    <x v="20"/>
    <s v="S12000008"/>
    <n v="67"/>
    <n v="266.75"/>
    <n v="2"/>
    <n v="17.5"/>
    <m/>
    <m/>
    <m/>
    <m/>
  </r>
  <r>
    <x v="6"/>
    <x v="4"/>
    <s v="S12000023"/>
    <n v="8"/>
    <n v="37.75"/>
    <n v="1"/>
    <n v="34.75"/>
    <m/>
    <m/>
    <m/>
    <m/>
  </r>
  <r>
    <x v="6"/>
    <x v="16"/>
    <s v="S12000027"/>
    <n v="10"/>
    <n v="101.75"/>
    <m/>
    <m/>
    <m/>
    <m/>
    <m/>
    <m/>
  </r>
  <r>
    <x v="6"/>
    <x v="25"/>
    <s v="S12000028"/>
    <n v="120"/>
    <n v="791.75"/>
    <n v="2"/>
    <n v="7.75"/>
    <m/>
    <m/>
    <m/>
    <m/>
  </r>
  <r>
    <x v="7"/>
    <x v="20"/>
    <s v="S12000008"/>
    <n v="110"/>
    <n v="650"/>
    <m/>
    <m/>
    <m/>
    <m/>
    <m/>
    <m/>
  </r>
  <r>
    <x v="7"/>
    <x v="2"/>
    <s v="S12000020"/>
    <n v="56"/>
    <n v="597.75"/>
    <n v="3"/>
    <n v="53.75"/>
    <m/>
    <m/>
    <m/>
    <m/>
  </r>
  <r>
    <x v="7"/>
    <x v="33"/>
    <s v="S12000013"/>
    <n v="4"/>
    <n v="16"/>
    <m/>
    <m/>
    <m/>
    <m/>
    <m/>
    <m/>
  </r>
  <r>
    <x v="7"/>
    <x v="31"/>
    <s v="S12000021"/>
    <n v="151"/>
    <n v="1309.75"/>
    <n v="2"/>
    <n v="43"/>
    <m/>
    <m/>
    <m/>
    <m/>
  </r>
  <r>
    <x v="7"/>
    <x v="17"/>
    <s v="S12000044"/>
    <n v="179"/>
    <n v="630.25"/>
    <n v="6"/>
    <n v="30"/>
    <m/>
    <m/>
    <m/>
    <m/>
  </r>
  <r>
    <x v="7"/>
    <x v="4"/>
    <s v="S12000023"/>
    <n v="15"/>
    <n v="208.5"/>
    <m/>
    <m/>
    <m/>
    <m/>
    <m/>
    <m/>
  </r>
  <r>
    <x v="8"/>
    <x v="18"/>
    <s v="S12000035"/>
    <n v="357"/>
    <n v="1988.5"/>
    <n v="22"/>
    <n v="418.25"/>
    <m/>
    <m/>
    <m/>
    <m/>
  </r>
  <r>
    <x v="8"/>
    <x v="15"/>
    <s v="S12000045"/>
    <n v="51"/>
    <n v="265.25"/>
    <n v="2"/>
    <n v="13.5"/>
    <m/>
    <m/>
    <m/>
    <m/>
  </r>
  <r>
    <x v="8"/>
    <x v="17"/>
    <s v="S12000044"/>
    <n v="192"/>
    <n v="860"/>
    <n v="5"/>
    <n v="26.75"/>
    <m/>
    <m/>
    <m/>
    <m/>
  </r>
  <r>
    <x v="9"/>
    <x v="10"/>
    <s v="S12000010"/>
    <n v="110"/>
    <n v="654.5"/>
    <n v="7"/>
    <n v="111.75"/>
    <n v="1"/>
    <n v="73.25"/>
    <n v="3"/>
    <n v="35"/>
  </r>
  <r>
    <x v="10"/>
    <x v="13"/>
    <s v="S12000034"/>
    <n v="336"/>
    <n v="2281.25"/>
    <n v="19"/>
    <n v="284.75"/>
    <m/>
    <m/>
    <n v="1"/>
    <n v="18.5"/>
  </r>
  <r>
    <x v="10"/>
    <x v="2"/>
    <s v="S12000020"/>
    <n v="99"/>
    <n v="742.75"/>
    <n v="11"/>
    <n v="240.25"/>
    <m/>
    <m/>
    <m/>
    <m/>
  </r>
  <r>
    <x v="10"/>
    <x v="5"/>
    <s v="S12000038"/>
    <n v="278"/>
    <n v="1165.75"/>
    <n v="2"/>
    <n v="11.25"/>
    <m/>
    <m/>
    <n v="1"/>
    <n v="0"/>
  </r>
  <r>
    <x v="10"/>
    <x v="16"/>
    <s v="S12000027"/>
    <n v="62"/>
    <n v="373.5"/>
    <n v="1"/>
    <n v="28"/>
    <m/>
    <m/>
    <m/>
    <m/>
  </r>
  <r>
    <x v="11"/>
    <x v="22"/>
    <s v="S12000014"/>
    <n v="172"/>
    <n v="929.25"/>
    <n v="1"/>
    <n v="18.25"/>
    <m/>
    <m/>
    <m/>
    <m/>
  </r>
  <r>
    <x v="11"/>
    <x v="23"/>
    <s v="S12000046"/>
    <n v="1356"/>
    <n v="5511.25"/>
    <n v="43"/>
    <n v="288"/>
    <m/>
    <m/>
    <n v="4"/>
    <n v="47"/>
  </r>
  <r>
    <x v="11"/>
    <x v="12"/>
    <s v="S12000030"/>
    <n v="205"/>
    <n v="1328.75"/>
    <n v="3"/>
    <n v="32.25"/>
    <m/>
    <m/>
    <m/>
    <m/>
  </r>
  <r>
    <x v="0"/>
    <x v="20"/>
    <s v="S12000008"/>
    <n v="142"/>
    <n v="914.75"/>
    <n v="11"/>
    <n v="90.75"/>
    <m/>
    <m/>
    <m/>
    <m/>
  </r>
  <r>
    <x v="0"/>
    <x v="15"/>
    <s v="S12000045"/>
    <n v="53"/>
    <n v="362.75"/>
    <n v="1"/>
    <n v="7.5"/>
    <m/>
    <m/>
    <m/>
    <m/>
  </r>
  <r>
    <x v="0"/>
    <x v="28"/>
    <s v="S12000024"/>
    <n v="246"/>
    <n v="1269.25"/>
    <n v="1"/>
    <n v="10.25"/>
    <m/>
    <m/>
    <m/>
    <m/>
  </r>
  <r>
    <x v="0"/>
    <x v="16"/>
    <s v="S12000027"/>
    <n v="32"/>
    <n v="199.75"/>
    <m/>
    <m/>
    <m/>
    <m/>
    <m/>
    <m/>
  </r>
  <r>
    <x v="1"/>
    <x v="0"/>
    <s v="S12000033"/>
    <n v="282"/>
    <n v="1395"/>
    <n v="33"/>
    <n v="340.75"/>
    <m/>
    <m/>
    <n v="1"/>
    <n v="3.75"/>
  </r>
  <r>
    <x v="2"/>
    <x v="19"/>
    <s v="S12000042"/>
    <n v="653"/>
    <n v="2216"/>
    <n v="3"/>
    <n v="17.25"/>
    <m/>
    <m/>
    <n v="2"/>
    <n v="16.5"/>
  </r>
  <r>
    <x v="2"/>
    <x v="9"/>
    <s v="S12000011"/>
    <n v="76"/>
    <n v="571.5"/>
    <n v="4"/>
    <n v="107.75"/>
    <m/>
    <m/>
    <m/>
    <m/>
  </r>
  <r>
    <x v="2"/>
    <x v="21"/>
    <s v="S12000019"/>
    <n v="93"/>
    <n v="285.75"/>
    <n v="4"/>
    <n v="21"/>
    <m/>
    <m/>
    <m/>
    <m/>
  </r>
  <r>
    <x v="2"/>
    <x v="31"/>
    <s v="S12000021"/>
    <n v="212"/>
    <n v="982.75"/>
    <n v="18"/>
    <n v="181.75"/>
    <m/>
    <m/>
    <m/>
    <m/>
  </r>
  <r>
    <x v="2"/>
    <x v="28"/>
    <s v="S12000024"/>
    <n v="279"/>
    <n v="1366.25"/>
    <n v="8"/>
    <n v="59.5"/>
    <m/>
    <m/>
    <m/>
    <m/>
  </r>
  <r>
    <x v="3"/>
    <x v="21"/>
    <s v="S12000019"/>
    <n v="94"/>
    <n v="477.5"/>
    <n v="1"/>
    <n v="4.25"/>
    <m/>
    <m/>
    <m/>
    <m/>
  </r>
  <r>
    <x v="3"/>
    <x v="3"/>
    <s v="S12000013"/>
    <n v="19"/>
    <n v="163.25"/>
    <n v="4"/>
    <n v="93.25"/>
    <n v="1"/>
    <n v="60"/>
    <m/>
    <m/>
  </r>
  <r>
    <x v="3"/>
    <x v="5"/>
    <s v="S12000038"/>
    <n v="82"/>
    <n v="508.5"/>
    <n v="9"/>
    <n v="126"/>
    <m/>
    <m/>
    <m/>
    <m/>
  </r>
  <r>
    <x v="3"/>
    <x v="11"/>
    <s v="S12000029"/>
    <n v="321"/>
    <n v="1386.5"/>
    <n v="12"/>
    <n v="171.5"/>
    <m/>
    <m/>
    <m/>
    <m/>
  </r>
  <r>
    <x v="4"/>
    <x v="8"/>
    <s v="S12000005"/>
    <n v="69"/>
    <n v="332.5"/>
    <n v="1"/>
    <n v="8.5"/>
    <m/>
    <m/>
    <m/>
    <m/>
  </r>
  <r>
    <x v="4"/>
    <x v="4"/>
    <s v="S12000023"/>
    <n v="9"/>
    <n v="42.5"/>
    <m/>
    <m/>
    <m/>
    <m/>
    <m/>
    <m/>
  </r>
  <r>
    <x v="4"/>
    <x v="7"/>
    <s v="S12000039"/>
    <n v="74"/>
    <n v="427"/>
    <n v="5"/>
    <n v="44.75"/>
    <m/>
    <m/>
    <m/>
    <m/>
  </r>
  <r>
    <x v="4"/>
    <x v="29"/>
    <s v="S12000040"/>
    <n v="208"/>
    <n v="775.5"/>
    <n v="5"/>
    <n v="33.5"/>
    <m/>
    <m/>
    <m/>
    <m/>
  </r>
  <r>
    <x v="5"/>
    <x v="0"/>
    <s v="S12000033"/>
    <n v="422"/>
    <m/>
    <n v="11"/>
    <m/>
    <m/>
    <m/>
    <n v="2"/>
    <m/>
  </r>
  <r>
    <x v="5"/>
    <x v="15"/>
    <s v="S12000045"/>
    <n v="97"/>
    <m/>
    <n v="4"/>
    <m/>
    <m/>
    <m/>
    <m/>
    <m/>
  </r>
  <r>
    <x v="5"/>
    <x v="25"/>
    <s v="S12000028"/>
    <n v="220"/>
    <m/>
    <n v="5"/>
    <m/>
    <m/>
    <m/>
    <m/>
    <m/>
  </r>
  <r>
    <x v="5"/>
    <x v="12"/>
    <s v="S12000030"/>
    <n v="195"/>
    <m/>
    <n v="6"/>
    <m/>
    <m/>
    <m/>
    <m/>
    <m/>
  </r>
  <r>
    <x v="6"/>
    <x v="13"/>
    <s v="S12000034"/>
    <n v="77"/>
    <n v="586.25"/>
    <n v="4"/>
    <n v="57.25"/>
    <m/>
    <m/>
    <n v="1"/>
    <n v="4"/>
  </r>
  <r>
    <x v="6"/>
    <x v="30"/>
    <s v="S12000041"/>
    <n v="56"/>
    <n v="230.5"/>
    <n v="3"/>
    <n v="12.75"/>
    <m/>
    <m/>
    <m/>
    <m/>
  </r>
  <r>
    <x v="6"/>
    <x v="10"/>
    <s v="S12000010"/>
    <n v="43"/>
    <n v="252.75"/>
    <n v="1"/>
    <n v="11.5"/>
    <m/>
    <m/>
    <m/>
    <m/>
  </r>
  <r>
    <x v="6"/>
    <x v="1"/>
    <s v="S12000047"/>
    <n v="247"/>
    <n v="1035.25"/>
    <n v="3"/>
    <n v="52.75"/>
    <n v="1"/>
    <n v="41.25"/>
    <m/>
    <m/>
  </r>
  <r>
    <x v="6"/>
    <x v="27"/>
    <s v="S12000017"/>
    <n v="110"/>
    <n v="659"/>
    <n v="14"/>
    <n v="155.25"/>
    <m/>
    <m/>
    <m/>
    <m/>
  </r>
  <r>
    <x v="7"/>
    <x v="0"/>
    <s v="S12000033"/>
    <n v="308"/>
    <n v="1977.5"/>
    <n v="7"/>
    <n v="69"/>
    <n v="1"/>
    <n v="11.5"/>
    <n v="1"/>
    <n v="1.25"/>
  </r>
  <r>
    <x v="7"/>
    <x v="13"/>
    <s v="S12000034"/>
    <n v="183"/>
    <n v="1899.75"/>
    <n v="3"/>
    <n v="48.5"/>
    <m/>
    <m/>
    <m/>
    <m/>
  </r>
  <r>
    <x v="7"/>
    <x v="8"/>
    <s v="S12000005"/>
    <n v="39"/>
    <n v="237.25"/>
    <n v="2"/>
    <n v="16.25"/>
    <m/>
    <m/>
    <m/>
    <m/>
  </r>
  <r>
    <x v="7"/>
    <x v="16"/>
    <s v="S12000027"/>
    <n v="36"/>
    <n v="322"/>
    <n v="1"/>
    <n v="4.75"/>
    <m/>
    <m/>
    <m/>
    <m/>
  </r>
  <r>
    <x v="7"/>
    <x v="25"/>
    <s v="S12000028"/>
    <n v="150"/>
    <n v="1427.75"/>
    <n v="4"/>
    <n v="48.75"/>
    <m/>
    <m/>
    <m/>
    <m/>
  </r>
  <r>
    <x v="7"/>
    <x v="7"/>
    <s v="S12000039"/>
    <n v="67"/>
    <n v="251.75"/>
    <n v="2"/>
    <n v="9.75"/>
    <m/>
    <m/>
    <m/>
    <m/>
  </r>
  <r>
    <x v="8"/>
    <x v="19"/>
    <s v="S12000042"/>
    <n v="249"/>
    <n v="1316.5"/>
    <n v="2"/>
    <n v="54.75"/>
    <m/>
    <m/>
    <m/>
    <m/>
  </r>
  <r>
    <x v="8"/>
    <x v="27"/>
    <s v="S12000017"/>
    <n v="224"/>
    <n v="1608.5"/>
    <n v="18"/>
    <n v="340"/>
    <m/>
    <m/>
    <m/>
    <m/>
  </r>
  <r>
    <x v="8"/>
    <x v="21"/>
    <s v="S12000019"/>
    <n v="79"/>
    <n v="480"/>
    <n v="8"/>
    <n v="73.25"/>
    <m/>
    <m/>
    <m/>
    <m/>
  </r>
  <r>
    <x v="8"/>
    <x v="28"/>
    <s v="S12000024"/>
    <n v="136"/>
    <n v="605.5"/>
    <n v="2"/>
    <n v="51"/>
    <m/>
    <m/>
    <m/>
    <m/>
  </r>
  <r>
    <x v="8"/>
    <x v="7"/>
    <s v="S12000039"/>
    <n v="41"/>
    <n v="221.25"/>
    <n v="2"/>
    <n v="20"/>
    <m/>
    <m/>
    <m/>
    <m/>
  </r>
  <r>
    <x v="9"/>
    <x v="0"/>
    <s v="S12000033"/>
    <n v="343"/>
    <n v="2507.25"/>
    <n v="5"/>
    <n v="108.25"/>
    <m/>
    <m/>
    <m/>
    <m/>
  </r>
  <r>
    <x v="9"/>
    <x v="18"/>
    <s v="S12000035"/>
    <n v="435"/>
    <n v="2292"/>
    <n v="24"/>
    <n v="236.5"/>
    <m/>
    <m/>
    <m/>
    <m/>
  </r>
  <r>
    <x v="9"/>
    <x v="14"/>
    <s v="S12000006"/>
    <n v="356"/>
    <n v="2195.75"/>
    <n v="2"/>
    <n v="24.75"/>
    <m/>
    <m/>
    <n v="2"/>
    <n v="7.25"/>
  </r>
  <r>
    <x v="9"/>
    <x v="9"/>
    <s v="S12000011"/>
    <n v="53"/>
    <n v="261.5"/>
    <n v="1"/>
    <n v="5.5"/>
    <m/>
    <m/>
    <m/>
    <m/>
  </r>
  <r>
    <x v="9"/>
    <x v="21"/>
    <s v="S12000019"/>
    <n v="126"/>
    <n v="829"/>
    <n v="6"/>
    <n v="40"/>
    <m/>
    <m/>
    <m/>
    <m/>
  </r>
  <r>
    <x v="9"/>
    <x v="31"/>
    <s v="S12000021"/>
    <n v="251"/>
    <n v="1773.5"/>
    <n v="8"/>
    <n v="169.25"/>
    <n v="1"/>
    <n v="19.25"/>
    <n v="1"/>
    <n v="78"/>
  </r>
  <r>
    <x v="9"/>
    <x v="5"/>
    <s v="S12000038"/>
    <n v="194"/>
    <n v="1054.5"/>
    <n v="4"/>
    <n v="52.75"/>
    <m/>
    <m/>
    <m/>
    <m/>
  </r>
  <r>
    <x v="9"/>
    <x v="25"/>
    <s v="S12000028"/>
    <n v="243"/>
    <n v="1766"/>
    <n v="14"/>
    <n v="268.5"/>
    <m/>
    <m/>
    <m/>
    <m/>
  </r>
  <r>
    <x v="9"/>
    <x v="11"/>
    <s v="S12000029"/>
    <n v="365"/>
    <n v="2863.75"/>
    <n v="13"/>
    <n v="181"/>
    <m/>
    <m/>
    <m/>
    <m/>
  </r>
  <r>
    <x v="9"/>
    <x v="12"/>
    <s v="S12000030"/>
    <n v="92"/>
    <n v="504.5"/>
    <n v="3"/>
    <n v="83.5"/>
    <n v="1"/>
    <n v="67"/>
    <m/>
    <m/>
  </r>
  <r>
    <x v="10"/>
    <x v="0"/>
    <s v="S12000033"/>
    <n v="404"/>
    <n v="2431"/>
    <n v="3"/>
    <n v="100.75"/>
    <n v="1"/>
    <n v="81.5"/>
    <m/>
    <m/>
  </r>
  <r>
    <x v="10"/>
    <x v="8"/>
    <s v="S12000005"/>
    <n v="51"/>
    <n v="340.5"/>
    <n v="2"/>
    <n v="12.75"/>
    <m/>
    <m/>
    <m/>
    <m/>
  </r>
  <r>
    <x v="10"/>
    <x v="20"/>
    <s v="S12000008"/>
    <n v="171"/>
    <n v="795.5"/>
    <n v="7"/>
    <n v="148"/>
    <m/>
    <m/>
    <m/>
    <m/>
  </r>
  <r>
    <x v="10"/>
    <x v="22"/>
    <s v="S12000014"/>
    <n v="167"/>
    <n v="880.25"/>
    <m/>
    <m/>
    <m/>
    <m/>
    <m/>
    <m/>
  </r>
  <r>
    <x v="10"/>
    <x v="1"/>
    <s v="S12000015"/>
    <n v="529"/>
    <n v="3427.25"/>
    <n v="10"/>
    <n v="73.75"/>
    <m/>
    <m/>
    <m/>
    <m/>
  </r>
  <r>
    <x v="10"/>
    <x v="11"/>
    <s v="S12000029"/>
    <n v="360"/>
    <n v="2761"/>
    <n v="10"/>
    <n v="219.75"/>
    <m/>
    <m/>
    <m/>
    <m/>
  </r>
  <r>
    <x v="10"/>
    <x v="12"/>
    <s v="S12000030"/>
    <n v="156"/>
    <n v="987.75"/>
    <n v="2"/>
    <n v="21.5"/>
    <m/>
    <m/>
    <m/>
    <m/>
  </r>
  <r>
    <x v="11"/>
    <x v="0"/>
    <s v="S12000033"/>
    <n v="396"/>
    <n v="2709.5"/>
    <n v="3"/>
    <n v="43.25"/>
    <m/>
    <m/>
    <m/>
    <m/>
  </r>
  <r>
    <x v="11"/>
    <x v="8"/>
    <s v="S12000005"/>
    <n v="45"/>
    <n v="302.75"/>
    <n v="2"/>
    <n v="19"/>
    <m/>
    <m/>
    <m/>
    <m/>
  </r>
  <r>
    <x v="11"/>
    <x v="15"/>
    <s v="S12000045"/>
    <n v="68"/>
    <n v="490.75"/>
    <n v="2"/>
    <n v="44.75"/>
    <m/>
    <m/>
    <m/>
    <m/>
  </r>
  <r>
    <x v="11"/>
    <x v="21"/>
    <s v="S12000019"/>
    <n v="193"/>
    <n v="1192.25"/>
    <n v="9"/>
    <n v="64.5"/>
    <m/>
    <m/>
    <m/>
    <m/>
  </r>
  <r>
    <x v="11"/>
    <x v="17"/>
    <s v="S12000044"/>
    <n v="320"/>
    <n v="1593.75"/>
    <n v="7"/>
    <n v="97.75"/>
    <m/>
    <m/>
    <m/>
    <m/>
  </r>
  <r>
    <x v="11"/>
    <x v="11"/>
    <s v="S12000029"/>
    <n v="286"/>
    <n v="2213"/>
    <n v="3"/>
    <n v="68"/>
    <m/>
    <m/>
    <m/>
    <m/>
  </r>
  <r>
    <x v="0"/>
    <x v="9"/>
    <s v="S12000011"/>
    <n v="111"/>
    <n v="761.5"/>
    <n v="8"/>
    <n v="133"/>
    <m/>
    <m/>
    <m/>
    <m/>
  </r>
  <r>
    <x v="0"/>
    <x v="27"/>
    <s v="S12000017"/>
    <n v="259"/>
    <n v="1846.75"/>
    <n v="17"/>
    <n v="253.25"/>
    <n v="5"/>
    <n v="112.5"/>
    <m/>
    <m/>
  </r>
  <r>
    <x v="0"/>
    <x v="24"/>
    <s v="S12000018"/>
    <n v="142"/>
    <n v="600.5"/>
    <n v="5"/>
    <n v="37.75"/>
    <m/>
    <m/>
    <m/>
    <m/>
  </r>
  <r>
    <x v="0"/>
    <x v="31"/>
    <s v="S12000021"/>
    <n v="105"/>
    <n v="505.5"/>
    <n v="4"/>
    <n v="31"/>
    <m/>
    <m/>
    <m/>
    <m/>
  </r>
  <r>
    <x v="0"/>
    <x v="11"/>
    <s v="S12000029"/>
    <n v="278"/>
    <n v="2462.25"/>
    <n v="8"/>
    <n v="133.5"/>
    <m/>
    <m/>
    <m/>
    <m/>
  </r>
  <r>
    <x v="1"/>
    <x v="15"/>
    <s v="S12000045"/>
    <n v="93"/>
    <n v="607.5"/>
    <n v="2"/>
    <n v="26.25"/>
    <m/>
    <m/>
    <m/>
    <m/>
  </r>
  <r>
    <x v="1"/>
    <x v="2"/>
    <s v="S12000020"/>
    <n v="175"/>
    <n v="986.75"/>
    <n v="18"/>
    <n v="256.25"/>
    <n v="2"/>
    <n v="23"/>
    <m/>
    <m/>
  </r>
  <r>
    <x v="1"/>
    <x v="31"/>
    <s v="S12000021"/>
    <n v="226"/>
    <n v="1330.25"/>
    <n v="37"/>
    <n v="348.75"/>
    <m/>
    <m/>
    <m/>
    <m/>
  </r>
  <r>
    <x v="1"/>
    <x v="5"/>
    <s v="S12000038"/>
    <n v="238"/>
    <n v="1268.75"/>
    <m/>
    <m/>
    <m/>
    <m/>
    <m/>
    <m/>
  </r>
  <r>
    <x v="1"/>
    <x v="25"/>
    <s v="S12000028"/>
    <n v="274"/>
    <n v="1590.25"/>
    <n v="14"/>
    <n v="122.25"/>
    <n v="1"/>
    <n v="18.25"/>
    <m/>
    <m/>
  </r>
  <r>
    <x v="2"/>
    <x v="8"/>
    <s v="S12000005"/>
    <n v="65"/>
    <n v="226.75"/>
    <n v="3"/>
    <n v="16"/>
    <m/>
    <m/>
    <m/>
    <m/>
  </r>
  <r>
    <x v="2"/>
    <x v="16"/>
    <s v="S12000027"/>
    <n v="14"/>
    <n v="67"/>
    <n v="2"/>
    <n v="22"/>
    <m/>
    <m/>
    <n v="3"/>
    <n v="24"/>
  </r>
  <r>
    <x v="3"/>
    <x v="30"/>
    <s v="S12000041"/>
    <n v="99"/>
    <n v="422.25"/>
    <n v="20"/>
    <n v="92.5"/>
    <n v="2"/>
    <n v="11"/>
    <n v="1"/>
    <n v="7.5"/>
  </r>
  <r>
    <x v="3"/>
    <x v="18"/>
    <s v="S12000035"/>
    <n v="171"/>
    <n v="1143.75"/>
    <n v="14"/>
    <n v="157.75"/>
    <n v="1"/>
    <n v="14.5"/>
    <m/>
    <m/>
  </r>
  <r>
    <x v="3"/>
    <x v="20"/>
    <s v="S12000008"/>
    <n v="155"/>
    <n v="975"/>
    <n v="10"/>
    <n v="143"/>
    <n v="1"/>
    <n v="51.75"/>
    <m/>
    <m/>
  </r>
  <r>
    <x v="3"/>
    <x v="9"/>
    <s v="S12000011"/>
    <n v="27"/>
    <n v="236.5"/>
    <n v="3"/>
    <n v="49.75"/>
    <m/>
    <m/>
    <m/>
    <m/>
  </r>
  <r>
    <x v="3"/>
    <x v="23"/>
    <s v="S12000046"/>
    <n v="1125"/>
    <n v="4472.75"/>
    <n v="62"/>
    <n v="403"/>
    <m/>
    <m/>
    <m/>
    <m/>
  </r>
  <r>
    <x v="3"/>
    <x v="31"/>
    <s v="S12000021"/>
    <n v="94"/>
    <n v="542.75"/>
    <n v="8"/>
    <n v="85.75"/>
    <m/>
    <m/>
    <m/>
    <m/>
  </r>
  <r>
    <x v="3"/>
    <x v="6"/>
    <s v="S12000026"/>
    <n v="218"/>
    <n v="1084.25"/>
    <n v="13"/>
    <n v="97.75"/>
    <m/>
    <m/>
    <m/>
    <m/>
  </r>
  <r>
    <x v="3"/>
    <x v="12"/>
    <s v="S12000030"/>
    <n v="203"/>
    <n v="910.5"/>
    <n v="21"/>
    <n v="135.5"/>
    <m/>
    <m/>
    <n v="1"/>
    <n v="5.5"/>
  </r>
  <r>
    <x v="4"/>
    <x v="0"/>
    <s v="S12000033"/>
    <n v="349"/>
    <n v="2090"/>
    <n v="15"/>
    <n v="161"/>
    <m/>
    <m/>
    <n v="2"/>
    <n v="4.5"/>
  </r>
  <r>
    <x v="4"/>
    <x v="23"/>
    <s v="S12000046"/>
    <n v="1067"/>
    <n v="4671"/>
    <n v="59"/>
    <n v="525.75"/>
    <n v="3"/>
    <n v="49.25"/>
    <m/>
    <m/>
  </r>
  <r>
    <x v="4"/>
    <x v="2"/>
    <s v="S12000020"/>
    <n v="124"/>
    <n v="579.75"/>
    <n v="6"/>
    <n v="75.25"/>
    <m/>
    <m/>
    <n v="1"/>
    <m/>
  </r>
  <r>
    <x v="4"/>
    <x v="3"/>
    <s v="S12000013"/>
    <n v="21"/>
    <n v="73.5"/>
    <m/>
    <m/>
    <m/>
    <m/>
    <m/>
    <m/>
  </r>
  <r>
    <x v="4"/>
    <x v="31"/>
    <s v="S12000021"/>
    <n v="239"/>
    <n v="1222.25"/>
    <n v="5"/>
    <n v="47"/>
    <m/>
    <m/>
    <m/>
    <m/>
  </r>
  <r>
    <x v="4"/>
    <x v="5"/>
    <s v="S12000038"/>
    <n v="163"/>
    <n v="836"/>
    <n v="6"/>
    <n v="94"/>
    <m/>
    <m/>
    <m/>
    <m/>
  </r>
  <r>
    <x v="5"/>
    <x v="10"/>
    <s v="S12000010"/>
    <n v="76"/>
    <m/>
    <n v="2"/>
    <m/>
    <m/>
    <m/>
    <m/>
    <m/>
  </r>
  <r>
    <x v="5"/>
    <x v="22"/>
    <s v="S12000014"/>
    <n v="143"/>
    <m/>
    <n v="7"/>
    <m/>
    <m/>
    <m/>
    <m/>
    <m/>
  </r>
  <r>
    <x v="5"/>
    <x v="6"/>
    <s v="S12000026"/>
    <n v="99"/>
    <m/>
    <n v="5"/>
    <m/>
    <m/>
    <m/>
    <m/>
    <m/>
  </r>
  <r>
    <x v="5"/>
    <x v="11"/>
    <s v="S12000029"/>
    <n v="154"/>
    <m/>
    <n v="5"/>
    <m/>
    <m/>
    <m/>
    <m/>
    <m/>
  </r>
  <r>
    <x v="6"/>
    <x v="18"/>
    <s v="S12000035"/>
    <n v="106"/>
    <n v="628"/>
    <n v="14"/>
    <n v="237"/>
    <m/>
    <m/>
    <m/>
    <m/>
  </r>
  <r>
    <x v="6"/>
    <x v="19"/>
    <s v="S12000042"/>
    <n v="149"/>
    <n v="745.25"/>
    <n v="6"/>
    <n v="76.75"/>
    <n v="1"/>
    <n v="27.5"/>
    <m/>
    <m/>
  </r>
  <r>
    <x v="6"/>
    <x v="2"/>
    <s v="S12000020"/>
    <n v="41"/>
    <n v="252.75"/>
    <n v="1"/>
    <n v="5.5"/>
    <m/>
    <m/>
    <n v="1"/>
    <m/>
  </r>
  <r>
    <x v="6"/>
    <x v="5"/>
    <s v="S12000038"/>
    <n v="73"/>
    <n v="355.75"/>
    <n v="7"/>
    <n v="62.75"/>
    <m/>
    <m/>
    <m/>
    <m/>
  </r>
  <r>
    <x v="7"/>
    <x v="19"/>
    <s v="S12000042"/>
    <n v="267"/>
    <n v="1285.25"/>
    <n v="4"/>
    <n v="39.25"/>
    <m/>
    <m/>
    <n v="1"/>
    <n v="7.5"/>
  </r>
  <r>
    <x v="7"/>
    <x v="23"/>
    <s v="S12000046"/>
    <n v="1003"/>
    <n v="4540"/>
    <n v="42"/>
    <n v="236"/>
    <n v="1"/>
    <n v="22.75"/>
    <n v="1"/>
    <n v="8"/>
  </r>
  <r>
    <x v="7"/>
    <x v="6"/>
    <s v="S12000026"/>
    <n v="97"/>
    <n v="537.5"/>
    <n v="4"/>
    <n v="43.5"/>
    <m/>
    <m/>
    <m/>
    <m/>
  </r>
  <r>
    <x v="8"/>
    <x v="30"/>
    <s v="S12000041"/>
    <n v="104"/>
    <n v="594"/>
    <n v="1"/>
    <n v="3.25"/>
    <m/>
    <m/>
    <m/>
    <m/>
  </r>
  <r>
    <x v="8"/>
    <x v="8"/>
    <s v="S12000005"/>
    <n v="26"/>
    <n v="147.75"/>
    <n v="1"/>
    <n v="8.25"/>
    <m/>
    <m/>
    <m/>
    <m/>
  </r>
  <r>
    <x v="8"/>
    <x v="14"/>
    <s v="S12000006"/>
    <n v="361"/>
    <n v="2301"/>
    <n v="4"/>
    <n v="41.75"/>
    <m/>
    <m/>
    <m/>
    <m/>
  </r>
  <r>
    <x v="8"/>
    <x v="22"/>
    <s v="S12000014"/>
    <n v="88"/>
    <n v="450"/>
    <n v="3"/>
    <n v="17"/>
    <m/>
    <m/>
    <m/>
    <m/>
  </r>
  <r>
    <x v="8"/>
    <x v="4"/>
    <s v="S12000023"/>
    <n v="8"/>
    <n v="46.5"/>
    <n v="1"/>
    <n v="12.75"/>
    <m/>
    <m/>
    <m/>
    <m/>
  </r>
  <r>
    <x v="8"/>
    <x v="16"/>
    <s v="S12000027"/>
    <n v="64"/>
    <n v="447.25"/>
    <n v="2"/>
    <n v="2.25"/>
    <m/>
    <m/>
    <m/>
    <m/>
  </r>
  <r>
    <x v="8"/>
    <x v="11"/>
    <s v="S12000029"/>
    <n v="223"/>
    <n v="1791.75"/>
    <n v="15"/>
    <n v="195.5"/>
    <m/>
    <m/>
    <m/>
    <m/>
  </r>
  <r>
    <x v="9"/>
    <x v="4"/>
    <s v="S12000023"/>
    <n v="23"/>
    <n v="129.75"/>
    <n v="1"/>
    <n v="11.75"/>
    <m/>
    <m/>
    <m/>
    <m/>
  </r>
  <r>
    <x v="9"/>
    <x v="7"/>
    <s v="S12000039"/>
    <n v="122"/>
    <n v="571.25"/>
    <n v="7"/>
    <n v="68.5"/>
    <m/>
    <m/>
    <m/>
    <m/>
  </r>
  <r>
    <x v="10"/>
    <x v="18"/>
    <s v="S12000035"/>
    <n v="485"/>
    <n v="2805"/>
    <n v="23"/>
    <n v="267.5"/>
    <m/>
    <m/>
    <n v="1"/>
    <n v="19.75"/>
  </r>
  <r>
    <x v="10"/>
    <x v="9"/>
    <s v="S12000011"/>
    <n v="46"/>
    <n v="232.75"/>
    <m/>
    <m/>
    <m/>
    <m/>
    <m/>
    <m/>
  </r>
  <r>
    <x v="10"/>
    <x v="23"/>
    <s v="S12000046"/>
    <n v="1331"/>
    <n v="5962.5"/>
    <n v="70"/>
    <n v="441.25"/>
    <m/>
    <m/>
    <n v="1"/>
    <n v="5.5"/>
  </r>
  <r>
    <x v="10"/>
    <x v="27"/>
    <s v="S12000017"/>
    <n v="379"/>
    <n v="2709.25"/>
    <n v="23"/>
    <n v="379.25"/>
    <n v="1"/>
    <n v="64.5"/>
    <m/>
    <m/>
  </r>
  <r>
    <x v="10"/>
    <x v="24"/>
    <s v="S12000018"/>
    <n v="88"/>
    <n v="454"/>
    <n v="3"/>
    <n v="32"/>
    <m/>
    <m/>
    <m/>
    <m/>
  </r>
  <r>
    <x v="10"/>
    <x v="4"/>
    <s v="S12000023"/>
    <n v="42"/>
    <n v="233.5"/>
    <n v="1"/>
    <n v="9"/>
    <m/>
    <m/>
    <m/>
    <m/>
  </r>
  <r>
    <x v="11"/>
    <x v="13"/>
    <s v="S12000034"/>
    <n v="221"/>
    <n v="1585.25"/>
    <n v="2"/>
    <n v="23.75"/>
    <m/>
    <m/>
    <n v="1"/>
    <n v="36.75"/>
  </r>
  <r>
    <x v="11"/>
    <x v="14"/>
    <s v="S12000006"/>
    <n v="560"/>
    <n v="3992.75"/>
    <n v="8"/>
    <n v="71.25"/>
    <m/>
    <m/>
    <m/>
    <m/>
  </r>
  <r>
    <x v="0"/>
    <x v="19"/>
    <s v="S12000042"/>
    <n v="456"/>
    <n v="1804.75"/>
    <n v="4"/>
    <n v="13.5"/>
    <m/>
    <m/>
    <m/>
    <m/>
  </r>
  <r>
    <x v="0"/>
    <x v="25"/>
    <s v="S12000028"/>
    <n v="239"/>
    <n v="1368.5"/>
    <n v="8"/>
    <n v="65.5"/>
    <m/>
    <m/>
    <m/>
    <m/>
  </r>
  <r>
    <x v="1"/>
    <x v="30"/>
    <s v="S12000041"/>
    <n v="167"/>
    <n v="768.25"/>
    <n v="7"/>
    <n v="62"/>
    <m/>
    <m/>
    <m/>
    <m/>
  </r>
  <r>
    <x v="1"/>
    <x v="14"/>
    <s v="S12000006"/>
    <n v="236"/>
    <n v="943.25"/>
    <n v="60"/>
    <n v="445.25"/>
    <m/>
    <m/>
    <m/>
    <m/>
  </r>
  <r>
    <x v="1"/>
    <x v="20"/>
    <s v="S12000008"/>
    <n v="131"/>
    <n v="1016"/>
    <n v="12"/>
    <n v="128.75"/>
    <n v="1"/>
    <n v="28.5"/>
    <m/>
    <m/>
  </r>
  <r>
    <x v="1"/>
    <x v="10"/>
    <s v="S12000010"/>
    <n v="143"/>
    <n v="628"/>
    <n v="13"/>
    <n v="106"/>
    <m/>
    <m/>
    <m/>
    <m/>
  </r>
  <r>
    <x v="1"/>
    <x v="6"/>
    <s v="S12000026"/>
    <n v="251"/>
    <n v="1101.75"/>
    <n v="39"/>
    <n v="303.5"/>
    <m/>
    <m/>
    <n v="1"/>
    <n v="5.5"/>
  </r>
  <r>
    <x v="2"/>
    <x v="13"/>
    <s v="S12000034"/>
    <n v="336"/>
    <n v="2384"/>
    <n v="26"/>
    <n v="277.5"/>
    <n v="1"/>
    <n v="6.5"/>
    <m/>
    <m/>
  </r>
  <r>
    <x v="2"/>
    <x v="30"/>
    <s v="S12000041"/>
    <n v="97"/>
    <n v="396"/>
    <n v="2"/>
    <n v="19.75"/>
    <m/>
    <m/>
    <m/>
    <m/>
  </r>
  <r>
    <x v="2"/>
    <x v="26"/>
    <s v="S12000036"/>
    <n v="733"/>
    <n v="2765"/>
    <n v="50"/>
    <n v="314"/>
    <n v="3"/>
    <n v="28"/>
    <n v="4"/>
    <n v="8.25"/>
  </r>
  <r>
    <x v="2"/>
    <x v="23"/>
    <s v="S12000046"/>
    <n v="1457"/>
    <n v="6398"/>
    <n v="105"/>
    <n v="596"/>
    <m/>
    <m/>
    <m/>
    <m/>
  </r>
  <r>
    <x v="2"/>
    <x v="29"/>
    <s v="S12000040"/>
    <n v="155"/>
    <n v="749"/>
    <n v="22"/>
    <n v="164.25"/>
    <m/>
    <m/>
    <m/>
    <m/>
  </r>
  <r>
    <x v="3"/>
    <x v="19"/>
    <s v="S12000042"/>
    <n v="299"/>
    <n v="1117.25"/>
    <n v="7"/>
    <n v="57.75"/>
    <m/>
    <m/>
    <n v="1"/>
    <n v="7"/>
  </r>
  <r>
    <x v="3"/>
    <x v="22"/>
    <s v="S12000014"/>
    <n v="148"/>
    <n v="843"/>
    <n v="11"/>
    <n v="143.25"/>
    <m/>
    <m/>
    <m/>
    <m/>
  </r>
  <r>
    <x v="3"/>
    <x v="2"/>
    <s v="S12000020"/>
    <n v="207"/>
    <n v="1131.25"/>
    <n v="9"/>
    <n v="130.75"/>
    <m/>
    <m/>
    <m/>
    <m/>
  </r>
  <r>
    <x v="3"/>
    <x v="28"/>
    <s v="S12000024"/>
    <n v="284"/>
    <n v="1240.75"/>
    <n v="9"/>
    <n v="81.25"/>
    <m/>
    <m/>
    <m/>
    <m/>
  </r>
  <r>
    <x v="4"/>
    <x v="20"/>
    <s v="S12000008"/>
    <n v="138"/>
    <n v="837.25"/>
    <n v="7"/>
    <n v="59"/>
    <m/>
    <m/>
    <m/>
    <m/>
  </r>
  <r>
    <x v="4"/>
    <x v="12"/>
    <s v="S12000030"/>
    <n v="190"/>
    <n v="759"/>
    <n v="3"/>
    <n v="38.75"/>
    <m/>
    <m/>
    <m/>
    <m/>
  </r>
  <r>
    <x v="5"/>
    <x v="31"/>
    <s v="S12000021"/>
    <n v="145"/>
    <m/>
    <n v="3"/>
    <m/>
    <m/>
    <m/>
    <m/>
    <m/>
  </r>
  <r>
    <x v="6"/>
    <x v="8"/>
    <s v="S12000005"/>
    <n v="35"/>
    <n v="206.25"/>
    <m/>
    <m/>
    <m/>
    <m/>
    <m/>
    <m/>
  </r>
  <r>
    <x v="6"/>
    <x v="15"/>
    <s v="S12000045"/>
    <n v="45"/>
    <n v="153.5"/>
    <m/>
    <m/>
    <m/>
    <m/>
    <m/>
    <m/>
  </r>
  <r>
    <x v="6"/>
    <x v="24"/>
    <s v="S12000018"/>
    <n v="29"/>
    <n v="163"/>
    <m/>
    <m/>
    <m/>
    <m/>
    <m/>
    <m/>
  </r>
  <r>
    <x v="6"/>
    <x v="28"/>
    <s v="S12000048"/>
    <n v="152"/>
    <n v="697"/>
    <m/>
    <m/>
    <m/>
    <m/>
    <m/>
    <m/>
  </r>
  <r>
    <x v="6"/>
    <x v="6"/>
    <s v="S12000026"/>
    <n v="63"/>
    <n v="350"/>
    <n v="3"/>
    <n v="49.5"/>
    <m/>
    <m/>
    <m/>
    <m/>
  </r>
  <r>
    <x v="6"/>
    <x v="11"/>
    <s v="S12000029"/>
    <n v="141"/>
    <n v="1621"/>
    <n v="4"/>
    <n v="64.75"/>
    <m/>
    <m/>
    <m/>
    <m/>
  </r>
  <r>
    <x v="7"/>
    <x v="26"/>
    <s v="S12000036"/>
    <n v="692"/>
    <n v="3146.25"/>
    <n v="18"/>
    <n v="259.5"/>
    <m/>
    <m/>
    <n v="1"/>
    <n v="13"/>
  </r>
  <r>
    <x v="7"/>
    <x v="1"/>
    <s v="S12000015"/>
    <n v="365"/>
    <n v="1707.75"/>
    <n v="5"/>
    <n v="90.25"/>
    <m/>
    <m/>
    <n v="3"/>
    <n v="16.25"/>
  </r>
  <r>
    <x v="7"/>
    <x v="21"/>
    <s v="S12000019"/>
    <n v="83"/>
    <n v="501"/>
    <n v="5"/>
    <n v="92.25"/>
    <n v="1"/>
    <n v="65"/>
    <m/>
    <m/>
  </r>
  <r>
    <x v="7"/>
    <x v="5"/>
    <s v="S12000038"/>
    <n v="94"/>
    <n v="625"/>
    <n v="1"/>
    <n v="6.25"/>
    <m/>
    <m/>
    <m/>
    <m/>
  </r>
  <r>
    <x v="7"/>
    <x v="12"/>
    <s v="S12000030"/>
    <n v="171"/>
    <n v="815.25"/>
    <n v="4"/>
    <n v="42.75"/>
    <m/>
    <m/>
    <m/>
    <m/>
  </r>
  <r>
    <x v="8"/>
    <x v="0"/>
    <s v="S12000033"/>
    <n v="350"/>
    <n v="2702.5"/>
    <n v="7"/>
    <n v="130.75"/>
    <m/>
    <m/>
    <m/>
    <m/>
  </r>
  <r>
    <x v="8"/>
    <x v="20"/>
    <s v="S12000008"/>
    <n v="146"/>
    <n v="706"/>
    <n v="4"/>
    <n v="42.5"/>
    <m/>
    <m/>
    <m/>
    <m/>
  </r>
  <r>
    <x v="8"/>
    <x v="9"/>
    <s v="S12000011"/>
    <n v="49"/>
    <n v="290.5"/>
    <m/>
    <m/>
    <m/>
    <m/>
    <m/>
    <m/>
  </r>
  <r>
    <x v="8"/>
    <x v="24"/>
    <s v="S12000018"/>
    <n v="73"/>
    <n v="511.75"/>
    <m/>
    <m/>
    <m/>
    <m/>
    <m/>
    <m/>
  </r>
  <r>
    <x v="8"/>
    <x v="2"/>
    <s v="S12000020"/>
    <n v="139"/>
    <n v="1163"/>
    <n v="12"/>
    <n v="258.25"/>
    <m/>
    <m/>
    <m/>
    <m/>
  </r>
  <r>
    <x v="9"/>
    <x v="26"/>
    <s v="S12000036"/>
    <n v="523"/>
    <n v="2808"/>
    <n v="41"/>
    <n v="513"/>
    <n v="1"/>
    <n v="30.25"/>
    <n v="1"/>
    <m/>
  </r>
  <r>
    <x v="9"/>
    <x v="8"/>
    <s v="S12000005"/>
    <n v="24"/>
    <n v="154.75"/>
    <n v="1"/>
    <n v="4.75"/>
    <m/>
    <m/>
    <m/>
    <m/>
  </r>
  <r>
    <x v="9"/>
    <x v="27"/>
    <s v="S12000017"/>
    <n v="348"/>
    <n v="2388.75"/>
    <n v="14"/>
    <n v="500.25"/>
    <m/>
    <m/>
    <n v="2"/>
    <n v="108.75"/>
  </r>
  <r>
    <x v="9"/>
    <x v="3"/>
    <s v="S12000013"/>
    <n v="33"/>
    <n v="186.75"/>
    <n v="1"/>
    <n v="12.25"/>
    <m/>
    <m/>
    <m/>
    <m/>
  </r>
  <r>
    <x v="9"/>
    <x v="17"/>
    <s v="S12000044"/>
    <n v="423"/>
    <n v="1918.25"/>
    <n v="8"/>
    <n v="61.75"/>
    <m/>
    <m/>
    <m/>
    <m/>
  </r>
  <r>
    <x v="9"/>
    <x v="6"/>
    <s v="S12000026"/>
    <n v="146"/>
    <n v="737.5"/>
    <n v="14"/>
    <n v="142.75"/>
    <m/>
    <m/>
    <m/>
    <m/>
  </r>
  <r>
    <x v="10"/>
    <x v="30"/>
    <s v="S12000041"/>
    <n v="69"/>
    <n v="380.75"/>
    <n v="1"/>
    <n v="6.75"/>
    <m/>
    <m/>
    <m/>
    <m/>
  </r>
  <r>
    <x v="10"/>
    <x v="26"/>
    <s v="S12000036"/>
    <n v="655"/>
    <n v="3002.5"/>
    <n v="51"/>
    <n v="430.75"/>
    <m/>
    <m/>
    <m/>
    <m/>
  </r>
  <r>
    <x v="10"/>
    <x v="3"/>
    <s v="S12000013"/>
    <n v="35"/>
    <n v="226.75"/>
    <n v="1"/>
    <n v="14.75"/>
    <m/>
    <m/>
    <m/>
    <m/>
  </r>
  <r>
    <x v="10"/>
    <x v="17"/>
    <s v="S12000044"/>
    <n v="336"/>
    <n v="1735"/>
    <n v="8"/>
    <n v="44"/>
    <m/>
    <m/>
    <n v="1"/>
    <n v="31"/>
  </r>
  <r>
    <x v="11"/>
    <x v="3"/>
    <s v="S12000013"/>
    <n v="40"/>
    <n v="238"/>
    <n v="2"/>
    <n v="50"/>
    <n v="1"/>
    <n v="37.75"/>
    <m/>
    <m/>
  </r>
  <r>
    <x v="11"/>
    <x v="6"/>
    <s v="S12000026"/>
    <n v="241"/>
    <n v="1208"/>
    <n v="10"/>
    <n v="91.75"/>
    <m/>
    <m/>
    <m/>
    <m/>
  </r>
  <r>
    <x v="11"/>
    <x v="7"/>
    <s v="S12000039"/>
    <n v="110"/>
    <n v="560"/>
    <n v="1"/>
    <n v="7.25"/>
    <m/>
    <m/>
    <m/>
    <m/>
  </r>
</pivotCacheRecords>
</file>

<file path=xl/pivotCache/pivotCacheRecords1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2">
  <r>
    <x v="0"/>
    <n v="18019"/>
    <n v="15904"/>
    <n v="12766"/>
    <n v="10229"/>
    <n v="8711"/>
    <m/>
    <n v="65629"/>
  </r>
  <r>
    <x v="1"/>
    <n v="19078"/>
    <n v="17388"/>
    <n v="14090"/>
    <n v="11790"/>
    <n v="9279"/>
    <m/>
    <n v="71625"/>
  </r>
  <r>
    <x v="2"/>
    <n v="17791"/>
    <n v="16781"/>
    <n v="14099"/>
    <n v="12423"/>
    <n v="9624"/>
    <m/>
    <n v="70718"/>
  </r>
  <r>
    <x v="3"/>
    <n v="18541"/>
    <n v="16326"/>
    <n v="13720"/>
    <n v="11936"/>
    <n v="9222"/>
    <m/>
    <n v="69745"/>
  </r>
  <r>
    <x v="4"/>
    <n v="19520"/>
    <n v="16456"/>
    <n v="13393"/>
    <n v="10900"/>
    <n v="8856"/>
    <m/>
    <n v="69125"/>
  </r>
  <r>
    <x v="5"/>
    <n v="19715"/>
    <n v="16024"/>
    <n v="13312"/>
    <n v="11303"/>
    <n v="8720"/>
    <m/>
    <n v="69074"/>
  </r>
  <r>
    <x v="6"/>
    <n v="5612"/>
    <n v="4807"/>
    <n v="3755"/>
    <n v="3263"/>
    <n v="2543"/>
    <m/>
    <n v="19980"/>
  </r>
  <r>
    <x v="7"/>
    <n v="10865"/>
    <n v="10454"/>
    <n v="8758"/>
    <n v="7729"/>
    <n v="6359"/>
    <m/>
    <n v="44165"/>
  </r>
  <r>
    <x v="8"/>
    <n v="10672"/>
    <n v="9662"/>
    <n v="7372"/>
    <n v="6174"/>
    <n v="4760"/>
    <m/>
    <n v="38640"/>
  </r>
  <r>
    <x v="9"/>
    <n v="10122"/>
    <n v="9268"/>
    <n v="6922"/>
    <n v="5758"/>
    <n v="4555"/>
    <m/>
    <n v="36625"/>
  </r>
  <r>
    <x v="10"/>
    <n v="10056"/>
    <n v="8222"/>
    <n v="5864"/>
    <n v="4980"/>
    <n v="4167"/>
    <m/>
    <n v="33289"/>
  </r>
  <r>
    <x v="11"/>
    <n v="5723"/>
    <n v="4872"/>
    <n v="3607"/>
    <n v="3028"/>
    <n v="2289"/>
    <m/>
    <n v="19519"/>
  </r>
</pivotCacheRecords>
</file>

<file path=xl/pivotCache/pivotCacheRecords12.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2">
  <r>
    <x v="0"/>
    <n v="1.9"/>
    <n v="1.8"/>
    <n v="1.3"/>
    <n v="1.1000000000000001"/>
    <n v="1"/>
    <n v="1.4"/>
  </r>
  <r>
    <x v="1"/>
    <n v="1.8"/>
    <n v="1.5"/>
    <n v="1.1000000000000001"/>
    <n v="0.9"/>
    <n v="0.9"/>
    <n v="1.3"/>
  </r>
  <r>
    <x v="2"/>
    <n v="3.4"/>
    <n v="3.3"/>
    <n v="2.9"/>
    <n v="2.6"/>
    <n v="2.1"/>
    <n v="2.9"/>
  </r>
  <r>
    <x v="3"/>
    <n v="3.7"/>
    <n v="3.2"/>
    <n v="2.7"/>
    <n v="2.2000000000000002"/>
    <n v="1.9"/>
    <n v="2.8"/>
  </r>
  <r>
    <x v="4"/>
    <n v="1"/>
    <n v="0.9"/>
    <n v="0.7"/>
    <n v="0.6"/>
    <n v="0.5"/>
    <n v="0.8"/>
  </r>
  <r>
    <x v="5"/>
    <n v="2"/>
    <n v="1.8"/>
    <n v="1.4"/>
    <n v="1.2"/>
    <n v="1"/>
    <n v="1.5"/>
  </r>
  <r>
    <x v="6"/>
    <n v="3.5"/>
    <n v="3.2"/>
    <n v="2.8"/>
    <n v="2.4"/>
    <n v="2"/>
    <n v="2.8"/>
  </r>
  <r>
    <x v="7"/>
    <n v="3.7"/>
    <n v="3.1"/>
    <n v="2.6"/>
    <n v="2.2999999999999998"/>
    <n v="1.9"/>
    <n v="2.7"/>
  </r>
  <r>
    <x v="8"/>
    <n v="3.6"/>
    <n v="3.4"/>
    <n v="2.9"/>
    <n v="2.5"/>
    <n v="2"/>
    <n v="2.9"/>
  </r>
  <r>
    <x v="9"/>
    <n v="2"/>
    <n v="2"/>
    <n v="1.7"/>
    <n v="1.5"/>
    <n v="1.3"/>
    <n v="1.7"/>
  </r>
  <r>
    <x v="10"/>
    <n v="3.4"/>
    <n v="3.2"/>
    <n v="2.6"/>
    <n v="2.2000000000000002"/>
    <n v="1.9"/>
    <n v="2.7"/>
  </r>
  <r>
    <x v="11"/>
    <n v="1"/>
    <n v="0.9"/>
    <n v="0.7"/>
    <n v="0.6"/>
    <n v="0.5"/>
    <n v="0.7"/>
  </r>
</pivotCacheRecords>
</file>

<file path=xl/pivotCache/pivotCacheRecords13.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6">
  <r>
    <x v="0"/>
    <n v="5400"/>
    <n v="4535"/>
    <n v="5072"/>
    <n v="4289"/>
    <n v="4004"/>
    <n v="1093"/>
    <n v="2279"/>
    <n v="1875"/>
    <n v="1781"/>
    <n v="1383"/>
    <m/>
  </r>
  <r>
    <x v="1"/>
    <n v="101"/>
    <n v="103"/>
    <n v="107"/>
    <n v="622"/>
    <n v="641"/>
    <n v="102"/>
    <n v="322"/>
    <n v="367"/>
    <n v="443"/>
    <n v="2323"/>
    <n v="763"/>
  </r>
  <r>
    <x v="2"/>
    <n v="8020"/>
    <n v="7446"/>
    <n v="7740"/>
    <n v="9727"/>
    <n v="10040"/>
    <n v="2387"/>
    <n v="4431"/>
    <n v="5557"/>
    <n v="5572"/>
    <n v="5083"/>
    <n v="3499"/>
  </r>
  <r>
    <x v="3"/>
    <n v="37461"/>
    <n v="39725"/>
    <n v="38343"/>
    <n v="35339"/>
    <n v="34631"/>
    <n v="10815"/>
    <n v="27519"/>
    <n v="19831"/>
    <n v="17805"/>
    <n v="16026"/>
    <n v="10694"/>
  </r>
  <r>
    <x v="4"/>
    <n v="15848"/>
    <n v="15100"/>
    <n v="14796"/>
    <n v="15332"/>
    <n v="15696"/>
    <n v="4624"/>
    <n v="7561"/>
    <n v="8820"/>
    <n v="8577"/>
    <n v="6899"/>
    <n v="4138"/>
  </r>
  <r>
    <x v="5"/>
    <n v="4886"/>
    <n v="3888"/>
    <n v="3767"/>
    <n v="3893"/>
    <n v="4225"/>
    <n v="977"/>
    <n v="2084"/>
    <n v="2249"/>
    <n v="2564"/>
    <n v="2305"/>
    <n v="1329"/>
  </r>
</pivotCacheRecords>
</file>

<file path=xl/pivotCache/pivotCacheRecords14.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2">
  <r>
    <x v="0"/>
    <n v="1.1000000000000001"/>
    <n v="1.2"/>
    <n v="1.1000000000000001"/>
    <n v="1"/>
    <n v="1"/>
    <n v="1.1000000000000001"/>
  </r>
  <r>
    <x v="1"/>
    <n v="1.1000000000000001"/>
    <n v="1.3"/>
    <n v="1.2"/>
    <n v="1.1000000000000001"/>
    <n v="1"/>
    <n v="1.2"/>
  </r>
  <r>
    <x v="2"/>
    <n v="1.1000000000000001"/>
    <n v="1.3"/>
    <n v="1.2"/>
    <n v="1.2"/>
    <n v="1.1000000000000001"/>
    <n v="1.2"/>
  </r>
  <r>
    <x v="3"/>
    <n v="1.1000000000000001"/>
    <n v="1.2"/>
    <n v="1.1000000000000001"/>
    <n v="1.1000000000000001"/>
    <n v="1"/>
    <n v="1.1000000000000001"/>
  </r>
  <r>
    <x v="4"/>
    <n v="1"/>
    <n v="1.1000000000000001"/>
    <n v="1"/>
    <n v="0.9"/>
    <n v="0.9"/>
    <n v="1"/>
  </r>
  <r>
    <x v="5"/>
    <n v="0.9"/>
    <n v="1"/>
    <n v="0.9"/>
    <n v="0.8"/>
    <n v="0.8"/>
    <n v="0.9"/>
  </r>
  <r>
    <x v="6"/>
    <n v="0.3"/>
    <n v="0.3"/>
    <n v="0.3"/>
    <n v="0.3"/>
    <n v="0.3"/>
    <n v="0.3"/>
  </r>
  <r>
    <x v="7"/>
    <m/>
    <m/>
    <m/>
    <m/>
    <m/>
    <m/>
  </r>
  <r>
    <x v="8"/>
    <m/>
    <m/>
    <m/>
    <m/>
    <m/>
    <m/>
  </r>
  <r>
    <x v="9"/>
    <n v="0.2"/>
    <n v="0.3"/>
    <n v="0.2"/>
    <n v="0.2"/>
    <n v="0.2"/>
    <n v="0.2"/>
  </r>
  <r>
    <x v="10"/>
    <n v="0.2"/>
    <n v="0.2"/>
    <n v="0.2"/>
    <n v="0.1"/>
    <n v="0.1"/>
    <n v="0.2"/>
  </r>
  <r>
    <x v="11"/>
    <n v="0.1"/>
    <n v="0.2"/>
    <n v="0.1"/>
    <n v="0.1"/>
    <n v="0.1"/>
    <n v="0.1"/>
  </r>
</pivotCacheRecords>
</file>

<file path=xl/pivotCache/pivotCacheRecords15.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2">
  <r>
    <x v="0"/>
    <n v="5946"/>
    <n v="6232"/>
    <n v="5318"/>
    <n v="4894"/>
    <n v="4568"/>
    <n v="26958"/>
  </r>
  <r>
    <x v="1"/>
    <n v="6017"/>
    <n v="6493"/>
    <n v="5824"/>
    <n v="5324"/>
    <n v="4660"/>
    <n v="28318"/>
  </r>
  <r>
    <x v="2"/>
    <n v="5822"/>
    <n v="6548"/>
    <n v="5945"/>
    <n v="5615"/>
    <n v="5062"/>
    <n v="28992"/>
  </r>
  <r>
    <x v="3"/>
    <n v="5593"/>
    <n v="6268"/>
    <n v="5687"/>
    <n v="5356"/>
    <n v="4821"/>
    <n v="27725"/>
  </r>
  <r>
    <x v="4"/>
    <n v="5176"/>
    <n v="5583"/>
    <n v="5018"/>
    <n v="4480"/>
    <n v="4188"/>
    <n v="24445"/>
  </r>
  <r>
    <x v="5"/>
    <n v="4680"/>
    <n v="5065"/>
    <n v="4510"/>
    <n v="4206"/>
    <n v="3804"/>
    <n v="22265"/>
  </r>
  <r>
    <x v="6"/>
    <n v="1690"/>
    <n v="1696"/>
    <n v="1487"/>
    <n v="1483"/>
    <n v="1317"/>
    <n v="7673"/>
  </r>
  <r>
    <x v="7"/>
    <m/>
    <m/>
    <m/>
    <m/>
    <m/>
    <m/>
  </r>
  <r>
    <x v="8"/>
    <m/>
    <m/>
    <m/>
    <m/>
    <m/>
    <m/>
  </r>
  <r>
    <x v="9"/>
    <n v="1322"/>
    <n v="1479"/>
    <n v="1164"/>
    <n v="1004"/>
    <n v="944"/>
    <n v="5913"/>
  </r>
  <r>
    <x v="10"/>
    <n v="940"/>
    <n v="1015"/>
    <n v="844"/>
    <n v="727"/>
    <n v="650"/>
    <n v="4176"/>
  </r>
  <r>
    <x v="11"/>
    <n v="696"/>
    <n v="913"/>
    <n v="751"/>
    <n v="602"/>
    <n v="517"/>
    <n v="3479"/>
  </r>
</pivotCacheRecords>
</file>

<file path=xl/pivotCache/pivotCacheRecords16.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8">
  <r>
    <x v="0"/>
    <n v="2955"/>
    <n v="264"/>
    <n v="358"/>
    <n v="60"/>
  </r>
  <r>
    <x v="1"/>
    <n v="2966"/>
    <n v="270"/>
    <n v="351"/>
    <n v="49"/>
  </r>
  <r>
    <x v="2"/>
    <n v="2903"/>
    <n v="271"/>
    <n v="348"/>
    <n v="59"/>
  </r>
  <r>
    <x v="3"/>
    <n v="2843"/>
    <n v="273"/>
    <n v="349"/>
    <n v="65"/>
  </r>
  <r>
    <x v="4"/>
    <n v="2798"/>
    <n v="262"/>
    <n v="327"/>
    <n v="103"/>
  </r>
  <r>
    <x v="5"/>
    <n v="2823"/>
    <n v="263"/>
    <n v="335"/>
    <n v="1"/>
  </r>
  <r>
    <x v="6"/>
    <n v="2762"/>
    <n v="267"/>
    <n v="332"/>
    <n v="69"/>
  </r>
  <r>
    <x v="7"/>
    <n v="2744"/>
    <n v="266"/>
    <n v="349"/>
    <n v="72"/>
  </r>
</pivotCacheRecords>
</file>

<file path=xl/pivotCache/pivotCacheRecords17.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414">
  <r>
    <x v="0"/>
    <x v="0"/>
    <x v="0"/>
    <s v="S12000033"/>
    <n v="154"/>
    <n v="0"/>
    <n v="0"/>
    <n v="0"/>
  </r>
  <r>
    <x v="0"/>
    <x v="0"/>
    <x v="1"/>
    <s v="S12000035"/>
    <n v="54"/>
    <n v="0"/>
    <n v="0"/>
    <n v="0"/>
  </r>
  <r>
    <x v="0"/>
    <x v="0"/>
    <x v="2"/>
    <s v="S40000004"/>
    <n v="274"/>
    <n v="0"/>
    <n v="0"/>
    <n v="0"/>
  </r>
  <r>
    <x v="0"/>
    <x v="0"/>
    <x v="3"/>
    <s v="S12000020"/>
    <n v="30"/>
    <n v="0"/>
    <n v="0"/>
    <n v="0"/>
  </r>
  <r>
    <x v="0"/>
    <x v="0"/>
    <x v="4"/>
    <s v="S12000028"/>
    <n v="50"/>
    <n v="0"/>
    <n v="0"/>
    <n v="0"/>
  </r>
  <r>
    <x v="0"/>
    <x v="1"/>
    <x v="5"/>
    <s v="S39000002"/>
    <n v="0"/>
    <n v="11"/>
    <n v="14"/>
    <n v="0"/>
  </r>
  <r>
    <x v="0"/>
    <x v="1"/>
    <x v="6"/>
    <s v="S39000004"/>
    <n v="0"/>
    <n v="9"/>
    <n v="13"/>
    <n v="0"/>
  </r>
  <r>
    <x v="0"/>
    <x v="1"/>
    <x v="7"/>
    <s v="S39000006"/>
    <n v="0"/>
    <n v="13"/>
    <n v="12"/>
    <n v="0"/>
  </r>
  <r>
    <x v="0"/>
    <x v="1"/>
    <x v="8"/>
    <s v="S40000004"/>
    <n v="0"/>
    <n v="9"/>
    <n v="11"/>
    <n v="0"/>
  </r>
  <r>
    <x v="0"/>
    <x v="1"/>
    <x v="9"/>
    <s v="S39000012"/>
    <n v="0"/>
    <n v="14"/>
    <n v="11"/>
    <n v="0"/>
  </r>
  <r>
    <x v="0"/>
    <x v="2"/>
    <x v="10"/>
    <s v="S40000004"/>
    <n v="0"/>
    <n v="11"/>
    <n v="26"/>
    <n v="0"/>
  </r>
  <r>
    <x v="1"/>
    <x v="0"/>
    <x v="1"/>
    <s v="S40000003"/>
    <n v="53"/>
    <n v="0"/>
    <n v="0"/>
    <n v="0"/>
  </r>
  <r>
    <x v="1"/>
    <x v="0"/>
    <x v="11"/>
    <s v="S40000004"/>
    <n v="306"/>
    <n v="0"/>
    <n v="0"/>
    <n v="0"/>
  </r>
  <r>
    <x v="1"/>
    <x v="0"/>
    <x v="9"/>
    <s v="S40000003"/>
    <n v="517"/>
    <n v="0"/>
    <n v="0"/>
    <n v="0"/>
  </r>
  <r>
    <x v="1"/>
    <x v="0"/>
    <x v="12"/>
    <s v="S40000004"/>
    <n v="26"/>
    <n v="0"/>
    <n v="0"/>
    <n v="0"/>
  </r>
  <r>
    <x v="1"/>
    <x v="0"/>
    <x v="3"/>
    <s v="S40000005"/>
    <n v="30"/>
    <n v="0"/>
    <n v="0"/>
    <n v="0"/>
  </r>
  <r>
    <x v="1"/>
    <x v="0"/>
    <x v="13"/>
    <s v="S40000003"/>
    <n v="168"/>
    <n v="0"/>
    <n v="0"/>
    <n v="0"/>
  </r>
  <r>
    <x v="1"/>
    <x v="1"/>
    <x v="14"/>
    <s v="S40000003"/>
    <n v="0"/>
    <n v="9"/>
    <n v="4"/>
    <n v="0"/>
  </r>
  <r>
    <x v="1"/>
    <x v="1"/>
    <x v="13"/>
    <s v="S40000003"/>
    <n v="0"/>
    <n v="9"/>
    <n v="7"/>
    <n v="0"/>
  </r>
  <r>
    <x v="1"/>
    <x v="1"/>
    <x v="15"/>
    <s v="S40000005"/>
    <n v="0"/>
    <n v="9"/>
    <n v="5"/>
    <n v="0"/>
  </r>
  <r>
    <x v="2"/>
    <x v="0"/>
    <x v="0"/>
    <s v="S40000005"/>
    <n v="149"/>
    <n v="0"/>
    <n v="0"/>
    <n v="0"/>
  </r>
  <r>
    <x v="2"/>
    <x v="0"/>
    <x v="16"/>
    <s v="S40000005"/>
    <n v="27"/>
    <n v="0"/>
    <n v="0"/>
    <n v="0"/>
  </r>
  <r>
    <x v="2"/>
    <x v="0"/>
    <x v="4"/>
    <s v="S40000003"/>
    <n v="51"/>
    <n v="0"/>
    <n v="0"/>
    <n v="0"/>
  </r>
  <r>
    <x v="2"/>
    <x v="0"/>
    <x v="17"/>
    <s v="S40000004"/>
    <n v="52"/>
    <n v="0"/>
    <n v="0"/>
    <n v="0"/>
  </r>
  <r>
    <x v="2"/>
    <x v="1"/>
    <x v="0"/>
    <s v="S40000005"/>
    <n v="0"/>
    <n v="6"/>
    <n v="6"/>
    <n v="0"/>
  </r>
  <r>
    <x v="2"/>
    <x v="1"/>
    <x v="5"/>
    <s v="S40000005"/>
    <n v="0"/>
    <n v="13"/>
    <n v="13"/>
    <n v="0"/>
  </r>
  <r>
    <x v="2"/>
    <x v="1"/>
    <x v="11"/>
    <s v="S40000004"/>
    <n v="0"/>
    <n v="11"/>
    <n v="17"/>
    <n v="0"/>
  </r>
  <r>
    <x v="2"/>
    <x v="1"/>
    <x v="18"/>
    <m/>
    <n v="0"/>
    <n v="12"/>
    <n v="10"/>
    <n v="0"/>
  </r>
  <r>
    <x v="2"/>
    <x v="2"/>
    <x v="19"/>
    <s v="S40000005"/>
    <n v="0"/>
    <n v="10"/>
    <n v="32"/>
    <n v="13"/>
  </r>
  <r>
    <x v="3"/>
    <x v="0"/>
    <x v="20"/>
    <s v="S40000004"/>
    <n v="87"/>
    <n v="0"/>
    <n v="0"/>
    <n v="0"/>
  </r>
  <r>
    <x v="3"/>
    <x v="0"/>
    <x v="21"/>
    <s v="S40000004"/>
    <n v="53"/>
    <n v="0"/>
    <n v="0"/>
    <n v="0"/>
  </r>
  <r>
    <x v="3"/>
    <x v="1"/>
    <x v="22"/>
    <m/>
    <n v="0"/>
    <n v="17"/>
    <n v="19"/>
    <n v="0"/>
  </r>
  <r>
    <x v="3"/>
    <x v="1"/>
    <x v="15"/>
    <m/>
    <n v="0"/>
    <n v="12"/>
    <n v="5"/>
    <n v="0"/>
  </r>
  <r>
    <x v="4"/>
    <x v="0"/>
    <x v="23"/>
    <m/>
    <n v="68"/>
    <n v="0"/>
    <n v="0"/>
    <n v="0"/>
  </r>
  <r>
    <x v="4"/>
    <x v="0"/>
    <x v="24"/>
    <s v="S40000004"/>
    <n v="57"/>
    <n v="0"/>
    <n v="0"/>
    <n v="0"/>
  </r>
  <r>
    <x v="4"/>
    <x v="1"/>
    <x v="25"/>
    <m/>
    <n v="0"/>
    <n v="11"/>
    <n v="16"/>
    <n v="0"/>
  </r>
  <r>
    <x v="4"/>
    <x v="1"/>
    <x v="18"/>
    <s v="S40000004"/>
    <n v="0"/>
    <n v="2"/>
    <n v="3"/>
    <n v="0"/>
  </r>
  <r>
    <x v="4"/>
    <x v="3"/>
    <x v="26"/>
    <s v="S92000003"/>
    <n v="0"/>
    <n v="52"/>
    <n v="17"/>
    <n v="0"/>
  </r>
  <r>
    <x v="5"/>
    <x v="0"/>
    <x v="1"/>
    <m/>
    <n v="54"/>
    <n v="0"/>
    <n v="1"/>
    <n v="0"/>
  </r>
  <r>
    <x v="5"/>
    <x v="0"/>
    <x v="27"/>
    <m/>
    <n v="53"/>
    <n v="0"/>
    <n v="0"/>
    <n v="0"/>
  </r>
  <r>
    <x v="5"/>
    <x v="0"/>
    <x v="28"/>
    <m/>
    <n v="76"/>
    <n v="0"/>
    <n v="0"/>
    <n v="0"/>
  </r>
  <r>
    <x v="5"/>
    <x v="0"/>
    <x v="29"/>
    <m/>
    <n v="53"/>
    <n v="0"/>
    <n v="0"/>
    <n v="0"/>
  </r>
  <r>
    <x v="5"/>
    <x v="0"/>
    <x v="30"/>
    <m/>
    <n v="72"/>
    <n v="0"/>
    <n v="8"/>
    <n v="0"/>
  </r>
  <r>
    <x v="5"/>
    <x v="0"/>
    <x v="31"/>
    <m/>
    <n v="0"/>
    <n v="0"/>
    <n v="3"/>
    <n v="0"/>
  </r>
  <r>
    <x v="5"/>
    <x v="0"/>
    <x v="32"/>
    <m/>
    <n v="85"/>
    <n v="0"/>
    <n v="0"/>
    <n v="0"/>
  </r>
  <r>
    <x v="5"/>
    <x v="0"/>
    <x v="33"/>
    <m/>
    <n v="65"/>
    <n v="0"/>
    <n v="1"/>
    <n v="0"/>
  </r>
  <r>
    <x v="5"/>
    <x v="0"/>
    <x v="4"/>
    <m/>
    <n v="51"/>
    <n v="0"/>
    <n v="1"/>
    <n v="0"/>
  </r>
  <r>
    <x v="5"/>
    <x v="0"/>
    <x v="17"/>
    <s v="S40000004"/>
    <n v="49"/>
    <n v="0"/>
    <n v="0"/>
    <n v="0"/>
  </r>
  <r>
    <x v="5"/>
    <x v="1"/>
    <x v="11"/>
    <m/>
    <n v="0"/>
    <n v="11"/>
    <n v="16"/>
    <n v="0"/>
  </r>
  <r>
    <x v="5"/>
    <x v="1"/>
    <x v="6"/>
    <m/>
    <n v="0"/>
    <n v="8"/>
    <n v="14"/>
    <n v="0"/>
  </r>
  <r>
    <x v="5"/>
    <x v="1"/>
    <x v="30"/>
    <m/>
    <n v="0"/>
    <n v="17"/>
    <n v="6"/>
    <n v="0"/>
  </r>
  <r>
    <x v="5"/>
    <x v="1"/>
    <x v="34"/>
    <m/>
    <n v="0"/>
    <n v="14"/>
    <n v="13"/>
    <n v="0"/>
  </r>
  <r>
    <x v="5"/>
    <x v="1"/>
    <x v="25"/>
    <m/>
    <n v="0"/>
    <n v="10"/>
    <n v="16"/>
    <n v="0"/>
  </r>
  <r>
    <x v="5"/>
    <x v="1"/>
    <x v="18"/>
    <m/>
    <n v="0"/>
    <n v="12"/>
    <n v="17"/>
    <n v="0"/>
  </r>
  <r>
    <x v="6"/>
    <x v="0"/>
    <x v="1"/>
    <m/>
    <n v="52"/>
    <n v="0"/>
    <n v="1"/>
    <n v="0"/>
  </r>
  <r>
    <x v="6"/>
    <x v="0"/>
    <x v="35"/>
    <m/>
    <n v="162"/>
    <n v="0"/>
    <n v="0"/>
    <n v="0"/>
  </r>
  <r>
    <x v="6"/>
    <x v="0"/>
    <x v="28"/>
    <m/>
    <n v="75"/>
    <n v="0"/>
    <n v="0"/>
    <n v="0"/>
  </r>
  <r>
    <x v="6"/>
    <x v="0"/>
    <x v="36"/>
    <s v="S40000004"/>
    <n v="26"/>
    <n v="0"/>
    <n v="0"/>
    <n v="0"/>
  </r>
  <r>
    <x v="6"/>
    <x v="0"/>
    <x v="29"/>
    <m/>
    <n v="52"/>
    <n v="0"/>
    <n v="0"/>
    <n v="0"/>
  </r>
  <r>
    <x v="6"/>
    <x v="0"/>
    <x v="30"/>
    <m/>
    <n v="70"/>
    <n v="0"/>
    <n v="3"/>
    <n v="0"/>
  </r>
  <r>
    <x v="6"/>
    <x v="0"/>
    <x v="12"/>
    <m/>
    <n v="1"/>
    <n v="0"/>
    <n v="0"/>
    <n v="0"/>
  </r>
  <r>
    <x v="6"/>
    <x v="0"/>
    <x v="33"/>
    <m/>
    <n v="59"/>
    <n v="0"/>
    <n v="0"/>
    <n v="0"/>
  </r>
  <r>
    <x v="6"/>
    <x v="0"/>
    <x v="4"/>
    <m/>
    <n v="52"/>
    <n v="0"/>
    <n v="1"/>
    <n v="0"/>
  </r>
  <r>
    <x v="6"/>
    <x v="0"/>
    <x v="17"/>
    <s v="S40000004"/>
    <n v="47"/>
    <n v="0"/>
    <n v="0"/>
    <n v="0"/>
  </r>
  <r>
    <x v="6"/>
    <x v="1"/>
    <x v="6"/>
    <m/>
    <n v="0"/>
    <n v="8"/>
    <n v="7"/>
    <n v="0"/>
  </r>
  <r>
    <x v="6"/>
    <x v="1"/>
    <x v="30"/>
    <m/>
    <n v="0"/>
    <n v="19"/>
    <n v="6"/>
    <n v="0"/>
  </r>
  <r>
    <x v="6"/>
    <x v="1"/>
    <x v="25"/>
    <m/>
    <n v="0"/>
    <n v="10"/>
    <n v="10"/>
    <n v="0"/>
  </r>
  <r>
    <x v="6"/>
    <x v="1"/>
    <x v="18"/>
    <m/>
    <n v="0"/>
    <n v="13"/>
    <n v="11"/>
    <n v="0"/>
  </r>
  <r>
    <x v="7"/>
    <x v="0"/>
    <x v="37"/>
    <m/>
    <n v="27"/>
    <n v="0"/>
    <n v="15"/>
    <n v="0"/>
  </r>
  <r>
    <x v="7"/>
    <x v="0"/>
    <x v="38"/>
    <m/>
    <n v="53"/>
    <n v="0"/>
    <n v="0"/>
    <n v="0"/>
  </r>
  <r>
    <x v="7"/>
    <x v="0"/>
    <x v="23"/>
    <m/>
    <n v="76"/>
    <n v="0"/>
    <n v="1"/>
    <n v="0"/>
  </r>
  <r>
    <x v="7"/>
    <x v="2"/>
    <x v="10"/>
    <s v="S40000004"/>
    <n v="0"/>
    <n v="10"/>
    <n v="6"/>
    <n v="24"/>
  </r>
  <r>
    <x v="7"/>
    <x v="2"/>
    <x v="19"/>
    <m/>
    <n v="0"/>
    <n v="9"/>
    <n v="6"/>
    <n v="12"/>
  </r>
  <r>
    <x v="7"/>
    <x v="2"/>
    <x v="39"/>
    <m/>
    <n v="0"/>
    <n v="11"/>
    <n v="47"/>
    <n v="36"/>
  </r>
  <r>
    <x v="7"/>
    <x v="3"/>
    <x v="26"/>
    <s v="S92000003"/>
    <n v="0"/>
    <n v="57"/>
    <n v="38"/>
    <n v="0"/>
  </r>
  <r>
    <x v="0"/>
    <x v="0"/>
    <x v="37"/>
    <s v="S12000034"/>
    <n v="30"/>
    <n v="0"/>
    <n v="0"/>
    <n v="0"/>
  </r>
  <r>
    <x v="0"/>
    <x v="0"/>
    <x v="38"/>
    <s v="S12000008"/>
    <n v="47"/>
    <n v="0"/>
    <n v="0"/>
    <n v="0"/>
  </r>
  <r>
    <x v="0"/>
    <x v="0"/>
    <x v="29"/>
    <s v="S12000011"/>
    <n v="52"/>
    <n v="0"/>
    <n v="0"/>
    <n v="0"/>
  </r>
  <r>
    <x v="0"/>
    <x v="0"/>
    <x v="32"/>
    <s v="S12000021"/>
    <n v="76"/>
    <n v="0"/>
    <n v="0"/>
    <n v="0"/>
  </r>
  <r>
    <x v="0"/>
    <x v="0"/>
    <x v="17"/>
    <s v="S40000004"/>
    <n v="49"/>
    <n v="0"/>
    <n v="0"/>
    <n v="0"/>
  </r>
  <r>
    <x v="0"/>
    <x v="1"/>
    <x v="14"/>
    <s v="S39000008"/>
    <n v="0"/>
    <n v="9"/>
    <n v="5"/>
    <n v="0"/>
  </r>
  <r>
    <x v="0"/>
    <x v="2"/>
    <x v="19"/>
    <s v="S40000005"/>
    <n v="0"/>
    <n v="12"/>
    <n v="18"/>
    <n v="0"/>
  </r>
  <r>
    <x v="0"/>
    <x v="2"/>
    <x v="39"/>
    <s v="S40000003"/>
    <n v="0"/>
    <n v="18"/>
    <n v="61"/>
    <n v="0"/>
  </r>
  <r>
    <x v="0"/>
    <x v="3"/>
    <x v="26"/>
    <s v="S92000003"/>
    <n v="0"/>
    <n v="43"/>
    <n v="46"/>
    <n v="60"/>
  </r>
  <r>
    <x v="1"/>
    <x v="0"/>
    <x v="40"/>
    <s v="S40000004"/>
    <n v="25"/>
    <n v="0"/>
    <n v="0"/>
    <n v="0"/>
  </r>
  <r>
    <x v="1"/>
    <x v="1"/>
    <x v="6"/>
    <s v="S40000003"/>
    <n v="0"/>
    <n v="9"/>
    <n v="13"/>
    <n v="0"/>
  </r>
  <r>
    <x v="1"/>
    <x v="1"/>
    <x v="7"/>
    <s v="S40000003"/>
    <n v="0"/>
    <n v="14"/>
    <n v="14"/>
    <n v="0"/>
  </r>
  <r>
    <x v="1"/>
    <x v="2"/>
    <x v="10"/>
    <s v="S40000004"/>
    <n v="0"/>
    <n v="13"/>
    <n v="39"/>
    <n v="0"/>
  </r>
  <r>
    <x v="2"/>
    <x v="0"/>
    <x v="20"/>
    <s v="S40000004"/>
    <n v="88"/>
    <n v="0"/>
    <n v="0"/>
    <n v="0"/>
  </r>
  <r>
    <x v="2"/>
    <x v="0"/>
    <x v="2"/>
    <s v="S40000004"/>
    <n v="254"/>
    <n v="0"/>
    <n v="0"/>
    <n v="0"/>
  </r>
  <r>
    <x v="2"/>
    <x v="0"/>
    <x v="33"/>
    <s v="S40000005"/>
    <n v="63"/>
    <n v="0"/>
    <n v="0"/>
    <n v="0"/>
  </r>
  <r>
    <x v="2"/>
    <x v="1"/>
    <x v="14"/>
    <s v="S40000003"/>
    <n v="0"/>
    <n v="10"/>
    <n v="7"/>
    <n v="0"/>
  </r>
  <r>
    <x v="3"/>
    <x v="0"/>
    <x v="16"/>
    <m/>
    <n v="26"/>
    <n v="0"/>
    <n v="0"/>
    <n v="0"/>
  </r>
  <r>
    <x v="3"/>
    <x v="0"/>
    <x v="1"/>
    <m/>
    <n v="46"/>
    <n v="0"/>
    <n v="0"/>
    <n v="0"/>
  </r>
  <r>
    <x v="3"/>
    <x v="0"/>
    <x v="12"/>
    <s v="S40000004"/>
    <n v="26"/>
    <n v="0"/>
    <n v="0"/>
    <n v="0"/>
  </r>
  <r>
    <x v="3"/>
    <x v="0"/>
    <x v="32"/>
    <m/>
    <n v="74"/>
    <n v="0"/>
    <n v="0"/>
    <n v="0"/>
  </r>
  <r>
    <x v="3"/>
    <x v="1"/>
    <x v="9"/>
    <m/>
    <n v="0"/>
    <n v="14"/>
    <n v="9"/>
    <n v="0"/>
  </r>
  <r>
    <x v="3"/>
    <x v="2"/>
    <x v="19"/>
    <m/>
    <n v="0"/>
    <n v="11"/>
    <n v="27"/>
    <n v="10"/>
  </r>
  <r>
    <x v="4"/>
    <x v="0"/>
    <x v="37"/>
    <m/>
    <n v="28"/>
    <n v="0"/>
    <n v="0"/>
    <n v="0"/>
  </r>
  <r>
    <x v="4"/>
    <x v="0"/>
    <x v="11"/>
    <s v="S40000004"/>
    <n v="283"/>
    <n v="0"/>
    <n v="0"/>
    <n v="0"/>
  </r>
  <r>
    <x v="4"/>
    <x v="0"/>
    <x v="38"/>
    <m/>
    <n v="46"/>
    <n v="0"/>
    <n v="1"/>
    <n v="0"/>
  </r>
  <r>
    <x v="4"/>
    <x v="0"/>
    <x v="3"/>
    <m/>
    <n v="29"/>
    <n v="0"/>
    <n v="0"/>
    <n v="0"/>
  </r>
  <r>
    <x v="4"/>
    <x v="0"/>
    <x v="41"/>
    <m/>
    <n v="158"/>
    <n v="0"/>
    <n v="1"/>
    <n v="0"/>
  </r>
  <r>
    <x v="4"/>
    <x v="0"/>
    <x v="21"/>
    <s v="S40000004"/>
    <n v="56"/>
    <n v="0"/>
    <n v="0"/>
    <n v="0"/>
  </r>
  <r>
    <x v="4"/>
    <x v="1"/>
    <x v="42"/>
    <m/>
    <n v="0"/>
    <n v="15"/>
    <n v="15"/>
    <n v="0"/>
  </r>
  <r>
    <x v="4"/>
    <x v="1"/>
    <x v="6"/>
    <m/>
    <n v="0"/>
    <n v="9"/>
    <n v="9"/>
    <n v="0"/>
  </r>
  <r>
    <x v="4"/>
    <x v="1"/>
    <x v="7"/>
    <m/>
    <n v="0"/>
    <n v="15"/>
    <n v="11"/>
    <n v="0"/>
  </r>
  <r>
    <x v="4"/>
    <x v="2"/>
    <x v="10"/>
    <s v="S40000004"/>
    <n v="0"/>
    <n v="8"/>
    <n v="29"/>
    <n v="30"/>
  </r>
  <r>
    <x v="5"/>
    <x v="0"/>
    <x v="16"/>
    <m/>
    <n v="27"/>
    <n v="0"/>
    <n v="0"/>
    <n v="0"/>
  </r>
  <r>
    <x v="5"/>
    <x v="0"/>
    <x v="20"/>
    <s v="S40000004"/>
    <n v="91"/>
    <n v="0"/>
    <n v="0"/>
    <n v="0"/>
  </r>
  <r>
    <x v="5"/>
    <x v="0"/>
    <x v="2"/>
    <s v="S40000004"/>
    <n v="214"/>
    <n v="0"/>
    <n v="2"/>
    <n v="0"/>
  </r>
  <r>
    <x v="5"/>
    <x v="0"/>
    <x v="43"/>
    <m/>
    <n v="0"/>
    <n v="0"/>
    <n v="1"/>
    <n v="0"/>
  </r>
  <r>
    <x v="6"/>
    <x v="1"/>
    <x v="11"/>
    <m/>
    <n v="0"/>
    <n v="10"/>
    <n v="15"/>
    <n v="0"/>
  </r>
  <r>
    <x v="7"/>
    <x v="0"/>
    <x v="3"/>
    <m/>
    <n v="28"/>
    <n v="0"/>
    <n v="1"/>
    <n v="0"/>
  </r>
  <r>
    <x v="7"/>
    <x v="0"/>
    <x v="17"/>
    <s v="S40000004"/>
    <n v="48"/>
    <n v="0"/>
    <n v="1"/>
    <n v="0"/>
  </r>
  <r>
    <x v="7"/>
    <x v="1"/>
    <x v="6"/>
    <m/>
    <n v="0"/>
    <n v="10"/>
    <n v="1"/>
    <n v="0"/>
  </r>
  <r>
    <x v="7"/>
    <x v="1"/>
    <x v="7"/>
    <m/>
    <n v="0"/>
    <n v="13"/>
    <n v="12"/>
    <n v="0"/>
  </r>
  <r>
    <x v="7"/>
    <x v="1"/>
    <x v="18"/>
    <s v="S40000004"/>
    <n v="0"/>
    <n v="1"/>
    <n v="0"/>
    <n v="0"/>
  </r>
  <r>
    <x v="0"/>
    <x v="0"/>
    <x v="44"/>
    <s v="S12000018"/>
    <n v="72"/>
    <n v="0"/>
    <n v="0"/>
    <n v="0"/>
  </r>
  <r>
    <x v="0"/>
    <x v="0"/>
    <x v="41"/>
    <s v="S12000044"/>
    <n v="166"/>
    <n v="0"/>
    <n v="0"/>
    <n v="0"/>
  </r>
  <r>
    <x v="0"/>
    <x v="0"/>
    <x v="33"/>
    <s v="S12000048"/>
    <n v="69"/>
    <n v="0"/>
    <n v="0"/>
    <n v="0"/>
  </r>
  <r>
    <x v="1"/>
    <x v="0"/>
    <x v="2"/>
    <s v="S40000004"/>
    <n v="269"/>
    <n v="0"/>
    <n v="0"/>
    <n v="0"/>
  </r>
  <r>
    <x v="2"/>
    <x v="0"/>
    <x v="41"/>
    <s v="S40000003"/>
    <n v="160"/>
    <n v="0"/>
    <n v="0"/>
    <n v="0"/>
  </r>
  <r>
    <x v="2"/>
    <x v="1"/>
    <x v="42"/>
    <s v="S40000003"/>
    <n v="0"/>
    <n v="11"/>
    <n v="15"/>
    <n v="0"/>
  </r>
  <r>
    <x v="2"/>
    <x v="1"/>
    <x v="8"/>
    <s v="S40000004"/>
    <n v="0"/>
    <n v="8"/>
    <n v="11"/>
    <n v="0"/>
  </r>
  <r>
    <x v="2"/>
    <x v="1"/>
    <x v="41"/>
    <s v="S40000003"/>
    <n v="0"/>
    <n v="8"/>
    <n v="7"/>
    <n v="0"/>
  </r>
  <r>
    <x v="3"/>
    <x v="0"/>
    <x v="0"/>
    <m/>
    <n v="154"/>
    <n v="0"/>
    <n v="0"/>
    <n v="0"/>
  </r>
  <r>
    <x v="3"/>
    <x v="0"/>
    <x v="3"/>
    <m/>
    <n v="30"/>
    <n v="0"/>
    <n v="0"/>
    <n v="0"/>
  </r>
  <r>
    <x v="3"/>
    <x v="1"/>
    <x v="42"/>
    <m/>
    <n v="0"/>
    <n v="13"/>
    <n v="15"/>
    <n v="0"/>
  </r>
  <r>
    <x v="3"/>
    <x v="1"/>
    <x v="7"/>
    <m/>
    <n v="0"/>
    <n v="15"/>
    <n v="12"/>
    <n v="0"/>
  </r>
  <r>
    <x v="3"/>
    <x v="1"/>
    <x v="8"/>
    <s v="S40000004"/>
    <n v="0"/>
    <n v="0"/>
    <n v="2"/>
    <n v="0"/>
  </r>
  <r>
    <x v="4"/>
    <x v="0"/>
    <x v="16"/>
    <m/>
    <n v="24"/>
    <n v="0"/>
    <n v="0"/>
    <n v="0"/>
  </r>
  <r>
    <x v="4"/>
    <x v="0"/>
    <x v="1"/>
    <m/>
    <n v="50"/>
    <n v="0"/>
    <n v="0"/>
    <n v="0"/>
  </r>
  <r>
    <x v="4"/>
    <x v="0"/>
    <x v="27"/>
    <m/>
    <n v="51"/>
    <n v="0"/>
    <n v="0"/>
    <n v="0"/>
  </r>
  <r>
    <x v="4"/>
    <x v="0"/>
    <x v="28"/>
    <m/>
    <n v="71"/>
    <n v="0"/>
    <n v="0"/>
    <n v="0"/>
  </r>
  <r>
    <x v="4"/>
    <x v="0"/>
    <x v="36"/>
    <s v="S40000004"/>
    <n v="24"/>
    <n v="0"/>
    <n v="0"/>
    <n v="0"/>
  </r>
  <r>
    <x v="4"/>
    <x v="0"/>
    <x v="9"/>
    <m/>
    <n v="481"/>
    <n v="0"/>
    <n v="10"/>
    <n v="0"/>
  </r>
  <r>
    <x v="4"/>
    <x v="0"/>
    <x v="32"/>
    <m/>
    <n v="75"/>
    <n v="0"/>
    <n v="0"/>
    <n v="0"/>
  </r>
  <r>
    <x v="4"/>
    <x v="1"/>
    <x v="9"/>
    <m/>
    <n v="0"/>
    <n v="14"/>
    <n v="9"/>
    <n v="0"/>
  </r>
  <r>
    <x v="4"/>
    <x v="2"/>
    <x v="19"/>
    <m/>
    <n v="0"/>
    <n v="11"/>
    <n v="34"/>
    <n v="25"/>
  </r>
  <r>
    <x v="5"/>
    <x v="0"/>
    <x v="37"/>
    <m/>
    <n v="28"/>
    <n v="0"/>
    <n v="0"/>
    <n v="0"/>
  </r>
  <r>
    <x v="5"/>
    <x v="0"/>
    <x v="38"/>
    <m/>
    <n v="47"/>
    <n v="0"/>
    <n v="1"/>
    <n v="0"/>
  </r>
  <r>
    <x v="5"/>
    <x v="0"/>
    <x v="41"/>
    <m/>
    <n v="167"/>
    <n v="0"/>
    <n v="2"/>
    <n v="0"/>
  </r>
  <r>
    <x v="5"/>
    <x v="0"/>
    <x v="45"/>
    <m/>
    <n v="102"/>
    <n v="0"/>
    <n v="0"/>
    <n v="0"/>
  </r>
  <r>
    <x v="5"/>
    <x v="0"/>
    <x v="23"/>
    <m/>
    <n v="75"/>
    <n v="0"/>
    <n v="0"/>
    <n v="0"/>
  </r>
  <r>
    <x v="5"/>
    <x v="2"/>
    <x v="10"/>
    <s v="S40000004"/>
    <n v="0"/>
    <n v="8"/>
    <n v="21"/>
    <n v="0"/>
  </r>
  <r>
    <x v="6"/>
    <x v="0"/>
    <x v="37"/>
    <m/>
    <n v="31"/>
    <n v="0"/>
    <n v="0"/>
    <n v="0"/>
  </r>
  <r>
    <x v="6"/>
    <x v="0"/>
    <x v="44"/>
    <m/>
    <n v="64"/>
    <n v="0"/>
    <n v="0"/>
    <n v="0"/>
  </r>
  <r>
    <x v="6"/>
    <x v="0"/>
    <x v="41"/>
    <m/>
    <n v="163"/>
    <n v="0"/>
    <n v="0"/>
    <n v="0"/>
  </r>
  <r>
    <x v="6"/>
    <x v="0"/>
    <x v="45"/>
    <m/>
    <n v="102"/>
    <n v="0"/>
    <n v="0"/>
    <n v="0"/>
  </r>
  <r>
    <x v="6"/>
    <x v="0"/>
    <x v="23"/>
    <m/>
    <n v="75"/>
    <n v="0"/>
    <n v="0"/>
    <n v="0"/>
  </r>
  <r>
    <x v="6"/>
    <x v="1"/>
    <x v="6"/>
    <m/>
    <n v="0"/>
    <n v="1"/>
    <n v="0"/>
    <n v="0"/>
  </r>
  <r>
    <x v="6"/>
    <x v="1"/>
    <x v="46"/>
    <m/>
    <n v="0"/>
    <n v="13"/>
    <n v="12"/>
    <n v="0"/>
  </r>
  <r>
    <x v="6"/>
    <x v="1"/>
    <x v="18"/>
    <s v="S40000004"/>
    <n v="0"/>
    <n v="2"/>
    <n v="0"/>
    <n v="0"/>
  </r>
  <r>
    <x v="6"/>
    <x v="2"/>
    <x v="10"/>
    <s v="S40000004"/>
    <n v="0"/>
    <n v="11"/>
    <n v="46"/>
    <n v="16"/>
  </r>
  <r>
    <x v="7"/>
    <x v="0"/>
    <x v="16"/>
    <m/>
    <n v="25"/>
    <n v="1"/>
    <n v="0"/>
    <n v="0"/>
  </r>
  <r>
    <x v="7"/>
    <x v="0"/>
    <x v="1"/>
    <m/>
    <n v="51"/>
    <n v="0"/>
    <n v="1"/>
    <n v="0"/>
  </r>
  <r>
    <x v="7"/>
    <x v="0"/>
    <x v="27"/>
    <m/>
    <n v="49"/>
    <n v="0"/>
    <n v="15"/>
    <n v="0"/>
  </r>
  <r>
    <x v="7"/>
    <x v="0"/>
    <x v="28"/>
    <m/>
    <n v="81"/>
    <n v="0"/>
    <n v="0"/>
    <n v="0"/>
  </r>
  <r>
    <x v="7"/>
    <x v="0"/>
    <x v="32"/>
    <m/>
    <n v="76"/>
    <n v="0"/>
    <n v="0"/>
    <n v="0"/>
  </r>
  <r>
    <x v="7"/>
    <x v="0"/>
    <x v="24"/>
    <s v="S40000004"/>
    <n v="61"/>
    <n v="0"/>
    <n v="4"/>
    <n v="0"/>
  </r>
  <r>
    <x v="7"/>
    <x v="1"/>
    <x v="11"/>
    <m/>
    <n v="0"/>
    <n v="16"/>
    <n v="15"/>
    <n v="0"/>
  </r>
  <r>
    <x v="7"/>
    <x v="1"/>
    <x v="9"/>
    <m/>
    <n v="0"/>
    <n v="14"/>
    <n v="16"/>
    <n v="0"/>
  </r>
  <r>
    <x v="7"/>
    <x v="1"/>
    <x v="18"/>
    <m/>
    <n v="0"/>
    <n v="13"/>
    <n v="18"/>
    <n v="0"/>
  </r>
  <r>
    <x v="0"/>
    <x v="0"/>
    <x v="35"/>
    <s v="S12000042"/>
    <n v="177"/>
    <n v="0"/>
    <n v="0"/>
    <n v="0"/>
  </r>
  <r>
    <x v="0"/>
    <x v="0"/>
    <x v="28"/>
    <s v="S12000045"/>
    <n v="78"/>
    <n v="0"/>
    <n v="0"/>
    <n v="0"/>
  </r>
  <r>
    <x v="0"/>
    <x v="0"/>
    <x v="20"/>
    <s v="S40000004"/>
    <n v="88"/>
    <n v="0"/>
    <n v="0"/>
    <n v="0"/>
  </r>
  <r>
    <x v="0"/>
    <x v="1"/>
    <x v="30"/>
    <s v="S39000013"/>
    <n v="0"/>
    <n v="19"/>
    <n v="26"/>
    <n v="0"/>
  </r>
  <r>
    <x v="1"/>
    <x v="0"/>
    <x v="28"/>
    <s v="S40000003"/>
    <n v="79"/>
    <n v="0"/>
    <n v="0"/>
    <n v="0"/>
  </r>
  <r>
    <x v="1"/>
    <x v="0"/>
    <x v="36"/>
    <s v="S40000004"/>
    <n v="25"/>
    <n v="0"/>
    <n v="0"/>
    <n v="0"/>
  </r>
  <r>
    <x v="1"/>
    <x v="0"/>
    <x v="29"/>
    <s v="S40000003"/>
    <n v="50"/>
    <n v="0"/>
    <n v="0"/>
    <n v="0"/>
  </r>
  <r>
    <x v="1"/>
    <x v="0"/>
    <x v="21"/>
    <s v="S40000004"/>
    <n v="53"/>
    <n v="0"/>
    <n v="0"/>
    <n v="0"/>
  </r>
  <r>
    <x v="1"/>
    <x v="0"/>
    <x v="4"/>
    <s v="S40000003"/>
    <n v="50"/>
    <n v="0"/>
    <n v="0"/>
    <n v="0"/>
  </r>
  <r>
    <x v="1"/>
    <x v="1"/>
    <x v="5"/>
    <s v="S40000005"/>
    <n v="0"/>
    <n v="13"/>
    <n v="12"/>
    <n v="0"/>
  </r>
  <r>
    <x v="1"/>
    <x v="1"/>
    <x v="25"/>
    <s v="S40000004"/>
    <n v="0"/>
    <n v="11"/>
    <n v="18"/>
    <n v="0"/>
  </r>
  <r>
    <x v="1"/>
    <x v="1"/>
    <x v="30"/>
    <s v="S40000005"/>
    <n v="0"/>
    <n v="18"/>
    <n v="20"/>
    <n v="0"/>
  </r>
  <r>
    <x v="1"/>
    <x v="1"/>
    <x v="18"/>
    <m/>
    <n v="0"/>
    <n v="8"/>
    <n v="11"/>
    <n v="0"/>
  </r>
  <r>
    <x v="2"/>
    <x v="0"/>
    <x v="1"/>
    <s v="S40000003"/>
    <n v="52"/>
    <n v="0"/>
    <n v="0"/>
    <n v="0"/>
  </r>
  <r>
    <x v="2"/>
    <x v="0"/>
    <x v="35"/>
    <s v="S40000005"/>
    <n v="182"/>
    <n v="0"/>
    <n v="0"/>
    <n v="0"/>
  </r>
  <r>
    <x v="2"/>
    <x v="0"/>
    <x v="38"/>
    <s v="S40000003"/>
    <n v="47"/>
    <n v="0"/>
    <n v="0"/>
    <n v="0"/>
  </r>
  <r>
    <x v="2"/>
    <x v="0"/>
    <x v="9"/>
    <s v="S40000003"/>
    <n v="499"/>
    <n v="0"/>
    <n v="0"/>
    <n v="0"/>
  </r>
  <r>
    <x v="2"/>
    <x v="0"/>
    <x v="23"/>
    <s v="S40000003"/>
    <n v="73"/>
    <n v="0"/>
    <n v="0"/>
    <n v="0"/>
  </r>
  <r>
    <x v="2"/>
    <x v="1"/>
    <x v="46"/>
    <s v="S40000005"/>
    <n v="0"/>
    <n v="13"/>
    <n v="15"/>
    <n v="0"/>
  </r>
  <r>
    <x v="2"/>
    <x v="1"/>
    <x v="15"/>
    <s v="S40000005"/>
    <n v="0"/>
    <n v="11"/>
    <n v="4"/>
    <n v="0"/>
  </r>
  <r>
    <x v="2"/>
    <x v="3"/>
    <x v="26"/>
    <s v="S92000003"/>
    <n v="0"/>
    <n v="59"/>
    <n v="24"/>
    <n v="1"/>
  </r>
  <r>
    <x v="3"/>
    <x v="0"/>
    <x v="40"/>
    <s v="S40000004"/>
    <n v="24"/>
    <n v="0"/>
    <n v="0"/>
    <n v="0"/>
  </r>
  <r>
    <x v="3"/>
    <x v="0"/>
    <x v="44"/>
    <m/>
    <n v="68"/>
    <n v="0"/>
    <n v="0"/>
    <n v="0"/>
  </r>
  <r>
    <x v="3"/>
    <x v="0"/>
    <x v="13"/>
    <m/>
    <n v="155"/>
    <n v="0"/>
    <n v="0"/>
    <n v="0"/>
  </r>
  <r>
    <x v="3"/>
    <x v="0"/>
    <x v="24"/>
    <s v="S40000004"/>
    <n v="58"/>
    <n v="0"/>
    <n v="0"/>
    <n v="0"/>
  </r>
  <r>
    <x v="3"/>
    <x v="1"/>
    <x v="46"/>
    <m/>
    <n v="0"/>
    <n v="13"/>
    <n v="18"/>
    <n v="0"/>
  </r>
  <r>
    <x v="3"/>
    <x v="2"/>
    <x v="39"/>
    <m/>
    <n v="0"/>
    <n v="14"/>
    <n v="59"/>
    <n v="34"/>
  </r>
  <r>
    <x v="3"/>
    <x v="3"/>
    <x v="26"/>
    <s v="S92000003"/>
    <n v="0"/>
    <n v="60"/>
    <n v="25"/>
    <n v="0"/>
  </r>
  <r>
    <x v="4"/>
    <x v="0"/>
    <x v="31"/>
    <m/>
    <n v="0"/>
    <n v="0"/>
    <n v="3"/>
    <n v="0"/>
  </r>
  <r>
    <x v="4"/>
    <x v="0"/>
    <x v="45"/>
    <m/>
    <n v="95"/>
    <n v="0"/>
    <n v="0"/>
    <n v="0"/>
  </r>
  <r>
    <x v="4"/>
    <x v="0"/>
    <x v="43"/>
    <m/>
    <n v="0"/>
    <n v="0"/>
    <n v="1"/>
    <n v="0"/>
  </r>
  <r>
    <x v="4"/>
    <x v="1"/>
    <x v="11"/>
    <s v="S40000004"/>
    <n v="0"/>
    <n v="0"/>
    <n v="1"/>
    <n v="0"/>
  </r>
  <r>
    <x v="4"/>
    <x v="1"/>
    <x v="15"/>
    <m/>
    <n v="0"/>
    <n v="1"/>
    <n v="0"/>
    <n v="0"/>
  </r>
  <r>
    <x v="4"/>
    <x v="1"/>
    <x v="18"/>
    <m/>
    <n v="0"/>
    <n v="13"/>
    <n v="13"/>
    <n v="0"/>
  </r>
  <r>
    <x v="5"/>
    <x v="0"/>
    <x v="11"/>
    <s v="S40000004"/>
    <n v="293"/>
    <n v="0"/>
    <n v="0"/>
    <n v="0"/>
  </r>
  <r>
    <x v="5"/>
    <x v="0"/>
    <x v="9"/>
    <m/>
    <n v="452"/>
    <n v="0"/>
    <n v="11"/>
    <n v="0"/>
  </r>
  <r>
    <x v="5"/>
    <x v="1"/>
    <x v="14"/>
    <m/>
    <n v="0"/>
    <n v="10"/>
    <n v="8"/>
    <n v="0"/>
  </r>
  <r>
    <x v="5"/>
    <x v="1"/>
    <x v="8"/>
    <m/>
    <n v="0"/>
    <n v="9"/>
    <n v="10"/>
    <n v="0"/>
  </r>
  <r>
    <x v="5"/>
    <x v="1"/>
    <x v="9"/>
    <m/>
    <n v="0"/>
    <n v="13"/>
    <n v="10"/>
    <n v="0"/>
  </r>
  <r>
    <x v="5"/>
    <x v="1"/>
    <x v="18"/>
    <s v="S40000004"/>
    <n v="0"/>
    <n v="2"/>
    <n v="2"/>
    <n v="0"/>
  </r>
  <r>
    <x v="6"/>
    <x v="0"/>
    <x v="11"/>
    <s v="S40000004"/>
    <n v="288"/>
    <n v="0"/>
    <n v="0"/>
    <n v="0"/>
  </r>
  <r>
    <x v="6"/>
    <x v="0"/>
    <x v="38"/>
    <m/>
    <n v="54"/>
    <n v="0"/>
    <n v="1"/>
    <n v="0"/>
  </r>
  <r>
    <x v="6"/>
    <x v="0"/>
    <x v="2"/>
    <s v="S40000004"/>
    <n v="211"/>
    <n v="0"/>
    <n v="0"/>
    <n v="0"/>
  </r>
  <r>
    <x v="6"/>
    <x v="0"/>
    <x v="9"/>
    <m/>
    <n v="438"/>
    <n v="0"/>
    <n v="10"/>
    <n v="0"/>
  </r>
  <r>
    <x v="6"/>
    <x v="0"/>
    <x v="12"/>
    <s v="S40000004"/>
    <n v="28"/>
    <n v="0"/>
    <n v="0"/>
    <n v="0"/>
  </r>
  <r>
    <x v="6"/>
    <x v="1"/>
    <x v="14"/>
    <m/>
    <n v="0"/>
    <n v="9"/>
    <n v="6"/>
    <n v="0"/>
  </r>
  <r>
    <x v="6"/>
    <x v="1"/>
    <x v="8"/>
    <m/>
    <n v="0"/>
    <n v="9"/>
    <n v="6"/>
    <n v="0"/>
  </r>
  <r>
    <x v="7"/>
    <x v="0"/>
    <x v="29"/>
    <m/>
    <n v="50"/>
    <n v="0"/>
    <n v="0"/>
    <n v="0"/>
  </r>
  <r>
    <x v="7"/>
    <x v="0"/>
    <x v="20"/>
    <s v="S40000004"/>
    <n v="84"/>
    <n v="0"/>
    <n v="0"/>
    <n v="0"/>
  </r>
  <r>
    <x v="7"/>
    <x v="0"/>
    <x v="31"/>
    <m/>
    <n v="0"/>
    <n v="0"/>
    <n v="3"/>
    <n v="0"/>
  </r>
  <r>
    <x v="7"/>
    <x v="0"/>
    <x v="4"/>
    <m/>
    <n v="49"/>
    <n v="0"/>
    <n v="2"/>
    <n v="0"/>
  </r>
  <r>
    <x v="7"/>
    <x v="1"/>
    <x v="22"/>
    <m/>
    <n v="48"/>
    <n v="16"/>
    <n v="9"/>
    <n v="0"/>
  </r>
  <r>
    <x v="0"/>
    <x v="0"/>
    <x v="16"/>
    <s v="S12000041"/>
    <n v="28"/>
    <n v="0"/>
    <n v="0"/>
    <n v="0"/>
  </r>
  <r>
    <x v="0"/>
    <x v="0"/>
    <x v="11"/>
    <s v="S40000004"/>
    <n v="297"/>
    <n v="0"/>
    <n v="0"/>
    <n v="0"/>
  </r>
  <r>
    <x v="0"/>
    <x v="0"/>
    <x v="40"/>
    <s v="S40000004"/>
    <n v="25"/>
    <n v="0"/>
    <n v="0"/>
    <n v="0"/>
  </r>
  <r>
    <x v="0"/>
    <x v="0"/>
    <x v="9"/>
    <s v="S12000046"/>
    <n v="515"/>
    <n v="0"/>
    <n v="0"/>
    <n v="0"/>
  </r>
  <r>
    <x v="0"/>
    <x v="1"/>
    <x v="0"/>
    <s v="S39000001"/>
    <n v="0"/>
    <n v="7"/>
    <n v="9"/>
    <n v="0"/>
  </r>
  <r>
    <x v="0"/>
    <x v="1"/>
    <x v="42"/>
    <s v="S39000003"/>
    <n v="0"/>
    <n v="12"/>
    <n v="14"/>
    <n v="0"/>
  </r>
  <r>
    <x v="0"/>
    <x v="1"/>
    <x v="46"/>
    <s v="S39000018"/>
    <n v="0"/>
    <n v="13"/>
    <n v="16"/>
    <n v="0"/>
  </r>
  <r>
    <x v="0"/>
    <x v="1"/>
    <x v="25"/>
    <s v="S40000004"/>
    <n v="0"/>
    <n v="11"/>
    <n v="14"/>
    <n v="0"/>
  </r>
  <r>
    <x v="0"/>
    <x v="1"/>
    <x v="41"/>
    <s v="S39000014"/>
    <n v="0"/>
    <n v="8"/>
    <n v="9"/>
    <n v="0"/>
  </r>
  <r>
    <x v="0"/>
    <x v="1"/>
    <x v="13"/>
    <s v="S39000015"/>
    <n v="0"/>
    <n v="9"/>
    <n v="7"/>
    <n v="0"/>
  </r>
  <r>
    <x v="0"/>
    <x v="1"/>
    <x v="47"/>
    <s v="S40000004"/>
    <n v="0"/>
    <n v="9"/>
    <n v="9"/>
    <n v="0"/>
  </r>
  <r>
    <x v="1"/>
    <x v="0"/>
    <x v="37"/>
    <s v="S40000005"/>
    <n v="32"/>
    <n v="0"/>
    <n v="0"/>
    <n v="0"/>
  </r>
  <r>
    <x v="1"/>
    <x v="0"/>
    <x v="27"/>
    <s v="S40000003"/>
    <n v="52"/>
    <n v="0"/>
    <n v="0"/>
    <n v="0"/>
  </r>
  <r>
    <x v="1"/>
    <x v="0"/>
    <x v="32"/>
    <s v="S40000003"/>
    <n v="75"/>
    <n v="0"/>
    <n v="0"/>
    <n v="0"/>
  </r>
  <r>
    <x v="1"/>
    <x v="0"/>
    <x v="24"/>
    <s v="S40000004"/>
    <n v="58"/>
    <n v="0"/>
    <n v="0"/>
    <n v="0"/>
  </r>
  <r>
    <x v="1"/>
    <x v="1"/>
    <x v="11"/>
    <s v="S40000004"/>
    <n v="0"/>
    <n v="10"/>
    <n v="18"/>
    <n v="0"/>
  </r>
  <r>
    <x v="1"/>
    <x v="1"/>
    <x v="9"/>
    <s v="S40000003"/>
    <n v="0"/>
    <n v="16"/>
    <n v="9"/>
    <n v="0"/>
  </r>
  <r>
    <x v="2"/>
    <x v="0"/>
    <x v="40"/>
    <s v="S40000004"/>
    <n v="24"/>
    <n v="0"/>
    <n v="0"/>
    <n v="0"/>
  </r>
  <r>
    <x v="2"/>
    <x v="0"/>
    <x v="30"/>
    <s v="S40000005"/>
    <n v="74"/>
    <n v="0"/>
    <n v="0"/>
    <n v="0"/>
  </r>
  <r>
    <x v="2"/>
    <x v="0"/>
    <x v="44"/>
    <s v="S40000003"/>
    <n v="70"/>
    <n v="0"/>
    <n v="0"/>
    <n v="0"/>
  </r>
  <r>
    <x v="2"/>
    <x v="0"/>
    <x v="45"/>
    <s v="S40000003"/>
    <n v="100"/>
    <n v="0"/>
    <n v="0"/>
    <n v="0"/>
  </r>
  <r>
    <x v="2"/>
    <x v="0"/>
    <x v="21"/>
    <s v="S40000004"/>
    <n v="51"/>
    <n v="0"/>
    <n v="0"/>
    <n v="0"/>
  </r>
  <r>
    <x v="2"/>
    <x v="1"/>
    <x v="6"/>
    <s v="S40000003"/>
    <n v="0"/>
    <n v="9"/>
    <n v="12"/>
    <n v="0"/>
  </r>
  <r>
    <x v="2"/>
    <x v="1"/>
    <x v="7"/>
    <s v="S40000003"/>
    <n v="0"/>
    <n v="13"/>
    <n v="14"/>
    <n v="0"/>
  </r>
  <r>
    <x v="2"/>
    <x v="1"/>
    <x v="30"/>
    <s v="S40000005"/>
    <n v="0"/>
    <n v="17"/>
    <n v="18"/>
    <n v="0"/>
  </r>
  <r>
    <x v="2"/>
    <x v="1"/>
    <x v="13"/>
    <s v="S40000003"/>
    <n v="0"/>
    <n v="9"/>
    <n v="7"/>
    <n v="0"/>
  </r>
  <r>
    <x v="2"/>
    <x v="1"/>
    <x v="18"/>
    <s v="S40000004"/>
    <n v="0"/>
    <n v="4"/>
    <n v="11"/>
    <n v="0"/>
  </r>
  <r>
    <x v="3"/>
    <x v="0"/>
    <x v="38"/>
    <m/>
    <n v="46"/>
    <n v="0"/>
    <n v="0"/>
    <n v="0"/>
  </r>
  <r>
    <x v="3"/>
    <x v="0"/>
    <x v="41"/>
    <m/>
    <n v="156"/>
    <n v="0"/>
    <n v="0"/>
    <n v="0"/>
  </r>
  <r>
    <x v="3"/>
    <x v="0"/>
    <x v="45"/>
    <m/>
    <n v="99"/>
    <n v="0"/>
    <n v="0"/>
    <n v="0"/>
  </r>
  <r>
    <x v="3"/>
    <x v="0"/>
    <x v="23"/>
    <m/>
    <n v="69"/>
    <n v="0"/>
    <n v="0"/>
    <n v="0"/>
  </r>
  <r>
    <x v="3"/>
    <x v="1"/>
    <x v="6"/>
    <m/>
    <n v="0"/>
    <n v="9"/>
    <n v="13"/>
    <n v="0"/>
  </r>
  <r>
    <x v="3"/>
    <x v="1"/>
    <x v="18"/>
    <s v="S40000004"/>
    <n v="0"/>
    <n v="4"/>
    <n v="7"/>
    <n v="0"/>
  </r>
  <r>
    <x v="3"/>
    <x v="2"/>
    <x v="10"/>
    <s v="S40000004"/>
    <n v="0"/>
    <n v="8"/>
    <n v="37"/>
    <n v="21"/>
  </r>
  <r>
    <x v="4"/>
    <x v="0"/>
    <x v="20"/>
    <s v="S40000004"/>
    <n v="84"/>
    <n v="0"/>
    <n v="0"/>
    <n v="0"/>
  </r>
  <r>
    <x v="4"/>
    <x v="0"/>
    <x v="2"/>
    <s v="S40000004"/>
    <n v="238"/>
    <n v="0"/>
    <n v="1"/>
    <n v="0"/>
  </r>
  <r>
    <x v="4"/>
    <x v="0"/>
    <x v="30"/>
    <m/>
    <n v="0"/>
    <n v="0"/>
    <n v="11"/>
    <n v="0"/>
  </r>
  <r>
    <x v="4"/>
    <x v="1"/>
    <x v="14"/>
    <m/>
    <n v="0"/>
    <n v="10"/>
    <n v="9"/>
    <n v="0"/>
  </r>
  <r>
    <x v="4"/>
    <x v="1"/>
    <x v="8"/>
    <m/>
    <n v="0"/>
    <n v="8"/>
    <n v="11"/>
    <n v="0"/>
  </r>
  <r>
    <x v="4"/>
    <x v="1"/>
    <x v="30"/>
    <m/>
    <n v="0"/>
    <n v="15"/>
    <n v="5"/>
    <n v="0"/>
  </r>
  <r>
    <x v="4"/>
    <x v="1"/>
    <x v="15"/>
    <m/>
    <n v="0"/>
    <n v="9"/>
    <n v="0"/>
    <n v="0"/>
  </r>
  <r>
    <x v="5"/>
    <x v="0"/>
    <x v="35"/>
    <m/>
    <n v="166"/>
    <n v="0"/>
    <n v="2"/>
    <n v="0"/>
  </r>
  <r>
    <x v="5"/>
    <x v="0"/>
    <x v="44"/>
    <m/>
    <n v="63"/>
    <n v="0"/>
    <n v="0"/>
    <n v="0"/>
  </r>
  <r>
    <x v="5"/>
    <x v="0"/>
    <x v="21"/>
    <s v="S40000004"/>
    <n v="57"/>
    <n v="0"/>
    <n v="0"/>
    <n v="0"/>
  </r>
  <r>
    <x v="5"/>
    <x v="1"/>
    <x v="22"/>
    <m/>
    <n v="0"/>
    <n v="16"/>
    <n v="6"/>
    <n v="0"/>
  </r>
  <r>
    <x v="5"/>
    <x v="1"/>
    <x v="7"/>
    <m/>
    <n v="0"/>
    <n v="13"/>
    <n v="12"/>
    <n v="0"/>
  </r>
  <r>
    <x v="6"/>
    <x v="0"/>
    <x v="3"/>
    <m/>
    <n v="30"/>
    <n v="0"/>
    <n v="0"/>
    <n v="0"/>
  </r>
  <r>
    <x v="6"/>
    <x v="1"/>
    <x v="42"/>
    <m/>
    <n v="0"/>
    <n v="14"/>
    <n v="6"/>
    <n v="0"/>
  </r>
  <r>
    <x v="6"/>
    <x v="1"/>
    <x v="7"/>
    <m/>
    <n v="0"/>
    <n v="13"/>
    <n v="5"/>
    <n v="0"/>
  </r>
  <r>
    <x v="6"/>
    <x v="1"/>
    <x v="34"/>
    <m/>
    <n v="0"/>
    <n v="13"/>
    <n v="10"/>
    <n v="0"/>
  </r>
  <r>
    <x v="7"/>
    <x v="0"/>
    <x v="2"/>
    <s v="S40000004"/>
    <n v="203"/>
    <n v="0"/>
    <n v="1"/>
    <n v="0"/>
  </r>
  <r>
    <x v="7"/>
    <x v="0"/>
    <x v="30"/>
    <m/>
    <n v="0"/>
    <n v="0"/>
    <n v="11"/>
    <n v="0"/>
  </r>
  <r>
    <x v="7"/>
    <x v="1"/>
    <x v="8"/>
    <m/>
    <n v="0"/>
    <n v="9"/>
    <n v="10"/>
    <n v="0"/>
  </r>
  <r>
    <x v="7"/>
    <x v="1"/>
    <x v="15"/>
    <m/>
    <n v="0"/>
    <n v="10"/>
    <n v="0"/>
    <n v="0"/>
  </r>
  <r>
    <x v="0"/>
    <x v="0"/>
    <x v="27"/>
    <s v="S12000006"/>
    <n v="53"/>
    <n v="0"/>
    <n v="0"/>
    <n v="0"/>
  </r>
  <r>
    <x v="0"/>
    <x v="0"/>
    <x v="36"/>
    <s v="S40000004"/>
    <n v="24"/>
    <n v="0"/>
    <n v="0"/>
    <n v="0"/>
  </r>
  <r>
    <x v="0"/>
    <x v="0"/>
    <x v="30"/>
    <s v="S12000017"/>
    <n v="70"/>
    <n v="0"/>
    <n v="0"/>
    <n v="0"/>
  </r>
  <r>
    <x v="0"/>
    <x v="0"/>
    <x v="13"/>
    <s v="S12000029"/>
    <n v="167"/>
    <n v="0"/>
    <n v="0"/>
    <n v="0"/>
  </r>
  <r>
    <x v="0"/>
    <x v="0"/>
    <x v="23"/>
    <s v="S12000039"/>
    <n v="73"/>
    <n v="0"/>
    <n v="0"/>
    <n v="0"/>
  </r>
  <r>
    <x v="0"/>
    <x v="1"/>
    <x v="2"/>
    <s v="S40000004"/>
    <n v="0"/>
    <n v="8"/>
    <n v="10"/>
    <n v="0"/>
  </r>
  <r>
    <x v="0"/>
    <x v="1"/>
    <x v="15"/>
    <s v="S39000017"/>
    <n v="0"/>
    <n v="9"/>
    <n v="7"/>
    <n v="0"/>
  </r>
  <r>
    <x v="1"/>
    <x v="0"/>
    <x v="38"/>
    <s v="S40000003"/>
    <n v="49"/>
    <n v="0"/>
    <n v="0"/>
    <n v="0"/>
  </r>
  <r>
    <x v="1"/>
    <x v="0"/>
    <x v="33"/>
    <s v="S40000005"/>
    <n v="67"/>
    <n v="0"/>
    <n v="0"/>
    <n v="0"/>
  </r>
  <r>
    <x v="1"/>
    <x v="1"/>
    <x v="42"/>
    <s v="S40000003"/>
    <n v="0"/>
    <n v="12"/>
    <n v="16"/>
    <n v="0"/>
  </r>
  <r>
    <x v="1"/>
    <x v="1"/>
    <x v="46"/>
    <s v="S40000005"/>
    <n v="0"/>
    <n v="14"/>
    <n v="17"/>
    <n v="0"/>
  </r>
  <r>
    <x v="1"/>
    <x v="1"/>
    <x v="41"/>
    <s v="S40000003"/>
    <n v="0"/>
    <n v="8"/>
    <n v="8"/>
    <n v="0"/>
  </r>
  <r>
    <x v="1"/>
    <x v="2"/>
    <x v="39"/>
    <s v="S40000003"/>
    <n v="0"/>
    <n v="27"/>
    <n v="76"/>
    <n v="0"/>
  </r>
  <r>
    <x v="1"/>
    <x v="3"/>
    <x v="26"/>
    <s v="S92000003"/>
    <n v="0"/>
    <n v="34"/>
    <n v="7"/>
    <n v="49"/>
  </r>
  <r>
    <x v="2"/>
    <x v="0"/>
    <x v="29"/>
    <s v="S40000003"/>
    <n v="48"/>
    <n v="0"/>
    <n v="0"/>
    <n v="0"/>
  </r>
  <r>
    <x v="2"/>
    <x v="1"/>
    <x v="25"/>
    <s v="S40000004"/>
    <n v="0"/>
    <n v="11"/>
    <n v="17"/>
    <n v="0"/>
  </r>
  <r>
    <x v="3"/>
    <x v="0"/>
    <x v="27"/>
    <m/>
    <n v="50"/>
    <n v="0"/>
    <n v="0"/>
    <n v="0"/>
  </r>
  <r>
    <x v="3"/>
    <x v="0"/>
    <x v="35"/>
    <m/>
    <n v="174"/>
    <n v="0"/>
    <n v="0"/>
    <n v="0"/>
  </r>
  <r>
    <x v="3"/>
    <x v="0"/>
    <x v="28"/>
    <m/>
    <n v="75"/>
    <n v="0"/>
    <n v="0"/>
    <n v="0"/>
  </r>
  <r>
    <x v="3"/>
    <x v="0"/>
    <x v="36"/>
    <s v="S40000004"/>
    <n v="24"/>
    <n v="0"/>
    <n v="0"/>
    <n v="0"/>
  </r>
  <r>
    <x v="3"/>
    <x v="0"/>
    <x v="29"/>
    <m/>
    <n v="47"/>
    <n v="0"/>
    <n v="0"/>
    <n v="0"/>
  </r>
  <r>
    <x v="3"/>
    <x v="0"/>
    <x v="30"/>
    <m/>
    <n v="70"/>
    <n v="0"/>
    <n v="0"/>
    <n v="0"/>
  </r>
  <r>
    <x v="3"/>
    <x v="0"/>
    <x v="33"/>
    <m/>
    <n v="66"/>
    <n v="0"/>
    <n v="0"/>
    <n v="0"/>
  </r>
  <r>
    <x v="3"/>
    <x v="0"/>
    <x v="4"/>
    <m/>
    <n v="47"/>
    <n v="0"/>
    <n v="0"/>
    <n v="0"/>
  </r>
  <r>
    <x v="3"/>
    <x v="0"/>
    <x v="17"/>
    <s v="S40000004"/>
    <n v="48"/>
    <n v="0"/>
    <n v="0"/>
    <n v="0"/>
  </r>
  <r>
    <x v="3"/>
    <x v="1"/>
    <x v="30"/>
    <m/>
    <n v="0"/>
    <n v="15"/>
    <n v="18"/>
    <n v="0"/>
  </r>
  <r>
    <x v="3"/>
    <x v="1"/>
    <x v="34"/>
    <m/>
    <n v="0"/>
    <n v="15"/>
    <n v="15"/>
    <n v="0"/>
  </r>
  <r>
    <x v="3"/>
    <x v="1"/>
    <x v="25"/>
    <m/>
    <n v="0"/>
    <n v="10"/>
    <n v="12"/>
    <n v="0"/>
  </r>
  <r>
    <x v="3"/>
    <x v="1"/>
    <x v="18"/>
    <m/>
    <n v="0"/>
    <n v="14"/>
    <n v="13"/>
    <n v="0"/>
  </r>
  <r>
    <x v="4"/>
    <x v="0"/>
    <x v="12"/>
    <s v="S40000004"/>
    <n v="25"/>
    <n v="0"/>
    <n v="0"/>
    <n v="0"/>
  </r>
  <r>
    <x v="4"/>
    <x v="0"/>
    <x v="13"/>
    <m/>
    <n v="164"/>
    <n v="0"/>
    <n v="0"/>
    <n v="0"/>
  </r>
  <r>
    <x v="4"/>
    <x v="1"/>
    <x v="11"/>
    <m/>
    <n v="0"/>
    <n v="12"/>
    <n v="13"/>
    <n v="0"/>
  </r>
  <r>
    <x v="4"/>
    <x v="2"/>
    <x v="39"/>
    <m/>
    <n v="0"/>
    <n v="18"/>
    <n v="53"/>
    <n v="48"/>
  </r>
  <r>
    <x v="5"/>
    <x v="0"/>
    <x v="3"/>
    <m/>
    <n v="30"/>
    <n v="0"/>
    <n v="0"/>
    <n v="0"/>
  </r>
  <r>
    <x v="5"/>
    <x v="1"/>
    <x v="15"/>
    <m/>
    <n v="0"/>
    <n v="1"/>
    <n v="0"/>
    <n v="0"/>
  </r>
  <r>
    <x v="6"/>
    <x v="0"/>
    <x v="20"/>
    <s v="S40000004"/>
    <n v="83"/>
    <n v="0"/>
    <n v="0"/>
    <n v="0"/>
  </r>
  <r>
    <x v="6"/>
    <x v="0"/>
    <x v="31"/>
    <m/>
    <n v="0"/>
    <n v="0"/>
    <n v="3"/>
    <n v="0"/>
  </r>
  <r>
    <x v="6"/>
    <x v="0"/>
    <x v="21"/>
    <s v="S40000004"/>
    <n v="58"/>
    <n v="0"/>
    <n v="0"/>
    <n v="0"/>
  </r>
  <r>
    <x v="6"/>
    <x v="1"/>
    <x v="22"/>
    <m/>
    <n v="0"/>
    <n v="15"/>
    <n v="5"/>
    <n v="0"/>
  </r>
  <r>
    <x v="6"/>
    <x v="1"/>
    <x v="15"/>
    <m/>
    <n v="0"/>
    <n v="11"/>
    <n v="0"/>
    <n v="0"/>
  </r>
  <r>
    <x v="7"/>
    <x v="0"/>
    <x v="11"/>
    <s v="S40000004"/>
    <n v="285"/>
    <n v="0"/>
    <n v="0"/>
    <n v="0"/>
  </r>
  <r>
    <x v="7"/>
    <x v="0"/>
    <x v="9"/>
    <m/>
    <n v="442"/>
    <n v="0"/>
    <n v="10"/>
    <n v="0"/>
  </r>
  <r>
    <x v="7"/>
    <x v="0"/>
    <x v="12"/>
    <s v="S40000004"/>
    <n v="28"/>
    <n v="0"/>
    <n v="3"/>
    <n v="0"/>
  </r>
  <r>
    <x v="7"/>
    <x v="0"/>
    <x v="13"/>
    <m/>
    <n v="149"/>
    <n v="1"/>
    <n v="0"/>
    <n v="0"/>
  </r>
  <r>
    <x v="7"/>
    <x v="1"/>
    <x v="14"/>
    <m/>
    <n v="0"/>
    <n v="9"/>
    <n v="9"/>
    <n v="0"/>
  </r>
  <r>
    <x v="0"/>
    <x v="0"/>
    <x v="45"/>
    <s v="S12000038"/>
    <n v="99"/>
    <n v="0"/>
    <n v="0"/>
    <n v="0"/>
  </r>
  <r>
    <x v="0"/>
    <x v="0"/>
    <x v="24"/>
    <s v="S40000004"/>
    <n v="56"/>
    <n v="0"/>
    <n v="0"/>
    <n v="0"/>
  </r>
  <r>
    <x v="0"/>
    <x v="1"/>
    <x v="11"/>
    <s v="S40000004"/>
    <n v="0"/>
    <n v="10"/>
    <n v="20"/>
    <n v="0"/>
  </r>
  <r>
    <x v="1"/>
    <x v="0"/>
    <x v="35"/>
    <s v="S40000005"/>
    <n v="182"/>
    <n v="0"/>
    <n v="0"/>
    <n v="0"/>
  </r>
  <r>
    <x v="1"/>
    <x v="0"/>
    <x v="30"/>
    <s v="S40000005"/>
    <n v="71"/>
    <n v="0"/>
    <n v="0"/>
    <n v="0"/>
  </r>
  <r>
    <x v="1"/>
    <x v="0"/>
    <x v="44"/>
    <s v="S40000003"/>
    <n v="70"/>
    <n v="0"/>
    <n v="0"/>
    <n v="0"/>
  </r>
  <r>
    <x v="1"/>
    <x v="0"/>
    <x v="41"/>
    <s v="S40000003"/>
    <n v="163"/>
    <n v="0"/>
    <n v="0"/>
    <n v="0"/>
  </r>
  <r>
    <x v="1"/>
    <x v="0"/>
    <x v="45"/>
    <s v="S40000003"/>
    <n v="102"/>
    <n v="0"/>
    <n v="0"/>
    <n v="0"/>
  </r>
  <r>
    <x v="1"/>
    <x v="0"/>
    <x v="23"/>
    <s v="S40000003"/>
    <n v="73"/>
    <n v="0"/>
    <n v="0"/>
    <n v="0"/>
  </r>
  <r>
    <x v="1"/>
    <x v="1"/>
    <x v="8"/>
    <s v="S40000004"/>
    <n v="0"/>
    <n v="9"/>
    <n v="10"/>
    <n v="0"/>
  </r>
  <r>
    <x v="1"/>
    <x v="1"/>
    <x v="18"/>
    <s v="S40000004"/>
    <n v="0"/>
    <n v="9"/>
    <n v="10"/>
    <n v="0"/>
  </r>
  <r>
    <x v="2"/>
    <x v="0"/>
    <x v="27"/>
    <s v="S40000003"/>
    <n v="51"/>
    <n v="0"/>
    <n v="0"/>
    <n v="0"/>
  </r>
  <r>
    <x v="2"/>
    <x v="0"/>
    <x v="28"/>
    <s v="S40000003"/>
    <n v="76"/>
    <n v="0"/>
    <n v="0"/>
    <n v="0"/>
  </r>
  <r>
    <x v="2"/>
    <x v="0"/>
    <x v="36"/>
    <s v="S40000004"/>
    <n v="26"/>
    <n v="0"/>
    <n v="0"/>
    <n v="0"/>
  </r>
  <r>
    <x v="2"/>
    <x v="0"/>
    <x v="32"/>
    <s v="S40000003"/>
    <n v="75"/>
    <n v="0"/>
    <n v="0"/>
    <n v="0"/>
  </r>
  <r>
    <x v="2"/>
    <x v="1"/>
    <x v="9"/>
    <s v="S40000003"/>
    <n v="0"/>
    <n v="15"/>
    <n v="11"/>
    <n v="0"/>
  </r>
  <r>
    <x v="2"/>
    <x v="3"/>
    <x v="26"/>
    <s v="S40000004"/>
    <n v="0"/>
    <n v="0"/>
    <n v="6"/>
    <n v="0"/>
  </r>
  <r>
    <x v="3"/>
    <x v="1"/>
    <x v="11"/>
    <m/>
    <n v="0"/>
    <n v="9"/>
    <n v="13"/>
    <n v="0"/>
  </r>
  <r>
    <x v="3"/>
    <x v="3"/>
    <x v="26"/>
    <s v="S40000004"/>
    <n v="0"/>
    <n v="0"/>
    <n v="3"/>
    <n v="0"/>
  </r>
  <r>
    <x v="4"/>
    <x v="0"/>
    <x v="0"/>
    <m/>
    <n v="150"/>
    <n v="0"/>
    <n v="5"/>
    <n v="0"/>
  </r>
  <r>
    <x v="4"/>
    <x v="0"/>
    <x v="40"/>
    <s v="S40000004"/>
    <n v="24"/>
    <n v="0"/>
    <n v="1"/>
    <n v="0"/>
  </r>
  <r>
    <x v="4"/>
    <x v="0"/>
    <x v="44"/>
    <m/>
    <n v="67"/>
    <n v="0"/>
    <n v="0"/>
    <n v="0"/>
  </r>
  <r>
    <x v="4"/>
    <x v="0"/>
    <x v="24"/>
    <m/>
    <n v="0"/>
    <n v="0"/>
    <n v="2"/>
    <n v="0"/>
  </r>
  <r>
    <x v="4"/>
    <x v="1"/>
    <x v="22"/>
    <m/>
    <n v="0"/>
    <n v="15"/>
    <n v="9"/>
    <n v="0"/>
  </r>
  <r>
    <x v="4"/>
    <x v="1"/>
    <x v="46"/>
    <m/>
    <n v="0"/>
    <n v="12"/>
    <n v="11"/>
    <n v="0"/>
  </r>
  <r>
    <x v="5"/>
    <x v="0"/>
    <x v="36"/>
    <s v="S40000004"/>
    <n v="25"/>
    <n v="0"/>
    <n v="0"/>
    <n v="0"/>
  </r>
  <r>
    <x v="5"/>
    <x v="0"/>
    <x v="12"/>
    <s v="S40000004"/>
    <n v="26"/>
    <n v="0"/>
    <n v="3"/>
    <n v="0"/>
  </r>
  <r>
    <x v="5"/>
    <x v="1"/>
    <x v="15"/>
    <m/>
    <n v="0"/>
    <n v="10"/>
    <n v="0"/>
    <n v="0"/>
  </r>
  <r>
    <x v="5"/>
    <x v="2"/>
    <x v="19"/>
    <m/>
    <n v="0"/>
    <n v="12"/>
    <n v="40"/>
    <n v="0"/>
  </r>
  <r>
    <x v="5"/>
    <x v="3"/>
    <x v="26"/>
    <s v="S92000003"/>
    <n v="0"/>
    <n v="56"/>
    <n v="28"/>
    <n v="0"/>
  </r>
  <r>
    <x v="6"/>
    <x v="0"/>
    <x v="16"/>
    <m/>
    <n v="26"/>
    <n v="0"/>
    <n v="0"/>
    <n v="0"/>
  </r>
  <r>
    <x v="6"/>
    <x v="0"/>
    <x v="27"/>
    <m/>
    <n v="52"/>
    <n v="0"/>
    <n v="0"/>
    <n v="0"/>
  </r>
  <r>
    <x v="6"/>
    <x v="0"/>
    <x v="32"/>
    <m/>
    <n v="72"/>
    <n v="0"/>
    <n v="0"/>
    <n v="0"/>
  </r>
  <r>
    <x v="6"/>
    <x v="1"/>
    <x v="9"/>
    <m/>
    <n v="0"/>
    <n v="13"/>
    <n v="7"/>
    <n v="0"/>
  </r>
  <r>
    <x v="6"/>
    <x v="2"/>
    <x v="19"/>
    <m/>
    <n v="0"/>
    <n v="14"/>
    <n v="44"/>
    <n v="6"/>
  </r>
  <r>
    <x v="7"/>
    <x v="0"/>
    <x v="0"/>
    <m/>
    <n v="104"/>
    <n v="0"/>
    <n v="5"/>
    <n v="0"/>
  </r>
  <r>
    <x v="7"/>
    <x v="0"/>
    <x v="40"/>
    <s v="S40000004"/>
    <n v="26"/>
    <n v="0"/>
    <n v="1"/>
    <n v="0"/>
  </r>
  <r>
    <x v="7"/>
    <x v="0"/>
    <x v="44"/>
    <m/>
    <n v="66"/>
    <n v="0"/>
    <n v="0"/>
    <n v="0"/>
  </r>
  <r>
    <x v="7"/>
    <x v="0"/>
    <x v="45"/>
    <m/>
    <n v="101"/>
    <n v="0"/>
    <n v="0"/>
    <n v="0"/>
  </r>
  <r>
    <x v="7"/>
    <x v="1"/>
    <x v="42"/>
    <m/>
    <n v="0"/>
    <n v="14"/>
    <n v="10"/>
    <n v="0"/>
  </r>
  <r>
    <x v="7"/>
    <x v="1"/>
    <x v="46"/>
    <m/>
    <n v="0"/>
    <n v="11"/>
    <n v="11"/>
    <n v="0"/>
  </r>
  <r>
    <x v="0"/>
    <x v="0"/>
    <x v="12"/>
    <s v="S40000004"/>
    <n v="26"/>
    <n v="0"/>
    <n v="0"/>
    <n v="0"/>
  </r>
  <r>
    <x v="0"/>
    <x v="0"/>
    <x v="21"/>
    <s v="S40000004"/>
    <n v="56"/>
    <n v="0"/>
    <n v="0"/>
    <n v="0"/>
  </r>
  <r>
    <x v="1"/>
    <x v="0"/>
    <x v="0"/>
    <s v="S40000005"/>
    <n v="155"/>
    <n v="0"/>
    <n v="0"/>
    <n v="0"/>
  </r>
  <r>
    <x v="1"/>
    <x v="0"/>
    <x v="16"/>
    <s v="S40000005"/>
    <n v="27"/>
    <n v="0"/>
    <n v="0"/>
    <n v="0"/>
  </r>
  <r>
    <x v="1"/>
    <x v="0"/>
    <x v="20"/>
    <s v="S40000004"/>
    <n v="88"/>
    <n v="0"/>
    <n v="0"/>
    <n v="0"/>
  </r>
  <r>
    <x v="1"/>
    <x v="0"/>
    <x v="17"/>
    <s v="S40000004"/>
    <n v="51"/>
    <n v="0"/>
    <n v="0"/>
    <n v="0"/>
  </r>
  <r>
    <x v="1"/>
    <x v="1"/>
    <x v="0"/>
    <s v="S40000005"/>
    <n v="0"/>
    <n v="6"/>
    <n v="7"/>
    <n v="0"/>
  </r>
  <r>
    <x v="1"/>
    <x v="2"/>
    <x v="19"/>
    <s v="S40000005"/>
    <n v="0"/>
    <n v="12"/>
    <n v="30"/>
    <n v="0"/>
  </r>
  <r>
    <x v="2"/>
    <x v="0"/>
    <x v="37"/>
    <s v="S40000005"/>
    <n v="29"/>
    <n v="0"/>
    <n v="0"/>
    <n v="0"/>
  </r>
  <r>
    <x v="2"/>
    <x v="0"/>
    <x v="11"/>
    <s v="S40000004"/>
    <n v="300"/>
    <n v="0"/>
    <n v="0"/>
    <n v="0"/>
  </r>
  <r>
    <x v="2"/>
    <x v="0"/>
    <x v="12"/>
    <s v="S40000004"/>
    <n v="27"/>
    <n v="0"/>
    <n v="0"/>
    <n v="0"/>
  </r>
  <r>
    <x v="2"/>
    <x v="0"/>
    <x v="3"/>
    <s v="S40000005"/>
    <n v="30"/>
    <n v="0"/>
    <n v="0"/>
    <n v="0"/>
  </r>
  <r>
    <x v="2"/>
    <x v="0"/>
    <x v="13"/>
    <s v="S40000003"/>
    <n v="168"/>
    <n v="0"/>
    <n v="0"/>
    <n v="0"/>
  </r>
  <r>
    <x v="2"/>
    <x v="0"/>
    <x v="24"/>
    <s v="S40000004"/>
    <n v="57"/>
    <n v="0"/>
    <n v="0"/>
    <n v="0"/>
  </r>
  <r>
    <x v="2"/>
    <x v="2"/>
    <x v="10"/>
    <s v="S40000004"/>
    <n v="0"/>
    <n v="8"/>
    <n v="38"/>
    <n v="20"/>
  </r>
  <r>
    <x v="2"/>
    <x v="2"/>
    <x v="39"/>
    <s v="S40000003"/>
    <n v="0"/>
    <n v="13"/>
    <n v="53"/>
    <n v="25"/>
  </r>
  <r>
    <x v="3"/>
    <x v="0"/>
    <x v="37"/>
    <m/>
    <n v="28"/>
    <n v="0"/>
    <n v="0"/>
    <n v="0"/>
  </r>
  <r>
    <x v="3"/>
    <x v="0"/>
    <x v="11"/>
    <s v="S40000004"/>
    <n v="295"/>
    <n v="0"/>
    <n v="0"/>
    <n v="0"/>
  </r>
  <r>
    <x v="3"/>
    <x v="0"/>
    <x v="2"/>
    <s v="S40000004"/>
    <n v="254"/>
    <n v="0"/>
    <n v="0"/>
    <n v="0"/>
  </r>
  <r>
    <x v="3"/>
    <x v="0"/>
    <x v="9"/>
    <m/>
    <n v="493"/>
    <n v="0"/>
    <n v="0"/>
    <n v="0"/>
  </r>
  <r>
    <x v="3"/>
    <x v="0"/>
    <x v="17"/>
    <m/>
    <n v="1"/>
    <n v="0"/>
    <n v="0"/>
    <n v="0"/>
  </r>
  <r>
    <x v="3"/>
    <x v="1"/>
    <x v="11"/>
    <s v="S40000004"/>
    <n v="0"/>
    <n v="2"/>
    <n v="3"/>
    <n v="0"/>
  </r>
  <r>
    <x v="3"/>
    <x v="1"/>
    <x v="14"/>
    <m/>
    <n v="0"/>
    <n v="10"/>
    <n v="9"/>
    <n v="0"/>
  </r>
  <r>
    <x v="3"/>
    <x v="1"/>
    <x v="8"/>
    <m/>
    <n v="0"/>
    <n v="7"/>
    <n v="9"/>
    <n v="0"/>
  </r>
  <r>
    <x v="3"/>
    <x v="1"/>
    <x v="25"/>
    <s v="S40000004"/>
    <n v="0"/>
    <n v="1"/>
    <n v="6"/>
    <n v="0"/>
  </r>
  <r>
    <x v="4"/>
    <x v="0"/>
    <x v="35"/>
    <m/>
    <n v="167"/>
    <n v="0"/>
    <n v="2"/>
    <n v="0"/>
  </r>
  <r>
    <x v="4"/>
    <x v="0"/>
    <x v="29"/>
    <m/>
    <n v="47"/>
    <n v="0"/>
    <n v="0"/>
    <n v="0"/>
  </r>
  <r>
    <x v="4"/>
    <x v="0"/>
    <x v="30"/>
    <m/>
    <n v="73"/>
    <n v="0"/>
    <n v="0"/>
    <n v="0"/>
  </r>
  <r>
    <x v="4"/>
    <x v="0"/>
    <x v="48"/>
    <m/>
    <n v="0"/>
    <n v="0"/>
    <n v="1"/>
    <n v="0"/>
  </r>
  <r>
    <x v="4"/>
    <x v="0"/>
    <x v="33"/>
    <m/>
    <n v="69"/>
    <n v="0"/>
    <n v="0"/>
    <n v="0"/>
  </r>
  <r>
    <x v="4"/>
    <x v="0"/>
    <x v="4"/>
    <m/>
    <n v="48"/>
    <n v="0"/>
    <n v="0"/>
    <n v="0"/>
  </r>
  <r>
    <x v="4"/>
    <x v="0"/>
    <x v="17"/>
    <s v="S40000004"/>
    <n v="46"/>
    <n v="0"/>
    <n v="0"/>
    <n v="0"/>
  </r>
  <r>
    <x v="4"/>
    <x v="1"/>
    <x v="25"/>
    <s v="S40000004"/>
    <n v="0"/>
    <n v="0"/>
    <n v="5"/>
    <n v="0"/>
  </r>
  <r>
    <x v="4"/>
    <x v="1"/>
    <x v="34"/>
    <m/>
    <n v="0"/>
    <n v="12"/>
    <n v="15"/>
    <n v="0"/>
  </r>
  <r>
    <x v="5"/>
    <x v="0"/>
    <x v="0"/>
    <m/>
    <n v="155"/>
    <n v="0"/>
    <n v="7"/>
    <n v="0"/>
  </r>
  <r>
    <x v="5"/>
    <x v="0"/>
    <x v="40"/>
    <s v="S40000004"/>
    <n v="26"/>
    <n v="0"/>
    <n v="1"/>
    <n v="0"/>
  </r>
  <r>
    <x v="5"/>
    <x v="0"/>
    <x v="13"/>
    <m/>
    <n v="161"/>
    <n v="0"/>
    <n v="0"/>
    <n v="0"/>
  </r>
  <r>
    <x v="5"/>
    <x v="0"/>
    <x v="24"/>
    <s v="S40000004"/>
    <n v="60"/>
    <n v="0"/>
    <n v="3"/>
    <n v="0"/>
  </r>
  <r>
    <x v="5"/>
    <x v="1"/>
    <x v="42"/>
    <m/>
    <n v="0"/>
    <n v="14"/>
    <n v="14"/>
    <n v="0"/>
  </r>
  <r>
    <x v="5"/>
    <x v="1"/>
    <x v="46"/>
    <m/>
    <n v="0"/>
    <n v="14"/>
    <n v="9"/>
    <n v="0"/>
  </r>
  <r>
    <x v="5"/>
    <x v="2"/>
    <x v="39"/>
    <m/>
    <n v="0"/>
    <n v="13"/>
    <n v="46"/>
    <n v="1"/>
  </r>
  <r>
    <x v="6"/>
    <x v="0"/>
    <x v="0"/>
    <m/>
    <n v="150"/>
    <n v="0"/>
    <n v="7"/>
    <n v="0"/>
  </r>
  <r>
    <x v="6"/>
    <x v="0"/>
    <x v="40"/>
    <s v="S40000004"/>
    <n v="25"/>
    <n v="0"/>
    <n v="1"/>
    <n v="0"/>
  </r>
  <r>
    <x v="6"/>
    <x v="0"/>
    <x v="13"/>
    <m/>
    <n v="155"/>
    <n v="0"/>
    <n v="0"/>
    <n v="0"/>
  </r>
  <r>
    <x v="6"/>
    <x v="0"/>
    <x v="24"/>
    <s v="S40000004"/>
    <n v="61"/>
    <n v="0"/>
    <n v="3"/>
    <n v="0"/>
  </r>
  <r>
    <x v="6"/>
    <x v="2"/>
    <x v="39"/>
    <m/>
    <n v="0"/>
    <n v="12"/>
    <n v="73"/>
    <n v="47"/>
  </r>
  <r>
    <x v="6"/>
    <x v="3"/>
    <x v="26"/>
    <s v="S92000003"/>
    <n v="0"/>
    <n v="57"/>
    <n v="33"/>
    <n v="0"/>
  </r>
  <r>
    <x v="7"/>
    <x v="0"/>
    <x v="11"/>
    <m/>
    <n v="0"/>
    <n v="0"/>
    <n v="18"/>
    <n v="0"/>
  </r>
  <r>
    <x v="7"/>
    <x v="0"/>
    <x v="35"/>
    <m/>
    <n v="157"/>
    <n v="1"/>
    <n v="0"/>
    <n v="0"/>
  </r>
  <r>
    <x v="7"/>
    <x v="0"/>
    <x v="36"/>
    <s v="S40000004"/>
    <n v="25"/>
    <n v="0"/>
    <n v="0"/>
    <n v="0"/>
  </r>
  <r>
    <x v="7"/>
    <x v="0"/>
    <x v="30"/>
    <m/>
    <n v="70"/>
    <n v="0"/>
    <n v="2"/>
    <n v="0"/>
  </r>
  <r>
    <x v="7"/>
    <x v="0"/>
    <x v="41"/>
    <m/>
    <n v="170"/>
    <n v="0"/>
    <n v="0"/>
    <n v="0"/>
  </r>
  <r>
    <x v="7"/>
    <x v="0"/>
    <x v="48"/>
    <m/>
    <n v="0"/>
    <n v="0"/>
    <n v="1"/>
    <n v="0"/>
  </r>
  <r>
    <x v="7"/>
    <x v="0"/>
    <x v="33"/>
    <m/>
    <n v="56"/>
    <n v="1"/>
    <n v="13"/>
    <n v="0"/>
  </r>
  <r>
    <x v="7"/>
    <x v="0"/>
    <x v="21"/>
    <s v="S40000004"/>
    <n v="56"/>
    <n v="0"/>
    <n v="2"/>
    <n v="0"/>
  </r>
  <r>
    <x v="7"/>
    <x v="1"/>
    <x v="30"/>
    <m/>
    <n v="0"/>
    <n v="18"/>
    <n v="6"/>
    <n v="0"/>
  </r>
  <r>
    <x v="7"/>
    <x v="1"/>
    <x v="34"/>
    <m/>
    <n v="0"/>
    <n v="11"/>
    <n v="9"/>
    <n v="0"/>
  </r>
  <r>
    <x v="7"/>
    <x v="1"/>
    <x v="25"/>
    <m/>
    <n v="0"/>
    <n v="10"/>
    <n v="16"/>
    <n v="0"/>
  </r>
</pivotCacheRecords>
</file>

<file path=xl/pivotCache/pivotCacheRecords18.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52">
  <r>
    <x v="0"/>
    <x v="0"/>
    <n v="270"/>
    <m/>
    <m/>
    <m/>
    <m/>
    <m/>
  </r>
  <r>
    <x v="1"/>
    <x v="1"/>
    <n v="3025"/>
    <n v="2870"/>
    <m/>
    <m/>
    <m/>
    <n v="342"/>
  </r>
  <r>
    <x v="1"/>
    <x v="2"/>
    <n v="85"/>
    <m/>
    <m/>
    <m/>
    <n v="531"/>
    <m/>
  </r>
  <r>
    <x v="2"/>
    <x v="0"/>
    <n v="389"/>
    <m/>
    <m/>
    <m/>
    <m/>
    <m/>
  </r>
  <r>
    <x v="2"/>
    <x v="2"/>
    <n v="151"/>
    <m/>
    <m/>
    <m/>
    <n v="571"/>
    <m/>
  </r>
  <r>
    <x v="3"/>
    <x v="3"/>
    <n v="90"/>
    <n v="0"/>
    <n v="0"/>
    <n v="188"/>
    <n v="817"/>
    <n v="0"/>
  </r>
  <r>
    <x v="4"/>
    <x v="1"/>
    <n v="2843"/>
    <n v="2758"/>
    <n v="0"/>
    <n v="0"/>
    <n v="0"/>
    <n v="277"/>
  </r>
  <r>
    <x v="4"/>
    <x v="2"/>
    <n v="221"/>
    <n v="0"/>
    <n v="0"/>
    <n v="0"/>
    <n v="0"/>
    <n v="0"/>
  </r>
  <r>
    <x v="5"/>
    <x v="0"/>
    <n v="365"/>
    <n v="0"/>
    <n v="60"/>
    <n v="0"/>
    <n v="0"/>
    <n v="0"/>
  </r>
  <r>
    <x v="6"/>
    <x v="2"/>
    <n v="268"/>
    <m/>
    <m/>
    <m/>
    <n v="724"/>
    <m/>
  </r>
  <r>
    <x v="0"/>
    <x v="1"/>
    <n v="3285"/>
    <n v="2950"/>
    <m/>
    <m/>
    <m/>
    <n v="378"/>
  </r>
  <r>
    <x v="7"/>
    <x v="1"/>
    <n v="2955"/>
    <n v="2935"/>
    <n v="0"/>
    <n v="0"/>
    <n v="0"/>
    <n v="321"/>
  </r>
  <r>
    <x v="3"/>
    <x v="1"/>
    <n v="2966"/>
    <n v="2937"/>
    <n v="0"/>
    <n v="0"/>
    <n v="0"/>
    <n v="315"/>
  </r>
  <r>
    <x v="3"/>
    <x v="0"/>
    <n v="383"/>
    <n v="0"/>
    <n v="36"/>
    <n v="0"/>
    <n v="0"/>
    <n v="0"/>
  </r>
  <r>
    <x v="8"/>
    <x v="0"/>
    <n v="328"/>
    <n v="0"/>
    <n v="55"/>
    <n v="0"/>
    <n v="0"/>
    <n v="0"/>
  </r>
  <r>
    <x v="9"/>
    <x v="1"/>
    <n v="2870"/>
    <n v="2708"/>
    <n v="0"/>
    <n v="0"/>
    <n v="0"/>
    <n v="269"/>
  </r>
  <r>
    <x v="10"/>
    <x v="0"/>
    <n v="279"/>
    <n v="0"/>
    <n v="60"/>
    <n v="0"/>
    <n v="0"/>
    <n v="0"/>
  </r>
  <r>
    <x v="11"/>
    <x v="0"/>
    <n v="376"/>
    <n v="0"/>
    <n v="54"/>
    <n v="0"/>
    <n v="0"/>
    <n v="0"/>
  </r>
  <r>
    <x v="4"/>
    <x v="0"/>
    <n v="378"/>
    <n v="0"/>
    <n v="53"/>
    <n v="0"/>
    <n v="0"/>
    <n v="0"/>
  </r>
  <r>
    <x v="8"/>
    <x v="2"/>
    <n v="256"/>
    <n v="0"/>
    <n v="0"/>
    <n v="0"/>
    <n v="0"/>
    <n v="0"/>
  </r>
  <r>
    <x v="5"/>
    <x v="1"/>
    <n v="2810"/>
    <n v="2747"/>
    <n v="0"/>
    <n v="0"/>
    <n v="0"/>
    <n v="252"/>
  </r>
  <r>
    <x v="0"/>
    <x v="3"/>
    <n v="50"/>
    <m/>
    <m/>
    <n v="230"/>
    <n v="238"/>
    <m/>
  </r>
  <r>
    <x v="2"/>
    <x v="3"/>
    <n v="182"/>
    <m/>
    <m/>
    <n v="165"/>
    <n v="267"/>
    <m/>
  </r>
  <r>
    <x v="12"/>
    <x v="0"/>
    <n v="379"/>
    <m/>
    <m/>
    <m/>
    <m/>
    <m/>
  </r>
  <r>
    <x v="9"/>
    <x v="0"/>
    <n v="327"/>
    <n v="0"/>
    <n v="55"/>
    <n v="0"/>
    <n v="0"/>
    <n v="0"/>
  </r>
  <r>
    <x v="9"/>
    <x v="3"/>
    <n v="84"/>
    <n v="0"/>
    <n v="0"/>
    <n v="171"/>
    <n v="887"/>
    <n v="0"/>
  </r>
  <r>
    <x v="10"/>
    <x v="1"/>
    <n v="2792"/>
    <n v="2705"/>
    <n v="0"/>
    <n v="0"/>
    <n v="0"/>
    <n v="273"/>
  </r>
  <r>
    <x v="6"/>
    <x v="0"/>
    <n v="285"/>
    <m/>
    <m/>
    <m/>
    <m/>
    <m/>
  </r>
  <r>
    <x v="12"/>
    <x v="1"/>
    <n v="2868"/>
    <n v="2863"/>
    <m/>
    <m/>
    <m/>
    <n v="336"/>
  </r>
  <r>
    <x v="7"/>
    <x v="3"/>
    <n v="149"/>
    <n v="0"/>
    <n v="0"/>
    <n v="207"/>
    <n v="792"/>
    <n v="0"/>
  </r>
  <r>
    <x v="11"/>
    <x v="1"/>
    <n v="2903"/>
    <n v="2872"/>
    <n v="0"/>
    <n v="0"/>
    <n v="0"/>
    <n v="303"/>
  </r>
  <r>
    <x v="8"/>
    <x v="3"/>
    <n v="69"/>
    <n v="0"/>
    <n v="0"/>
    <n v="172"/>
    <n v="901"/>
    <n v="0"/>
  </r>
  <r>
    <x v="10"/>
    <x v="2"/>
    <n v="269"/>
    <n v="0"/>
    <n v="0"/>
    <n v="0"/>
    <n v="0"/>
    <n v="0"/>
  </r>
  <r>
    <x v="6"/>
    <x v="1"/>
    <n v="3392"/>
    <n v="2940"/>
    <m/>
    <m/>
    <m/>
    <n v="359"/>
  </r>
  <r>
    <x v="0"/>
    <x v="2"/>
    <n v="251"/>
    <m/>
    <m/>
    <m/>
    <n v="629"/>
    <m/>
  </r>
  <r>
    <x v="3"/>
    <x v="2"/>
    <n v="197"/>
    <n v="0"/>
    <n v="0"/>
    <n v="0"/>
    <n v="0"/>
    <n v="0"/>
  </r>
  <r>
    <x v="11"/>
    <x v="2"/>
    <n v="212"/>
    <n v="0"/>
    <n v="0"/>
    <n v="0"/>
    <n v="0"/>
    <n v="0"/>
  </r>
  <r>
    <x v="11"/>
    <x v="3"/>
    <n v="90"/>
    <n v="0"/>
    <n v="0"/>
    <n v="182"/>
    <n v="835"/>
    <n v="0"/>
  </r>
  <r>
    <x v="8"/>
    <x v="1"/>
    <n v="2837"/>
    <n v="2735"/>
    <n v="0"/>
    <n v="0"/>
    <n v="0"/>
    <n v="266"/>
  </r>
  <r>
    <x v="9"/>
    <x v="2"/>
    <n v="141"/>
    <n v="0"/>
    <n v="0"/>
    <n v="0"/>
    <n v="0"/>
    <n v="0"/>
  </r>
  <r>
    <x v="10"/>
    <x v="3"/>
    <n v="90"/>
    <n v="0"/>
    <n v="0"/>
    <n v="171"/>
    <n v="917"/>
    <n v="0"/>
  </r>
  <r>
    <x v="6"/>
    <x v="3"/>
    <n v="56"/>
    <m/>
    <m/>
    <n v="223"/>
    <n v="237"/>
    <m/>
  </r>
  <r>
    <x v="7"/>
    <x v="0"/>
    <n v="387"/>
    <n v="0"/>
    <n v="18"/>
    <n v="0"/>
    <n v="0"/>
    <n v="0"/>
  </r>
  <r>
    <x v="7"/>
    <x v="2"/>
    <n v="146"/>
    <n v="0"/>
    <n v="0"/>
    <n v="0"/>
    <n v="0"/>
    <n v="0"/>
  </r>
  <r>
    <x v="4"/>
    <x v="3"/>
    <n v="88"/>
    <n v="0"/>
    <n v="0"/>
    <n v="174"/>
    <n v="920"/>
    <n v="0"/>
  </r>
  <r>
    <x v="1"/>
    <x v="0"/>
    <n v="385"/>
    <m/>
    <m/>
    <m/>
    <m/>
    <m/>
  </r>
  <r>
    <x v="1"/>
    <x v="3"/>
    <n v="195"/>
    <m/>
    <m/>
    <n v="203"/>
    <n v="297"/>
    <m/>
  </r>
  <r>
    <x v="2"/>
    <x v="1"/>
    <n v="2923"/>
    <n v="2870"/>
    <m/>
    <m/>
    <m/>
    <n v="320"/>
  </r>
  <r>
    <x v="12"/>
    <x v="2"/>
    <n v="156"/>
    <m/>
    <m/>
    <m/>
    <n v="569"/>
    <m/>
  </r>
  <r>
    <x v="12"/>
    <x v="3"/>
    <n v="143"/>
    <m/>
    <m/>
    <n v="189"/>
    <n v="277"/>
    <m/>
  </r>
  <r>
    <x v="5"/>
    <x v="2"/>
    <n v="161"/>
    <n v="0"/>
    <n v="0"/>
    <n v="0"/>
    <n v="0"/>
    <n v="0"/>
  </r>
  <r>
    <x v="5"/>
    <x v="3"/>
    <n v="95"/>
    <n v="0"/>
    <n v="0"/>
    <n v="177"/>
    <n v="922"/>
    <n v="0"/>
  </r>
</pivotCacheRecords>
</file>

<file path=xl/pivotCache/pivotCacheRecords19.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2">
  <r>
    <x v="0"/>
    <n v="22942"/>
    <n v="26316"/>
    <n v="5108"/>
    <n v="2282"/>
    <n v="5460"/>
    <n v="3521"/>
    <n v="65629"/>
  </r>
  <r>
    <x v="1"/>
    <n v="24167"/>
    <n v="29926"/>
    <n v="5417"/>
    <n v="2459"/>
    <n v="5684"/>
    <n v="3974"/>
    <n v="71627"/>
  </r>
  <r>
    <x v="2"/>
    <n v="22478"/>
    <n v="29269"/>
    <n v="5368"/>
    <n v="2999"/>
    <n v="6074"/>
    <n v="4532"/>
    <n v="70720"/>
  </r>
  <r>
    <x v="3"/>
    <n v="23434"/>
    <n v="27613"/>
    <n v="5092"/>
    <n v="3085"/>
    <n v="5811"/>
    <n v="4712"/>
    <n v="69747"/>
  </r>
  <r>
    <x v="4"/>
    <n v="25626"/>
    <n v="26931"/>
    <n v="4968"/>
    <n v="2681"/>
    <n v="5276"/>
    <n v="3647"/>
    <n v="69129"/>
  </r>
  <r>
    <x v="5"/>
    <n v="25070"/>
    <n v="26623"/>
    <n v="5201"/>
    <n v="2569"/>
    <n v="5884"/>
    <n v="3731"/>
    <n v="69078"/>
  </r>
  <r>
    <x v="6"/>
    <n v="6630"/>
    <n v="8552"/>
    <n v="1582"/>
    <n v="722"/>
    <n v="1539"/>
    <n v="956"/>
    <n v="19981"/>
  </r>
  <r>
    <x v="7"/>
    <n v="14558"/>
    <n v="18289"/>
    <n v="3519"/>
    <n v="1732"/>
    <n v="3611"/>
    <n v="2459"/>
    <n v="44168"/>
  </r>
  <r>
    <x v="8"/>
    <n v="13445"/>
    <n v="15608"/>
    <n v="2959"/>
    <n v="1542"/>
    <n v="2984"/>
    <n v="2121"/>
    <n v="38659"/>
  </r>
  <r>
    <x v="9"/>
    <n v="13011"/>
    <n v="14130"/>
    <n v="2670"/>
    <n v="1459"/>
    <n v="2596"/>
    <n v="1895"/>
    <n v="35761"/>
  </r>
  <r>
    <x v="10"/>
    <n v="13360"/>
    <n v="12502"/>
    <n v="2300"/>
    <n v="1208"/>
    <n v="2227"/>
    <n v="1655"/>
    <n v="33252"/>
  </r>
  <r>
    <x v="11"/>
    <n v="7545"/>
    <n v="7442"/>
    <n v="1577"/>
    <n v="883"/>
    <n v="1610"/>
    <n v="1132"/>
    <n v="20189"/>
  </r>
</pivotCacheRecords>
</file>

<file path=xl/pivotCache/pivotCacheRecords20.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2">
  <r>
    <x v="0"/>
    <n v="1.4"/>
    <n v="1.5"/>
    <n v="1.2"/>
    <n v="1.6"/>
    <n v="0.9"/>
    <n v="1.2"/>
    <n v="1.4"/>
  </r>
  <r>
    <x v="1"/>
    <n v="1.4"/>
    <n v="1.3"/>
    <n v="1.1000000000000001"/>
    <n v="1.3"/>
    <n v="0.8"/>
    <n v="1.1000000000000001"/>
    <n v="1.3"/>
  </r>
  <r>
    <x v="2"/>
    <n v="1.5"/>
    <n v="1.7"/>
    <n v="1.4"/>
    <n v="1.7"/>
    <n v="1.1000000000000001"/>
    <n v="1.4"/>
    <n v="1.5"/>
  </r>
  <r>
    <x v="3"/>
    <n v="2.6"/>
    <n v="3.1"/>
    <n v="2.5"/>
    <n v="3.4"/>
    <n v="2.2000000000000002"/>
    <n v="3.2"/>
    <n v="2.8"/>
  </r>
  <r>
    <x v="4"/>
    <n v="2.8"/>
    <n v="3"/>
    <n v="2.5"/>
    <n v="2.8"/>
    <n v="2.2000000000000002"/>
    <n v="2.5"/>
    <n v="2.7"/>
  </r>
  <r>
    <x v="5"/>
    <n v="2.5"/>
    <n v="3.3"/>
    <n v="2.6"/>
    <n v="3.3"/>
    <n v="2.4"/>
    <n v="3.1"/>
    <n v="2.9"/>
  </r>
  <r>
    <x v="6"/>
    <n v="2.8"/>
    <n v="3"/>
    <n v="2.4"/>
    <n v="2.9"/>
    <n v="2"/>
    <n v="2.5"/>
    <n v="2.8"/>
  </r>
  <r>
    <x v="7"/>
    <n v="0.7"/>
    <n v="0.9"/>
    <n v="0.8"/>
    <n v="0.8"/>
    <n v="0.6"/>
    <n v="0.6"/>
    <n v="0.8"/>
  </r>
  <r>
    <x v="8"/>
    <n v="2.8"/>
    <n v="3.4"/>
    <n v="2.7"/>
    <n v="2.7"/>
    <n v="2.2999999999999998"/>
    <n v="2.7"/>
    <n v="2.9"/>
  </r>
  <r>
    <x v="9"/>
    <n v="1.6"/>
    <n v="2"/>
    <n v="1.7"/>
    <n v="1.9"/>
    <n v="1.3"/>
    <n v="1.6"/>
    <n v="1.7"/>
  </r>
  <r>
    <x v="10"/>
    <n v="2.6"/>
    <n v="3"/>
    <n v="2.5"/>
    <n v="2.5"/>
    <n v="2.2000000000000002"/>
    <n v="2.4"/>
    <n v="2.7"/>
  </r>
  <r>
    <x v="11"/>
    <n v="0.8"/>
    <n v="0.8"/>
    <n v="0.7"/>
    <n v="0.9"/>
    <n v="0.6"/>
    <n v="0.7"/>
    <n v="0.8"/>
  </r>
</pivotCacheRecords>
</file>

<file path=xl/pivotCache/pivotCacheRecords2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681">
  <r>
    <x v="0"/>
    <x v="0"/>
    <x v="0"/>
    <m/>
    <n v="20"/>
    <n v="0"/>
    <n v="4"/>
    <n v="0"/>
    <n v="0"/>
    <n v="0"/>
    <n v="20"/>
  </r>
  <r>
    <x v="0"/>
    <x v="1"/>
    <x v="1"/>
    <m/>
    <n v="189"/>
    <n v="0"/>
    <n v="0"/>
    <n v="26"/>
    <n v="0"/>
    <n v="0"/>
    <n v="163"/>
  </r>
  <r>
    <x v="1"/>
    <x v="0"/>
    <x v="2"/>
    <s v="S40000003"/>
    <n v="13"/>
    <n v="0"/>
    <n v="0"/>
    <n v="0"/>
    <n v="0"/>
    <n v="0"/>
    <n v="13"/>
  </r>
  <r>
    <x v="2"/>
    <x v="1"/>
    <x v="3"/>
    <s v="S40000004"/>
    <n v="38"/>
    <n v="0"/>
    <n v="0"/>
    <n v="11"/>
    <n v="0"/>
    <n v="0"/>
    <n v="27"/>
  </r>
  <r>
    <x v="3"/>
    <x v="1"/>
    <x v="4"/>
    <m/>
    <n v="119"/>
    <n v="0"/>
    <n v="0"/>
    <n v="71"/>
    <n v="0"/>
    <n v="0"/>
    <n v="48"/>
  </r>
  <r>
    <x v="1"/>
    <x v="1"/>
    <x v="5"/>
    <s v="S40000003"/>
    <n v="112"/>
    <n v="0"/>
    <n v="0"/>
    <n v="42"/>
    <n v="0"/>
    <n v="0"/>
    <n v="70"/>
  </r>
  <r>
    <x v="2"/>
    <x v="1"/>
    <x v="6"/>
    <s v="S40000005"/>
    <n v="132"/>
    <n v="0"/>
    <n v="0"/>
    <n v="132"/>
    <n v="0"/>
    <n v="0"/>
    <n v="0"/>
  </r>
  <r>
    <x v="1"/>
    <x v="1"/>
    <x v="7"/>
    <s v="S40000003"/>
    <n v="93"/>
    <n v="0"/>
    <n v="0"/>
    <n v="20"/>
    <n v="0"/>
    <n v="0"/>
    <n v="73"/>
  </r>
  <r>
    <x v="0"/>
    <x v="0"/>
    <x v="8"/>
    <m/>
    <n v="20"/>
    <n v="0"/>
    <n v="0"/>
    <n v="0"/>
    <n v="0"/>
    <n v="0"/>
    <n v="20"/>
  </r>
  <r>
    <x v="3"/>
    <x v="1"/>
    <x v="9"/>
    <m/>
    <n v="239"/>
    <n v="0"/>
    <n v="0"/>
    <n v="179"/>
    <n v="0"/>
    <n v="7"/>
    <n v="53"/>
  </r>
  <r>
    <x v="4"/>
    <x v="1"/>
    <x v="10"/>
    <m/>
    <n v="81"/>
    <n v="0"/>
    <n v="0"/>
    <n v="56"/>
    <n v="0"/>
    <n v="0"/>
    <n v="25"/>
  </r>
  <r>
    <x v="4"/>
    <x v="1"/>
    <x v="11"/>
    <m/>
    <n v="135"/>
    <n v="0"/>
    <n v="0"/>
    <n v="105"/>
    <n v="0"/>
    <n v="1"/>
    <n v="29"/>
  </r>
  <r>
    <x v="3"/>
    <x v="1"/>
    <x v="12"/>
    <m/>
    <n v="202"/>
    <n v="0"/>
    <n v="0"/>
    <n v="98"/>
    <n v="0"/>
    <n v="19"/>
    <n v="85"/>
  </r>
  <r>
    <x v="3"/>
    <x v="1"/>
    <x v="13"/>
    <m/>
    <n v="172"/>
    <n v="0"/>
    <n v="0"/>
    <n v="10"/>
    <n v="0"/>
    <n v="0"/>
    <n v="162"/>
  </r>
  <r>
    <x v="1"/>
    <x v="1"/>
    <x v="3"/>
    <s v="S40000004"/>
    <n v="39"/>
    <n v="0"/>
    <n v="0"/>
    <n v="13"/>
    <n v="0"/>
    <n v="0"/>
    <n v="26"/>
  </r>
  <r>
    <x v="5"/>
    <x v="1"/>
    <x v="14"/>
    <m/>
    <n v="95"/>
    <n v="0"/>
    <n v="0"/>
    <n v="48"/>
    <n v="0"/>
    <n v="0"/>
    <n v="47"/>
  </r>
  <r>
    <x v="3"/>
    <x v="0"/>
    <x v="15"/>
    <m/>
    <n v="33"/>
    <n v="0"/>
    <n v="4"/>
    <n v="0"/>
    <n v="0"/>
    <n v="0"/>
    <n v="33"/>
  </r>
  <r>
    <x v="5"/>
    <x v="1"/>
    <x v="16"/>
    <m/>
    <n v="593"/>
    <n v="0"/>
    <n v="0"/>
    <n v="478"/>
    <n v="0"/>
    <n v="45"/>
    <n v="70"/>
  </r>
  <r>
    <x v="5"/>
    <x v="0"/>
    <x v="8"/>
    <m/>
    <n v="23"/>
    <n v="0"/>
    <n v="0"/>
    <n v="0"/>
    <n v="0"/>
    <n v="0"/>
    <n v="23"/>
  </r>
  <r>
    <x v="1"/>
    <x v="1"/>
    <x v="9"/>
    <s v="S40000003"/>
    <n v="249"/>
    <n v="0"/>
    <n v="0"/>
    <n v="192"/>
    <n v="0"/>
    <n v="5"/>
    <n v="52"/>
  </r>
  <r>
    <x v="4"/>
    <x v="1"/>
    <x v="7"/>
    <m/>
    <n v="99"/>
    <n v="0"/>
    <n v="0"/>
    <n v="22"/>
    <n v="0"/>
    <n v="0"/>
    <n v="77"/>
  </r>
  <r>
    <x v="0"/>
    <x v="1"/>
    <x v="17"/>
    <m/>
    <n v="49"/>
    <n v="0"/>
    <n v="0"/>
    <n v="23"/>
    <n v="0"/>
    <n v="0"/>
    <n v="26"/>
  </r>
  <r>
    <x v="5"/>
    <x v="1"/>
    <x v="18"/>
    <m/>
    <n v="204"/>
    <n v="0"/>
    <n v="0"/>
    <n v="116"/>
    <n v="0"/>
    <n v="22"/>
    <n v="66"/>
  </r>
  <r>
    <x v="6"/>
    <x v="1"/>
    <x v="18"/>
    <m/>
    <n v="209"/>
    <n v="0"/>
    <n v="0"/>
    <n v="119"/>
    <n v="0"/>
    <n v="21"/>
    <n v="69"/>
  </r>
  <r>
    <x v="2"/>
    <x v="1"/>
    <x v="19"/>
    <s v="S40000005"/>
    <n v="315"/>
    <n v="0"/>
    <n v="0"/>
    <n v="286"/>
    <n v="0"/>
    <n v="0"/>
    <n v="29"/>
  </r>
  <r>
    <x v="5"/>
    <x v="1"/>
    <x v="10"/>
    <m/>
    <n v="80"/>
    <n v="0"/>
    <n v="0"/>
    <n v="56"/>
    <n v="0"/>
    <n v="0"/>
    <n v="24"/>
  </r>
  <r>
    <x v="2"/>
    <x v="1"/>
    <x v="18"/>
    <s v="S40000005"/>
    <n v="214"/>
    <n v="0"/>
    <n v="0"/>
    <n v="130"/>
    <n v="0"/>
    <n v="21"/>
    <n v="63"/>
  </r>
  <r>
    <x v="5"/>
    <x v="2"/>
    <x v="20"/>
    <s v="S40000004"/>
    <n v="66"/>
    <n v="0"/>
    <n v="0"/>
    <n v="0"/>
    <n v="0"/>
    <n v="0"/>
    <n v="66"/>
  </r>
  <r>
    <x v="6"/>
    <x v="1"/>
    <x v="16"/>
    <m/>
    <n v="11"/>
    <n v="0"/>
    <n v="0"/>
    <n v="0"/>
    <n v="0"/>
    <n v="0"/>
    <n v="11"/>
  </r>
  <r>
    <x v="2"/>
    <x v="1"/>
    <x v="5"/>
    <s v="S40000003"/>
    <n v="114"/>
    <n v="0"/>
    <n v="0"/>
    <n v="44"/>
    <n v="0"/>
    <n v="0"/>
    <n v="70"/>
  </r>
  <r>
    <x v="0"/>
    <x v="1"/>
    <x v="4"/>
    <m/>
    <n v="124"/>
    <n v="0"/>
    <n v="0"/>
    <n v="69"/>
    <n v="0"/>
    <n v="0"/>
    <n v="55"/>
  </r>
  <r>
    <x v="1"/>
    <x v="1"/>
    <x v="4"/>
    <s v="S40000003"/>
    <n v="129"/>
    <n v="0"/>
    <n v="0"/>
    <n v="80"/>
    <n v="0"/>
    <n v="0"/>
    <n v="49"/>
  </r>
  <r>
    <x v="2"/>
    <x v="0"/>
    <x v="21"/>
    <s v="S40000004"/>
    <n v="28"/>
    <n v="0"/>
    <n v="0"/>
    <n v="0"/>
    <n v="0"/>
    <n v="0"/>
    <n v="28"/>
  </r>
  <r>
    <x v="0"/>
    <x v="1"/>
    <x v="22"/>
    <m/>
    <n v="203"/>
    <n v="0"/>
    <n v="0"/>
    <n v="145"/>
    <n v="0"/>
    <n v="0"/>
    <n v="58"/>
  </r>
  <r>
    <x v="2"/>
    <x v="1"/>
    <x v="23"/>
    <s v="S40000003"/>
    <n v="421"/>
    <n v="0"/>
    <n v="0"/>
    <n v="168"/>
    <n v="0"/>
    <n v="201"/>
    <n v="52"/>
  </r>
  <r>
    <x v="7"/>
    <x v="1"/>
    <x v="24"/>
    <s v="S12000040"/>
    <n v="115"/>
    <n v="0"/>
    <n v="0"/>
    <n v="59"/>
    <n v="0"/>
    <n v="0"/>
    <n v="56"/>
  </r>
  <r>
    <x v="0"/>
    <x v="1"/>
    <x v="18"/>
    <m/>
    <n v="197"/>
    <n v="0"/>
    <n v="0"/>
    <n v="117"/>
    <n v="0"/>
    <n v="21"/>
    <n v="59"/>
  </r>
  <r>
    <x v="6"/>
    <x v="1"/>
    <x v="25"/>
    <m/>
    <n v="138"/>
    <n v="0"/>
    <n v="0"/>
    <n v="135"/>
    <n v="0"/>
    <n v="0"/>
    <n v="3"/>
  </r>
  <r>
    <x v="3"/>
    <x v="1"/>
    <x v="26"/>
    <m/>
    <n v="117"/>
    <n v="0"/>
    <n v="0"/>
    <n v="68"/>
    <n v="0"/>
    <n v="0"/>
    <n v="49"/>
  </r>
  <r>
    <x v="5"/>
    <x v="3"/>
    <x v="27"/>
    <s v="S92000003"/>
    <n v="1182"/>
    <n v="174"/>
    <n v="0"/>
    <n v="0"/>
    <n v="920"/>
    <n v="0"/>
    <n v="88"/>
  </r>
  <r>
    <x v="7"/>
    <x v="1"/>
    <x v="9"/>
    <s v="S12000006"/>
    <n v="257"/>
    <n v="0"/>
    <n v="0"/>
    <n v="198"/>
    <n v="0"/>
    <n v="6"/>
    <n v="53"/>
  </r>
  <r>
    <x v="7"/>
    <x v="1"/>
    <x v="28"/>
    <s v="S12000047"/>
    <n v="390"/>
    <n v="0"/>
    <n v="0"/>
    <n v="116"/>
    <n v="0"/>
    <n v="0"/>
    <n v="274"/>
  </r>
  <r>
    <x v="1"/>
    <x v="3"/>
    <x v="27"/>
    <s v="S92000003"/>
    <n v="1095"/>
    <n v="188"/>
    <n v="0"/>
    <n v="0"/>
    <n v="817"/>
    <n v="0"/>
    <n v="90"/>
  </r>
  <r>
    <x v="1"/>
    <x v="1"/>
    <x v="14"/>
    <s v="S40000003"/>
    <n v="105"/>
    <n v="0"/>
    <n v="0"/>
    <n v="55"/>
    <n v="0"/>
    <n v="0"/>
    <n v="50"/>
  </r>
  <r>
    <x v="4"/>
    <x v="2"/>
    <x v="29"/>
    <m/>
    <n v="27"/>
    <n v="0"/>
    <n v="0"/>
    <n v="0"/>
    <n v="0"/>
    <n v="0"/>
    <n v="27"/>
  </r>
  <r>
    <x v="3"/>
    <x v="0"/>
    <x v="16"/>
    <m/>
    <n v="23"/>
    <n v="0"/>
    <n v="11"/>
    <n v="0"/>
    <n v="0"/>
    <n v="0"/>
    <n v="23"/>
  </r>
  <r>
    <x v="4"/>
    <x v="1"/>
    <x v="30"/>
    <m/>
    <n v="81"/>
    <n v="0"/>
    <n v="0"/>
    <n v="0"/>
    <n v="0"/>
    <n v="0"/>
    <n v="81"/>
  </r>
  <r>
    <x v="2"/>
    <x v="1"/>
    <x v="13"/>
    <s v="S40000005"/>
    <n v="159"/>
    <n v="0"/>
    <n v="0"/>
    <n v="10"/>
    <n v="0"/>
    <n v="0"/>
    <n v="149"/>
  </r>
  <r>
    <x v="3"/>
    <x v="1"/>
    <x v="31"/>
    <m/>
    <n v="113"/>
    <n v="0"/>
    <n v="0"/>
    <n v="11"/>
    <n v="0"/>
    <n v="0"/>
    <n v="102"/>
  </r>
  <r>
    <x v="1"/>
    <x v="1"/>
    <x v="18"/>
    <s v="S40000005"/>
    <n v="219"/>
    <n v="0"/>
    <n v="0"/>
    <n v="131"/>
    <n v="0"/>
    <n v="21"/>
    <n v="67"/>
  </r>
  <r>
    <x v="4"/>
    <x v="0"/>
    <x v="15"/>
    <m/>
    <n v="32"/>
    <n v="0"/>
    <n v="4"/>
    <n v="0"/>
    <n v="0"/>
    <n v="0"/>
    <n v="32"/>
  </r>
  <r>
    <x v="0"/>
    <x v="0"/>
    <x v="16"/>
    <m/>
    <n v="25"/>
    <n v="0"/>
    <n v="14"/>
    <n v="0"/>
    <n v="0"/>
    <n v="0"/>
    <n v="25"/>
  </r>
  <r>
    <x v="5"/>
    <x v="0"/>
    <x v="32"/>
    <m/>
    <n v="27"/>
    <n v="0"/>
    <n v="4"/>
    <n v="0"/>
    <n v="0"/>
    <n v="0"/>
    <n v="27"/>
  </r>
  <r>
    <x v="0"/>
    <x v="1"/>
    <x v="33"/>
    <m/>
    <n v="177"/>
    <n v="0"/>
    <n v="0"/>
    <n v="15"/>
    <n v="0"/>
    <n v="0"/>
    <n v="162"/>
  </r>
  <r>
    <x v="0"/>
    <x v="1"/>
    <x v="9"/>
    <m/>
    <n v="245"/>
    <n v="0"/>
    <n v="0"/>
    <n v="187"/>
    <n v="0"/>
    <n v="6"/>
    <n v="52"/>
  </r>
  <r>
    <x v="6"/>
    <x v="1"/>
    <x v="34"/>
    <m/>
    <n v="234"/>
    <n v="0"/>
    <n v="0"/>
    <n v="68"/>
    <n v="0"/>
    <n v="2"/>
    <n v="164"/>
  </r>
  <r>
    <x v="6"/>
    <x v="1"/>
    <x v="17"/>
    <m/>
    <n v="50"/>
    <n v="0"/>
    <n v="0"/>
    <n v="25"/>
    <n v="0"/>
    <n v="0"/>
    <n v="25"/>
  </r>
  <r>
    <x v="1"/>
    <x v="0"/>
    <x v="16"/>
    <s v="S40000005"/>
    <n v="38"/>
    <n v="0"/>
    <n v="7"/>
    <n v="0"/>
    <n v="0"/>
    <n v="0"/>
    <n v="38"/>
  </r>
  <r>
    <x v="7"/>
    <x v="1"/>
    <x v="17"/>
    <s v="S12000005"/>
    <n v="45"/>
    <n v="0"/>
    <n v="0"/>
    <n v="20"/>
    <n v="0"/>
    <n v="0"/>
    <n v="25"/>
  </r>
  <r>
    <x v="5"/>
    <x v="1"/>
    <x v="17"/>
    <m/>
    <n v="49"/>
    <n v="0"/>
    <n v="0"/>
    <n v="25"/>
    <n v="0"/>
    <n v="0"/>
    <n v="24"/>
  </r>
  <r>
    <x v="6"/>
    <x v="0"/>
    <x v="9"/>
    <m/>
    <n v="18"/>
    <n v="0"/>
    <n v="4"/>
    <n v="0"/>
    <n v="0"/>
    <n v="0"/>
    <n v="18"/>
  </r>
  <r>
    <x v="5"/>
    <x v="2"/>
    <x v="35"/>
    <m/>
    <n v="107"/>
    <n v="0"/>
    <n v="0"/>
    <n v="0"/>
    <n v="0"/>
    <n v="0"/>
    <n v="107"/>
  </r>
  <r>
    <x v="5"/>
    <x v="1"/>
    <x v="19"/>
    <m/>
    <n v="313"/>
    <n v="0"/>
    <n v="0"/>
    <n v="285"/>
    <n v="0"/>
    <n v="0"/>
    <n v="28"/>
  </r>
  <r>
    <x v="4"/>
    <x v="0"/>
    <x v="36"/>
    <m/>
    <n v="10"/>
    <n v="0"/>
    <n v="12"/>
    <n v="0"/>
    <n v="0"/>
    <n v="0"/>
    <n v="10"/>
  </r>
  <r>
    <x v="3"/>
    <x v="1"/>
    <x v="1"/>
    <m/>
    <n v="198"/>
    <n v="0"/>
    <n v="0"/>
    <n v="29"/>
    <n v="0"/>
    <n v="0"/>
    <n v="169"/>
  </r>
  <r>
    <x v="5"/>
    <x v="1"/>
    <x v="30"/>
    <m/>
    <n v="75"/>
    <n v="0"/>
    <n v="0"/>
    <n v="0"/>
    <n v="0"/>
    <n v="0"/>
    <n v="75"/>
  </r>
  <r>
    <x v="0"/>
    <x v="0"/>
    <x v="37"/>
    <m/>
    <n v="20"/>
    <n v="0"/>
    <n v="9"/>
    <n v="0"/>
    <n v="0"/>
    <n v="0"/>
    <n v="20"/>
  </r>
  <r>
    <x v="5"/>
    <x v="1"/>
    <x v="28"/>
    <m/>
    <n v="357"/>
    <n v="0"/>
    <n v="0"/>
    <n v="103"/>
    <n v="0"/>
    <n v="0"/>
    <n v="254"/>
  </r>
  <r>
    <x v="4"/>
    <x v="1"/>
    <x v="16"/>
    <m/>
    <n v="572"/>
    <n v="0"/>
    <n v="0"/>
    <n v="457"/>
    <n v="0"/>
    <n v="43"/>
    <n v="72"/>
  </r>
  <r>
    <x v="0"/>
    <x v="2"/>
    <x v="35"/>
    <m/>
    <n v="132"/>
    <n v="0"/>
    <n v="0"/>
    <n v="0"/>
    <n v="0"/>
    <n v="0"/>
    <n v="132"/>
  </r>
  <r>
    <x v="1"/>
    <x v="1"/>
    <x v="12"/>
    <s v="S40000003"/>
    <n v="201"/>
    <n v="0"/>
    <n v="0"/>
    <n v="104"/>
    <n v="0"/>
    <n v="22"/>
    <n v="75"/>
  </r>
  <r>
    <x v="0"/>
    <x v="1"/>
    <x v="8"/>
    <m/>
    <n v="448"/>
    <n v="0"/>
    <n v="0"/>
    <n v="0"/>
    <n v="0"/>
    <n v="0"/>
    <n v="448"/>
  </r>
  <r>
    <x v="4"/>
    <x v="1"/>
    <x v="38"/>
    <m/>
    <n v="144"/>
    <n v="0"/>
    <n v="0"/>
    <n v="60"/>
    <n v="0"/>
    <n v="0"/>
    <n v="84"/>
  </r>
  <r>
    <x v="7"/>
    <x v="1"/>
    <x v="23"/>
    <s v="S12000035"/>
    <n v="433"/>
    <n v="0"/>
    <n v="0"/>
    <n v="176"/>
    <n v="0"/>
    <n v="203"/>
    <n v="54"/>
  </r>
  <r>
    <x v="5"/>
    <x v="1"/>
    <x v="25"/>
    <m/>
    <n v="121"/>
    <n v="0"/>
    <n v="0"/>
    <n v="121"/>
    <n v="0"/>
    <n v="0"/>
    <n v="0"/>
  </r>
  <r>
    <x v="4"/>
    <x v="3"/>
    <x v="27"/>
    <s v="S92000003"/>
    <n v="1194"/>
    <n v="177"/>
    <n v="0"/>
    <n v="0"/>
    <n v="922"/>
    <n v="0"/>
    <n v="95"/>
  </r>
  <r>
    <x v="3"/>
    <x v="1"/>
    <x v="5"/>
    <m/>
    <n v="98"/>
    <n v="0"/>
    <n v="0"/>
    <n v="35"/>
    <n v="0"/>
    <n v="0"/>
    <n v="63"/>
  </r>
  <r>
    <x v="4"/>
    <x v="1"/>
    <x v="18"/>
    <m/>
    <n v="205"/>
    <n v="0"/>
    <n v="0"/>
    <n v="114"/>
    <n v="0"/>
    <n v="21"/>
    <n v="70"/>
  </r>
  <r>
    <x v="7"/>
    <x v="0"/>
    <x v="28"/>
    <s v="S39000019"/>
    <n v="18"/>
    <n v="0"/>
    <n v="1"/>
    <n v="0"/>
    <n v="0"/>
    <n v="0"/>
    <n v="18"/>
  </r>
  <r>
    <x v="2"/>
    <x v="0"/>
    <x v="32"/>
    <s v="S40000003"/>
    <n v="27"/>
    <n v="0"/>
    <n v="4"/>
    <n v="0"/>
    <n v="0"/>
    <n v="0"/>
    <n v="27"/>
  </r>
  <r>
    <x v="0"/>
    <x v="0"/>
    <x v="9"/>
    <m/>
    <n v="1"/>
    <n v="0"/>
    <n v="4"/>
    <n v="0"/>
    <n v="0"/>
    <n v="0"/>
    <n v="1"/>
  </r>
  <r>
    <x v="2"/>
    <x v="0"/>
    <x v="39"/>
    <s v="S40000004"/>
    <n v="19"/>
    <n v="0"/>
    <n v="2"/>
    <n v="0"/>
    <n v="0"/>
    <n v="0"/>
    <n v="19"/>
  </r>
  <r>
    <x v="5"/>
    <x v="1"/>
    <x v="40"/>
    <m/>
    <n v="302"/>
    <n v="0"/>
    <n v="0"/>
    <n v="7"/>
    <n v="0"/>
    <n v="0"/>
    <n v="295"/>
  </r>
  <r>
    <x v="1"/>
    <x v="1"/>
    <x v="25"/>
    <s v="S40000005"/>
    <n v="135"/>
    <n v="0"/>
    <n v="0"/>
    <n v="135"/>
    <n v="0"/>
    <n v="0"/>
    <n v="0"/>
  </r>
  <r>
    <x v="0"/>
    <x v="1"/>
    <x v="41"/>
    <m/>
    <n v="125"/>
    <n v="0"/>
    <n v="0"/>
    <n v="99"/>
    <n v="0"/>
    <n v="0"/>
    <n v="26"/>
  </r>
  <r>
    <x v="3"/>
    <x v="2"/>
    <x v="29"/>
    <m/>
    <n v="52"/>
    <n v="0"/>
    <n v="0"/>
    <n v="0"/>
    <n v="0"/>
    <n v="0"/>
    <n v="52"/>
  </r>
  <r>
    <x v="5"/>
    <x v="0"/>
    <x v="0"/>
    <m/>
    <n v="29"/>
    <n v="0"/>
    <n v="4"/>
    <n v="0"/>
    <n v="0"/>
    <n v="0"/>
    <n v="29"/>
  </r>
  <r>
    <x v="1"/>
    <x v="1"/>
    <x v="40"/>
    <s v="S40000004"/>
    <n v="314"/>
    <n v="0"/>
    <n v="0"/>
    <n v="8"/>
    <n v="0"/>
    <n v="0"/>
    <n v="306"/>
  </r>
  <r>
    <x v="4"/>
    <x v="0"/>
    <x v="42"/>
    <m/>
    <n v="24"/>
    <n v="0"/>
    <n v="6"/>
    <n v="0"/>
    <n v="0"/>
    <n v="0"/>
    <n v="24"/>
  </r>
  <r>
    <x v="3"/>
    <x v="1"/>
    <x v="43"/>
    <m/>
    <n v="53"/>
    <n v="0"/>
    <n v="0"/>
    <n v="0"/>
    <n v="0"/>
    <n v="0"/>
    <n v="53"/>
  </r>
  <r>
    <x v="3"/>
    <x v="1"/>
    <x v="7"/>
    <m/>
    <n v="96"/>
    <n v="0"/>
    <n v="0"/>
    <n v="21"/>
    <n v="0"/>
    <n v="0"/>
    <n v="75"/>
  </r>
  <r>
    <x v="7"/>
    <x v="0"/>
    <x v="39"/>
    <s v="S39000010"/>
    <n v="20"/>
    <n v="0"/>
    <n v="0"/>
    <n v="0"/>
    <n v="0"/>
    <n v="0"/>
    <n v="20"/>
  </r>
  <r>
    <x v="3"/>
    <x v="1"/>
    <x v="25"/>
    <m/>
    <n v="135"/>
    <n v="0"/>
    <n v="0"/>
    <n v="132"/>
    <n v="0"/>
    <n v="0"/>
    <n v="3"/>
  </r>
  <r>
    <x v="5"/>
    <x v="1"/>
    <x v="6"/>
    <m/>
    <n v="133"/>
    <n v="0"/>
    <n v="0"/>
    <n v="133"/>
    <n v="0"/>
    <n v="0"/>
    <n v="0"/>
  </r>
  <r>
    <x v="5"/>
    <x v="0"/>
    <x v="44"/>
    <m/>
    <n v="31"/>
    <n v="0"/>
    <n v="3"/>
    <n v="0"/>
    <n v="0"/>
    <n v="0"/>
    <n v="31"/>
  </r>
  <r>
    <x v="2"/>
    <x v="1"/>
    <x v="4"/>
    <s v="S40000003"/>
    <n v="125"/>
    <n v="0"/>
    <n v="0"/>
    <n v="78"/>
    <n v="0"/>
    <n v="0"/>
    <n v="47"/>
  </r>
  <r>
    <x v="6"/>
    <x v="1"/>
    <x v="33"/>
    <m/>
    <n v="181"/>
    <n v="0"/>
    <n v="0"/>
    <n v="12"/>
    <n v="0"/>
    <n v="0"/>
    <n v="169"/>
  </r>
  <r>
    <x v="6"/>
    <x v="0"/>
    <x v="36"/>
    <m/>
    <n v="9"/>
    <n v="0"/>
    <n v="8"/>
    <n v="0"/>
    <n v="0"/>
    <n v="0"/>
    <n v="9"/>
  </r>
  <r>
    <x v="2"/>
    <x v="0"/>
    <x v="36"/>
    <s v="S40000005"/>
    <n v="15"/>
    <n v="0"/>
    <n v="7"/>
    <n v="0"/>
    <n v="0"/>
    <n v="0"/>
    <n v="15"/>
  </r>
  <r>
    <x v="4"/>
    <x v="1"/>
    <x v="34"/>
    <m/>
    <n v="232"/>
    <n v="0"/>
    <n v="0"/>
    <n v="82"/>
    <n v="0"/>
    <n v="0"/>
    <n v="150"/>
  </r>
  <r>
    <x v="7"/>
    <x v="1"/>
    <x v="11"/>
    <s v="S12000020"/>
    <n v="154"/>
    <n v="0"/>
    <n v="0"/>
    <n v="120"/>
    <n v="0"/>
    <n v="4"/>
    <n v="30"/>
  </r>
  <r>
    <x v="6"/>
    <x v="0"/>
    <x v="16"/>
    <m/>
    <n v="20"/>
    <n v="0"/>
    <n v="11"/>
    <n v="0"/>
    <n v="0"/>
    <n v="0"/>
    <n v="20"/>
  </r>
  <r>
    <x v="1"/>
    <x v="1"/>
    <x v="26"/>
    <s v="S40000004"/>
    <n v="126"/>
    <n v="0"/>
    <n v="0"/>
    <n v="75"/>
    <n v="0"/>
    <n v="0"/>
    <n v="51"/>
  </r>
  <r>
    <x v="4"/>
    <x v="0"/>
    <x v="16"/>
    <m/>
    <n v="24"/>
    <n v="0"/>
    <n v="11"/>
    <n v="0"/>
    <n v="0"/>
    <n v="0"/>
    <n v="24"/>
  </r>
  <r>
    <x v="5"/>
    <x v="1"/>
    <x v="4"/>
    <m/>
    <n v="123"/>
    <n v="0"/>
    <n v="0"/>
    <n v="77"/>
    <n v="0"/>
    <n v="0"/>
    <n v="46"/>
  </r>
  <r>
    <x v="7"/>
    <x v="1"/>
    <x v="12"/>
    <s v="S12000021"/>
    <n v="205"/>
    <n v="0"/>
    <n v="0"/>
    <n v="107"/>
    <n v="0"/>
    <n v="22"/>
    <n v="76"/>
  </r>
  <r>
    <x v="0"/>
    <x v="1"/>
    <x v="40"/>
    <m/>
    <n v="296"/>
    <n v="0"/>
    <n v="0"/>
    <n v="8"/>
    <n v="0"/>
    <n v="0"/>
    <n v="288"/>
  </r>
  <r>
    <x v="5"/>
    <x v="0"/>
    <x v="15"/>
    <m/>
    <n v="38"/>
    <n v="0"/>
    <n v="4"/>
    <n v="0"/>
    <n v="0"/>
    <n v="0"/>
    <n v="38"/>
  </r>
  <r>
    <x v="3"/>
    <x v="0"/>
    <x v="21"/>
    <m/>
    <n v="27"/>
    <n v="0"/>
    <n v="0"/>
    <n v="0"/>
    <n v="0"/>
    <n v="0"/>
    <n v="27"/>
  </r>
  <r>
    <x v="2"/>
    <x v="1"/>
    <x v="17"/>
    <s v="S40000002"/>
    <n v="51"/>
    <n v="0"/>
    <n v="0"/>
    <n v="27"/>
    <n v="0"/>
    <n v="0"/>
    <n v="24"/>
  </r>
  <r>
    <x v="0"/>
    <x v="0"/>
    <x v="21"/>
    <m/>
    <n v="25"/>
    <n v="0"/>
    <n v="0"/>
    <n v="0"/>
    <n v="0"/>
    <n v="0"/>
    <n v="25"/>
  </r>
  <r>
    <x v="7"/>
    <x v="0"/>
    <x v="9"/>
    <s v="S39000004"/>
    <n v="22"/>
    <n v="0"/>
    <n v="1"/>
    <n v="0"/>
    <n v="0"/>
    <n v="0"/>
    <n v="22"/>
  </r>
  <r>
    <x v="3"/>
    <x v="1"/>
    <x v="41"/>
    <m/>
    <n v="127"/>
    <n v="0"/>
    <n v="0"/>
    <n v="100"/>
    <n v="0"/>
    <n v="0"/>
    <n v="27"/>
  </r>
  <r>
    <x v="4"/>
    <x v="2"/>
    <x v="20"/>
    <s v="S40000004"/>
    <n v="40"/>
    <n v="0"/>
    <n v="0"/>
    <n v="0"/>
    <n v="0"/>
    <n v="0"/>
    <n v="40"/>
  </r>
  <r>
    <x v="0"/>
    <x v="0"/>
    <x v="39"/>
    <m/>
    <n v="15"/>
    <n v="0"/>
    <n v="2"/>
    <n v="0"/>
    <n v="0"/>
    <n v="0"/>
    <n v="15"/>
  </r>
  <r>
    <x v="6"/>
    <x v="1"/>
    <x v="3"/>
    <m/>
    <n v="36"/>
    <n v="0"/>
    <n v="0"/>
    <n v="11"/>
    <n v="0"/>
    <n v="0"/>
    <n v="25"/>
  </r>
  <r>
    <x v="4"/>
    <x v="1"/>
    <x v="9"/>
    <m/>
    <n v="259"/>
    <n v="0"/>
    <n v="0"/>
    <n v="191"/>
    <n v="0"/>
    <n v="4"/>
    <n v="64"/>
  </r>
  <r>
    <x v="4"/>
    <x v="1"/>
    <x v="12"/>
    <m/>
    <n v="199"/>
    <n v="0"/>
    <n v="0"/>
    <n v="104"/>
    <n v="0"/>
    <n v="19"/>
    <n v="76"/>
  </r>
  <r>
    <x v="4"/>
    <x v="1"/>
    <x v="40"/>
    <m/>
    <n v="313"/>
    <n v="0"/>
    <n v="0"/>
    <n v="10"/>
    <n v="0"/>
    <n v="0"/>
    <n v="303"/>
  </r>
  <r>
    <x v="5"/>
    <x v="0"/>
    <x v="45"/>
    <m/>
    <n v="30"/>
    <n v="0"/>
    <n v="2"/>
    <n v="0"/>
    <n v="0"/>
    <n v="0"/>
    <n v="30"/>
  </r>
  <r>
    <x v="1"/>
    <x v="1"/>
    <x v="10"/>
    <s v="S40000004"/>
    <n v="90"/>
    <n v="0"/>
    <n v="0"/>
    <n v="65"/>
    <n v="0"/>
    <n v="0"/>
    <n v="25"/>
  </r>
  <r>
    <x v="5"/>
    <x v="0"/>
    <x v="36"/>
    <m/>
    <n v="17"/>
    <n v="0"/>
    <n v="7"/>
    <n v="0"/>
    <n v="0"/>
    <n v="0"/>
    <n v="17"/>
  </r>
  <r>
    <x v="1"/>
    <x v="1"/>
    <x v="17"/>
    <s v="S40000004"/>
    <n v="50"/>
    <n v="0"/>
    <n v="0"/>
    <n v="25"/>
    <n v="0"/>
    <n v="0"/>
    <n v="25"/>
  </r>
  <r>
    <x v="1"/>
    <x v="0"/>
    <x v="8"/>
    <s v="S40000003"/>
    <n v="25"/>
    <n v="0"/>
    <n v="0"/>
    <n v="0"/>
    <n v="0"/>
    <n v="0"/>
    <n v="25"/>
  </r>
  <r>
    <x v="2"/>
    <x v="2"/>
    <x v="35"/>
    <s v="S40000003"/>
    <n v="91"/>
    <n v="0"/>
    <n v="0"/>
    <n v="0"/>
    <n v="0"/>
    <n v="0"/>
    <n v="91"/>
  </r>
  <r>
    <x v="4"/>
    <x v="1"/>
    <x v="8"/>
    <m/>
    <n v="452"/>
    <n v="0"/>
    <n v="0"/>
    <n v="0"/>
    <n v="0"/>
    <n v="0"/>
    <n v="452"/>
  </r>
  <r>
    <x v="6"/>
    <x v="1"/>
    <x v="8"/>
    <m/>
    <n v="491"/>
    <n v="0"/>
    <n v="0"/>
    <n v="0"/>
    <n v="0"/>
    <n v="0"/>
    <n v="491"/>
  </r>
  <r>
    <x v="0"/>
    <x v="1"/>
    <x v="10"/>
    <m/>
    <n v="81"/>
    <n v="0"/>
    <n v="0"/>
    <n v="55"/>
    <n v="0"/>
    <n v="0"/>
    <n v="26"/>
  </r>
  <r>
    <x v="6"/>
    <x v="1"/>
    <x v="12"/>
    <m/>
    <n v="191"/>
    <n v="0"/>
    <n v="0"/>
    <n v="96"/>
    <n v="0"/>
    <n v="20"/>
    <n v="75"/>
  </r>
  <r>
    <x v="7"/>
    <x v="1"/>
    <x v="41"/>
    <s v="S12000041"/>
    <n v="126"/>
    <n v="0"/>
    <n v="0"/>
    <n v="98"/>
    <n v="0"/>
    <n v="0"/>
    <n v="28"/>
  </r>
  <r>
    <x v="6"/>
    <x v="0"/>
    <x v="37"/>
    <m/>
    <n v="24"/>
    <n v="0"/>
    <n v="8"/>
    <n v="0"/>
    <n v="0"/>
    <n v="0"/>
    <n v="24"/>
  </r>
  <r>
    <x v="7"/>
    <x v="0"/>
    <x v="0"/>
    <s v="S39000007"/>
    <n v="25"/>
    <n v="0"/>
    <n v="2"/>
    <n v="0"/>
    <n v="0"/>
    <n v="0"/>
    <n v="25"/>
  </r>
  <r>
    <x v="0"/>
    <x v="1"/>
    <x v="38"/>
    <m/>
    <n v="142"/>
    <n v="0"/>
    <n v="0"/>
    <n v="59"/>
    <n v="0"/>
    <n v="0"/>
    <n v="83"/>
  </r>
  <r>
    <x v="6"/>
    <x v="0"/>
    <x v="2"/>
    <m/>
    <n v="19"/>
    <n v="0"/>
    <n v="0"/>
    <n v="0"/>
    <n v="0"/>
    <n v="0"/>
    <n v="19"/>
  </r>
  <r>
    <x v="4"/>
    <x v="1"/>
    <x v="33"/>
    <m/>
    <n v="172"/>
    <n v="0"/>
    <n v="0"/>
    <n v="14"/>
    <n v="0"/>
    <n v="0"/>
    <n v="158"/>
  </r>
  <r>
    <x v="1"/>
    <x v="0"/>
    <x v="45"/>
    <s v="S40000003"/>
    <n v="16"/>
    <n v="0"/>
    <n v="2"/>
    <n v="0"/>
    <n v="0"/>
    <n v="0"/>
    <n v="16"/>
  </r>
  <r>
    <x v="6"/>
    <x v="1"/>
    <x v="38"/>
    <m/>
    <n v="137"/>
    <n v="0"/>
    <n v="0"/>
    <n v="53"/>
    <n v="0"/>
    <n v="0"/>
    <n v="84"/>
  </r>
  <r>
    <x v="5"/>
    <x v="1"/>
    <x v="38"/>
    <m/>
    <n v="137"/>
    <n v="0"/>
    <n v="0"/>
    <n v="50"/>
    <n v="0"/>
    <n v="0"/>
    <n v="87"/>
  </r>
  <r>
    <x v="5"/>
    <x v="1"/>
    <x v="22"/>
    <m/>
    <n v="193"/>
    <n v="0"/>
    <n v="0"/>
    <n v="140"/>
    <n v="0"/>
    <n v="0"/>
    <n v="53"/>
  </r>
  <r>
    <x v="7"/>
    <x v="1"/>
    <x v="40"/>
    <s v="S12000036"/>
    <n v="306"/>
    <n v="0"/>
    <n v="0"/>
    <n v="9"/>
    <n v="0"/>
    <n v="0"/>
    <n v="297"/>
  </r>
  <r>
    <x v="1"/>
    <x v="1"/>
    <x v="6"/>
    <s v="S40000005"/>
    <n v="134"/>
    <n v="0"/>
    <n v="0"/>
    <n v="134"/>
    <n v="0"/>
    <n v="0"/>
    <n v="0"/>
  </r>
  <r>
    <x v="3"/>
    <x v="1"/>
    <x v="10"/>
    <m/>
    <n v="81"/>
    <n v="0"/>
    <n v="0"/>
    <n v="56"/>
    <n v="0"/>
    <n v="0"/>
    <n v="25"/>
  </r>
  <r>
    <x v="2"/>
    <x v="1"/>
    <x v="10"/>
    <s v="S40000004"/>
    <n v="90"/>
    <n v="0"/>
    <n v="0"/>
    <n v="64"/>
    <n v="0"/>
    <n v="0"/>
    <n v="26"/>
  </r>
  <r>
    <x v="2"/>
    <x v="1"/>
    <x v="1"/>
    <s v="S40000003"/>
    <n v="198"/>
    <n v="0"/>
    <n v="0"/>
    <n v="38"/>
    <n v="0"/>
    <n v="0"/>
    <n v="160"/>
  </r>
  <r>
    <x v="2"/>
    <x v="0"/>
    <x v="9"/>
    <s v="S40000003"/>
    <n v="21"/>
    <n v="0"/>
    <n v="4"/>
    <n v="0"/>
    <n v="0"/>
    <n v="0"/>
    <n v="21"/>
  </r>
  <r>
    <x v="4"/>
    <x v="1"/>
    <x v="13"/>
    <m/>
    <n v="118"/>
    <n v="0"/>
    <n v="0"/>
    <n v="9"/>
    <n v="0"/>
    <n v="0"/>
    <n v="109"/>
  </r>
  <r>
    <x v="0"/>
    <x v="1"/>
    <x v="34"/>
    <m/>
    <n v="229"/>
    <n v="0"/>
    <n v="0"/>
    <n v="74"/>
    <n v="0"/>
    <n v="0"/>
    <n v="155"/>
  </r>
  <r>
    <x v="1"/>
    <x v="1"/>
    <x v="30"/>
    <s v="S40000003"/>
    <n v="79"/>
    <n v="0"/>
    <n v="0"/>
    <n v="0"/>
    <n v="0"/>
    <n v="0"/>
    <n v="79"/>
  </r>
  <r>
    <x v="3"/>
    <x v="1"/>
    <x v="19"/>
    <m/>
    <n v="294"/>
    <n v="0"/>
    <n v="0"/>
    <n v="266"/>
    <n v="0"/>
    <n v="0"/>
    <n v="28"/>
  </r>
  <r>
    <x v="4"/>
    <x v="1"/>
    <x v="19"/>
    <m/>
    <n v="319"/>
    <n v="0"/>
    <n v="0"/>
    <n v="277"/>
    <n v="0"/>
    <n v="0"/>
    <n v="42"/>
  </r>
  <r>
    <x v="3"/>
    <x v="1"/>
    <x v="11"/>
    <m/>
    <n v="149"/>
    <n v="0"/>
    <n v="0"/>
    <n v="116"/>
    <n v="0"/>
    <n v="3"/>
    <n v="30"/>
  </r>
  <r>
    <x v="4"/>
    <x v="1"/>
    <x v="6"/>
    <m/>
    <n v="117"/>
    <n v="0"/>
    <n v="0"/>
    <n v="117"/>
    <n v="0"/>
    <n v="0"/>
    <n v="0"/>
  </r>
  <r>
    <x v="6"/>
    <x v="1"/>
    <x v="19"/>
    <m/>
    <n v="306"/>
    <n v="0"/>
    <n v="0"/>
    <n v="278"/>
    <n v="0"/>
    <n v="0"/>
    <n v="28"/>
  </r>
  <r>
    <x v="5"/>
    <x v="1"/>
    <x v="8"/>
    <m/>
    <n v="493"/>
    <n v="0"/>
    <n v="0"/>
    <n v="0"/>
    <n v="0"/>
    <n v="0"/>
    <n v="493"/>
  </r>
  <r>
    <x v="4"/>
    <x v="1"/>
    <x v="17"/>
    <m/>
    <n v="51"/>
    <n v="0"/>
    <n v="0"/>
    <n v="24"/>
    <n v="0"/>
    <n v="0"/>
    <n v="27"/>
  </r>
  <r>
    <x v="3"/>
    <x v="0"/>
    <x v="39"/>
    <m/>
    <n v="19"/>
    <n v="0"/>
    <n v="2"/>
    <n v="0"/>
    <n v="0"/>
    <n v="0"/>
    <n v="19"/>
  </r>
  <r>
    <x v="6"/>
    <x v="1"/>
    <x v="23"/>
    <m/>
    <n v="389"/>
    <n v="0"/>
    <n v="0"/>
    <n v="167"/>
    <n v="0"/>
    <n v="172"/>
    <n v="50"/>
  </r>
  <r>
    <x v="0"/>
    <x v="0"/>
    <x v="45"/>
    <m/>
    <n v="23"/>
    <n v="0"/>
    <n v="2"/>
    <n v="0"/>
    <n v="0"/>
    <n v="0"/>
    <n v="23"/>
  </r>
  <r>
    <x v="4"/>
    <x v="0"/>
    <x v="37"/>
    <m/>
    <n v="73"/>
    <n v="0"/>
    <n v="8"/>
    <n v="0"/>
    <n v="0"/>
    <n v="0"/>
    <n v="73"/>
  </r>
  <r>
    <x v="4"/>
    <x v="1"/>
    <x v="14"/>
    <m/>
    <n v="98"/>
    <n v="0"/>
    <n v="0"/>
    <n v="47"/>
    <n v="0"/>
    <n v="0"/>
    <n v="51"/>
  </r>
  <r>
    <x v="2"/>
    <x v="1"/>
    <x v="40"/>
    <s v="S40000004"/>
    <n v="308"/>
    <n v="0"/>
    <n v="0"/>
    <n v="8"/>
    <n v="0"/>
    <n v="0"/>
    <n v="300"/>
  </r>
  <r>
    <x v="1"/>
    <x v="1"/>
    <x v="41"/>
    <s v="S40000005"/>
    <n v="130"/>
    <n v="0"/>
    <n v="0"/>
    <n v="103"/>
    <n v="0"/>
    <n v="0"/>
    <n v="27"/>
  </r>
  <r>
    <x v="3"/>
    <x v="3"/>
    <x v="27"/>
    <s v="S92000003"/>
    <n v="1142"/>
    <n v="171"/>
    <n v="0"/>
    <n v="0"/>
    <n v="887"/>
    <n v="0"/>
    <n v="84"/>
  </r>
  <r>
    <x v="0"/>
    <x v="1"/>
    <x v="31"/>
    <m/>
    <n v="116"/>
    <n v="0"/>
    <n v="0"/>
    <n v="14"/>
    <n v="0"/>
    <n v="0"/>
    <n v="102"/>
  </r>
  <r>
    <x v="0"/>
    <x v="1"/>
    <x v="28"/>
    <m/>
    <n v="313"/>
    <n v="0"/>
    <n v="0"/>
    <n v="102"/>
    <n v="0"/>
    <n v="0"/>
    <n v="211"/>
  </r>
  <r>
    <x v="7"/>
    <x v="1"/>
    <x v="13"/>
    <s v="S12000033"/>
    <n v="163"/>
    <n v="0"/>
    <n v="0"/>
    <n v="9"/>
    <n v="0"/>
    <n v="0"/>
    <n v="154"/>
  </r>
  <r>
    <x v="7"/>
    <x v="0"/>
    <x v="46"/>
    <s v="S39000016"/>
    <n v="18"/>
    <n v="0"/>
    <n v="1"/>
    <n v="0"/>
    <n v="0"/>
    <n v="0"/>
    <n v="18"/>
  </r>
  <r>
    <x v="5"/>
    <x v="1"/>
    <x v="26"/>
    <m/>
    <n v="118"/>
    <n v="0"/>
    <n v="0"/>
    <n v="69"/>
    <n v="0"/>
    <n v="0"/>
    <n v="49"/>
  </r>
  <r>
    <x v="7"/>
    <x v="1"/>
    <x v="1"/>
    <s v="S12000044"/>
    <n v="201"/>
    <n v="0"/>
    <n v="0"/>
    <n v="35"/>
    <n v="0"/>
    <n v="0"/>
    <n v="166"/>
  </r>
  <r>
    <x v="1"/>
    <x v="1"/>
    <x v="34"/>
    <s v="S40000003"/>
    <n v="256"/>
    <n v="0"/>
    <n v="0"/>
    <n v="86"/>
    <n v="0"/>
    <n v="2"/>
    <n v="168"/>
  </r>
  <r>
    <x v="3"/>
    <x v="0"/>
    <x v="36"/>
    <m/>
    <n v="1"/>
    <n v="0"/>
    <n v="7"/>
    <n v="0"/>
    <n v="0"/>
    <n v="0"/>
    <n v="1"/>
  </r>
  <r>
    <x v="2"/>
    <x v="0"/>
    <x v="8"/>
    <s v="S40000003"/>
    <n v="26"/>
    <n v="0"/>
    <n v="0"/>
    <n v="0"/>
    <n v="0"/>
    <n v="0"/>
    <n v="26"/>
  </r>
  <r>
    <x v="4"/>
    <x v="1"/>
    <x v="25"/>
    <m/>
    <n v="135"/>
    <n v="0"/>
    <n v="0"/>
    <n v="132"/>
    <n v="0"/>
    <n v="0"/>
    <n v="3"/>
  </r>
  <r>
    <x v="2"/>
    <x v="1"/>
    <x v="16"/>
    <s v="S40000005"/>
    <n v="622"/>
    <n v="0"/>
    <n v="0"/>
    <n v="500"/>
    <n v="0"/>
    <n v="48"/>
    <n v="74"/>
  </r>
  <r>
    <x v="0"/>
    <x v="1"/>
    <x v="13"/>
    <m/>
    <n v="165"/>
    <n v="0"/>
    <n v="0"/>
    <n v="8"/>
    <n v="0"/>
    <n v="0"/>
    <n v="157"/>
  </r>
  <r>
    <x v="3"/>
    <x v="1"/>
    <x v="34"/>
    <m/>
    <n v="234"/>
    <n v="0"/>
    <n v="0"/>
    <n v="73"/>
    <n v="0"/>
    <n v="0"/>
    <n v="161"/>
  </r>
  <r>
    <x v="3"/>
    <x v="1"/>
    <x v="23"/>
    <m/>
    <n v="400"/>
    <n v="0"/>
    <n v="0"/>
    <n v="173"/>
    <n v="0"/>
    <n v="172"/>
    <n v="55"/>
  </r>
  <r>
    <x v="2"/>
    <x v="1"/>
    <x v="12"/>
    <s v="S40000003"/>
    <n v="197"/>
    <n v="0"/>
    <n v="0"/>
    <n v="100"/>
    <n v="0"/>
    <n v="22"/>
    <n v="75"/>
  </r>
  <r>
    <x v="7"/>
    <x v="0"/>
    <x v="1"/>
    <s v="S39000014"/>
    <n v="17"/>
    <n v="0"/>
    <n v="0"/>
    <n v="0"/>
    <n v="0"/>
    <n v="0"/>
    <n v="17"/>
  </r>
  <r>
    <x v="5"/>
    <x v="1"/>
    <x v="7"/>
    <m/>
    <n v="90"/>
    <n v="0"/>
    <n v="0"/>
    <n v="21"/>
    <n v="0"/>
    <n v="0"/>
    <n v="69"/>
  </r>
  <r>
    <x v="7"/>
    <x v="0"/>
    <x v="21"/>
    <s v="S39000009"/>
    <n v="30"/>
    <n v="0"/>
    <n v="0"/>
    <n v="0"/>
    <n v="0"/>
    <n v="0"/>
    <n v="30"/>
  </r>
  <r>
    <x v="2"/>
    <x v="1"/>
    <x v="30"/>
    <s v="S40000003"/>
    <n v="76"/>
    <n v="0"/>
    <n v="0"/>
    <n v="0"/>
    <n v="0"/>
    <n v="0"/>
    <n v="76"/>
  </r>
  <r>
    <x v="3"/>
    <x v="1"/>
    <x v="3"/>
    <m/>
    <n v="42"/>
    <n v="0"/>
    <n v="0"/>
    <n v="13"/>
    <n v="0"/>
    <n v="0"/>
    <n v="29"/>
  </r>
  <r>
    <x v="6"/>
    <x v="1"/>
    <x v="40"/>
    <m/>
    <n v="292"/>
    <n v="0"/>
    <n v="0"/>
    <n v="9"/>
    <n v="0"/>
    <n v="0"/>
    <n v="283"/>
  </r>
  <r>
    <x v="3"/>
    <x v="0"/>
    <x v="0"/>
    <m/>
    <n v="26"/>
    <n v="0"/>
    <n v="3"/>
    <n v="0"/>
    <n v="0"/>
    <n v="0"/>
    <n v="26"/>
  </r>
  <r>
    <x v="5"/>
    <x v="1"/>
    <x v="23"/>
    <m/>
    <n v="401"/>
    <n v="0"/>
    <n v="0"/>
    <n v="172"/>
    <n v="0"/>
    <n v="183"/>
    <n v="46"/>
  </r>
  <r>
    <x v="4"/>
    <x v="0"/>
    <x v="32"/>
    <m/>
    <n v="25"/>
    <n v="0"/>
    <n v="4"/>
    <n v="0"/>
    <n v="0"/>
    <n v="0"/>
    <n v="25"/>
  </r>
  <r>
    <x v="0"/>
    <x v="1"/>
    <x v="23"/>
    <m/>
    <n v="416"/>
    <n v="0"/>
    <n v="0"/>
    <n v="182"/>
    <n v="0"/>
    <n v="181"/>
    <n v="53"/>
  </r>
  <r>
    <x v="3"/>
    <x v="1"/>
    <x v="33"/>
    <m/>
    <n v="182"/>
    <n v="0"/>
    <n v="0"/>
    <n v="14"/>
    <n v="0"/>
    <n v="0"/>
    <n v="168"/>
  </r>
  <r>
    <x v="5"/>
    <x v="1"/>
    <x v="33"/>
    <m/>
    <n v="187"/>
    <n v="0"/>
    <n v="0"/>
    <n v="13"/>
    <n v="0"/>
    <n v="0"/>
    <n v="174"/>
  </r>
  <r>
    <x v="1"/>
    <x v="1"/>
    <x v="33"/>
    <s v="S40000005"/>
    <n v="194"/>
    <n v="0"/>
    <n v="0"/>
    <n v="12"/>
    <n v="0"/>
    <n v="0"/>
    <n v="182"/>
  </r>
  <r>
    <x v="4"/>
    <x v="0"/>
    <x v="45"/>
    <m/>
    <n v="20"/>
    <n v="0"/>
    <n v="2"/>
    <n v="0"/>
    <n v="0"/>
    <n v="0"/>
    <n v="20"/>
  </r>
  <r>
    <x v="0"/>
    <x v="1"/>
    <x v="12"/>
    <m/>
    <n v="191"/>
    <n v="0"/>
    <n v="0"/>
    <n v="100"/>
    <n v="0"/>
    <n v="19"/>
    <n v="72"/>
  </r>
  <r>
    <x v="3"/>
    <x v="1"/>
    <x v="17"/>
    <m/>
    <n v="50"/>
    <n v="0"/>
    <n v="0"/>
    <n v="23"/>
    <n v="0"/>
    <n v="0"/>
    <n v="27"/>
  </r>
  <r>
    <x v="5"/>
    <x v="1"/>
    <x v="9"/>
    <m/>
    <n v="248"/>
    <n v="0"/>
    <n v="0"/>
    <n v="192"/>
    <n v="0"/>
    <n v="6"/>
    <n v="50"/>
  </r>
  <r>
    <x v="3"/>
    <x v="0"/>
    <x v="9"/>
    <m/>
    <n v="22"/>
    <n v="0"/>
    <n v="4"/>
    <n v="0"/>
    <n v="0"/>
    <n v="0"/>
    <n v="22"/>
  </r>
  <r>
    <x v="2"/>
    <x v="0"/>
    <x v="13"/>
    <s v="S40000005"/>
    <n v="12"/>
    <n v="0"/>
    <n v="0"/>
    <n v="0"/>
    <n v="0"/>
    <n v="0"/>
    <n v="12"/>
  </r>
  <r>
    <x v="6"/>
    <x v="0"/>
    <x v="15"/>
    <m/>
    <n v="31"/>
    <n v="0"/>
    <n v="4"/>
    <n v="0"/>
    <n v="0"/>
    <n v="0"/>
    <n v="31"/>
  </r>
  <r>
    <x v="7"/>
    <x v="1"/>
    <x v="7"/>
    <s v="S12000039"/>
    <n v="93"/>
    <n v="0"/>
    <n v="0"/>
    <n v="20"/>
    <n v="0"/>
    <n v="0"/>
    <n v="73"/>
  </r>
  <r>
    <x v="1"/>
    <x v="0"/>
    <x v="21"/>
    <s v="S40000004"/>
    <n v="28"/>
    <n v="0"/>
    <n v="0"/>
    <n v="0"/>
    <n v="0"/>
    <n v="0"/>
    <n v="28"/>
  </r>
  <r>
    <x v="0"/>
    <x v="1"/>
    <x v="24"/>
    <m/>
    <n v="125"/>
    <n v="0"/>
    <n v="0"/>
    <n v="61"/>
    <n v="0"/>
    <n v="0"/>
    <n v="64"/>
  </r>
  <r>
    <x v="0"/>
    <x v="0"/>
    <x v="15"/>
    <m/>
    <n v="26"/>
    <n v="0"/>
    <n v="3"/>
    <n v="0"/>
    <n v="0"/>
    <n v="0"/>
    <n v="26"/>
  </r>
  <r>
    <x v="7"/>
    <x v="0"/>
    <x v="36"/>
    <s v="S39000017"/>
    <n v="16"/>
    <n v="0"/>
    <n v="3"/>
    <n v="0"/>
    <n v="0"/>
    <n v="0"/>
    <n v="16"/>
  </r>
  <r>
    <x v="2"/>
    <x v="0"/>
    <x v="16"/>
    <s v="S40000005"/>
    <n v="35"/>
    <n v="0"/>
    <n v="11"/>
    <n v="0"/>
    <n v="0"/>
    <n v="0"/>
    <n v="35"/>
  </r>
  <r>
    <x v="0"/>
    <x v="1"/>
    <x v="14"/>
    <m/>
    <n v="96"/>
    <n v="0"/>
    <n v="0"/>
    <n v="43"/>
    <n v="0"/>
    <n v="0"/>
    <n v="53"/>
  </r>
  <r>
    <x v="7"/>
    <x v="1"/>
    <x v="16"/>
    <s v="S12000017"/>
    <n v="684"/>
    <n v="0"/>
    <n v="0"/>
    <n v="552"/>
    <n v="0"/>
    <n v="62"/>
    <n v="70"/>
  </r>
  <r>
    <x v="2"/>
    <x v="1"/>
    <x v="9"/>
    <s v="S40000003"/>
    <n v="243"/>
    <n v="0"/>
    <n v="0"/>
    <n v="186"/>
    <n v="0"/>
    <n v="6"/>
    <n v="51"/>
  </r>
  <r>
    <x v="6"/>
    <x v="0"/>
    <x v="39"/>
    <m/>
    <n v="19"/>
    <n v="0"/>
    <n v="2"/>
    <n v="0"/>
    <n v="0"/>
    <n v="0"/>
    <n v="19"/>
  </r>
  <r>
    <x v="7"/>
    <x v="1"/>
    <x v="14"/>
    <s v="S12000028"/>
    <n v="108"/>
    <n v="0"/>
    <n v="0"/>
    <n v="58"/>
    <n v="0"/>
    <n v="0"/>
    <n v="50"/>
  </r>
  <r>
    <x v="1"/>
    <x v="0"/>
    <x v="32"/>
    <s v="S40000003"/>
    <n v="28"/>
    <n v="0"/>
    <n v="2"/>
    <n v="0"/>
    <n v="0"/>
    <n v="0"/>
    <n v="28"/>
  </r>
  <r>
    <x v="4"/>
    <x v="1"/>
    <x v="43"/>
    <m/>
    <n v="50"/>
    <n v="0"/>
    <n v="0"/>
    <n v="0"/>
    <n v="0"/>
    <n v="0"/>
    <n v="50"/>
  </r>
  <r>
    <x v="1"/>
    <x v="1"/>
    <x v="23"/>
    <s v="S40000003"/>
    <n v="439"/>
    <n v="0"/>
    <n v="0"/>
    <n v="174"/>
    <n v="0"/>
    <n v="212"/>
    <n v="53"/>
  </r>
  <r>
    <x v="5"/>
    <x v="0"/>
    <x v="2"/>
    <m/>
    <n v="19"/>
    <n v="0"/>
    <n v="0"/>
    <n v="0"/>
    <n v="0"/>
    <n v="0"/>
    <n v="19"/>
  </r>
  <r>
    <x v="2"/>
    <x v="2"/>
    <x v="29"/>
    <s v="S40000005"/>
    <n v="55"/>
    <n v="0"/>
    <n v="0"/>
    <n v="0"/>
    <n v="0"/>
    <n v="0"/>
    <n v="55"/>
  </r>
  <r>
    <x v="5"/>
    <x v="0"/>
    <x v="21"/>
    <m/>
    <n v="27"/>
    <n v="0"/>
    <n v="0"/>
    <n v="0"/>
    <n v="0"/>
    <n v="0"/>
    <n v="27"/>
  </r>
  <r>
    <x v="5"/>
    <x v="2"/>
    <x v="29"/>
    <m/>
    <n v="48"/>
    <n v="0"/>
    <n v="0"/>
    <n v="0"/>
    <n v="0"/>
    <n v="0"/>
    <n v="48"/>
  </r>
  <r>
    <x v="1"/>
    <x v="0"/>
    <x v="47"/>
    <s v="S40000005"/>
    <n v="25"/>
    <n v="0"/>
    <n v="5"/>
    <n v="0"/>
    <n v="0"/>
    <n v="0"/>
    <n v="25"/>
  </r>
  <r>
    <x v="6"/>
    <x v="0"/>
    <x v="42"/>
    <m/>
    <n v="0"/>
    <n v="0"/>
    <n v="5"/>
    <n v="0"/>
    <n v="0"/>
    <n v="0"/>
    <n v="0"/>
  </r>
  <r>
    <x v="3"/>
    <x v="0"/>
    <x v="36"/>
    <m/>
    <n v="10"/>
    <n v="0"/>
    <n v="0"/>
    <n v="0"/>
    <n v="0"/>
    <n v="0"/>
    <n v="10"/>
  </r>
  <r>
    <x v="0"/>
    <x v="1"/>
    <x v="11"/>
    <m/>
    <n v="138"/>
    <n v="0"/>
    <n v="0"/>
    <n v="105"/>
    <n v="0"/>
    <n v="3"/>
    <n v="30"/>
  </r>
  <r>
    <x v="4"/>
    <x v="1"/>
    <x v="28"/>
    <m/>
    <n v="300"/>
    <n v="0"/>
    <n v="0"/>
    <n v="96"/>
    <n v="0"/>
    <n v="0"/>
    <n v="204"/>
  </r>
  <r>
    <x v="4"/>
    <x v="0"/>
    <x v="39"/>
    <m/>
    <n v="19"/>
    <n v="0"/>
    <n v="2"/>
    <n v="0"/>
    <n v="0"/>
    <n v="0"/>
    <n v="19"/>
  </r>
  <r>
    <x v="3"/>
    <x v="1"/>
    <x v="28"/>
    <m/>
    <n v="320"/>
    <n v="0"/>
    <n v="0"/>
    <n v="104"/>
    <n v="0"/>
    <n v="0"/>
    <n v="216"/>
  </r>
  <r>
    <x v="1"/>
    <x v="1"/>
    <x v="22"/>
    <s v="S40000004"/>
    <n v="201"/>
    <n v="0"/>
    <n v="0"/>
    <n v="148"/>
    <n v="0"/>
    <n v="0"/>
    <n v="53"/>
  </r>
  <r>
    <x v="4"/>
    <x v="1"/>
    <x v="22"/>
    <m/>
    <n v="211"/>
    <n v="0"/>
    <n v="0"/>
    <n v="153"/>
    <n v="0"/>
    <n v="0"/>
    <n v="58"/>
  </r>
  <r>
    <x v="3"/>
    <x v="2"/>
    <x v="20"/>
    <s v="S40000004"/>
    <n v="29"/>
    <n v="0"/>
    <n v="0"/>
    <n v="0"/>
    <n v="0"/>
    <n v="0"/>
    <n v="29"/>
  </r>
  <r>
    <x v="5"/>
    <x v="1"/>
    <x v="11"/>
    <m/>
    <n v="144"/>
    <n v="0"/>
    <n v="0"/>
    <n v="114"/>
    <n v="0"/>
    <n v="0"/>
    <n v="30"/>
  </r>
  <r>
    <x v="2"/>
    <x v="0"/>
    <x v="0"/>
    <s v="S40000004"/>
    <n v="28"/>
    <n v="0"/>
    <n v="4"/>
    <n v="0"/>
    <n v="0"/>
    <n v="0"/>
    <n v="28"/>
  </r>
  <r>
    <x v="7"/>
    <x v="1"/>
    <x v="48"/>
    <s v="S12000023"/>
    <n v="109"/>
    <n v="0"/>
    <n v="0"/>
    <n v="109"/>
    <n v="0"/>
    <n v="0"/>
    <n v="0"/>
  </r>
  <r>
    <x v="1"/>
    <x v="0"/>
    <x v="15"/>
    <m/>
    <n v="38"/>
    <n v="0"/>
    <n v="4"/>
    <n v="0"/>
    <n v="0"/>
    <n v="0"/>
    <n v="38"/>
  </r>
  <r>
    <x v="0"/>
    <x v="1"/>
    <x v="26"/>
    <m/>
    <n v="119"/>
    <n v="0"/>
    <n v="0"/>
    <n v="72"/>
    <n v="0"/>
    <n v="0"/>
    <n v="47"/>
  </r>
  <r>
    <x v="6"/>
    <x v="1"/>
    <x v="1"/>
    <m/>
    <n v="190"/>
    <n v="0"/>
    <n v="0"/>
    <n v="31"/>
    <n v="0"/>
    <n v="0"/>
    <n v="159"/>
  </r>
  <r>
    <x v="0"/>
    <x v="3"/>
    <x v="27"/>
    <s v="S92000003"/>
    <n v="1178"/>
    <n v="171"/>
    <n v="0"/>
    <n v="0"/>
    <n v="917"/>
    <n v="0"/>
    <n v="90"/>
  </r>
  <r>
    <x v="4"/>
    <x v="0"/>
    <x v="9"/>
    <m/>
    <n v="11"/>
    <n v="0"/>
    <n v="4"/>
    <n v="0"/>
    <n v="0"/>
    <n v="0"/>
    <n v="11"/>
  </r>
  <r>
    <x v="0"/>
    <x v="0"/>
    <x v="32"/>
    <m/>
    <n v="18"/>
    <n v="0"/>
    <n v="4"/>
    <n v="0"/>
    <n v="0"/>
    <n v="0"/>
    <n v="18"/>
  </r>
  <r>
    <x v="1"/>
    <x v="0"/>
    <x v="1"/>
    <s v="S40000003"/>
    <n v="16"/>
    <n v="0"/>
    <n v="0"/>
    <n v="0"/>
    <n v="0"/>
    <n v="0"/>
    <n v="16"/>
  </r>
  <r>
    <x v="6"/>
    <x v="0"/>
    <x v="32"/>
    <m/>
    <n v="26"/>
    <n v="0"/>
    <n v="4"/>
    <n v="0"/>
    <n v="0"/>
    <n v="0"/>
    <n v="26"/>
  </r>
  <r>
    <x v="0"/>
    <x v="0"/>
    <x v="2"/>
    <m/>
    <n v="15"/>
    <n v="0"/>
    <n v="0"/>
    <n v="0"/>
    <n v="0"/>
    <n v="0"/>
    <n v="15"/>
  </r>
  <r>
    <x v="6"/>
    <x v="1"/>
    <x v="14"/>
    <m/>
    <n v="96"/>
    <n v="0"/>
    <n v="0"/>
    <n v="48"/>
    <n v="0"/>
    <n v="0"/>
    <n v="48"/>
  </r>
  <r>
    <x v="6"/>
    <x v="1"/>
    <x v="43"/>
    <m/>
    <n v="47"/>
    <n v="0"/>
    <n v="0"/>
    <n v="0"/>
    <n v="0"/>
    <n v="0"/>
    <n v="47"/>
  </r>
  <r>
    <x v="0"/>
    <x v="2"/>
    <x v="20"/>
    <s v="S40000004"/>
    <n v="73"/>
    <n v="0"/>
    <n v="0"/>
    <n v="0"/>
    <n v="0"/>
    <n v="0"/>
    <n v="73"/>
  </r>
  <r>
    <x v="7"/>
    <x v="1"/>
    <x v="6"/>
    <s v="S12000027"/>
    <n v="127"/>
    <n v="0"/>
    <n v="0"/>
    <n v="127"/>
    <n v="0"/>
    <n v="0"/>
    <n v="0"/>
  </r>
  <r>
    <x v="4"/>
    <x v="1"/>
    <x v="41"/>
    <m/>
    <n v="121"/>
    <n v="0"/>
    <n v="0"/>
    <n v="95"/>
    <n v="0"/>
    <n v="0"/>
    <n v="26"/>
  </r>
  <r>
    <x v="6"/>
    <x v="0"/>
    <x v="42"/>
    <m/>
    <n v="30"/>
    <n v="0"/>
    <n v="0"/>
    <n v="0"/>
    <n v="0"/>
    <n v="0"/>
    <n v="30"/>
  </r>
  <r>
    <x v="7"/>
    <x v="0"/>
    <x v="45"/>
    <s v="S39000015"/>
    <n v="16"/>
    <n v="0"/>
    <n v="1"/>
    <n v="0"/>
    <n v="0"/>
    <n v="0"/>
    <n v="16"/>
  </r>
  <r>
    <x v="6"/>
    <x v="1"/>
    <x v="7"/>
    <m/>
    <n v="87"/>
    <n v="0"/>
    <n v="0"/>
    <n v="19"/>
    <n v="0"/>
    <n v="0"/>
    <n v="68"/>
  </r>
  <r>
    <x v="3"/>
    <x v="1"/>
    <x v="6"/>
    <m/>
    <n v="115"/>
    <n v="0"/>
    <n v="0"/>
    <n v="114"/>
    <n v="0"/>
    <n v="0"/>
    <n v="1"/>
  </r>
  <r>
    <x v="7"/>
    <x v="2"/>
    <x v="29"/>
    <s v="S40000005"/>
    <n v="30"/>
    <n v="0"/>
    <n v="0"/>
    <n v="0"/>
    <n v="0"/>
    <n v="0"/>
    <n v="30"/>
  </r>
  <r>
    <x v="6"/>
    <x v="1"/>
    <x v="22"/>
    <m/>
    <n v="210"/>
    <n v="0"/>
    <n v="0"/>
    <n v="154"/>
    <n v="0"/>
    <n v="0"/>
    <n v="56"/>
  </r>
  <r>
    <x v="7"/>
    <x v="1"/>
    <x v="30"/>
    <s v="S12000045"/>
    <n v="78"/>
    <n v="0"/>
    <n v="0"/>
    <n v="0"/>
    <n v="0"/>
    <n v="0"/>
    <n v="78"/>
  </r>
  <r>
    <x v="4"/>
    <x v="1"/>
    <x v="5"/>
    <m/>
    <n v="106"/>
    <n v="0"/>
    <n v="0"/>
    <n v="40"/>
    <n v="0"/>
    <n v="0"/>
    <n v="66"/>
  </r>
  <r>
    <x v="7"/>
    <x v="2"/>
    <x v="20"/>
    <s v="S40000004"/>
    <n v="37"/>
    <n v="0"/>
    <n v="0"/>
    <n v="0"/>
    <n v="0"/>
    <n v="0"/>
    <n v="37"/>
  </r>
  <r>
    <x v="7"/>
    <x v="0"/>
    <x v="8"/>
    <s v="S39000012"/>
    <n v="25"/>
    <n v="0"/>
    <n v="0"/>
    <n v="0"/>
    <n v="0"/>
    <n v="0"/>
    <n v="25"/>
  </r>
  <r>
    <x v="4"/>
    <x v="1"/>
    <x v="31"/>
    <m/>
    <n v="115"/>
    <n v="0"/>
    <n v="0"/>
    <n v="14"/>
    <n v="0"/>
    <n v="0"/>
    <n v="101"/>
  </r>
  <r>
    <x v="3"/>
    <x v="1"/>
    <x v="38"/>
    <m/>
    <n v="152"/>
    <n v="0"/>
    <n v="0"/>
    <n v="61"/>
    <n v="0"/>
    <n v="0"/>
    <n v="91"/>
  </r>
  <r>
    <x v="0"/>
    <x v="2"/>
    <x v="29"/>
    <m/>
    <n v="64"/>
    <n v="0"/>
    <n v="0"/>
    <n v="0"/>
    <n v="0"/>
    <n v="0"/>
    <n v="64"/>
  </r>
  <r>
    <x v="2"/>
    <x v="1"/>
    <x v="24"/>
    <s v="S40000004"/>
    <n v="115"/>
    <n v="0"/>
    <n v="0"/>
    <n v="58"/>
    <n v="0"/>
    <n v="0"/>
    <n v="57"/>
  </r>
  <r>
    <x v="1"/>
    <x v="0"/>
    <x v="13"/>
    <s v="S40000005"/>
    <n v="13"/>
    <n v="0"/>
    <n v="0"/>
    <n v="0"/>
    <n v="0"/>
    <n v="0"/>
    <n v="13"/>
  </r>
  <r>
    <x v="7"/>
    <x v="0"/>
    <x v="2"/>
    <s v="S39000008"/>
    <n v="14"/>
    <n v="0"/>
    <n v="0"/>
    <n v="0"/>
    <n v="0"/>
    <n v="0"/>
    <n v="14"/>
  </r>
  <r>
    <x v="7"/>
    <x v="2"/>
    <x v="35"/>
    <s v="S40000003"/>
    <n v="79"/>
    <n v="0"/>
    <n v="0"/>
    <n v="0"/>
    <n v="0"/>
    <n v="0"/>
    <n v="79"/>
  </r>
  <r>
    <x v="7"/>
    <x v="1"/>
    <x v="19"/>
    <s v="S12000034"/>
    <n v="314"/>
    <n v="0"/>
    <n v="0"/>
    <n v="284"/>
    <n v="0"/>
    <n v="0"/>
    <n v="30"/>
  </r>
  <r>
    <x v="7"/>
    <x v="1"/>
    <x v="10"/>
    <s v="S12000010"/>
    <n v="86"/>
    <n v="0"/>
    <n v="0"/>
    <n v="62"/>
    <n v="0"/>
    <n v="0"/>
    <n v="24"/>
  </r>
  <r>
    <x v="6"/>
    <x v="1"/>
    <x v="24"/>
    <m/>
    <n v="113"/>
    <n v="0"/>
    <n v="0"/>
    <n v="54"/>
    <n v="0"/>
    <n v="0"/>
    <n v="59"/>
  </r>
  <r>
    <x v="3"/>
    <x v="1"/>
    <x v="24"/>
    <m/>
    <n v="119"/>
    <n v="0"/>
    <n v="0"/>
    <n v="56"/>
    <n v="0"/>
    <n v="0"/>
    <n v="63"/>
  </r>
  <r>
    <x v="6"/>
    <x v="1"/>
    <x v="6"/>
    <m/>
    <n v="123"/>
    <n v="0"/>
    <n v="0"/>
    <n v="122"/>
    <n v="0"/>
    <n v="0"/>
    <n v="1"/>
  </r>
  <r>
    <x v="5"/>
    <x v="0"/>
    <x v="39"/>
    <m/>
    <n v="18"/>
    <n v="0"/>
    <n v="2"/>
    <n v="0"/>
    <n v="0"/>
    <n v="0"/>
    <n v="18"/>
  </r>
  <r>
    <x v="0"/>
    <x v="1"/>
    <x v="6"/>
    <m/>
    <n v="123"/>
    <n v="0"/>
    <n v="0"/>
    <n v="123"/>
    <n v="0"/>
    <n v="0"/>
    <n v="0"/>
  </r>
  <r>
    <x v="3"/>
    <x v="1"/>
    <x v="18"/>
    <m/>
    <n v="204"/>
    <n v="0"/>
    <n v="0"/>
    <n v="117"/>
    <n v="0"/>
    <n v="21"/>
    <n v="66"/>
  </r>
  <r>
    <x v="7"/>
    <x v="1"/>
    <x v="38"/>
    <s v="S12000014"/>
    <n v="143"/>
    <n v="0"/>
    <n v="0"/>
    <n v="55"/>
    <n v="0"/>
    <n v="0"/>
    <n v="88"/>
  </r>
  <r>
    <x v="5"/>
    <x v="1"/>
    <x v="48"/>
    <m/>
    <n v="115"/>
    <n v="0"/>
    <n v="0"/>
    <n v="115"/>
    <n v="0"/>
    <n v="0"/>
    <n v="0"/>
  </r>
  <r>
    <x v="1"/>
    <x v="0"/>
    <x v="36"/>
    <s v="S40000005"/>
    <n v="14"/>
    <n v="0"/>
    <n v="5"/>
    <n v="0"/>
    <n v="0"/>
    <n v="0"/>
    <n v="14"/>
  </r>
  <r>
    <x v="3"/>
    <x v="2"/>
    <x v="35"/>
    <m/>
    <n v="60"/>
    <n v="0"/>
    <n v="0"/>
    <n v="0"/>
    <n v="0"/>
    <n v="0"/>
    <n v="60"/>
  </r>
  <r>
    <x v="6"/>
    <x v="1"/>
    <x v="26"/>
    <m/>
    <n v="115"/>
    <n v="0"/>
    <n v="0"/>
    <n v="69"/>
    <n v="0"/>
    <n v="0"/>
    <n v="46"/>
  </r>
  <r>
    <x v="2"/>
    <x v="1"/>
    <x v="43"/>
    <s v="S40000003"/>
    <n v="48"/>
    <n v="0"/>
    <n v="0"/>
    <n v="0"/>
    <n v="0"/>
    <n v="0"/>
    <n v="48"/>
  </r>
  <r>
    <x v="4"/>
    <x v="1"/>
    <x v="23"/>
    <m/>
    <n v="390"/>
    <n v="0"/>
    <n v="0"/>
    <n v="174"/>
    <n v="0"/>
    <n v="164"/>
    <n v="52"/>
  </r>
  <r>
    <x v="1"/>
    <x v="1"/>
    <x v="16"/>
    <s v="S40000005"/>
    <n v="645"/>
    <n v="0"/>
    <n v="0"/>
    <n v="525"/>
    <n v="0"/>
    <n v="49"/>
    <n v="71"/>
  </r>
  <r>
    <x v="5"/>
    <x v="1"/>
    <x v="41"/>
    <m/>
    <n v="122"/>
    <n v="0"/>
    <n v="0"/>
    <n v="96"/>
    <n v="0"/>
    <n v="0"/>
    <n v="26"/>
  </r>
  <r>
    <x v="7"/>
    <x v="1"/>
    <x v="18"/>
    <s v="S12000048"/>
    <n v="222"/>
    <n v="0"/>
    <n v="0"/>
    <n v="131"/>
    <n v="0"/>
    <n v="22"/>
    <n v="69"/>
  </r>
  <r>
    <x v="6"/>
    <x v="0"/>
    <x v="21"/>
    <m/>
    <n v="26"/>
    <n v="0"/>
    <n v="0"/>
    <n v="0"/>
    <n v="0"/>
    <n v="0"/>
    <n v="26"/>
  </r>
  <r>
    <x v="2"/>
    <x v="1"/>
    <x v="26"/>
    <s v="S40000002"/>
    <n v="127"/>
    <n v="0"/>
    <n v="0"/>
    <n v="75"/>
    <n v="0"/>
    <n v="0"/>
    <n v="52"/>
  </r>
  <r>
    <x v="1"/>
    <x v="1"/>
    <x v="8"/>
    <s v="S40000003"/>
    <n v="517"/>
    <n v="0"/>
    <n v="0"/>
    <n v="0"/>
    <n v="0"/>
    <n v="0"/>
    <n v="517"/>
  </r>
  <r>
    <x v="7"/>
    <x v="0"/>
    <x v="47"/>
    <s v="S39000002"/>
    <n v="25"/>
    <n v="0"/>
    <n v="2"/>
    <n v="0"/>
    <n v="0"/>
    <n v="0"/>
    <n v="25"/>
  </r>
  <r>
    <x v="5"/>
    <x v="1"/>
    <x v="1"/>
    <m/>
    <n v="186"/>
    <n v="0"/>
    <n v="0"/>
    <n v="30"/>
    <n v="0"/>
    <n v="0"/>
    <n v="156"/>
  </r>
  <r>
    <x v="7"/>
    <x v="1"/>
    <x v="34"/>
    <s v="S12000029"/>
    <n v="246"/>
    <n v="0"/>
    <n v="0"/>
    <n v="77"/>
    <n v="0"/>
    <n v="2"/>
    <n v="167"/>
  </r>
  <r>
    <x v="3"/>
    <x v="0"/>
    <x v="42"/>
    <m/>
    <n v="28"/>
    <n v="0"/>
    <n v="6"/>
    <n v="0"/>
    <n v="0"/>
    <n v="0"/>
    <n v="28"/>
  </r>
  <r>
    <x v="5"/>
    <x v="1"/>
    <x v="5"/>
    <m/>
    <n v="106"/>
    <n v="0"/>
    <n v="0"/>
    <n v="38"/>
    <n v="0"/>
    <n v="0"/>
    <n v="68"/>
  </r>
  <r>
    <x v="2"/>
    <x v="0"/>
    <x v="44"/>
    <s v="S40000005"/>
    <n v="28"/>
    <n v="0"/>
    <n v="3"/>
    <n v="0"/>
    <n v="0"/>
    <n v="0"/>
    <n v="28"/>
  </r>
  <r>
    <x v="3"/>
    <x v="1"/>
    <x v="48"/>
    <m/>
    <n v="112"/>
    <n v="0"/>
    <n v="0"/>
    <n v="112"/>
    <n v="0"/>
    <n v="0"/>
    <n v="0"/>
  </r>
  <r>
    <x v="7"/>
    <x v="0"/>
    <x v="16"/>
    <s v="S39000013"/>
    <n v="45"/>
    <n v="0"/>
    <n v="4"/>
    <n v="0"/>
    <n v="0"/>
    <n v="0"/>
    <n v="45"/>
  </r>
  <r>
    <x v="6"/>
    <x v="0"/>
    <x v="36"/>
    <m/>
    <n v="1"/>
    <n v="0"/>
    <n v="0"/>
    <n v="0"/>
    <n v="0"/>
    <n v="0"/>
    <n v="1"/>
  </r>
  <r>
    <x v="2"/>
    <x v="1"/>
    <x v="22"/>
    <s v="S40000004"/>
    <n v="200"/>
    <n v="0"/>
    <n v="0"/>
    <n v="149"/>
    <n v="0"/>
    <n v="0"/>
    <n v="51"/>
  </r>
  <r>
    <x v="6"/>
    <x v="1"/>
    <x v="13"/>
    <m/>
    <n v="165"/>
    <n v="0"/>
    <n v="0"/>
    <n v="10"/>
    <n v="0"/>
    <n v="0"/>
    <n v="155"/>
  </r>
  <r>
    <x v="0"/>
    <x v="1"/>
    <x v="3"/>
    <m/>
    <n v="43"/>
    <n v="0"/>
    <n v="0"/>
    <n v="14"/>
    <n v="0"/>
    <n v="0"/>
    <n v="29"/>
  </r>
  <r>
    <x v="2"/>
    <x v="0"/>
    <x v="42"/>
    <s v="S40000003"/>
    <n v="26"/>
    <n v="0"/>
    <n v="6"/>
    <n v="0"/>
    <n v="0"/>
    <n v="0"/>
    <n v="26"/>
  </r>
  <r>
    <x v="6"/>
    <x v="1"/>
    <x v="10"/>
    <m/>
    <n v="75"/>
    <n v="0"/>
    <n v="0"/>
    <n v="51"/>
    <n v="0"/>
    <n v="0"/>
    <n v="24"/>
  </r>
  <r>
    <x v="2"/>
    <x v="1"/>
    <x v="34"/>
    <s v="S40000003"/>
    <n v="254"/>
    <n v="0"/>
    <n v="0"/>
    <n v="84"/>
    <n v="0"/>
    <n v="2"/>
    <n v="168"/>
  </r>
  <r>
    <x v="6"/>
    <x v="2"/>
    <x v="20"/>
    <s v="S40000004"/>
    <n v="67"/>
    <n v="0"/>
    <n v="0"/>
    <n v="0"/>
    <n v="0"/>
    <n v="0"/>
    <n v="67"/>
  </r>
  <r>
    <x v="1"/>
    <x v="1"/>
    <x v="48"/>
    <s v="S40000005"/>
    <n v="109"/>
    <n v="0"/>
    <n v="0"/>
    <n v="109"/>
    <n v="0"/>
    <n v="0"/>
    <n v="0"/>
  </r>
  <r>
    <x v="1"/>
    <x v="2"/>
    <x v="20"/>
    <s v="S40000004"/>
    <n v="52"/>
    <n v="0"/>
    <n v="0"/>
    <n v="0"/>
    <n v="0"/>
    <n v="0"/>
    <n v="52"/>
  </r>
  <r>
    <x v="2"/>
    <x v="3"/>
    <x v="27"/>
    <s v="S92000003"/>
    <n v="1107"/>
    <n v="182"/>
    <n v="0"/>
    <n v="0"/>
    <n v="835"/>
    <n v="0"/>
    <n v="90"/>
  </r>
  <r>
    <x v="5"/>
    <x v="0"/>
    <x v="37"/>
    <m/>
    <n v="36"/>
    <n v="0"/>
    <n v="7"/>
    <n v="0"/>
    <n v="0"/>
    <n v="0"/>
    <n v="36"/>
  </r>
  <r>
    <x v="5"/>
    <x v="1"/>
    <x v="31"/>
    <m/>
    <n v="112"/>
    <n v="0"/>
    <n v="0"/>
    <n v="13"/>
    <n v="0"/>
    <n v="0"/>
    <n v="99"/>
  </r>
  <r>
    <x v="6"/>
    <x v="0"/>
    <x v="0"/>
    <m/>
    <n v="32"/>
    <n v="0"/>
    <n v="4"/>
    <n v="0"/>
    <n v="0"/>
    <n v="0"/>
    <n v="32"/>
  </r>
  <r>
    <x v="2"/>
    <x v="1"/>
    <x v="8"/>
    <s v="S40000003"/>
    <n v="499"/>
    <n v="0"/>
    <n v="0"/>
    <n v="0"/>
    <n v="0"/>
    <n v="0"/>
    <n v="499"/>
  </r>
  <r>
    <x v="5"/>
    <x v="0"/>
    <x v="16"/>
    <m/>
    <n v="33"/>
    <n v="0"/>
    <n v="10"/>
    <n v="0"/>
    <n v="0"/>
    <n v="0"/>
    <n v="33"/>
  </r>
  <r>
    <x v="4"/>
    <x v="1"/>
    <x v="48"/>
    <m/>
    <n v="105"/>
    <n v="0"/>
    <n v="0"/>
    <n v="104"/>
    <n v="0"/>
    <n v="0"/>
    <n v="1"/>
  </r>
  <r>
    <x v="3"/>
    <x v="1"/>
    <x v="14"/>
    <m/>
    <n v="98"/>
    <n v="0"/>
    <n v="0"/>
    <n v="46"/>
    <n v="0"/>
    <n v="0"/>
    <n v="52"/>
  </r>
  <r>
    <x v="6"/>
    <x v="1"/>
    <x v="30"/>
    <m/>
    <n v="71"/>
    <n v="0"/>
    <n v="0"/>
    <n v="0"/>
    <n v="0"/>
    <n v="0"/>
    <n v="71"/>
  </r>
  <r>
    <x v="5"/>
    <x v="0"/>
    <x v="42"/>
    <m/>
    <n v="28"/>
    <n v="0"/>
    <n v="6"/>
    <n v="0"/>
    <n v="0"/>
    <n v="0"/>
    <n v="28"/>
  </r>
  <r>
    <x v="8"/>
    <x v="1"/>
    <x v="30"/>
    <s v="S12000045"/>
    <n v="72"/>
    <m/>
    <m/>
    <n v="0"/>
    <m/>
    <n v="0"/>
    <n v="72"/>
  </r>
  <r>
    <x v="8"/>
    <x v="1"/>
    <x v="14"/>
    <s v="S12000028"/>
    <n v="114"/>
    <m/>
    <m/>
    <n v="54"/>
    <m/>
    <n v="0"/>
    <n v="60"/>
  </r>
  <r>
    <x v="9"/>
    <x v="1"/>
    <x v="22"/>
    <s v="S12000026"/>
    <n v="209"/>
    <m/>
    <m/>
    <n v="134"/>
    <m/>
    <n v="0"/>
    <n v="75"/>
  </r>
  <r>
    <x v="9"/>
    <x v="1"/>
    <x v="43"/>
    <s v="S12000011"/>
    <n v="59"/>
    <m/>
    <m/>
    <n v="0"/>
    <m/>
    <n v="0"/>
    <n v="59"/>
  </r>
  <r>
    <x v="10"/>
    <x v="1"/>
    <x v="9"/>
    <s v="S12000006"/>
    <n v="260"/>
    <m/>
    <m/>
    <n v="190"/>
    <m/>
    <n v="5"/>
    <n v="65"/>
  </r>
  <r>
    <x v="10"/>
    <x v="1"/>
    <x v="40"/>
    <s v="S12000036"/>
    <n v="327"/>
    <m/>
    <m/>
    <n v="12"/>
    <m/>
    <n v="0"/>
    <n v="315"/>
  </r>
  <r>
    <x v="10"/>
    <x v="1"/>
    <x v="41"/>
    <s v="S12000041"/>
    <n v="134"/>
    <m/>
    <m/>
    <n v="98"/>
    <m/>
    <n v="0"/>
    <n v="36"/>
  </r>
  <r>
    <x v="8"/>
    <x v="1"/>
    <x v="9"/>
    <s v="S12000006"/>
    <n v="278"/>
    <m/>
    <m/>
    <n v="206"/>
    <m/>
    <n v="3"/>
    <n v="69"/>
  </r>
  <r>
    <x v="10"/>
    <x v="1"/>
    <x v="48"/>
    <s v="S12000023"/>
    <n v="98"/>
    <m/>
    <m/>
    <n v="98"/>
    <m/>
    <n v="0"/>
    <n v="0"/>
  </r>
  <r>
    <x v="8"/>
    <x v="0"/>
    <x v="9"/>
    <s v="S39000004"/>
    <n v="18"/>
    <m/>
    <m/>
    <m/>
    <m/>
    <m/>
    <n v="18"/>
  </r>
  <r>
    <x v="11"/>
    <x v="1"/>
    <x v="41"/>
    <s v="S12000041"/>
    <n v="121"/>
    <m/>
    <m/>
    <n v="93"/>
    <m/>
    <m/>
    <n v="28"/>
  </r>
  <r>
    <x v="12"/>
    <x v="4"/>
    <x v="49"/>
    <m/>
    <m/>
    <m/>
    <m/>
    <m/>
    <m/>
    <m/>
    <m/>
  </r>
  <r>
    <x v="10"/>
    <x v="1"/>
    <x v="43"/>
    <s v="S12000011"/>
    <n v="55"/>
    <m/>
    <m/>
    <n v="2"/>
    <m/>
    <n v="0"/>
    <n v="53"/>
  </r>
  <r>
    <x v="11"/>
    <x v="1"/>
    <x v="26"/>
    <s v="S12000030"/>
    <n v="122"/>
    <m/>
    <m/>
    <n v="74"/>
    <m/>
    <m/>
    <n v="48"/>
  </r>
  <r>
    <x v="13"/>
    <x v="1"/>
    <x v="41"/>
    <s v="S12000041"/>
    <n v="119"/>
    <m/>
    <m/>
    <n v="94"/>
    <m/>
    <n v="0"/>
    <n v="25"/>
  </r>
  <r>
    <x v="10"/>
    <x v="1"/>
    <x v="22"/>
    <s v="S12000026"/>
    <n v="218"/>
    <m/>
    <m/>
    <n v="147"/>
    <m/>
    <n v="0"/>
    <n v="71"/>
  </r>
  <r>
    <x v="8"/>
    <x v="3"/>
    <x v="27"/>
    <s v="S92000003"/>
    <n v="518"/>
    <n v="230"/>
    <m/>
    <m/>
    <n v="238"/>
    <m/>
    <n v="50"/>
  </r>
  <r>
    <x v="8"/>
    <x v="1"/>
    <x v="23"/>
    <s v="S12000035"/>
    <n v="454"/>
    <m/>
    <m/>
    <n v="175"/>
    <m/>
    <n v="225"/>
    <n v="54"/>
  </r>
  <r>
    <x v="9"/>
    <x v="2"/>
    <x v="29"/>
    <s v="S40000005"/>
    <n v="210"/>
    <m/>
    <m/>
    <m/>
    <n v="133"/>
    <m/>
    <n v="77"/>
  </r>
  <r>
    <x v="10"/>
    <x v="1"/>
    <x v="23"/>
    <s v="S12000035"/>
    <n v="438"/>
    <m/>
    <m/>
    <n v="182"/>
    <m/>
    <n v="201"/>
    <n v="55"/>
  </r>
  <r>
    <x v="13"/>
    <x v="1"/>
    <x v="50"/>
    <s v="S12000017"/>
    <n v="659"/>
    <m/>
    <m/>
    <n v="525"/>
    <m/>
    <n v="67"/>
    <n v="67"/>
  </r>
  <r>
    <x v="10"/>
    <x v="1"/>
    <x v="3"/>
    <s v="S12000019"/>
    <n v="34"/>
    <m/>
    <m/>
    <n v="11"/>
    <m/>
    <n v="0"/>
    <n v="23"/>
  </r>
  <r>
    <x v="9"/>
    <x v="0"/>
    <x v="21"/>
    <s v="S39000009"/>
    <n v="26"/>
    <m/>
    <m/>
    <m/>
    <m/>
    <m/>
    <n v="26"/>
  </r>
  <r>
    <x v="9"/>
    <x v="1"/>
    <x v="50"/>
    <s v="S12000017"/>
    <n v="717"/>
    <m/>
    <m/>
    <n v="564"/>
    <m/>
    <n v="72"/>
    <n v="81"/>
  </r>
  <r>
    <x v="8"/>
    <x v="1"/>
    <x v="1"/>
    <s v="S12000044"/>
    <n v="217"/>
    <m/>
    <m/>
    <n v="30"/>
    <m/>
    <n v="0"/>
    <n v="187"/>
  </r>
  <r>
    <x v="10"/>
    <x v="2"/>
    <x v="29"/>
    <s v="S40000005"/>
    <n v="165"/>
    <m/>
    <m/>
    <m/>
    <n v="121"/>
    <m/>
    <n v="44"/>
  </r>
  <r>
    <x v="10"/>
    <x v="1"/>
    <x v="25"/>
    <s v="S12000013"/>
    <n v="140"/>
    <m/>
    <m/>
    <n v="140"/>
    <m/>
    <n v="0"/>
    <n v="0"/>
  </r>
  <r>
    <x v="8"/>
    <x v="0"/>
    <x v="46"/>
    <s v="S39000016"/>
    <n v="5"/>
    <m/>
    <m/>
    <m/>
    <m/>
    <m/>
    <n v="5"/>
  </r>
  <r>
    <x v="11"/>
    <x v="1"/>
    <x v="8"/>
    <s v="S12000046"/>
    <n v="489"/>
    <m/>
    <m/>
    <m/>
    <m/>
    <m/>
    <n v="489"/>
  </r>
  <r>
    <x v="9"/>
    <x v="0"/>
    <x v="1"/>
    <s v="S39000014"/>
    <n v="14"/>
    <m/>
    <m/>
    <m/>
    <m/>
    <m/>
    <n v="14"/>
  </r>
  <r>
    <x v="11"/>
    <x v="2"/>
    <x v="29"/>
    <s v="S40000005"/>
    <n v="187"/>
    <m/>
    <m/>
    <m/>
    <n v="141"/>
    <m/>
    <n v="46"/>
  </r>
  <r>
    <x v="8"/>
    <x v="0"/>
    <x v="32"/>
    <s v="S39000006"/>
    <n v="20"/>
    <m/>
    <m/>
    <m/>
    <m/>
    <m/>
    <n v="20"/>
  </r>
  <r>
    <x v="0"/>
    <x v="0"/>
    <x v="42"/>
    <m/>
    <n v="20"/>
    <n v="0"/>
    <n v="6"/>
    <n v="0"/>
    <n v="0"/>
    <n v="0"/>
    <n v="20"/>
  </r>
  <r>
    <x v="7"/>
    <x v="0"/>
    <x v="44"/>
    <s v="S39000018"/>
    <n v="29"/>
    <n v="0"/>
    <n v="1"/>
    <n v="0"/>
    <n v="0"/>
    <n v="0"/>
    <n v="29"/>
  </r>
  <r>
    <x v="2"/>
    <x v="0"/>
    <x v="47"/>
    <s v="S40000005"/>
    <n v="26"/>
    <n v="0"/>
    <n v="7"/>
    <n v="0"/>
    <n v="0"/>
    <n v="0"/>
    <n v="26"/>
  </r>
  <r>
    <x v="1"/>
    <x v="0"/>
    <x v="42"/>
    <s v="S40000003"/>
    <n v="28"/>
    <n v="0"/>
    <n v="3"/>
    <n v="0"/>
    <n v="0"/>
    <n v="0"/>
    <n v="28"/>
  </r>
  <r>
    <x v="0"/>
    <x v="0"/>
    <x v="36"/>
    <m/>
    <n v="11"/>
    <n v="0"/>
    <n v="0"/>
    <n v="0"/>
    <n v="0"/>
    <n v="0"/>
    <n v="11"/>
  </r>
  <r>
    <x v="6"/>
    <x v="1"/>
    <x v="41"/>
    <m/>
    <n v="120"/>
    <n v="0"/>
    <n v="0"/>
    <n v="96"/>
    <n v="0"/>
    <n v="0"/>
    <n v="24"/>
  </r>
  <r>
    <x v="6"/>
    <x v="1"/>
    <x v="11"/>
    <m/>
    <n v="141"/>
    <n v="0"/>
    <n v="0"/>
    <n v="109"/>
    <n v="0"/>
    <n v="3"/>
    <n v="29"/>
  </r>
  <r>
    <x v="5"/>
    <x v="1"/>
    <x v="3"/>
    <m/>
    <n v="37"/>
    <n v="0"/>
    <n v="0"/>
    <n v="11"/>
    <n v="0"/>
    <n v="0"/>
    <n v="26"/>
  </r>
  <r>
    <x v="0"/>
    <x v="0"/>
    <x v="36"/>
    <m/>
    <n v="0"/>
    <n v="0"/>
    <n v="9"/>
    <n v="0"/>
    <n v="0"/>
    <n v="0"/>
    <n v="0"/>
  </r>
  <r>
    <x v="6"/>
    <x v="1"/>
    <x v="28"/>
    <m/>
    <n v="344"/>
    <n v="0"/>
    <n v="0"/>
    <n v="105"/>
    <n v="0"/>
    <n v="0"/>
    <n v="239"/>
  </r>
  <r>
    <x v="5"/>
    <x v="1"/>
    <x v="43"/>
    <m/>
    <n v="47"/>
    <n v="0"/>
    <n v="0"/>
    <n v="0"/>
    <n v="0"/>
    <n v="0"/>
    <n v="47"/>
  </r>
  <r>
    <x v="7"/>
    <x v="1"/>
    <x v="3"/>
    <s v="S12000019"/>
    <n v="39"/>
    <n v="0"/>
    <n v="0"/>
    <n v="13"/>
    <n v="0"/>
    <n v="0"/>
    <n v="26"/>
  </r>
  <r>
    <x v="7"/>
    <x v="0"/>
    <x v="13"/>
    <s v="S39000001"/>
    <n v="16"/>
    <n v="0"/>
    <n v="0"/>
    <n v="0"/>
    <n v="0"/>
    <n v="0"/>
    <n v="16"/>
  </r>
  <r>
    <x v="3"/>
    <x v="0"/>
    <x v="8"/>
    <m/>
    <n v="23"/>
    <n v="0"/>
    <n v="0"/>
    <n v="0"/>
    <n v="0"/>
    <n v="0"/>
    <n v="23"/>
  </r>
  <r>
    <x v="7"/>
    <x v="1"/>
    <x v="33"/>
    <s v="S12000042"/>
    <n v="189"/>
    <n v="0"/>
    <n v="0"/>
    <n v="12"/>
    <n v="0"/>
    <n v="0"/>
    <n v="177"/>
  </r>
  <r>
    <x v="7"/>
    <x v="3"/>
    <x v="27"/>
    <s v="S92000003"/>
    <n v="1148"/>
    <n v="207"/>
    <n v="0"/>
    <n v="0"/>
    <n v="792"/>
    <n v="0"/>
    <n v="149"/>
  </r>
  <r>
    <x v="6"/>
    <x v="1"/>
    <x v="31"/>
    <m/>
    <n v="109"/>
    <n v="0"/>
    <n v="0"/>
    <n v="14"/>
    <n v="0"/>
    <n v="0"/>
    <n v="95"/>
  </r>
  <r>
    <x v="4"/>
    <x v="0"/>
    <x v="0"/>
    <m/>
    <n v="26"/>
    <n v="0"/>
    <n v="4"/>
    <n v="0"/>
    <n v="0"/>
    <n v="0"/>
    <n v="26"/>
  </r>
  <r>
    <x v="0"/>
    <x v="0"/>
    <x v="44"/>
    <m/>
    <n v="25"/>
    <n v="0"/>
    <n v="3"/>
    <n v="0"/>
    <n v="0"/>
    <n v="0"/>
    <n v="25"/>
  </r>
  <r>
    <x v="6"/>
    <x v="0"/>
    <x v="44"/>
    <m/>
    <n v="0"/>
    <n v="0"/>
    <n v="1"/>
    <n v="0"/>
    <n v="0"/>
    <n v="0"/>
    <n v="0"/>
  </r>
  <r>
    <x v="2"/>
    <x v="1"/>
    <x v="41"/>
    <s v="S40000005"/>
    <n v="131"/>
    <n v="0"/>
    <n v="0"/>
    <n v="104"/>
    <n v="0"/>
    <n v="0"/>
    <n v="27"/>
  </r>
  <r>
    <x v="0"/>
    <x v="1"/>
    <x v="25"/>
    <m/>
    <n v="134"/>
    <n v="0"/>
    <n v="0"/>
    <n v="131"/>
    <n v="0"/>
    <n v="0"/>
    <n v="3"/>
  </r>
  <r>
    <x v="3"/>
    <x v="0"/>
    <x v="2"/>
    <m/>
    <n v="18"/>
    <n v="0"/>
    <n v="0"/>
    <n v="0"/>
    <n v="0"/>
    <n v="0"/>
    <n v="18"/>
  </r>
  <r>
    <x v="11"/>
    <x v="1"/>
    <x v="48"/>
    <s v="S12000023"/>
    <n v="100"/>
    <m/>
    <m/>
    <n v="100"/>
    <m/>
    <m/>
    <m/>
  </r>
  <r>
    <x v="8"/>
    <x v="1"/>
    <x v="19"/>
    <s v="S12000034"/>
    <n v="303"/>
    <m/>
    <m/>
    <n v="280"/>
    <m/>
    <n v="0"/>
    <n v="23"/>
  </r>
  <r>
    <x v="8"/>
    <x v="2"/>
    <x v="20"/>
    <s v="S40000004"/>
    <n v="242"/>
    <m/>
    <m/>
    <m/>
    <n v="163"/>
    <m/>
    <n v="79"/>
  </r>
  <r>
    <x v="10"/>
    <x v="0"/>
    <x v="42"/>
    <s v="S39000003"/>
    <n v="25"/>
    <m/>
    <m/>
    <m/>
    <m/>
    <m/>
    <n v="25"/>
  </r>
  <r>
    <x v="13"/>
    <x v="0"/>
    <x v="47"/>
    <s v="S39000002"/>
    <n v="25"/>
    <m/>
    <m/>
    <m/>
    <m/>
    <m/>
    <n v="25"/>
  </r>
  <r>
    <x v="11"/>
    <x v="1"/>
    <x v="4"/>
    <s v="S12000008"/>
    <n v="131"/>
    <m/>
    <m/>
    <n v="82"/>
    <m/>
    <m/>
    <n v="49"/>
  </r>
  <r>
    <x v="9"/>
    <x v="1"/>
    <x v="48"/>
    <s v="S12000023"/>
    <n v="113"/>
    <m/>
    <m/>
    <n v="113"/>
    <m/>
    <n v="0"/>
    <n v="0"/>
  </r>
  <r>
    <x v="8"/>
    <x v="1"/>
    <x v="24"/>
    <s v="S12000040"/>
    <n v="144"/>
    <m/>
    <m/>
    <n v="65"/>
    <m/>
    <n v="0"/>
    <n v="79"/>
  </r>
  <r>
    <x v="9"/>
    <x v="0"/>
    <x v="39"/>
    <s v="S39000010"/>
    <n v="13"/>
    <m/>
    <m/>
    <m/>
    <m/>
    <m/>
    <n v="13"/>
  </r>
  <r>
    <x v="13"/>
    <x v="1"/>
    <x v="12"/>
    <s v="S12000021"/>
    <n v="202"/>
    <m/>
    <m/>
    <n v="106"/>
    <m/>
    <n v="18"/>
    <n v="78"/>
  </r>
  <r>
    <x v="11"/>
    <x v="1"/>
    <x v="24"/>
    <s v="S12000040"/>
    <n v="123"/>
    <m/>
    <m/>
    <n v="65"/>
    <m/>
    <m/>
    <n v="58"/>
  </r>
  <r>
    <x v="9"/>
    <x v="1"/>
    <x v="1"/>
    <s v="S12000044"/>
    <n v="216"/>
    <m/>
    <m/>
    <n v="28"/>
    <m/>
    <n v="0"/>
    <n v="188"/>
  </r>
  <r>
    <x v="11"/>
    <x v="0"/>
    <x v="2"/>
    <s v="S39000008"/>
    <n v="16"/>
    <m/>
    <m/>
    <m/>
    <m/>
    <m/>
    <n v="16"/>
  </r>
  <r>
    <x v="1"/>
    <x v="2"/>
    <x v="29"/>
    <s v="S40000005"/>
    <n v="42"/>
    <n v="0"/>
    <n v="0"/>
    <n v="0"/>
    <n v="0"/>
    <n v="0"/>
    <n v="42"/>
  </r>
  <r>
    <x v="7"/>
    <x v="1"/>
    <x v="26"/>
    <s v="S12000030"/>
    <n v="124"/>
    <n v="0"/>
    <n v="0"/>
    <n v="75"/>
    <n v="0"/>
    <n v="0"/>
    <n v="49"/>
  </r>
  <r>
    <x v="1"/>
    <x v="1"/>
    <x v="43"/>
    <s v="S40000003"/>
    <n v="50"/>
    <n v="0"/>
    <n v="0"/>
    <n v="0"/>
    <n v="0"/>
    <n v="0"/>
    <n v="50"/>
  </r>
  <r>
    <x v="4"/>
    <x v="2"/>
    <x v="35"/>
    <m/>
    <n v="94"/>
    <n v="0"/>
    <n v="0"/>
    <n v="0"/>
    <n v="0"/>
    <n v="0"/>
    <n v="94"/>
  </r>
  <r>
    <x v="2"/>
    <x v="2"/>
    <x v="20"/>
    <s v="S40000004"/>
    <n v="66"/>
    <n v="0"/>
    <n v="0"/>
    <n v="0"/>
    <n v="0"/>
    <n v="0"/>
    <n v="66"/>
  </r>
  <r>
    <x v="6"/>
    <x v="0"/>
    <x v="45"/>
    <m/>
    <n v="27"/>
    <n v="0"/>
    <n v="2"/>
    <n v="0"/>
    <n v="0"/>
    <n v="0"/>
    <n v="27"/>
  </r>
  <r>
    <x v="0"/>
    <x v="1"/>
    <x v="30"/>
    <m/>
    <n v="75"/>
    <n v="0"/>
    <n v="0"/>
    <n v="0"/>
    <n v="0"/>
    <n v="0"/>
    <n v="75"/>
  </r>
  <r>
    <x v="2"/>
    <x v="1"/>
    <x v="33"/>
    <s v="S40000005"/>
    <n v="193"/>
    <n v="0"/>
    <n v="0"/>
    <n v="11"/>
    <n v="0"/>
    <n v="0"/>
    <n v="182"/>
  </r>
  <r>
    <x v="1"/>
    <x v="2"/>
    <x v="35"/>
    <s v="S40000003"/>
    <n v="103"/>
    <n v="0"/>
    <n v="0"/>
    <n v="0"/>
    <n v="0"/>
    <n v="0"/>
    <n v="103"/>
  </r>
  <r>
    <x v="2"/>
    <x v="1"/>
    <x v="14"/>
    <s v="S40000003"/>
    <n v="103"/>
    <n v="0"/>
    <n v="0"/>
    <n v="52"/>
    <n v="0"/>
    <n v="0"/>
    <n v="51"/>
  </r>
  <r>
    <x v="2"/>
    <x v="0"/>
    <x v="1"/>
    <s v="S40000003"/>
    <n v="15"/>
    <n v="0"/>
    <n v="0"/>
    <n v="0"/>
    <n v="0"/>
    <n v="0"/>
    <n v="15"/>
  </r>
  <r>
    <x v="2"/>
    <x v="0"/>
    <x v="2"/>
    <s v="S40000003"/>
    <n v="17"/>
    <n v="0"/>
    <n v="0"/>
    <n v="0"/>
    <n v="0"/>
    <n v="0"/>
    <n v="17"/>
  </r>
  <r>
    <x v="4"/>
    <x v="1"/>
    <x v="4"/>
    <m/>
    <n v="127"/>
    <n v="0"/>
    <n v="0"/>
    <n v="74"/>
    <n v="0"/>
    <n v="0"/>
    <n v="53"/>
  </r>
  <r>
    <x v="2"/>
    <x v="1"/>
    <x v="48"/>
    <s v="S40000005"/>
    <n v="112"/>
    <n v="0"/>
    <n v="0"/>
    <n v="112"/>
    <n v="0"/>
    <n v="0"/>
    <n v="0"/>
  </r>
  <r>
    <x v="6"/>
    <x v="0"/>
    <x v="44"/>
    <m/>
    <n v="23"/>
    <n v="0"/>
    <n v="2"/>
    <n v="0"/>
    <n v="0"/>
    <n v="0"/>
    <n v="23"/>
  </r>
  <r>
    <x v="7"/>
    <x v="1"/>
    <x v="43"/>
    <s v="S12000011"/>
    <n v="52"/>
    <n v="0"/>
    <n v="0"/>
    <n v="0"/>
    <n v="0"/>
    <n v="0"/>
    <n v="52"/>
  </r>
  <r>
    <x v="0"/>
    <x v="0"/>
    <x v="9"/>
    <m/>
    <n v="15"/>
    <n v="0"/>
    <n v="0"/>
    <n v="0"/>
    <n v="0"/>
    <n v="0"/>
    <n v="15"/>
  </r>
  <r>
    <x v="4"/>
    <x v="0"/>
    <x v="21"/>
    <m/>
    <n v="31"/>
    <n v="0"/>
    <n v="0"/>
    <n v="0"/>
    <n v="0"/>
    <n v="0"/>
    <n v="31"/>
  </r>
  <r>
    <x v="3"/>
    <x v="1"/>
    <x v="40"/>
    <m/>
    <n v="302"/>
    <n v="0"/>
    <n v="0"/>
    <n v="9"/>
    <n v="0"/>
    <n v="0"/>
    <n v="293"/>
  </r>
  <r>
    <x v="0"/>
    <x v="1"/>
    <x v="48"/>
    <m/>
    <n v="102"/>
    <n v="0"/>
    <n v="0"/>
    <n v="102"/>
    <n v="0"/>
    <n v="0"/>
    <n v="0"/>
  </r>
  <r>
    <x v="1"/>
    <x v="1"/>
    <x v="11"/>
    <s v="S40000005"/>
    <n v="155"/>
    <n v="0"/>
    <n v="0"/>
    <n v="121"/>
    <n v="0"/>
    <n v="4"/>
    <n v="30"/>
  </r>
  <r>
    <x v="7"/>
    <x v="0"/>
    <x v="42"/>
    <s v="S39000003"/>
    <n v="26"/>
    <n v="0"/>
    <n v="1"/>
    <n v="0"/>
    <n v="0"/>
    <n v="0"/>
    <n v="26"/>
  </r>
  <r>
    <x v="5"/>
    <x v="1"/>
    <x v="24"/>
    <m/>
    <n v="116"/>
    <n v="0"/>
    <n v="0"/>
    <n v="58"/>
    <n v="0"/>
    <n v="0"/>
    <n v="58"/>
  </r>
  <r>
    <x v="6"/>
    <x v="3"/>
    <x v="27"/>
    <s v="S92000003"/>
    <n v="1142"/>
    <n v="172"/>
    <n v="0"/>
    <n v="0"/>
    <n v="901"/>
    <n v="0"/>
    <n v="69"/>
  </r>
  <r>
    <x v="2"/>
    <x v="0"/>
    <x v="15"/>
    <m/>
    <n v="37"/>
    <n v="0"/>
    <n v="4"/>
    <n v="0"/>
    <n v="0"/>
    <n v="0"/>
    <n v="37"/>
  </r>
  <r>
    <x v="9"/>
    <x v="3"/>
    <x v="27"/>
    <s v="S92000003"/>
    <n v="516"/>
    <n v="223"/>
    <m/>
    <m/>
    <n v="237"/>
    <m/>
    <n v="56"/>
  </r>
  <r>
    <x v="11"/>
    <x v="1"/>
    <x v="14"/>
    <s v="S12000028"/>
    <n v="99"/>
    <m/>
    <m/>
    <n v="49"/>
    <m/>
    <m/>
    <n v="50"/>
  </r>
  <r>
    <x v="13"/>
    <x v="0"/>
    <x v="9"/>
    <s v="S39000004"/>
    <n v="22"/>
    <m/>
    <m/>
    <m/>
    <m/>
    <m/>
    <n v="22"/>
  </r>
  <r>
    <x v="8"/>
    <x v="1"/>
    <x v="38"/>
    <s v="S12000014"/>
    <n v="162"/>
    <m/>
    <m/>
    <n v="68"/>
    <m/>
    <n v="0"/>
    <n v="94"/>
  </r>
  <r>
    <x v="11"/>
    <x v="1"/>
    <x v="22"/>
    <s v="S12000026"/>
    <n v="194"/>
    <m/>
    <m/>
    <n v="143"/>
    <m/>
    <m/>
    <n v="51"/>
  </r>
  <r>
    <x v="13"/>
    <x v="1"/>
    <x v="38"/>
    <s v="S12000014"/>
    <n v="142"/>
    <m/>
    <m/>
    <n v="56"/>
    <m/>
    <n v="0"/>
    <n v="86"/>
  </r>
  <r>
    <x v="10"/>
    <x v="1"/>
    <x v="33"/>
    <s v="S12000042"/>
    <n v="187"/>
    <m/>
    <m/>
    <n v="11"/>
    <m/>
    <n v="0"/>
    <n v="176"/>
  </r>
  <r>
    <x v="13"/>
    <x v="0"/>
    <x v="39"/>
    <s v="S39000010"/>
    <n v="21"/>
    <m/>
    <m/>
    <m/>
    <m/>
    <m/>
    <n v="21"/>
  </r>
  <r>
    <x v="11"/>
    <x v="1"/>
    <x v="3"/>
    <s v="S12000019"/>
    <n v="40"/>
    <m/>
    <m/>
    <n v="12"/>
    <m/>
    <m/>
    <n v="28"/>
  </r>
  <r>
    <x v="9"/>
    <x v="1"/>
    <x v="34"/>
    <s v="S12000029"/>
    <n v="276"/>
    <m/>
    <m/>
    <n v="84"/>
    <m/>
    <n v="2"/>
    <n v="190"/>
  </r>
  <r>
    <x v="8"/>
    <x v="1"/>
    <x v="28"/>
    <s v="S12000047"/>
    <n v="400"/>
    <m/>
    <m/>
    <n v="112"/>
    <m/>
    <n v="0"/>
    <n v="288"/>
  </r>
  <r>
    <x v="9"/>
    <x v="1"/>
    <x v="40"/>
    <s v="S12000036"/>
    <n v="382"/>
    <m/>
    <m/>
    <n v="12"/>
    <m/>
    <n v="0"/>
    <n v="370"/>
  </r>
  <r>
    <x v="13"/>
    <x v="1"/>
    <x v="40"/>
    <s v="S12000036"/>
    <n v="325"/>
    <m/>
    <m/>
    <n v="12"/>
    <m/>
    <n v="0"/>
    <n v="313"/>
  </r>
  <r>
    <x v="2"/>
    <x v="1"/>
    <x v="7"/>
    <s v="S40000003"/>
    <n v="95"/>
    <n v="0"/>
    <n v="0"/>
    <n v="22"/>
    <n v="0"/>
    <n v="0"/>
    <n v="73"/>
  </r>
  <r>
    <x v="7"/>
    <x v="1"/>
    <x v="25"/>
    <s v="S12000013"/>
    <n v="132"/>
    <n v="0"/>
    <n v="0"/>
    <n v="132"/>
    <n v="0"/>
    <n v="0"/>
    <n v="0"/>
  </r>
  <r>
    <x v="0"/>
    <x v="1"/>
    <x v="5"/>
    <m/>
    <n v="102"/>
    <n v="0"/>
    <n v="0"/>
    <n v="38"/>
    <n v="0"/>
    <n v="0"/>
    <n v="64"/>
  </r>
  <r>
    <x v="6"/>
    <x v="1"/>
    <x v="16"/>
    <m/>
    <n v="579"/>
    <n v="0"/>
    <n v="0"/>
    <n v="464"/>
    <n v="0"/>
    <n v="42"/>
    <n v="73"/>
  </r>
  <r>
    <x v="4"/>
    <x v="0"/>
    <x v="2"/>
    <m/>
    <n v="18"/>
    <n v="0"/>
    <n v="0"/>
    <n v="0"/>
    <n v="0"/>
    <n v="0"/>
    <n v="18"/>
  </r>
  <r>
    <x v="8"/>
    <x v="0"/>
    <x v="2"/>
    <s v="S39000008"/>
    <n v="12"/>
    <m/>
    <m/>
    <m/>
    <m/>
    <m/>
    <n v="12"/>
  </r>
  <r>
    <x v="11"/>
    <x v="1"/>
    <x v="23"/>
    <s v="S12000035"/>
    <n v="438"/>
    <m/>
    <m/>
    <n v="177"/>
    <m/>
    <n v="211"/>
    <n v="50"/>
  </r>
  <r>
    <x v="11"/>
    <x v="0"/>
    <x v="36"/>
    <s v="S39000017"/>
    <n v="19"/>
    <m/>
    <m/>
    <m/>
    <m/>
    <m/>
    <n v="19"/>
  </r>
  <r>
    <x v="11"/>
    <x v="1"/>
    <x v="38"/>
    <s v="S12000014"/>
    <n v="141"/>
    <m/>
    <m/>
    <n v="54"/>
    <m/>
    <m/>
    <n v="87"/>
  </r>
  <r>
    <x v="13"/>
    <x v="0"/>
    <x v="46"/>
    <s v="S39000016"/>
    <n v="15"/>
    <m/>
    <m/>
    <m/>
    <m/>
    <m/>
    <n v="15"/>
  </r>
  <r>
    <x v="10"/>
    <x v="1"/>
    <x v="7"/>
    <s v="S12000039"/>
    <n v="89"/>
    <m/>
    <m/>
    <n v="19"/>
    <m/>
    <n v="0"/>
    <n v="70"/>
  </r>
  <r>
    <x v="9"/>
    <x v="0"/>
    <x v="32"/>
    <s v="S39000006"/>
    <n v="23"/>
    <m/>
    <m/>
    <m/>
    <m/>
    <m/>
    <n v="23"/>
  </r>
  <r>
    <x v="9"/>
    <x v="1"/>
    <x v="14"/>
    <s v="S12000028"/>
    <n v="119"/>
    <m/>
    <m/>
    <n v="54"/>
    <m/>
    <n v="0"/>
    <n v="65"/>
  </r>
  <r>
    <x v="9"/>
    <x v="0"/>
    <x v="44"/>
    <s v="S39000018"/>
    <n v="11"/>
    <m/>
    <m/>
    <m/>
    <m/>
    <m/>
    <n v="11"/>
  </r>
  <r>
    <x v="10"/>
    <x v="3"/>
    <x v="27"/>
    <s v="S92000003"/>
    <n v="695"/>
    <n v="203"/>
    <m/>
    <m/>
    <n v="297"/>
    <m/>
    <n v="195"/>
  </r>
  <r>
    <x v="13"/>
    <x v="1"/>
    <x v="48"/>
    <s v="S12000023"/>
    <n v="95"/>
    <m/>
    <m/>
    <n v="95"/>
    <m/>
    <n v="0"/>
    <n v="0"/>
  </r>
  <r>
    <x v="10"/>
    <x v="1"/>
    <x v="24"/>
    <s v="S12000040"/>
    <n v="116"/>
    <m/>
    <m/>
    <n v="55"/>
    <m/>
    <n v="0"/>
    <n v="61"/>
  </r>
  <r>
    <x v="10"/>
    <x v="1"/>
    <x v="38"/>
    <s v="S12000014"/>
    <n v="148"/>
    <m/>
    <m/>
    <n v="53"/>
    <m/>
    <n v="0"/>
    <n v="95"/>
  </r>
  <r>
    <x v="10"/>
    <x v="1"/>
    <x v="31"/>
    <s v="S12000038"/>
    <n v="105"/>
    <m/>
    <m/>
    <n v="13"/>
    <m/>
    <n v="0"/>
    <n v="92"/>
  </r>
  <r>
    <x v="13"/>
    <x v="1"/>
    <x v="24"/>
    <s v="S12000040"/>
    <n v="124"/>
    <m/>
    <m/>
    <n v="64"/>
    <m/>
    <n v="0"/>
    <n v="60"/>
  </r>
  <r>
    <x v="9"/>
    <x v="0"/>
    <x v="36"/>
    <s v="S39000017"/>
    <n v="9"/>
    <m/>
    <m/>
    <m/>
    <m/>
    <m/>
    <n v="9"/>
  </r>
  <r>
    <x v="11"/>
    <x v="0"/>
    <x v="9"/>
    <s v="S39000004"/>
    <n v="22"/>
    <m/>
    <m/>
    <m/>
    <m/>
    <m/>
    <n v="22"/>
  </r>
  <r>
    <x v="8"/>
    <x v="1"/>
    <x v="31"/>
    <s v="S12000038"/>
    <n v="129"/>
    <m/>
    <m/>
    <n v="14"/>
    <m/>
    <n v="0"/>
    <n v="115"/>
  </r>
  <r>
    <x v="10"/>
    <x v="1"/>
    <x v="11"/>
    <s v="S12000020"/>
    <n v="161"/>
    <m/>
    <m/>
    <n v="110"/>
    <m/>
    <n v="20"/>
    <n v="31"/>
  </r>
  <r>
    <x v="9"/>
    <x v="1"/>
    <x v="17"/>
    <s v="S12000005"/>
    <n v="64"/>
    <m/>
    <m/>
    <n v="21"/>
    <m/>
    <n v="0"/>
    <n v="43"/>
  </r>
  <r>
    <x v="10"/>
    <x v="1"/>
    <x v="1"/>
    <s v="S12000044"/>
    <n v="214"/>
    <m/>
    <m/>
    <n v="34"/>
    <m/>
    <n v="0"/>
    <n v="180"/>
  </r>
  <r>
    <x v="8"/>
    <x v="0"/>
    <x v="8"/>
    <s v="S39000012"/>
    <n v="25"/>
    <m/>
    <m/>
    <m/>
    <m/>
    <m/>
    <n v="25"/>
  </r>
  <r>
    <x v="13"/>
    <x v="0"/>
    <x v="2"/>
    <s v="S39000008"/>
    <n v="18"/>
    <m/>
    <m/>
    <m/>
    <m/>
    <m/>
    <n v="18"/>
  </r>
  <r>
    <x v="8"/>
    <x v="0"/>
    <x v="44"/>
    <s v="S39000018"/>
    <n v="12"/>
    <m/>
    <m/>
    <m/>
    <m/>
    <m/>
    <n v="12"/>
  </r>
  <r>
    <x v="10"/>
    <x v="1"/>
    <x v="13"/>
    <s v="S12000033"/>
    <n v="167"/>
    <m/>
    <m/>
    <n v="23"/>
    <m/>
    <n v="0"/>
    <n v="144"/>
  </r>
  <r>
    <x v="13"/>
    <x v="1"/>
    <x v="13"/>
    <s v="S12000033"/>
    <n v="163"/>
    <m/>
    <m/>
    <n v="8"/>
    <m/>
    <n v="0"/>
    <n v="155"/>
  </r>
  <r>
    <x v="8"/>
    <x v="1"/>
    <x v="43"/>
    <s v="S12000011"/>
    <n v="57"/>
    <m/>
    <m/>
    <n v="0"/>
    <m/>
    <n v="0"/>
    <n v="57"/>
  </r>
  <r>
    <x v="11"/>
    <x v="1"/>
    <x v="1"/>
    <s v="S12000044"/>
    <n v="200"/>
    <m/>
    <m/>
    <n v="37"/>
    <m/>
    <m/>
    <n v="163"/>
  </r>
  <r>
    <x v="9"/>
    <x v="0"/>
    <x v="0"/>
    <s v="S39000007"/>
    <n v="21"/>
    <m/>
    <m/>
    <m/>
    <m/>
    <m/>
    <n v="21"/>
  </r>
  <r>
    <x v="8"/>
    <x v="1"/>
    <x v="33"/>
    <s v="S12000042"/>
    <n v="221"/>
    <m/>
    <m/>
    <n v="14"/>
    <m/>
    <n v="0"/>
    <n v="207"/>
  </r>
  <r>
    <x v="13"/>
    <x v="1"/>
    <x v="18"/>
    <s v="S12000024"/>
    <n v="213"/>
    <m/>
    <m/>
    <n v="122"/>
    <m/>
    <n v="23"/>
    <n v="68"/>
  </r>
  <r>
    <x v="11"/>
    <x v="0"/>
    <x v="8"/>
    <s v="S39000012"/>
    <n v="22"/>
    <m/>
    <m/>
    <m/>
    <m/>
    <m/>
    <n v="22"/>
  </r>
  <r>
    <x v="9"/>
    <x v="0"/>
    <x v="34"/>
    <s v="S39000015"/>
    <n v="10"/>
    <m/>
    <m/>
    <m/>
    <m/>
    <m/>
    <n v="10"/>
  </r>
  <r>
    <x v="1"/>
    <x v="1"/>
    <x v="31"/>
    <s v="S40000003"/>
    <n v="117"/>
    <n v="0"/>
    <n v="0"/>
    <n v="15"/>
    <n v="0"/>
    <n v="0"/>
    <n v="102"/>
  </r>
  <r>
    <x v="4"/>
    <x v="1"/>
    <x v="1"/>
    <m/>
    <n v="201"/>
    <n v="0"/>
    <n v="0"/>
    <n v="31"/>
    <n v="0"/>
    <n v="0"/>
    <n v="170"/>
  </r>
  <r>
    <x v="5"/>
    <x v="1"/>
    <x v="13"/>
    <m/>
    <n v="165"/>
    <n v="0"/>
    <n v="0"/>
    <n v="11"/>
    <n v="0"/>
    <n v="0"/>
    <n v="154"/>
  </r>
  <r>
    <x v="7"/>
    <x v="1"/>
    <x v="5"/>
    <s v="S12000018"/>
    <n v="116"/>
    <n v="0"/>
    <n v="0"/>
    <n v="44"/>
    <n v="0"/>
    <n v="0"/>
    <n v="72"/>
  </r>
  <r>
    <x v="4"/>
    <x v="0"/>
    <x v="8"/>
    <m/>
    <n v="30"/>
    <n v="0"/>
    <n v="0"/>
    <n v="0"/>
    <n v="0"/>
    <n v="0"/>
    <n v="30"/>
  </r>
  <r>
    <x v="2"/>
    <x v="1"/>
    <x v="25"/>
    <s v="S40000005"/>
    <n v="131"/>
    <n v="0"/>
    <n v="0"/>
    <n v="131"/>
    <n v="0"/>
    <n v="0"/>
    <n v="0"/>
  </r>
  <r>
    <x v="0"/>
    <x v="1"/>
    <x v="16"/>
    <m/>
    <n v="557"/>
    <n v="0"/>
    <n v="0"/>
    <n v="441"/>
    <n v="0"/>
    <n v="43"/>
    <n v="73"/>
  </r>
  <r>
    <x v="6"/>
    <x v="1"/>
    <x v="5"/>
    <m/>
    <n v="103"/>
    <n v="0"/>
    <n v="0"/>
    <n v="36"/>
    <n v="0"/>
    <n v="0"/>
    <n v="67"/>
  </r>
  <r>
    <x v="4"/>
    <x v="0"/>
    <x v="44"/>
    <m/>
    <n v="22"/>
    <n v="0"/>
    <n v="3"/>
    <n v="0"/>
    <n v="0"/>
    <n v="0"/>
    <n v="22"/>
  </r>
  <r>
    <x v="5"/>
    <x v="1"/>
    <x v="12"/>
    <m/>
    <n v="188"/>
    <n v="0"/>
    <n v="0"/>
    <n v="95"/>
    <n v="0"/>
    <n v="19"/>
    <n v="74"/>
  </r>
  <r>
    <x v="7"/>
    <x v="1"/>
    <x v="22"/>
    <s v="S12000026"/>
    <n v="199"/>
    <n v="0"/>
    <n v="0"/>
    <n v="143"/>
    <n v="0"/>
    <n v="0"/>
    <n v="56"/>
  </r>
  <r>
    <x v="3"/>
    <x v="0"/>
    <x v="32"/>
    <m/>
    <n v="25"/>
    <n v="0"/>
    <n v="4"/>
    <n v="0"/>
    <n v="0"/>
    <n v="0"/>
    <n v="25"/>
  </r>
  <r>
    <x v="2"/>
    <x v="1"/>
    <x v="28"/>
    <s v="S40000002"/>
    <n v="363"/>
    <n v="0"/>
    <n v="0"/>
    <n v="109"/>
    <n v="0"/>
    <n v="0"/>
    <n v="254"/>
  </r>
  <r>
    <x v="1"/>
    <x v="0"/>
    <x v="39"/>
    <s v="S40000004"/>
    <n v="19"/>
    <n v="0"/>
    <n v="1"/>
    <n v="0"/>
    <n v="0"/>
    <n v="0"/>
    <n v="19"/>
  </r>
  <r>
    <x v="5"/>
    <x v="0"/>
    <x v="9"/>
    <m/>
    <n v="22"/>
    <n v="0"/>
    <n v="4"/>
    <n v="0"/>
    <n v="0"/>
    <n v="0"/>
    <n v="22"/>
  </r>
  <r>
    <x v="7"/>
    <x v="1"/>
    <x v="31"/>
    <s v="S12000038"/>
    <n v="116"/>
    <n v="0"/>
    <n v="0"/>
    <n v="17"/>
    <n v="0"/>
    <n v="0"/>
    <n v="99"/>
  </r>
  <r>
    <x v="8"/>
    <x v="1"/>
    <x v="13"/>
    <s v="S12000033"/>
    <n v="181"/>
    <m/>
    <m/>
    <n v="8"/>
    <m/>
    <n v="0"/>
    <n v="173"/>
  </r>
  <r>
    <x v="13"/>
    <x v="1"/>
    <x v="26"/>
    <s v="S12000030"/>
    <n v="126"/>
    <m/>
    <m/>
    <n v="73"/>
    <m/>
    <n v="0"/>
    <n v="53"/>
  </r>
  <r>
    <x v="13"/>
    <x v="1"/>
    <x v="22"/>
    <s v="S12000026"/>
    <n v="199"/>
    <m/>
    <m/>
    <n v="143"/>
    <m/>
    <n v="0"/>
    <n v="56"/>
  </r>
  <r>
    <x v="13"/>
    <x v="1"/>
    <x v="17"/>
    <s v="S12000005"/>
    <n v="46"/>
    <m/>
    <m/>
    <n v="24"/>
    <m/>
    <n v="0"/>
    <n v="22"/>
  </r>
  <r>
    <x v="9"/>
    <x v="1"/>
    <x v="8"/>
    <s v="S12000046"/>
    <n v="562"/>
    <m/>
    <m/>
    <n v="2"/>
    <m/>
    <n v="0"/>
    <n v="560"/>
  </r>
  <r>
    <x v="10"/>
    <x v="1"/>
    <x v="17"/>
    <s v="S12000005"/>
    <n v="47"/>
    <m/>
    <m/>
    <n v="21"/>
    <m/>
    <n v="0"/>
    <n v="26"/>
  </r>
  <r>
    <x v="8"/>
    <x v="1"/>
    <x v="41"/>
    <s v="S12000041"/>
    <n v="122"/>
    <m/>
    <m/>
    <n v="95"/>
    <m/>
    <n v="0"/>
    <n v="27"/>
  </r>
  <r>
    <x v="11"/>
    <x v="0"/>
    <x v="13"/>
    <s v="S39000001"/>
    <n v="15"/>
    <m/>
    <m/>
    <m/>
    <m/>
    <m/>
    <n v="15"/>
  </r>
  <r>
    <x v="9"/>
    <x v="1"/>
    <x v="31"/>
    <s v="S12000038"/>
    <n v="130"/>
    <m/>
    <m/>
    <n v="14"/>
    <m/>
    <n v="0"/>
    <n v="116"/>
  </r>
  <r>
    <x v="10"/>
    <x v="0"/>
    <x v="16"/>
    <s v="S39000013"/>
    <n v="29"/>
    <m/>
    <m/>
    <m/>
    <m/>
    <m/>
    <n v="29"/>
  </r>
  <r>
    <x v="13"/>
    <x v="1"/>
    <x v="31"/>
    <s v="S12000038"/>
    <n v="110"/>
    <m/>
    <m/>
    <n v="13"/>
    <m/>
    <n v="0"/>
    <n v="97"/>
  </r>
  <r>
    <x v="9"/>
    <x v="2"/>
    <x v="20"/>
    <s v="S40000004"/>
    <n v="255"/>
    <m/>
    <m/>
    <m/>
    <n v="175"/>
    <m/>
    <n v="80"/>
  </r>
  <r>
    <x v="9"/>
    <x v="1"/>
    <x v="4"/>
    <s v="S12000008"/>
    <n v="136"/>
    <m/>
    <m/>
    <n v="77"/>
    <m/>
    <n v="0"/>
    <n v="59"/>
  </r>
  <r>
    <x v="11"/>
    <x v="1"/>
    <x v="13"/>
    <s v="S12000033"/>
    <n v="153"/>
    <m/>
    <m/>
    <n v="8"/>
    <m/>
    <m/>
    <n v="145"/>
  </r>
  <r>
    <x v="9"/>
    <x v="1"/>
    <x v="23"/>
    <s v="S12000035"/>
    <n v="448"/>
    <m/>
    <m/>
    <n v="187"/>
    <m/>
    <n v="203"/>
    <n v="58"/>
  </r>
  <r>
    <x v="13"/>
    <x v="1"/>
    <x v="7"/>
    <s v="S12000039"/>
    <n v="86"/>
    <m/>
    <m/>
    <n v="17"/>
    <m/>
    <n v="0"/>
    <n v="69"/>
  </r>
  <r>
    <x v="13"/>
    <x v="1"/>
    <x v="5"/>
    <s v="S12000018"/>
    <n v="107"/>
    <m/>
    <m/>
    <n v="39"/>
    <m/>
    <n v="0"/>
    <n v="68"/>
  </r>
  <r>
    <x v="8"/>
    <x v="2"/>
    <x v="35"/>
    <s v="S40000003"/>
    <n v="445"/>
    <m/>
    <m/>
    <m/>
    <n v="340"/>
    <m/>
    <n v="105"/>
  </r>
  <r>
    <x v="10"/>
    <x v="1"/>
    <x v="8"/>
    <s v="S12000046"/>
    <n v="505"/>
    <m/>
    <m/>
    <n v="6"/>
    <m/>
    <n v="0"/>
    <n v="499"/>
  </r>
  <r>
    <x v="13"/>
    <x v="1"/>
    <x v="11"/>
    <s v="S12000020"/>
    <n v="156"/>
    <m/>
    <m/>
    <n v="125"/>
    <m/>
    <n v="4"/>
    <n v="27"/>
  </r>
  <r>
    <x v="10"/>
    <x v="1"/>
    <x v="19"/>
    <s v="S12000034"/>
    <n v="303"/>
    <m/>
    <m/>
    <n v="271"/>
    <m/>
    <n v="0"/>
    <n v="32"/>
  </r>
  <r>
    <x v="11"/>
    <x v="1"/>
    <x v="43"/>
    <s v="S12000011"/>
    <n v="51"/>
    <m/>
    <m/>
    <m/>
    <m/>
    <m/>
    <n v="51"/>
  </r>
  <r>
    <x v="10"/>
    <x v="1"/>
    <x v="10"/>
    <s v="S12000010"/>
    <n v="82"/>
    <m/>
    <m/>
    <n v="55"/>
    <m/>
    <n v="0"/>
    <n v="27"/>
  </r>
  <r>
    <x v="11"/>
    <x v="1"/>
    <x v="34"/>
    <s v="S12000029"/>
    <n v="241"/>
    <m/>
    <m/>
    <n v="73"/>
    <m/>
    <n v="2"/>
    <n v="166"/>
  </r>
  <r>
    <x v="0"/>
    <x v="1"/>
    <x v="7"/>
    <m/>
    <n v="99"/>
    <n v="0"/>
    <n v="0"/>
    <n v="24"/>
    <n v="0"/>
    <n v="0"/>
    <n v="75"/>
  </r>
  <r>
    <x v="4"/>
    <x v="1"/>
    <x v="16"/>
    <m/>
    <n v="11"/>
    <n v="0"/>
    <n v="0"/>
    <n v="0"/>
    <n v="0"/>
    <n v="0"/>
    <n v="11"/>
  </r>
  <r>
    <x v="7"/>
    <x v="1"/>
    <x v="8"/>
    <s v="S12000046"/>
    <n v="515"/>
    <n v="0"/>
    <n v="0"/>
    <n v="0"/>
    <n v="0"/>
    <n v="0"/>
    <n v="515"/>
  </r>
  <r>
    <x v="1"/>
    <x v="1"/>
    <x v="38"/>
    <s v="S40000004"/>
    <n v="145"/>
    <n v="0"/>
    <n v="0"/>
    <n v="57"/>
    <n v="0"/>
    <n v="0"/>
    <n v="88"/>
  </r>
  <r>
    <x v="1"/>
    <x v="1"/>
    <x v="24"/>
    <s v="S40000004"/>
    <n v="123"/>
    <n v="0"/>
    <n v="0"/>
    <n v="65"/>
    <n v="0"/>
    <n v="0"/>
    <n v="58"/>
  </r>
  <r>
    <x v="7"/>
    <x v="1"/>
    <x v="4"/>
    <s v="S12000008"/>
    <n v="124"/>
    <n v="0"/>
    <n v="0"/>
    <n v="77"/>
    <n v="0"/>
    <n v="0"/>
    <n v="47"/>
  </r>
  <r>
    <x v="7"/>
    <x v="0"/>
    <x v="32"/>
    <s v="S39000006"/>
    <n v="25"/>
    <n v="0"/>
    <n v="1"/>
    <n v="0"/>
    <n v="0"/>
    <n v="0"/>
    <n v="25"/>
  </r>
  <r>
    <x v="1"/>
    <x v="1"/>
    <x v="19"/>
    <s v="S40000005"/>
    <n v="317"/>
    <n v="0"/>
    <n v="0"/>
    <n v="285"/>
    <n v="0"/>
    <n v="0"/>
    <n v="32"/>
  </r>
  <r>
    <x v="5"/>
    <x v="1"/>
    <x v="34"/>
    <m/>
    <n v="228"/>
    <n v="0"/>
    <n v="0"/>
    <n v="71"/>
    <n v="0"/>
    <n v="2"/>
    <n v="155"/>
  </r>
  <r>
    <x v="6"/>
    <x v="1"/>
    <x v="48"/>
    <m/>
    <n v="116"/>
    <n v="0"/>
    <n v="0"/>
    <n v="115"/>
    <n v="0"/>
    <n v="0"/>
    <n v="1"/>
  </r>
  <r>
    <x v="2"/>
    <x v="0"/>
    <x v="45"/>
    <s v="S40000003"/>
    <n v="16"/>
    <n v="0"/>
    <n v="2"/>
    <n v="0"/>
    <n v="0"/>
    <n v="0"/>
    <n v="16"/>
  </r>
  <r>
    <x v="1"/>
    <x v="1"/>
    <x v="13"/>
    <s v="S40000005"/>
    <n v="163"/>
    <n v="0"/>
    <n v="0"/>
    <n v="8"/>
    <n v="0"/>
    <n v="0"/>
    <n v="155"/>
  </r>
  <r>
    <x v="11"/>
    <x v="0"/>
    <x v="46"/>
    <s v="S39000016"/>
    <n v="18"/>
    <m/>
    <m/>
    <m/>
    <m/>
    <m/>
    <n v="18"/>
  </r>
  <r>
    <x v="8"/>
    <x v="1"/>
    <x v="10"/>
    <s v="S12000010"/>
    <n v="88"/>
    <m/>
    <m/>
    <n v="60"/>
    <m/>
    <n v="0"/>
    <n v="28"/>
  </r>
  <r>
    <x v="13"/>
    <x v="0"/>
    <x v="44"/>
    <s v="S39000018"/>
    <n v="28"/>
    <m/>
    <m/>
    <m/>
    <m/>
    <m/>
    <n v="28"/>
  </r>
  <r>
    <x v="10"/>
    <x v="1"/>
    <x v="14"/>
    <s v="S12000028"/>
    <n v="108"/>
    <m/>
    <m/>
    <n v="53"/>
    <m/>
    <n v="0"/>
    <n v="55"/>
  </r>
  <r>
    <x v="11"/>
    <x v="1"/>
    <x v="50"/>
    <s v="S12000017"/>
    <n v="670"/>
    <m/>
    <m/>
    <n v="538"/>
    <m/>
    <n v="64"/>
    <n v="68"/>
  </r>
  <r>
    <x v="9"/>
    <x v="0"/>
    <x v="47"/>
    <s v="S39000002"/>
    <n v="22"/>
    <m/>
    <m/>
    <m/>
    <m/>
    <m/>
    <n v="22"/>
  </r>
  <r>
    <x v="11"/>
    <x v="1"/>
    <x v="12"/>
    <s v="S12000021"/>
    <n v="205"/>
    <m/>
    <m/>
    <n v="106"/>
    <m/>
    <n v="23"/>
    <n v="76"/>
  </r>
  <r>
    <x v="9"/>
    <x v="1"/>
    <x v="25"/>
    <s v="S12000013"/>
    <n v="132"/>
    <m/>
    <m/>
    <n v="132"/>
    <m/>
    <n v="0"/>
    <n v="0"/>
  </r>
  <r>
    <x v="11"/>
    <x v="1"/>
    <x v="9"/>
    <s v="S12000006"/>
    <n v="247"/>
    <m/>
    <m/>
    <n v="189"/>
    <m/>
    <n v="4"/>
    <n v="54"/>
  </r>
  <r>
    <x v="9"/>
    <x v="1"/>
    <x v="26"/>
    <s v="S12000030"/>
    <n v="136"/>
    <m/>
    <m/>
    <n v="74"/>
    <m/>
    <n v="0"/>
    <n v="62"/>
  </r>
  <r>
    <x v="9"/>
    <x v="1"/>
    <x v="13"/>
    <s v="S12000033"/>
    <n v="182"/>
    <m/>
    <m/>
    <n v="8"/>
    <m/>
    <n v="0"/>
    <n v="174"/>
  </r>
  <r>
    <x v="9"/>
    <x v="1"/>
    <x v="28"/>
    <s v="S12000047"/>
    <n v="400"/>
    <m/>
    <m/>
    <n v="111"/>
    <m/>
    <n v="0"/>
    <n v="289"/>
  </r>
  <r>
    <x v="11"/>
    <x v="0"/>
    <x v="39"/>
    <s v="S39000010"/>
    <n v="19"/>
    <m/>
    <m/>
    <m/>
    <m/>
    <m/>
    <n v="19"/>
  </r>
  <r>
    <x v="10"/>
    <x v="0"/>
    <x v="39"/>
    <s v="S39000010"/>
    <n v="16"/>
    <m/>
    <m/>
    <m/>
    <m/>
    <m/>
    <n v="16"/>
  </r>
  <r>
    <x v="13"/>
    <x v="0"/>
    <x v="42"/>
    <s v="S39000003"/>
    <n v="26"/>
    <m/>
    <m/>
    <m/>
    <m/>
    <m/>
    <n v="26"/>
  </r>
  <r>
    <x v="13"/>
    <x v="2"/>
    <x v="29"/>
    <s v="S40000005"/>
    <n v="180"/>
    <m/>
    <m/>
    <m/>
    <n v="135"/>
    <m/>
    <n v="45"/>
  </r>
  <r>
    <x v="10"/>
    <x v="1"/>
    <x v="28"/>
    <s v="S12000047"/>
    <n v="390"/>
    <m/>
    <m/>
    <n v="112"/>
    <m/>
    <n v="0"/>
    <n v="278"/>
  </r>
  <r>
    <x v="8"/>
    <x v="0"/>
    <x v="13"/>
    <s v="S39000001"/>
    <n v="18"/>
    <m/>
    <m/>
    <m/>
    <m/>
    <m/>
    <n v="18"/>
  </r>
  <r>
    <x v="8"/>
    <x v="0"/>
    <x v="21"/>
    <s v="S39000009"/>
    <n v="24"/>
    <m/>
    <m/>
    <m/>
    <m/>
    <m/>
    <n v="24"/>
  </r>
  <r>
    <x v="11"/>
    <x v="0"/>
    <x v="47"/>
    <s v="S39000002"/>
    <n v="25"/>
    <m/>
    <m/>
    <m/>
    <m/>
    <m/>
    <n v="25"/>
  </r>
  <r>
    <x v="11"/>
    <x v="0"/>
    <x v="44"/>
    <s v="S39000018"/>
    <n v="28"/>
    <m/>
    <m/>
    <m/>
    <m/>
    <m/>
    <n v="28"/>
  </r>
  <r>
    <x v="11"/>
    <x v="1"/>
    <x v="6"/>
    <s v="S12000027"/>
    <n v="118"/>
    <m/>
    <m/>
    <n v="118"/>
    <m/>
    <m/>
    <m/>
  </r>
  <r>
    <x v="11"/>
    <x v="0"/>
    <x v="42"/>
    <s v="S39000003"/>
    <n v="26"/>
    <m/>
    <m/>
    <m/>
    <m/>
    <m/>
    <n v="26"/>
  </r>
  <r>
    <x v="11"/>
    <x v="1"/>
    <x v="25"/>
    <s v="S12000013"/>
    <n v="131"/>
    <m/>
    <m/>
    <n v="131"/>
    <m/>
    <m/>
    <m/>
  </r>
  <r>
    <x v="13"/>
    <x v="2"/>
    <x v="20"/>
    <s v="S40000004"/>
    <n v="202"/>
    <m/>
    <m/>
    <m/>
    <n v="164"/>
    <m/>
    <n v="38"/>
  </r>
  <r>
    <x v="8"/>
    <x v="1"/>
    <x v="3"/>
    <s v="S12000019"/>
    <n v="49"/>
    <m/>
    <m/>
    <n v="14"/>
    <m/>
    <n v="0"/>
    <n v="35"/>
  </r>
  <r>
    <x v="13"/>
    <x v="3"/>
    <x v="27"/>
    <s v="S92000003"/>
    <n v="614"/>
    <n v="165"/>
    <m/>
    <m/>
    <n v="267"/>
    <m/>
    <n v="182"/>
  </r>
  <r>
    <x v="6"/>
    <x v="1"/>
    <x v="9"/>
    <m/>
    <n v="251"/>
    <n v="0"/>
    <n v="0"/>
    <n v="194"/>
    <n v="0"/>
    <n v="6"/>
    <n v="51"/>
  </r>
  <r>
    <x v="3"/>
    <x v="1"/>
    <x v="30"/>
    <m/>
    <n v="76"/>
    <n v="0"/>
    <n v="0"/>
    <n v="0"/>
    <n v="0"/>
    <n v="0"/>
    <n v="76"/>
  </r>
  <r>
    <x v="1"/>
    <x v="0"/>
    <x v="9"/>
    <s v="S40000003"/>
    <n v="22"/>
    <n v="0"/>
    <n v="2"/>
    <n v="0"/>
    <n v="0"/>
    <n v="0"/>
    <n v="22"/>
  </r>
  <r>
    <x v="1"/>
    <x v="0"/>
    <x v="44"/>
    <s v="S40000005"/>
    <n v="31"/>
    <n v="0"/>
    <n v="2"/>
    <n v="0"/>
    <n v="0"/>
    <n v="0"/>
    <n v="31"/>
  </r>
  <r>
    <x v="0"/>
    <x v="1"/>
    <x v="19"/>
    <m/>
    <n v="299"/>
    <n v="0"/>
    <n v="0"/>
    <n v="268"/>
    <n v="0"/>
    <n v="0"/>
    <n v="31"/>
  </r>
  <r>
    <x v="2"/>
    <x v="1"/>
    <x v="11"/>
    <s v="S40000005"/>
    <n v="147"/>
    <n v="0"/>
    <n v="0"/>
    <n v="114"/>
    <n v="0"/>
    <n v="3"/>
    <n v="30"/>
  </r>
  <r>
    <x v="6"/>
    <x v="2"/>
    <x v="29"/>
    <m/>
    <n v="70"/>
    <n v="0"/>
    <n v="0"/>
    <n v="0"/>
    <n v="0"/>
    <n v="0"/>
    <n v="70"/>
  </r>
  <r>
    <x v="4"/>
    <x v="1"/>
    <x v="26"/>
    <m/>
    <n v="123"/>
    <n v="0"/>
    <n v="0"/>
    <n v="74"/>
    <n v="0"/>
    <n v="0"/>
    <n v="49"/>
  </r>
  <r>
    <x v="0"/>
    <x v="1"/>
    <x v="43"/>
    <m/>
    <n v="52"/>
    <n v="0"/>
    <n v="0"/>
    <n v="0"/>
    <n v="0"/>
    <n v="0"/>
    <n v="52"/>
  </r>
  <r>
    <x v="1"/>
    <x v="1"/>
    <x v="28"/>
    <s v="S40000004"/>
    <n v="382"/>
    <n v="0"/>
    <n v="0"/>
    <n v="113"/>
    <n v="0"/>
    <n v="0"/>
    <n v="269"/>
  </r>
  <r>
    <x v="1"/>
    <x v="1"/>
    <x v="1"/>
    <s v="S40000003"/>
    <n v="200"/>
    <n v="0"/>
    <n v="0"/>
    <n v="37"/>
    <n v="0"/>
    <n v="0"/>
    <n v="163"/>
  </r>
  <r>
    <x v="1"/>
    <x v="0"/>
    <x v="0"/>
    <s v="S40000004"/>
    <n v="29"/>
    <n v="0"/>
    <n v="3"/>
    <n v="0"/>
    <n v="0"/>
    <n v="0"/>
    <n v="29"/>
  </r>
  <r>
    <x v="3"/>
    <x v="0"/>
    <x v="45"/>
    <m/>
    <n v="27"/>
    <n v="0"/>
    <n v="2"/>
    <n v="0"/>
    <n v="0"/>
    <n v="0"/>
    <n v="27"/>
  </r>
  <r>
    <x v="3"/>
    <x v="0"/>
    <x v="37"/>
    <m/>
    <n v="22"/>
    <n v="0"/>
    <n v="9"/>
    <n v="0"/>
    <n v="0"/>
    <n v="0"/>
    <n v="22"/>
  </r>
  <r>
    <x v="4"/>
    <x v="1"/>
    <x v="24"/>
    <m/>
    <n v="123"/>
    <n v="0"/>
    <n v="0"/>
    <n v="58"/>
    <n v="0"/>
    <n v="0"/>
    <n v="65"/>
  </r>
  <r>
    <x v="4"/>
    <x v="1"/>
    <x v="3"/>
    <m/>
    <n v="44"/>
    <n v="0"/>
    <n v="0"/>
    <n v="13"/>
    <n v="0"/>
    <n v="0"/>
    <n v="31"/>
  </r>
  <r>
    <x v="11"/>
    <x v="0"/>
    <x v="1"/>
    <s v="S39000014"/>
    <n v="17"/>
    <m/>
    <m/>
    <m/>
    <m/>
    <m/>
    <n v="17"/>
  </r>
  <r>
    <x v="10"/>
    <x v="1"/>
    <x v="34"/>
    <s v="S12000029"/>
    <n v="252"/>
    <m/>
    <m/>
    <n v="71"/>
    <m/>
    <n v="3"/>
    <n v="178"/>
  </r>
  <r>
    <x v="10"/>
    <x v="1"/>
    <x v="50"/>
    <s v="S12000017"/>
    <n v="661"/>
    <m/>
    <m/>
    <n v="525"/>
    <m/>
    <n v="68"/>
    <n v="68"/>
  </r>
  <r>
    <x v="8"/>
    <x v="0"/>
    <x v="1"/>
    <s v="S39000014"/>
    <n v="16"/>
    <m/>
    <m/>
    <m/>
    <m/>
    <m/>
    <n v="16"/>
  </r>
  <r>
    <x v="9"/>
    <x v="0"/>
    <x v="9"/>
    <s v="S39000004"/>
    <n v="16"/>
    <m/>
    <m/>
    <m/>
    <m/>
    <m/>
    <n v="16"/>
  </r>
  <r>
    <x v="8"/>
    <x v="1"/>
    <x v="4"/>
    <s v="S12000008"/>
    <n v="136"/>
    <m/>
    <m/>
    <n v="80"/>
    <m/>
    <n v="0"/>
    <n v="56"/>
  </r>
  <r>
    <x v="10"/>
    <x v="0"/>
    <x v="47"/>
    <s v="S39000002"/>
    <n v="27"/>
    <m/>
    <m/>
    <m/>
    <m/>
    <m/>
    <n v="27"/>
  </r>
  <r>
    <x v="8"/>
    <x v="0"/>
    <x v="34"/>
    <s v="S39000015"/>
    <n v="10"/>
    <m/>
    <m/>
    <m/>
    <m/>
    <m/>
    <n v="10"/>
  </r>
  <r>
    <x v="10"/>
    <x v="0"/>
    <x v="28"/>
    <s v="S39000019"/>
    <n v="26"/>
    <m/>
    <m/>
    <m/>
    <m/>
    <m/>
    <n v="26"/>
  </r>
  <r>
    <x v="9"/>
    <x v="1"/>
    <x v="33"/>
    <s v="S12000042"/>
    <n v="229"/>
    <m/>
    <m/>
    <n v="14"/>
    <m/>
    <n v="0"/>
    <n v="215"/>
  </r>
  <r>
    <x v="10"/>
    <x v="1"/>
    <x v="12"/>
    <s v="S12000021"/>
    <n v="208"/>
    <m/>
    <m/>
    <n v="108"/>
    <m/>
    <n v="22"/>
    <n v="78"/>
  </r>
  <r>
    <x v="11"/>
    <x v="1"/>
    <x v="31"/>
    <s v="S12000038"/>
    <n v="110"/>
    <m/>
    <m/>
    <n v="16"/>
    <m/>
    <m/>
    <n v="94"/>
  </r>
  <r>
    <x v="13"/>
    <x v="0"/>
    <x v="0"/>
    <s v="S39000007"/>
    <n v="31"/>
    <m/>
    <m/>
    <m/>
    <m/>
    <m/>
    <n v="31"/>
  </r>
  <r>
    <x v="13"/>
    <x v="1"/>
    <x v="28"/>
    <s v="S12000047"/>
    <n v="379"/>
    <m/>
    <m/>
    <n v="109"/>
    <m/>
    <n v="0"/>
    <n v="270"/>
  </r>
  <r>
    <x v="10"/>
    <x v="2"/>
    <x v="20"/>
    <s v="S40000004"/>
    <n v="149"/>
    <m/>
    <m/>
    <m/>
    <n v="124"/>
    <m/>
    <n v="25"/>
  </r>
  <r>
    <x v="10"/>
    <x v="0"/>
    <x v="8"/>
    <s v="S39000012"/>
    <n v="32"/>
    <m/>
    <m/>
    <m/>
    <m/>
    <m/>
    <n v="32"/>
  </r>
  <r>
    <x v="9"/>
    <x v="1"/>
    <x v="10"/>
    <s v="S12000010"/>
    <n v="81"/>
    <m/>
    <m/>
    <n v="52"/>
    <m/>
    <n v="0"/>
    <n v="29"/>
  </r>
  <r>
    <x v="8"/>
    <x v="1"/>
    <x v="5"/>
    <s v="S12000018"/>
    <n v="117"/>
    <m/>
    <m/>
    <n v="40"/>
    <m/>
    <n v="0"/>
    <n v="77"/>
  </r>
  <r>
    <x v="13"/>
    <x v="0"/>
    <x v="16"/>
    <s v="S39000013"/>
    <n v="37"/>
    <m/>
    <m/>
    <m/>
    <m/>
    <m/>
    <n v="37"/>
  </r>
  <r>
    <x v="10"/>
    <x v="1"/>
    <x v="26"/>
    <s v="S12000030"/>
    <n v="124"/>
    <m/>
    <m/>
    <n v="73"/>
    <m/>
    <n v="0"/>
    <n v="51"/>
  </r>
  <r>
    <x v="13"/>
    <x v="1"/>
    <x v="34"/>
    <s v="S12000029"/>
    <n v="248"/>
    <m/>
    <m/>
    <n v="74"/>
    <m/>
    <n v="3"/>
    <n v="171"/>
  </r>
  <r>
    <x v="13"/>
    <x v="1"/>
    <x v="8"/>
    <s v="S12000046"/>
    <n v="475"/>
    <m/>
    <m/>
    <n v="0"/>
    <m/>
    <n v="0"/>
    <n v="475"/>
  </r>
  <r>
    <x v="10"/>
    <x v="1"/>
    <x v="5"/>
    <s v="S12000018"/>
    <n v="111"/>
    <m/>
    <m/>
    <n v="41"/>
    <m/>
    <n v="0"/>
    <n v="70"/>
  </r>
  <r>
    <x v="13"/>
    <x v="1"/>
    <x v="33"/>
    <s v="S12000042"/>
    <n v="205"/>
    <m/>
    <m/>
    <n v="13"/>
    <m/>
    <n v="0"/>
    <n v="192"/>
  </r>
  <r>
    <x v="8"/>
    <x v="1"/>
    <x v="50"/>
    <s v="S12000017"/>
    <n v="698"/>
    <m/>
    <m/>
    <n v="548"/>
    <m/>
    <n v="69"/>
    <n v="81"/>
  </r>
  <r>
    <x v="13"/>
    <x v="1"/>
    <x v="30"/>
    <s v="S12000045"/>
    <n v="68"/>
    <m/>
    <m/>
    <n v="0"/>
    <m/>
    <n v="0"/>
    <n v="68"/>
  </r>
  <r>
    <x v="11"/>
    <x v="1"/>
    <x v="28"/>
    <s v="S12000047"/>
    <n v="369"/>
    <m/>
    <m/>
    <n v="115"/>
    <m/>
    <m/>
    <n v="254"/>
  </r>
  <r>
    <x v="11"/>
    <x v="0"/>
    <x v="32"/>
    <s v="S39000006"/>
    <n v="27"/>
    <m/>
    <m/>
    <m/>
    <m/>
    <m/>
    <n v="27"/>
  </r>
  <r>
    <x v="10"/>
    <x v="0"/>
    <x v="46"/>
    <s v="S39000016"/>
    <n v="13"/>
    <m/>
    <m/>
    <m/>
    <m/>
    <m/>
    <n v="13"/>
  </r>
  <r>
    <x v="13"/>
    <x v="1"/>
    <x v="19"/>
    <s v="S12000034"/>
    <n v="307"/>
    <m/>
    <m/>
    <n v="282"/>
    <m/>
    <n v="0"/>
    <n v="25"/>
  </r>
  <r>
    <x v="13"/>
    <x v="1"/>
    <x v="10"/>
    <s v="S12000010"/>
    <n v="82"/>
    <m/>
    <m/>
    <n v="55"/>
    <m/>
    <n v="0"/>
    <n v="27"/>
  </r>
  <r>
    <x v="9"/>
    <x v="1"/>
    <x v="24"/>
    <s v="S12000040"/>
    <n v="143"/>
    <m/>
    <m/>
    <n v="58"/>
    <m/>
    <n v="0"/>
    <n v="85"/>
  </r>
  <r>
    <x v="13"/>
    <x v="1"/>
    <x v="23"/>
    <s v="S12000035"/>
    <n v="428"/>
    <m/>
    <m/>
    <n v="185"/>
    <m/>
    <n v="200"/>
    <n v="43"/>
  </r>
  <r>
    <x v="10"/>
    <x v="0"/>
    <x v="1"/>
    <s v="S39000014"/>
    <n v="20"/>
    <m/>
    <m/>
    <m/>
    <m/>
    <m/>
    <n v="20"/>
  </r>
  <r>
    <x v="2"/>
    <x v="1"/>
    <x v="31"/>
    <s v="S40000003"/>
    <n v="113"/>
    <n v="0"/>
    <n v="0"/>
    <n v="13"/>
    <n v="0"/>
    <n v="0"/>
    <n v="100"/>
  </r>
  <r>
    <x v="6"/>
    <x v="1"/>
    <x v="4"/>
    <m/>
    <n v="118"/>
    <n v="0"/>
    <n v="0"/>
    <n v="71"/>
    <n v="0"/>
    <n v="0"/>
    <n v="47"/>
  </r>
  <r>
    <x v="6"/>
    <x v="0"/>
    <x v="8"/>
    <m/>
    <n v="23"/>
    <n v="0"/>
    <n v="0"/>
    <n v="0"/>
    <n v="0"/>
    <n v="0"/>
    <n v="23"/>
  </r>
  <r>
    <x v="2"/>
    <x v="1"/>
    <x v="38"/>
    <s v="S40000004"/>
    <n v="144"/>
    <n v="0"/>
    <n v="0"/>
    <n v="56"/>
    <n v="0"/>
    <n v="0"/>
    <n v="88"/>
  </r>
  <r>
    <x v="3"/>
    <x v="1"/>
    <x v="22"/>
    <m/>
    <n v="194"/>
    <n v="0"/>
    <n v="0"/>
    <n v="137"/>
    <n v="0"/>
    <n v="0"/>
    <n v="57"/>
  </r>
  <r>
    <x v="3"/>
    <x v="1"/>
    <x v="8"/>
    <m/>
    <n v="463"/>
    <n v="0"/>
    <n v="0"/>
    <n v="0"/>
    <n v="0"/>
    <n v="0"/>
    <n v="463"/>
  </r>
  <r>
    <x v="3"/>
    <x v="0"/>
    <x v="44"/>
    <m/>
    <n v="23"/>
    <n v="0"/>
    <n v="3"/>
    <n v="0"/>
    <n v="0"/>
    <n v="0"/>
    <n v="23"/>
  </r>
  <r>
    <x v="6"/>
    <x v="2"/>
    <x v="35"/>
    <m/>
    <n v="119"/>
    <n v="0"/>
    <n v="0"/>
    <n v="0"/>
    <n v="0"/>
    <n v="0"/>
    <n v="119"/>
  </r>
  <r>
    <x v="3"/>
    <x v="1"/>
    <x v="16"/>
    <m/>
    <n v="591"/>
    <n v="0"/>
    <n v="0"/>
    <n v="464"/>
    <n v="0"/>
    <n v="47"/>
    <n v="80"/>
  </r>
  <r>
    <x v="11"/>
    <x v="3"/>
    <x v="27"/>
    <s v="S92000003"/>
    <n v="609"/>
    <n v="189"/>
    <m/>
    <m/>
    <n v="277"/>
    <m/>
    <n v="143"/>
  </r>
  <r>
    <x v="13"/>
    <x v="0"/>
    <x v="21"/>
    <s v="S39000009"/>
    <n v="27"/>
    <m/>
    <m/>
    <m/>
    <m/>
    <m/>
    <n v="27"/>
  </r>
  <r>
    <x v="11"/>
    <x v="2"/>
    <x v="20"/>
    <s v="S40000004"/>
    <n v="165"/>
    <m/>
    <m/>
    <m/>
    <n v="128"/>
    <m/>
    <n v="37"/>
  </r>
  <r>
    <x v="13"/>
    <x v="1"/>
    <x v="14"/>
    <s v="S12000028"/>
    <n v="102"/>
    <m/>
    <m/>
    <n v="48"/>
    <m/>
    <n v="0"/>
    <n v="54"/>
  </r>
  <r>
    <x v="9"/>
    <x v="1"/>
    <x v="18"/>
    <s v="S12000024"/>
    <n v="253"/>
    <m/>
    <m/>
    <n v="140"/>
    <m/>
    <n v="25"/>
    <n v="88"/>
  </r>
  <r>
    <x v="13"/>
    <x v="0"/>
    <x v="1"/>
    <s v="S39000014"/>
    <n v="15"/>
    <m/>
    <m/>
    <m/>
    <m/>
    <m/>
    <n v="15"/>
  </r>
  <r>
    <x v="11"/>
    <x v="1"/>
    <x v="30"/>
    <s v="S12000045"/>
    <n v="78"/>
    <m/>
    <m/>
    <m/>
    <m/>
    <m/>
    <n v="78"/>
  </r>
  <r>
    <x v="9"/>
    <x v="0"/>
    <x v="16"/>
    <s v="S39000013"/>
    <n v="13"/>
    <m/>
    <m/>
    <m/>
    <m/>
    <m/>
    <n v="13"/>
  </r>
  <r>
    <x v="8"/>
    <x v="1"/>
    <x v="18"/>
    <s v="S12000024"/>
    <n v="238"/>
    <m/>
    <m/>
    <n v="128"/>
    <m/>
    <n v="24"/>
    <n v="86"/>
  </r>
  <r>
    <x v="11"/>
    <x v="1"/>
    <x v="18"/>
    <s v="S12000024"/>
    <n v="223"/>
    <m/>
    <m/>
    <n v="126"/>
    <m/>
    <n v="28"/>
    <n v="69"/>
  </r>
  <r>
    <x v="11"/>
    <x v="1"/>
    <x v="40"/>
    <s v="S12000036"/>
    <n v="304"/>
    <m/>
    <m/>
    <n v="11"/>
    <m/>
    <m/>
    <n v="293"/>
  </r>
  <r>
    <x v="8"/>
    <x v="1"/>
    <x v="12"/>
    <s v="S12000021"/>
    <n v="194"/>
    <m/>
    <m/>
    <n v="90"/>
    <m/>
    <n v="26"/>
    <n v="78"/>
  </r>
  <r>
    <x v="13"/>
    <x v="0"/>
    <x v="36"/>
    <s v="S39000017"/>
    <n v="16"/>
    <m/>
    <m/>
    <m/>
    <m/>
    <m/>
    <n v="16"/>
  </r>
  <r>
    <x v="9"/>
    <x v="0"/>
    <x v="42"/>
    <s v="S39000003"/>
    <n v="23"/>
    <m/>
    <m/>
    <m/>
    <m/>
    <m/>
    <n v="23"/>
  </r>
  <r>
    <x v="10"/>
    <x v="0"/>
    <x v="32"/>
    <s v="S39000006"/>
    <n v="29"/>
    <m/>
    <m/>
    <m/>
    <m/>
    <m/>
    <n v="29"/>
  </r>
  <r>
    <x v="8"/>
    <x v="0"/>
    <x v="16"/>
    <s v="S39000013"/>
    <n v="13"/>
    <m/>
    <m/>
    <m/>
    <m/>
    <m/>
    <n v="13"/>
  </r>
  <r>
    <x v="8"/>
    <x v="0"/>
    <x v="42"/>
    <s v="S39000003"/>
    <n v="21"/>
    <m/>
    <m/>
    <m/>
    <m/>
    <m/>
    <n v="21"/>
  </r>
  <r>
    <x v="8"/>
    <x v="0"/>
    <x v="47"/>
    <s v="S39000002"/>
    <n v="18"/>
    <m/>
    <m/>
    <m/>
    <m/>
    <m/>
    <n v="18"/>
  </r>
  <r>
    <x v="13"/>
    <x v="1"/>
    <x v="1"/>
    <s v="S12000044"/>
    <n v="208"/>
    <m/>
    <m/>
    <n v="35"/>
    <m/>
    <n v="0"/>
    <n v="173"/>
  </r>
  <r>
    <x v="9"/>
    <x v="2"/>
    <x v="35"/>
    <s v="S40000003"/>
    <n v="527"/>
    <m/>
    <m/>
    <m/>
    <n v="416"/>
    <m/>
    <n v="111"/>
  </r>
  <r>
    <x v="9"/>
    <x v="1"/>
    <x v="5"/>
    <s v="S12000018"/>
    <n v="120"/>
    <m/>
    <m/>
    <n v="42"/>
    <m/>
    <n v="0"/>
    <n v="78"/>
  </r>
  <r>
    <x v="11"/>
    <x v="0"/>
    <x v="21"/>
    <s v="S39000009"/>
    <n v="31"/>
    <m/>
    <m/>
    <m/>
    <m/>
    <m/>
    <n v="31"/>
  </r>
  <r>
    <x v="8"/>
    <x v="1"/>
    <x v="7"/>
    <s v="S12000039"/>
    <n v="95"/>
    <m/>
    <m/>
    <n v="21"/>
    <m/>
    <n v="0"/>
    <n v="74"/>
  </r>
  <r>
    <x v="10"/>
    <x v="0"/>
    <x v="13"/>
    <s v="S39000001"/>
    <n v="16"/>
    <m/>
    <m/>
    <m/>
    <m/>
    <m/>
    <n v="16"/>
  </r>
  <r>
    <x v="10"/>
    <x v="2"/>
    <x v="35"/>
    <s v="S40000003"/>
    <n v="302"/>
    <m/>
    <m/>
    <m/>
    <n v="286"/>
    <m/>
    <n v="16"/>
  </r>
  <r>
    <x v="8"/>
    <x v="0"/>
    <x v="0"/>
    <s v="S39000007"/>
    <n v="17"/>
    <m/>
    <m/>
    <m/>
    <m/>
    <m/>
    <n v="17"/>
  </r>
  <r>
    <x v="10"/>
    <x v="0"/>
    <x v="2"/>
    <s v="S39000008"/>
    <n v="17"/>
    <m/>
    <m/>
    <m/>
    <m/>
    <m/>
    <n v="17"/>
  </r>
  <r>
    <x v="8"/>
    <x v="2"/>
    <x v="29"/>
    <s v="S40000005"/>
    <n v="193"/>
    <m/>
    <m/>
    <m/>
    <n v="126"/>
    <m/>
    <n v="67"/>
  </r>
  <r>
    <x v="9"/>
    <x v="1"/>
    <x v="12"/>
    <s v="S12000021"/>
    <n v="191"/>
    <m/>
    <m/>
    <n v="94"/>
    <m/>
    <n v="21"/>
    <n v="76"/>
  </r>
  <r>
    <x v="8"/>
    <x v="1"/>
    <x v="25"/>
    <s v="S12000013"/>
    <n v="147"/>
    <m/>
    <m/>
    <n v="147"/>
    <m/>
    <n v="0"/>
    <n v="0"/>
  </r>
  <r>
    <x v="8"/>
    <x v="0"/>
    <x v="28"/>
    <s v="S39000019"/>
    <n v="21"/>
    <m/>
    <m/>
    <m/>
    <m/>
    <m/>
    <n v="21"/>
  </r>
  <r>
    <x v="11"/>
    <x v="1"/>
    <x v="5"/>
    <s v="S12000018"/>
    <n v="114"/>
    <m/>
    <m/>
    <n v="42"/>
    <m/>
    <m/>
    <n v="72"/>
  </r>
  <r>
    <x v="9"/>
    <x v="1"/>
    <x v="38"/>
    <s v="S12000014"/>
    <n v="161"/>
    <m/>
    <m/>
    <n v="65"/>
    <m/>
    <n v="0"/>
    <n v="96"/>
  </r>
  <r>
    <x v="9"/>
    <x v="1"/>
    <x v="9"/>
    <s v="S12000006"/>
    <n v="271"/>
    <m/>
    <m/>
    <n v="198"/>
    <m/>
    <n v="4"/>
    <n v="69"/>
  </r>
  <r>
    <x v="13"/>
    <x v="0"/>
    <x v="13"/>
    <s v="S39000001"/>
    <n v="14"/>
    <m/>
    <m/>
    <m/>
    <m/>
    <m/>
    <n v="14"/>
  </r>
  <r>
    <x v="9"/>
    <x v="0"/>
    <x v="8"/>
    <s v="S39000012"/>
    <n v="28"/>
    <m/>
    <m/>
    <m/>
    <m/>
    <m/>
    <n v="28"/>
  </r>
  <r>
    <x v="8"/>
    <x v="1"/>
    <x v="34"/>
    <s v="S12000029"/>
    <n v="273"/>
    <m/>
    <m/>
    <n v="82"/>
    <m/>
    <n v="4"/>
    <n v="187"/>
  </r>
  <r>
    <x v="10"/>
    <x v="1"/>
    <x v="4"/>
    <s v="S12000008"/>
    <n v="136"/>
    <m/>
    <m/>
    <n v="83"/>
    <m/>
    <n v="0"/>
    <n v="53"/>
  </r>
  <r>
    <x v="13"/>
    <x v="0"/>
    <x v="8"/>
    <s v="S39000012"/>
    <n v="25"/>
    <m/>
    <m/>
    <m/>
    <m/>
    <m/>
    <n v="25"/>
  </r>
  <r>
    <x v="13"/>
    <x v="1"/>
    <x v="25"/>
    <s v="S12000013"/>
    <n v="137"/>
    <m/>
    <m/>
    <n v="137"/>
    <m/>
    <n v="0"/>
    <n v="0"/>
  </r>
  <r>
    <x v="11"/>
    <x v="1"/>
    <x v="33"/>
    <s v="S12000042"/>
    <n v="191"/>
    <m/>
    <m/>
    <n v="13"/>
    <m/>
    <m/>
    <n v="178"/>
  </r>
  <r>
    <x v="11"/>
    <x v="0"/>
    <x v="0"/>
    <s v="S39000007"/>
    <n v="27"/>
    <m/>
    <m/>
    <m/>
    <m/>
    <m/>
    <n v="27"/>
  </r>
  <r>
    <x v="8"/>
    <x v="0"/>
    <x v="39"/>
    <s v="S39000010"/>
    <n v="13"/>
    <m/>
    <m/>
    <m/>
    <m/>
    <m/>
    <n v="13"/>
  </r>
  <r>
    <x v="13"/>
    <x v="2"/>
    <x v="35"/>
    <s v="S40000003"/>
    <n v="340"/>
    <m/>
    <m/>
    <m/>
    <n v="272"/>
    <m/>
    <n v="68"/>
  </r>
  <r>
    <x v="13"/>
    <x v="1"/>
    <x v="4"/>
    <s v="S12000008"/>
    <n v="127"/>
    <m/>
    <m/>
    <n v="81"/>
    <m/>
    <n v="0"/>
    <n v="46"/>
  </r>
  <r>
    <x v="9"/>
    <x v="0"/>
    <x v="28"/>
    <s v="S39000019"/>
    <n v="21"/>
    <m/>
    <m/>
    <m/>
    <m/>
    <m/>
    <n v="21"/>
  </r>
  <r>
    <x v="9"/>
    <x v="1"/>
    <x v="30"/>
    <s v="S12000045"/>
    <n v="74"/>
    <m/>
    <m/>
    <n v="0"/>
    <m/>
    <n v="0"/>
    <n v="74"/>
  </r>
  <r>
    <x v="10"/>
    <x v="1"/>
    <x v="30"/>
    <s v="S12000045"/>
    <n v="71"/>
    <m/>
    <m/>
    <n v="1"/>
    <m/>
    <n v="0"/>
    <n v="70"/>
  </r>
  <r>
    <x v="8"/>
    <x v="1"/>
    <x v="6"/>
    <s v="S12000027"/>
    <n v="128"/>
    <m/>
    <m/>
    <n v="127"/>
    <m/>
    <n v="1"/>
    <n v="0"/>
  </r>
  <r>
    <x v="13"/>
    <x v="0"/>
    <x v="28"/>
    <s v="S39000019"/>
    <n v="24"/>
    <m/>
    <m/>
    <m/>
    <m/>
    <m/>
    <n v="24"/>
  </r>
  <r>
    <x v="9"/>
    <x v="1"/>
    <x v="11"/>
    <s v="S12000020"/>
    <n v="156"/>
    <m/>
    <m/>
    <n v="104"/>
    <m/>
    <n v="32"/>
    <n v="20"/>
  </r>
  <r>
    <x v="9"/>
    <x v="0"/>
    <x v="13"/>
    <s v="S39000001"/>
    <n v="15"/>
    <m/>
    <m/>
    <m/>
    <m/>
    <m/>
    <n v="15"/>
  </r>
  <r>
    <x v="9"/>
    <x v="1"/>
    <x v="41"/>
    <s v="S12000041"/>
    <n v="134"/>
    <m/>
    <m/>
    <n v="99"/>
    <m/>
    <n v="0"/>
    <n v="35"/>
  </r>
  <r>
    <x v="11"/>
    <x v="1"/>
    <x v="7"/>
    <s v="S12000039"/>
    <n v="86"/>
    <m/>
    <m/>
    <n v="18"/>
    <m/>
    <m/>
    <n v="68"/>
  </r>
  <r>
    <x v="10"/>
    <x v="0"/>
    <x v="34"/>
    <s v="S39000015"/>
    <n v="16"/>
    <m/>
    <m/>
    <m/>
    <m/>
    <m/>
    <n v="16"/>
  </r>
  <r>
    <x v="9"/>
    <x v="0"/>
    <x v="2"/>
    <s v="S39000008"/>
    <n v="12"/>
    <m/>
    <m/>
    <m/>
    <m/>
    <m/>
    <n v="12"/>
  </r>
  <r>
    <x v="10"/>
    <x v="0"/>
    <x v="0"/>
    <s v="S39000007"/>
    <n v="38"/>
    <m/>
    <m/>
    <m/>
    <m/>
    <m/>
    <n v="38"/>
  </r>
  <r>
    <x v="8"/>
    <x v="1"/>
    <x v="11"/>
    <s v="S12000020"/>
    <n v="167"/>
    <m/>
    <m/>
    <n v="121"/>
    <m/>
    <n v="25"/>
    <n v="21"/>
  </r>
  <r>
    <x v="8"/>
    <x v="1"/>
    <x v="48"/>
    <s v="S12000023"/>
    <n v="110"/>
    <m/>
    <m/>
    <n v="109"/>
    <m/>
    <n v="1"/>
    <n v="0"/>
  </r>
  <r>
    <x v="10"/>
    <x v="1"/>
    <x v="6"/>
    <s v="S12000027"/>
    <n v="126"/>
    <m/>
    <m/>
    <n v="126"/>
    <m/>
    <n v="0"/>
    <n v="0"/>
  </r>
  <r>
    <x v="13"/>
    <x v="1"/>
    <x v="43"/>
    <s v="S12000011"/>
    <n v="50"/>
    <m/>
    <m/>
    <n v="0"/>
    <m/>
    <n v="0"/>
    <n v="50"/>
  </r>
  <r>
    <x v="9"/>
    <x v="1"/>
    <x v="6"/>
    <s v="S12000027"/>
    <n v="134"/>
    <m/>
    <m/>
    <n v="134"/>
    <m/>
    <n v="0"/>
    <n v="0"/>
  </r>
  <r>
    <x v="11"/>
    <x v="1"/>
    <x v="11"/>
    <s v="S12000020"/>
    <n v="149"/>
    <m/>
    <m/>
    <n v="120"/>
    <m/>
    <m/>
    <n v="29"/>
  </r>
  <r>
    <x v="11"/>
    <x v="1"/>
    <x v="17"/>
    <s v="S12000005"/>
    <n v="47"/>
    <m/>
    <m/>
    <n v="22"/>
    <m/>
    <m/>
    <n v="25"/>
  </r>
  <r>
    <x v="11"/>
    <x v="0"/>
    <x v="34"/>
    <s v="S39000015"/>
    <n v="16"/>
    <m/>
    <m/>
    <m/>
    <m/>
    <m/>
    <n v="16"/>
  </r>
  <r>
    <x v="13"/>
    <x v="1"/>
    <x v="3"/>
    <s v="S12000019"/>
    <n v="33"/>
    <m/>
    <m/>
    <n v="11"/>
    <m/>
    <n v="0"/>
    <n v="22"/>
  </r>
  <r>
    <x v="10"/>
    <x v="0"/>
    <x v="21"/>
    <s v="S39000009"/>
    <n v="27"/>
    <m/>
    <m/>
    <m/>
    <m/>
    <m/>
    <n v="27"/>
  </r>
  <r>
    <x v="9"/>
    <x v="1"/>
    <x v="7"/>
    <s v="S12000039"/>
    <n v="98"/>
    <m/>
    <m/>
    <n v="18"/>
    <m/>
    <n v="0"/>
    <n v="80"/>
  </r>
  <r>
    <x v="13"/>
    <x v="1"/>
    <x v="9"/>
    <s v="S12000006"/>
    <n v="270"/>
    <m/>
    <m/>
    <n v="202"/>
    <m/>
    <n v="5"/>
    <n v="63"/>
  </r>
  <r>
    <x v="11"/>
    <x v="0"/>
    <x v="28"/>
    <s v="S39000019"/>
    <n v="19"/>
    <m/>
    <m/>
    <m/>
    <m/>
    <m/>
    <n v="19"/>
  </r>
  <r>
    <x v="9"/>
    <x v="1"/>
    <x v="3"/>
    <s v="S12000019"/>
    <n v="45"/>
    <m/>
    <m/>
    <n v="10"/>
    <m/>
    <n v="0"/>
    <n v="35"/>
  </r>
  <r>
    <x v="10"/>
    <x v="0"/>
    <x v="9"/>
    <s v="S39000004"/>
    <n v="19"/>
    <m/>
    <m/>
    <m/>
    <m/>
    <m/>
    <n v="19"/>
  </r>
  <r>
    <x v="8"/>
    <x v="1"/>
    <x v="17"/>
    <s v="S12000005"/>
    <n v="60"/>
    <m/>
    <m/>
    <n v="23"/>
    <m/>
    <n v="0"/>
    <n v="37"/>
  </r>
  <r>
    <x v="8"/>
    <x v="1"/>
    <x v="8"/>
    <s v="S12000046"/>
    <n v="544"/>
    <m/>
    <m/>
    <n v="0"/>
    <m/>
    <n v="0"/>
    <n v="544"/>
  </r>
  <r>
    <x v="10"/>
    <x v="0"/>
    <x v="44"/>
    <s v="S39000018"/>
    <n v="24"/>
    <m/>
    <m/>
    <m/>
    <m/>
    <m/>
    <n v="24"/>
  </r>
  <r>
    <x v="8"/>
    <x v="1"/>
    <x v="40"/>
    <s v="S12000036"/>
    <n v="361"/>
    <m/>
    <m/>
    <n v="13"/>
    <m/>
    <n v="0"/>
    <n v="348"/>
  </r>
  <r>
    <x v="9"/>
    <x v="1"/>
    <x v="19"/>
    <s v="S12000034"/>
    <n v="320"/>
    <m/>
    <m/>
    <n v="297"/>
    <m/>
    <n v="0"/>
    <n v="23"/>
  </r>
  <r>
    <x v="8"/>
    <x v="1"/>
    <x v="22"/>
    <s v="S12000026"/>
    <n v="224"/>
    <m/>
    <m/>
    <n v="151"/>
    <m/>
    <n v="0"/>
    <n v="73"/>
  </r>
  <r>
    <x v="13"/>
    <x v="0"/>
    <x v="32"/>
    <s v="S39000006"/>
    <n v="30"/>
    <m/>
    <m/>
    <m/>
    <m/>
    <m/>
    <n v="30"/>
  </r>
  <r>
    <x v="10"/>
    <x v="1"/>
    <x v="18"/>
    <s v="S12000024"/>
    <n v="222"/>
    <m/>
    <m/>
    <n v="126"/>
    <m/>
    <n v="23"/>
    <n v="73"/>
  </r>
  <r>
    <x v="9"/>
    <x v="0"/>
    <x v="46"/>
    <s v="S39000016"/>
    <n v="8"/>
    <m/>
    <m/>
    <m/>
    <m/>
    <m/>
    <n v="8"/>
  </r>
  <r>
    <x v="8"/>
    <x v="1"/>
    <x v="26"/>
    <s v="S12000030"/>
    <n v="130"/>
    <m/>
    <m/>
    <n v="75"/>
    <m/>
    <n v="0"/>
    <n v="55"/>
  </r>
  <r>
    <x v="11"/>
    <x v="1"/>
    <x v="10"/>
    <s v="S12000010"/>
    <n v="79"/>
    <m/>
    <m/>
    <n v="56"/>
    <m/>
    <m/>
    <n v="23"/>
  </r>
  <r>
    <x v="8"/>
    <x v="0"/>
    <x v="36"/>
    <s v="S39000017"/>
    <n v="7"/>
    <m/>
    <m/>
    <m/>
    <m/>
    <m/>
    <n v="7"/>
  </r>
  <r>
    <x v="13"/>
    <x v="1"/>
    <x v="6"/>
    <s v="S12000027"/>
    <n v="122"/>
    <m/>
    <m/>
    <n v="122"/>
    <m/>
    <n v="0"/>
    <n v="0"/>
  </r>
  <r>
    <x v="11"/>
    <x v="0"/>
    <x v="16"/>
    <s v="S39000013"/>
    <n v="32"/>
    <m/>
    <m/>
    <m/>
    <m/>
    <m/>
    <n v="32"/>
  </r>
  <r>
    <x v="10"/>
    <x v="0"/>
    <x v="36"/>
    <s v="S39000017"/>
    <n v="11"/>
    <m/>
    <m/>
    <m/>
    <m/>
    <m/>
    <n v="11"/>
  </r>
  <r>
    <x v="11"/>
    <x v="1"/>
    <x v="19"/>
    <s v="S12000034"/>
    <n v="299"/>
    <m/>
    <m/>
    <n v="275"/>
    <m/>
    <m/>
    <n v="24"/>
  </r>
  <r>
    <x v="11"/>
    <x v="2"/>
    <x v="35"/>
    <s v="S40000003"/>
    <n v="373"/>
    <m/>
    <m/>
    <m/>
    <n v="300"/>
    <m/>
    <n v="73"/>
  </r>
  <r>
    <x v="13"/>
    <x v="0"/>
    <x v="34"/>
    <s v="S39000015"/>
    <n v="15"/>
    <m/>
    <m/>
    <m/>
    <m/>
    <m/>
    <n v="15"/>
  </r>
</pivotCacheRecords>
</file>

<file path=xl/pivotCache/pivotCacheRecords22.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52">
  <r>
    <x v="0"/>
    <x v="0"/>
    <m/>
    <n v="17"/>
    <n v="69"/>
    <n v="85"/>
    <n v="94"/>
    <n v="5"/>
    <n v="15"/>
    <m/>
  </r>
  <r>
    <x v="1"/>
    <x v="1"/>
    <m/>
    <m/>
    <m/>
    <n v="14"/>
    <n v="416"/>
    <n v="592"/>
    <n v="2263"/>
    <m/>
  </r>
  <r>
    <x v="2"/>
    <x v="2"/>
    <m/>
    <n v="3"/>
    <n v="12"/>
    <n v="25"/>
    <n v="86"/>
    <n v="22"/>
    <n v="3"/>
    <m/>
  </r>
  <r>
    <x v="0"/>
    <x v="2"/>
    <n v="3"/>
    <n v="6"/>
    <n v="24"/>
    <n v="33"/>
    <n v="158"/>
    <n v="40"/>
    <n v="4"/>
    <n v="268"/>
  </r>
  <r>
    <x v="1"/>
    <x v="2"/>
    <m/>
    <n v="4"/>
    <n v="26"/>
    <n v="31"/>
    <n v="147"/>
    <n v="34"/>
    <n v="7"/>
    <m/>
  </r>
  <r>
    <x v="1"/>
    <x v="3"/>
    <n v="7"/>
    <n v="11"/>
    <n v="12"/>
    <n v="6"/>
    <n v="11"/>
    <n v="4"/>
    <n v="1"/>
    <n v="52"/>
  </r>
  <r>
    <x v="2"/>
    <x v="1"/>
    <m/>
    <m/>
    <m/>
    <n v="1"/>
    <n v="343"/>
    <n v="552"/>
    <n v="2027"/>
    <m/>
  </r>
  <r>
    <x v="2"/>
    <x v="3"/>
    <n v="4"/>
    <n v="15"/>
    <n v="11"/>
    <n v="9"/>
    <n v="42"/>
    <m/>
    <n v="101"/>
    <m/>
  </r>
  <r>
    <x v="3"/>
    <x v="3"/>
    <n v="4"/>
    <n v="15"/>
    <n v="13"/>
    <n v="9"/>
    <n v="47"/>
    <m/>
    <n v="55"/>
    <m/>
  </r>
  <r>
    <x v="4"/>
    <x v="0"/>
    <m/>
    <n v="16"/>
    <n v="49"/>
    <n v="115"/>
    <n v="124"/>
    <n v="54"/>
    <n v="29"/>
    <n v="387"/>
  </r>
  <r>
    <x v="4"/>
    <x v="3"/>
    <n v="4"/>
    <n v="14"/>
    <n v="17"/>
    <n v="8"/>
    <n v="46"/>
    <m/>
    <n v="60"/>
    <n v="149"/>
  </r>
  <r>
    <x v="5"/>
    <x v="0"/>
    <m/>
    <n v="16"/>
    <n v="49"/>
    <n v="116"/>
    <n v="114"/>
    <n v="55"/>
    <n v="26"/>
    <n v="376"/>
  </r>
  <r>
    <x v="6"/>
    <x v="1"/>
    <m/>
    <m/>
    <m/>
    <n v="2"/>
    <n v="305"/>
    <n v="511"/>
    <n v="2207"/>
    <m/>
  </r>
  <r>
    <x v="6"/>
    <x v="2"/>
    <m/>
    <n v="3"/>
    <n v="9"/>
    <n v="14"/>
    <n v="46"/>
    <n v="13"/>
    <m/>
    <m/>
  </r>
  <r>
    <x v="3"/>
    <x v="0"/>
    <m/>
    <n v="16"/>
    <n v="46"/>
    <n v="115"/>
    <n v="110"/>
    <n v="63"/>
    <n v="29"/>
    <m/>
  </r>
  <r>
    <x v="4"/>
    <x v="1"/>
    <m/>
    <m/>
    <m/>
    <m/>
    <n v="377"/>
    <n v="592"/>
    <n v="1986"/>
    <n v="2955"/>
  </r>
  <r>
    <x v="7"/>
    <x v="0"/>
    <m/>
    <n v="14"/>
    <n v="47"/>
    <n v="119"/>
    <n v="115"/>
    <n v="56"/>
    <n v="27"/>
    <n v="378"/>
  </r>
  <r>
    <x v="7"/>
    <x v="2"/>
    <m/>
    <n v="5"/>
    <n v="9"/>
    <n v="19"/>
    <n v="91"/>
    <n v="32"/>
    <n v="65"/>
    <n v="221"/>
  </r>
  <r>
    <x v="8"/>
    <x v="2"/>
    <m/>
    <n v="5"/>
    <n v="11"/>
    <n v="21"/>
    <n v="90"/>
    <n v="26"/>
    <n v="103"/>
    <n v="256"/>
  </r>
  <r>
    <x v="9"/>
    <x v="0"/>
    <m/>
    <n v="15"/>
    <n v="47"/>
    <n v="112"/>
    <n v="93"/>
    <n v="42"/>
    <n v="18"/>
    <n v="327"/>
  </r>
  <r>
    <x v="10"/>
    <x v="3"/>
    <n v="5"/>
    <n v="12"/>
    <n v="16"/>
    <n v="24"/>
    <n v="31"/>
    <n v="1"/>
    <n v="1"/>
    <n v="90"/>
  </r>
  <r>
    <x v="11"/>
    <x v="2"/>
    <m/>
    <n v="2"/>
    <n v="8"/>
    <n v="20"/>
    <n v="44"/>
    <n v="15"/>
    <n v="72"/>
    <n v="161"/>
  </r>
  <r>
    <x v="4"/>
    <x v="2"/>
    <m/>
    <n v="3"/>
    <n v="14"/>
    <n v="24"/>
    <n v="64"/>
    <n v="41"/>
    <m/>
    <n v="146"/>
  </r>
  <r>
    <x v="5"/>
    <x v="2"/>
    <m/>
    <n v="6"/>
    <n v="9"/>
    <n v="16"/>
    <n v="87"/>
    <n v="36"/>
    <n v="58"/>
    <n v="212"/>
  </r>
  <r>
    <x v="7"/>
    <x v="1"/>
    <m/>
    <m/>
    <m/>
    <m/>
    <n v="373"/>
    <n v="572"/>
    <n v="1898"/>
    <n v="2843"/>
  </r>
  <r>
    <x v="10"/>
    <x v="0"/>
    <m/>
    <n v="14"/>
    <n v="47"/>
    <n v="112"/>
    <n v="77"/>
    <n v="8"/>
    <n v="21"/>
    <n v="279"/>
  </r>
  <r>
    <x v="11"/>
    <x v="1"/>
    <m/>
    <m/>
    <n v="2"/>
    <n v="2"/>
    <n v="448"/>
    <n v="579"/>
    <n v="1779"/>
    <n v="2810"/>
  </r>
  <r>
    <x v="11"/>
    <x v="0"/>
    <m/>
    <n v="16"/>
    <n v="47"/>
    <n v="112"/>
    <n v="97"/>
    <n v="46"/>
    <n v="47"/>
    <n v="365"/>
  </r>
  <r>
    <x v="1"/>
    <x v="0"/>
    <m/>
    <n v="18"/>
    <n v="65"/>
    <n v="79"/>
    <n v="90"/>
    <n v="4"/>
    <n v="14"/>
    <m/>
  </r>
  <r>
    <x v="12"/>
    <x v="0"/>
    <m/>
    <n v="16"/>
    <n v="50"/>
    <n v="118"/>
    <n v="113"/>
    <n v="58"/>
    <n v="28"/>
    <n v="383"/>
  </r>
  <r>
    <x v="12"/>
    <x v="2"/>
    <m/>
    <n v="6"/>
    <n v="17"/>
    <n v="29"/>
    <n v="112"/>
    <n v="33"/>
    <m/>
    <n v="197"/>
  </r>
  <r>
    <x v="5"/>
    <x v="1"/>
    <m/>
    <m/>
    <m/>
    <m/>
    <n v="372"/>
    <n v="596"/>
    <n v="1935"/>
    <n v="2903"/>
  </r>
  <r>
    <x v="8"/>
    <x v="3"/>
    <n v="5"/>
    <n v="12"/>
    <n v="19"/>
    <n v="16"/>
    <n v="16"/>
    <n v="1"/>
    <m/>
    <n v="69"/>
  </r>
  <r>
    <x v="9"/>
    <x v="1"/>
    <m/>
    <m/>
    <m/>
    <m/>
    <n v="408"/>
    <n v="569"/>
    <n v="1893"/>
    <n v="2870"/>
  </r>
  <r>
    <x v="9"/>
    <x v="3"/>
    <n v="5"/>
    <n v="11"/>
    <n v="16"/>
    <n v="24"/>
    <n v="27"/>
    <n v="1"/>
    <m/>
    <n v="84"/>
  </r>
  <r>
    <x v="10"/>
    <x v="1"/>
    <m/>
    <m/>
    <m/>
    <m/>
    <n v="396"/>
    <n v="551"/>
    <n v="1845"/>
    <n v="2792"/>
  </r>
  <r>
    <x v="10"/>
    <x v="2"/>
    <m/>
    <n v="4"/>
    <n v="9"/>
    <n v="24"/>
    <n v="101"/>
    <n v="62"/>
    <n v="69"/>
    <n v="269"/>
  </r>
  <r>
    <x v="0"/>
    <x v="1"/>
    <m/>
    <m/>
    <m/>
    <n v="13"/>
    <n v="416"/>
    <n v="608"/>
    <n v="2355"/>
    <m/>
  </r>
  <r>
    <x v="6"/>
    <x v="0"/>
    <m/>
    <n v="14"/>
    <n v="62"/>
    <n v="91"/>
    <n v="133"/>
    <n v="50"/>
    <n v="35"/>
    <m/>
  </r>
  <r>
    <x v="7"/>
    <x v="3"/>
    <n v="5"/>
    <n v="16"/>
    <n v="20"/>
    <n v="19"/>
    <n v="28"/>
    <m/>
    <m/>
    <n v="88"/>
  </r>
  <r>
    <x v="8"/>
    <x v="1"/>
    <m/>
    <m/>
    <m/>
    <m/>
    <n v="403"/>
    <n v="585"/>
    <n v="1849"/>
    <n v="2837"/>
  </r>
  <r>
    <x v="12"/>
    <x v="1"/>
    <m/>
    <m/>
    <m/>
    <m/>
    <n v="376"/>
    <n v="597"/>
    <n v="1993"/>
    <n v="2966"/>
  </r>
  <r>
    <x v="12"/>
    <x v="3"/>
    <n v="6"/>
    <n v="9"/>
    <n v="13"/>
    <n v="6"/>
    <n v="7"/>
    <m/>
    <n v="49"/>
    <n v="90"/>
  </r>
  <r>
    <x v="8"/>
    <x v="0"/>
    <m/>
    <n v="14"/>
    <n v="48"/>
    <n v="111"/>
    <n v="92"/>
    <n v="43"/>
    <n v="20"/>
    <n v="328"/>
  </r>
  <r>
    <x v="9"/>
    <x v="2"/>
    <m/>
    <n v="5"/>
    <n v="8"/>
    <n v="20"/>
    <n v="79"/>
    <n v="28"/>
    <n v="1"/>
    <n v="141"/>
  </r>
  <r>
    <x v="0"/>
    <x v="3"/>
    <n v="6"/>
    <n v="5"/>
    <n v="22"/>
    <n v="5"/>
    <n v="11"/>
    <n v="7"/>
    <m/>
    <m/>
  </r>
  <r>
    <x v="6"/>
    <x v="3"/>
    <n v="4"/>
    <n v="18"/>
    <n v="19"/>
    <n v="19"/>
    <n v="93"/>
    <n v="26"/>
    <n v="16"/>
    <n v="195"/>
  </r>
  <r>
    <x v="2"/>
    <x v="0"/>
    <m/>
    <n v="16"/>
    <n v="47"/>
    <n v="116"/>
    <n v="119"/>
    <n v="61"/>
    <n v="30"/>
    <m/>
  </r>
  <r>
    <x v="3"/>
    <x v="1"/>
    <m/>
    <m/>
    <m/>
    <m/>
    <n v="375"/>
    <n v="588"/>
    <n v="1905"/>
    <m/>
  </r>
  <r>
    <x v="3"/>
    <x v="2"/>
    <m/>
    <n v="3"/>
    <n v="15"/>
    <n v="29"/>
    <n v="71"/>
    <n v="38"/>
    <m/>
    <m/>
  </r>
  <r>
    <x v="5"/>
    <x v="3"/>
    <n v="5"/>
    <n v="13"/>
    <n v="21"/>
    <n v="20"/>
    <n v="30"/>
    <m/>
    <n v="1"/>
    <n v="90"/>
  </r>
  <r>
    <x v="11"/>
    <x v="3"/>
    <n v="5"/>
    <n v="9"/>
    <n v="15"/>
    <n v="26"/>
    <n v="36"/>
    <n v="1"/>
    <n v="1"/>
    <n v="93"/>
  </r>
</pivotCacheRecords>
</file>

<file path=xl/pivotCache/pivotCacheRecords23.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662">
  <r>
    <x v="0"/>
    <x v="0"/>
    <s v="S12000005"/>
    <x v="0"/>
    <m/>
    <m/>
    <n v="9"/>
    <n v="30"/>
    <m/>
    <n v="0"/>
    <n v="4"/>
  </r>
  <r>
    <x v="0"/>
    <x v="0"/>
    <s v="S12000006"/>
    <x v="1"/>
    <m/>
    <m/>
    <n v="11"/>
    <n v="53"/>
    <m/>
    <n v="0"/>
    <n v="5"/>
  </r>
  <r>
    <x v="0"/>
    <x v="0"/>
    <s v="S12000008"/>
    <x v="2"/>
    <m/>
    <m/>
    <n v="11"/>
    <n v="40"/>
    <m/>
    <n v="0"/>
    <n v="8"/>
  </r>
  <r>
    <x v="0"/>
    <x v="0"/>
    <s v="S12000010"/>
    <x v="3"/>
    <m/>
    <m/>
    <n v="5"/>
    <n v="21"/>
    <m/>
    <n v="0"/>
    <n v="3"/>
  </r>
  <r>
    <x v="0"/>
    <x v="0"/>
    <s v="S12000011"/>
    <x v="4"/>
    <m/>
    <m/>
    <n v="14"/>
    <n v="34"/>
    <m/>
    <n v="0"/>
    <n v="11"/>
  </r>
  <r>
    <x v="0"/>
    <x v="0"/>
    <s v="S12000013"/>
    <x v="5"/>
    <m/>
    <m/>
    <n v="0"/>
    <n v="0"/>
    <m/>
    <n v="0"/>
    <n v="0"/>
  </r>
  <r>
    <x v="0"/>
    <x v="0"/>
    <s v="S12000014"/>
    <x v="6"/>
    <m/>
    <m/>
    <n v="18"/>
    <n v="65"/>
    <m/>
    <n v="1"/>
    <n v="12"/>
  </r>
  <r>
    <x v="0"/>
    <x v="0"/>
    <s v="S12000017"/>
    <x v="7"/>
    <m/>
    <m/>
    <n v="9"/>
    <n v="60"/>
    <m/>
    <n v="2"/>
    <n v="10"/>
  </r>
  <r>
    <x v="0"/>
    <x v="0"/>
    <s v="S12000018"/>
    <x v="8"/>
    <m/>
    <m/>
    <n v="18"/>
    <n v="49"/>
    <m/>
    <n v="0"/>
    <n v="11"/>
  </r>
  <r>
    <x v="0"/>
    <x v="0"/>
    <s v="S12000019"/>
    <x v="9"/>
    <m/>
    <m/>
    <n v="4"/>
    <n v="26"/>
    <m/>
    <n v="0"/>
    <n v="5"/>
  </r>
  <r>
    <x v="0"/>
    <x v="0"/>
    <s v="S12000020"/>
    <x v="10"/>
    <m/>
    <m/>
    <n v="2"/>
    <n v="15"/>
    <m/>
    <n v="0"/>
    <n v="3"/>
  </r>
  <r>
    <x v="0"/>
    <x v="0"/>
    <s v="S12000021"/>
    <x v="11"/>
    <m/>
    <m/>
    <n v="13"/>
    <n v="50"/>
    <m/>
    <n v="0"/>
    <n v="13"/>
  </r>
  <r>
    <x v="0"/>
    <x v="0"/>
    <s v="S12000023"/>
    <x v="12"/>
    <m/>
    <m/>
    <n v="0"/>
    <n v="0"/>
    <m/>
    <n v="0"/>
    <n v="0"/>
  </r>
  <r>
    <x v="0"/>
    <x v="0"/>
    <s v="S12000024"/>
    <x v="13"/>
    <m/>
    <m/>
    <n v="14"/>
    <n v="61"/>
    <m/>
    <n v="2"/>
    <n v="11"/>
  </r>
  <r>
    <x v="0"/>
    <x v="0"/>
    <s v="S12000026"/>
    <x v="14"/>
    <m/>
    <m/>
    <n v="11"/>
    <n v="54"/>
    <m/>
    <n v="0"/>
    <n v="10"/>
  </r>
  <r>
    <x v="0"/>
    <x v="0"/>
    <s v="S12000027"/>
    <x v="15"/>
    <m/>
    <m/>
    <n v="0"/>
    <n v="0"/>
    <m/>
    <n v="0"/>
    <n v="0"/>
  </r>
  <r>
    <x v="0"/>
    <x v="0"/>
    <s v="S12000028"/>
    <x v="16"/>
    <m/>
    <m/>
    <n v="10"/>
    <n v="47"/>
    <m/>
    <n v="0"/>
    <n v="8"/>
  </r>
  <r>
    <x v="0"/>
    <x v="0"/>
    <s v="S12000029"/>
    <x v="17"/>
    <m/>
    <m/>
    <n v="33"/>
    <n v="129"/>
    <m/>
    <n v="2"/>
    <n v="26"/>
  </r>
  <r>
    <x v="0"/>
    <x v="0"/>
    <s v="S12000030"/>
    <x v="18"/>
    <m/>
    <m/>
    <n v="10"/>
    <n v="42"/>
    <m/>
    <n v="0"/>
    <n v="10"/>
  </r>
  <r>
    <x v="0"/>
    <x v="0"/>
    <s v="S12000033"/>
    <x v="19"/>
    <m/>
    <m/>
    <n v="24"/>
    <n v="128"/>
    <m/>
    <n v="0"/>
    <n v="22"/>
  </r>
  <r>
    <x v="0"/>
    <x v="0"/>
    <s v="S12000034"/>
    <x v="20"/>
    <m/>
    <m/>
    <n v="3"/>
    <n v="16"/>
    <m/>
    <n v="0"/>
    <n v="4"/>
  </r>
  <r>
    <x v="0"/>
    <x v="0"/>
    <s v="S12000035"/>
    <x v="21"/>
    <m/>
    <m/>
    <n v="10"/>
    <n v="31"/>
    <m/>
    <n v="2"/>
    <n v="15"/>
  </r>
  <r>
    <x v="0"/>
    <x v="0"/>
    <s v="S12000036"/>
    <x v="22"/>
    <m/>
    <m/>
    <n v="70"/>
    <n v="275"/>
    <m/>
    <n v="0"/>
    <n v="25"/>
  </r>
  <r>
    <x v="0"/>
    <x v="0"/>
    <s v="S12000038"/>
    <x v="23"/>
    <m/>
    <m/>
    <n v="22"/>
    <n v="74"/>
    <m/>
    <n v="1"/>
    <n v="19"/>
  </r>
  <r>
    <x v="0"/>
    <x v="0"/>
    <s v="S12000039"/>
    <x v="24"/>
    <m/>
    <m/>
    <n v="18"/>
    <n v="52"/>
    <m/>
    <n v="0"/>
    <n v="10"/>
  </r>
  <r>
    <x v="0"/>
    <x v="0"/>
    <s v="S12000040"/>
    <x v="25"/>
    <m/>
    <m/>
    <n v="14"/>
    <n v="61"/>
    <m/>
    <n v="0"/>
    <n v="10"/>
  </r>
  <r>
    <x v="0"/>
    <x v="0"/>
    <s v="S12000041"/>
    <x v="26"/>
    <m/>
    <m/>
    <n v="0"/>
    <n v="25"/>
    <m/>
    <n v="1"/>
    <n v="9"/>
  </r>
  <r>
    <x v="0"/>
    <x v="0"/>
    <s v="S12000042"/>
    <x v="27"/>
    <m/>
    <m/>
    <n v="29"/>
    <n v="162"/>
    <m/>
    <n v="1"/>
    <n v="23"/>
  </r>
  <r>
    <x v="0"/>
    <x v="0"/>
    <s v="S12000044"/>
    <x v="28"/>
    <m/>
    <m/>
    <n v="34"/>
    <n v="129"/>
    <m/>
    <n v="1"/>
    <n v="24"/>
  </r>
  <r>
    <x v="0"/>
    <x v="0"/>
    <s v="S12000045"/>
    <x v="29"/>
    <m/>
    <m/>
    <n v="15"/>
    <n v="45"/>
    <m/>
    <n v="0"/>
    <n v="14"/>
  </r>
  <r>
    <x v="0"/>
    <x v="0"/>
    <s v="S12000046"/>
    <x v="30"/>
    <m/>
    <m/>
    <n v="119"/>
    <n v="373"/>
    <m/>
    <n v="0"/>
    <n v="68"/>
  </r>
  <r>
    <x v="0"/>
    <x v="0"/>
    <s v="S12000047"/>
    <x v="31"/>
    <m/>
    <m/>
    <n v="58"/>
    <n v="208"/>
    <m/>
    <n v="0"/>
    <n v="23"/>
  </r>
  <r>
    <x v="0"/>
    <x v="1"/>
    <s v="S39000001"/>
    <x v="19"/>
    <n v="1"/>
    <m/>
    <n v="0"/>
    <n v="1"/>
    <n v="7"/>
    <n v="6"/>
    <n v="8"/>
  </r>
  <r>
    <x v="0"/>
    <x v="1"/>
    <s v="S39000002"/>
    <x v="32"/>
    <n v="1"/>
    <m/>
    <n v="0"/>
    <n v="0"/>
    <n v="2"/>
    <n v="4"/>
    <n v="8"/>
  </r>
  <r>
    <x v="0"/>
    <x v="1"/>
    <s v="S39000003"/>
    <x v="33"/>
    <n v="1"/>
    <m/>
    <n v="1"/>
    <n v="1"/>
    <n v="3"/>
    <n v="6"/>
    <n v="10"/>
  </r>
  <r>
    <x v="0"/>
    <x v="1"/>
    <s v="S39000004"/>
    <x v="1"/>
    <n v="0"/>
    <m/>
    <n v="0"/>
    <n v="0"/>
    <n v="2"/>
    <n v="5"/>
    <n v="9"/>
  </r>
  <r>
    <x v="0"/>
    <x v="1"/>
    <s v="S39000006"/>
    <x v="34"/>
    <n v="1"/>
    <m/>
    <n v="0"/>
    <n v="5"/>
    <n v="7"/>
    <n v="0"/>
    <n v="8"/>
  </r>
  <r>
    <x v="0"/>
    <x v="1"/>
    <s v="S39000007"/>
    <x v="35"/>
    <n v="1"/>
    <m/>
    <n v="0"/>
    <n v="1"/>
    <n v="3"/>
    <n v="5"/>
    <n v="2"/>
  </r>
  <r>
    <x v="0"/>
    <x v="1"/>
    <s v="S39000008"/>
    <x v="36"/>
    <n v="1"/>
    <m/>
    <n v="0"/>
    <n v="0"/>
    <n v="9"/>
    <n v="7"/>
    <n v="6"/>
  </r>
  <r>
    <x v="0"/>
    <x v="1"/>
    <s v="S39000009"/>
    <x v="37"/>
    <n v="2"/>
    <m/>
    <n v="3"/>
    <n v="2"/>
    <n v="9"/>
    <n v="3"/>
    <n v="7"/>
  </r>
  <r>
    <x v="0"/>
    <x v="1"/>
    <s v="S39000010"/>
    <x v="38"/>
    <n v="1"/>
    <m/>
    <n v="0"/>
    <n v="2"/>
    <n v="2"/>
    <n v="2"/>
    <n v="6"/>
  </r>
  <r>
    <x v="0"/>
    <x v="1"/>
    <s v="S39000012"/>
    <x v="30"/>
    <n v="1"/>
    <m/>
    <n v="0"/>
    <n v="3"/>
    <n v="4"/>
    <n v="10"/>
    <n v="10"/>
  </r>
  <r>
    <x v="0"/>
    <x v="1"/>
    <s v="S39000013"/>
    <x v="39"/>
    <n v="1"/>
    <m/>
    <n v="0"/>
    <n v="0"/>
    <n v="4"/>
    <n v="7"/>
    <n v="1"/>
  </r>
  <r>
    <x v="0"/>
    <x v="1"/>
    <s v="S39000014"/>
    <x v="28"/>
    <n v="1"/>
    <m/>
    <n v="1"/>
    <n v="0"/>
    <n v="2"/>
    <n v="6"/>
    <n v="4"/>
  </r>
  <r>
    <x v="0"/>
    <x v="1"/>
    <s v="S39000015"/>
    <x v="17"/>
    <n v="1"/>
    <m/>
    <n v="0"/>
    <n v="0"/>
    <n v="3"/>
    <n v="4"/>
    <n v="2"/>
  </r>
  <r>
    <x v="0"/>
    <x v="1"/>
    <s v="S39000016"/>
    <x v="40"/>
    <n v="1"/>
    <m/>
    <n v="0"/>
    <n v="0"/>
    <n v="3"/>
    <n v="4"/>
    <n v="0"/>
  </r>
  <r>
    <x v="0"/>
    <x v="1"/>
    <s v="S39000017"/>
    <x v="41"/>
    <n v="1"/>
    <m/>
    <n v="0"/>
    <n v="0"/>
    <n v="3"/>
    <n v="5"/>
    <n v="0"/>
  </r>
  <r>
    <x v="0"/>
    <x v="1"/>
    <s v="S39000018"/>
    <x v="42"/>
    <n v="1"/>
    <m/>
    <n v="0"/>
    <n v="0"/>
    <n v="3"/>
    <n v="5"/>
    <n v="2"/>
  </r>
  <r>
    <x v="0"/>
    <x v="1"/>
    <s v="S39000019"/>
    <x v="31"/>
    <n v="1"/>
    <m/>
    <n v="0"/>
    <n v="0"/>
    <n v="3"/>
    <n v="6"/>
    <n v="11"/>
  </r>
  <r>
    <x v="0"/>
    <x v="2"/>
    <s v="S40000003"/>
    <x v="43"/>
    <n v="3"/>
    <n v="1"/>
    <n v="8"/>
    <n v="0"/>
    <n v="12"/>
    <n v="8"/>
    <n v="79"/>
  </r>
  <r>
    <x v="0"/>
    <x v="2"/>
    <s v="S40000004"/>
    <x v="44"/>
    <n v="1"/>
    <n v="1"/>
    <n v="8"/>
    <n v="3"/>
    <n v="3"/>
    <n v="15"/>
    <n v="49"/>
  </r>
  <r>
    <x v="0"/>
    <x v="2"/>
    <s v="S40000005"/>
    <x v="45"/>
    <n v="2"/>
    <n v="1"/>
    <n v="24"/>
    <n v="1"/>
    <n v="9"/>
    <n v="10"/>
    <n v="30"/>
  </r>
  <r>
    <x v="0"/>
    <x v="3"/>
    <s v="S92000003"/>
    <x v="46"/>
    <n v="5"/>
    <n v="6"/>
    <n v="7"/>
    <n v="0"/>
    <n v="22"/>
    <n v="5"/>
    <n v="11"/>
  </r>
  <r>
    <x v="1"/>
    <x v="0"/>
    <s v="S12000005"/>
    <x v="0"/>
    <m/>
    <m/>
    <n v="8"/>
    <n v="25"/>
    <m/>
    <n v="0"/>
    <n v="4"/>
  </r>
  <r>
    <x v="1"/>
    <x v="0"/>
    <s v="S12000006"/>
    <x v="1"/>
    <m/>
    <m/>
    <n v="11"/>
    <n v="52"/>
    <m/>
    <n v="0"/>
    <n v="6"/>
  </r>
  <r>
    <x v="1"/>
    <x v="0"/>
    <s v="S12000008"/>
    <x v="2"/>
    <m/>
    <m/>
    <n v="9"/>
    <n v="39"/>
    <m/>
    <n v="0"/>
    <n v="8"/>
  </r>
  <r>
    <x v="1"/>
    <x v="0"/>
    <s v="S12000010"/>
    <x v="3"/>
    <m/>
    <m/>
    <n v="3"/>
    <n v="21"/>
    <m/>
    <n v="0"/>
    <n v="4"/>
  </r>
  <r>
    <x v="1"/>
    <x v="0"/>
    <s v="S12000011"/>
    <x v="4"/>
    <m/>
    <m/>
    <n v="13"/>
    <n v="35"/>
    <m/>
    <n v="0"/>
    <n v="9"/>
  </r>
  <r>
    <x v="1"/>
    <x v="0"/>
    <s v="S12000013"/>
    <x v="5"/>
    <m/>
    <m/>
    <n v="0"/>
    <n v="0"/>
    <m/>
    <n v="0"/>
    <n v="0"/>
  </r>
  <r>
    <x v="1"/>
    <x v="0"/>
    <s v="S12000014"/>
    <x v="6"/>
    <m/>
    <m/>
    <n v="17"/>
    <n v="60"/>
    <m/>
    <n v="2"/>
    <n v="15"/>
  </r>
  <r>
    <x v="1"/>
    <x v="0"/>
    <s v="S12000017"/>
    <x v="7"/>
    <m/>
    <m/>
    <n v="11"/>
    <n v="57"/>
    <m/>
    <n v="1"/>
    <n v="12"/>
  </r>
  <r>
    <x v="1"/>
    <x v="0"/>
    <s v="S12000018"/>
    <x v="8"/>
    <m/>
    <m/>
    <n v="16"/>
    <n v="49"/>
    <m/>
    <n v="0"/>
    <n v="12"/>
  </r>
  <r>
    <x v="1"/>
    <x v="0"/>
    <s v="S12000019"/>
    <x v="9"/>
    <m/>
    <m/>
    <n v="4"/>
    <n v="26"/>
    <m/>
    <n v="0"/>
    <n v="5"/>
  </r>
  <r>
    <x v="1"/>
    <x v="0"/>
    <s v="S12000020"/>
    <x v="10"/>
    <m/>
    <m/>
    <n v="3"/>
    <n v="14"/>
    <m/>
    <n v="0"/>
    <n v="4"/>
  </r>
  <r>
    <x v="1"/>
    <x v="0"/>
    <s v="S12000021"/>
    <x v="11"/>
    <m/>
    <m/>
    <n v="14"/>
    <n v="50"/>
    <m/>
    <n v="0"/>
    <n v="14"/>
  </r>
  <r>
    <x v="1"/>
    <x v="0"/>
    <s v="S12000023"/>
    <x v="12"/>
    <m/>
    <m/>
    <n v="0"/>
    <n v="0"/>
    <m/>
    <n v="0"/>
    <n v="0"/>
  </r>
  <r>
    <x v="1"/>
    <x v="0"/>
    <s v="S12000024"/>
    <x v="13"/>
    <m/>
    <m/>
    <n v="16"/>
    <n v="58"/>
    <m/>
    <n v="1"/>
    <n v="11"/>
  </r>
  <r>
    <x v="1"/>
    <x v="0"/>
    <s v="S12000026"/>
    <x v="14"/>
    <m/>
    <m/>
    <n v="11"/>
    <n v="51"/>
    <m/>
    <n v="0"/>
    <n v="11"/>
  </r>
  <r>
    <x v="1"/>
    <x v="0"/>
    <s v="S12000027"/>
    <x v="15"/>
    <m/>
    <m/>
    <n v="0"/>
    <n v="0"/>
    <m/>
    <n v="0"/>
    <n v="0"/>
  </r>
  <r>
    <x v="1"/>
    <x v="0"/>
    <s v="S12000028"/>
    <x v="16"/>
    <m/>
    <m/>
    <n v="9"/>
    <n v="43"/>
    <m/>
    <n v="0"/>
    <n v="8"/>
  </r>
  <r>
    <x v="1"/>
    <x v="0"/>
    <s v="S12000029"/>
    <x v="17"/>
    <m/>
    <m/>
    <n v="35"/>
    <n v="126"/>
    <m/>
    <n v="2"/>
    <n v="24"/>
  </r>
  <r>
    <x v="1"/>
    <x v="0"/>
    <s v="S12000030"/>
    <x v="18"/>
    <m/>
    <m/>
    <n v="10"/>
    <n v="37"/>
    <m/>
    <n v="0"/>
    <n v="8"/>
  </r>
  <r>
    <x v="1"/>
    <x v="0"/>
    <s v="S12000033"/>
    <x v="19"/>
    <m/>
    <m/>
    <n v="25"/>
    <n v="122"/>
    <m/>
    <n v="0"/>
    <n v="26"/>
  </r>
  <r>
    <x v="1"/>
    <x v="0"/>
    <s v="S12000034"/>
    <x v="20"/>
    <m/>
    <m/>
    <n v="3"/>
    <n v="18"/>
    <m/>
    <n v="0"/>
    <n v="2"/>
  </r>
  <r>
    <x v="1"/>
    <x v="0"/>
    <s v="S12000035"/>
    <x v="21"/>
    <m/>
    <m/>
    <n v="10"/>
    <n v="27"/>
    <m/>
    <n v="2"/>
    <n v="15"/>
  </r>
  <r>
    <x v="1"/>
    <x v="0"/>
    <s v="S12000036"/>
    <x v="22"/>
    <m/>
    <m/>
    <n v="64"/>
    <n v="257"/>
    <m/>
    <n v="1"/>
    <n v="26"/>
  </r>
  <r>
    <x v="1"/>
    <x v="0"/>
    <s v="S12000038"/>
    <x v="23"/>
    <m/>
    <m/>
    <n v="23"/>
    <n v="72"/>
    <m/>
    <n v="0"/>
    <n v="20"/>
  </r>
  <r>
    <x v="1"/>
    <x v="0"/>
    <s v="S12000039"/>
    <x v="24"/>
    <m/>
    <m/>
    <n v="20"/>
    <n v="45"/>
    <m/>
    <n v="0"/>
    <n v="9"/>
  </r>
  <r>
    <x v="1"/>
    <x v="0"/>
    <s v="S12000040"/>
    <x v="25"/>
    <m/>
    <m/>
    <n v="9"/>
    <n v="59"/>
    <m/>
    <n v="1"/>
    <n v="10"/>
  </r>
  <r>
    <x v="1"/>
    <x v="0"/>
    <s v="S12000041"/>
    <x v="26"/>
    <m/>
    <m/>
    <n v="0"/>
    <n v="22"/>
    <m/>
    <n v="1"/>
    <n v="4"/>
  </r>
  <r>
    <x v="1"/>
    <x v="0"/>
    <s v="S12000042"/>
    <x v="27"/>
    <m/>
    <m/>
    <n v="27"/>
    <n v="158"/>
    <m/>
    <n v="1"/>
    <n v="21"/>
  </r>
  <r>
    <x v="1"/>
    <x v="0"/>
    <s v="S12000044"/>
    <x v="28"/>
    <m/>
    <m/>
    <n v="37"/>
    <n v="125"/>
    <m/>
    <n v="1"/>
    <n v="24"/>
  </r>
  <r>
    <x v="1"/>
    <x v="0"/>
    <s v="S12000045"/>
    <x v="29"/>
    <m/>
    <m/>
    <n v="14"/>
    <n v="44"/>
    <m/>
    <n v="0"/>
    <n v="14"/>
  </r>
  <r>
    <x v="1"/>
    <x v="0"/>
    <s v="S12000046"/>
    <x v="30"/>
    <m/>
    <m/>
    <n v="116"/>
    <n v="362"/>
    <m/>
    <n v="1"/>
    <n v="65"/>
  </r>
  <r>
    <x v="1"/>
    <x v="0"/>
    <s v="S12000047"/>
    <x v="31"/>
    <m/>
    <m/>
    <n v="54"/>
    <n v="209"/>
    <m/>
    <n v="0"/>
    <n v="25"/>
  </r>
  <r>
    <x v="1"/>
    <x v="1"/>
    <s v="S39000001"/>
    <x v="19"/>
    <n v="1"/>
    <m/>
    <n v="0"/>
    <n v="0"/>
    <n v="3"/>
    <n v="7"/>
    <n v="7"/>
  </r>
  <r>
    <x v="1"/>
    <x v="1"/>
    <s v="S39000002"/>
    <x v="32"/>
    <n v="1"/>
    <m/>
    <n v="0"/>
    <n v="2"/>
    <n v="1"/>
    <n v="4"/>
    <n v="10"/>
  </r>
  <r>
    <x v="1"/>
    <x v="1"/>
    <s v="S39000003"/>
    <x v="33"/>
    <n v="1"/>
    <m/>
    <n v="0"/>
    <n v="1"/>
    <n v="7"/>
    <n v="5"/>
    <n v="7"/>
  </r>
  <r>
    <x v="1"/>
    <x v="1"/>
    <s v="S39000004"/>
    <x v="1"/>
    <n v="0"/>
    <m/>
    <n v="0"/>
    <n v="1"/>
    <n v="2"/>
    <n v="5"/>
    <n v="10"/>
  </r>
  <r>
    <x v="1"/>
    <x v="1"/>
    <s v="S39000006"/>
    <x v="34"/>
    <n v="1"/>
    <m/>
    <n v="0"/>
    <n v="0"/>
    <n v="7"/>
    <n v="7"/>
    <n v="5"/>
  </r>
  <r>
    <x v="1"/>
    <x v="1"/>
    <s v="S39000007"/>
    <x v="35"/>
    <n v="1"/>
    <m/>
    <n v="0"/>
    <n v="4"/>
    <n v="5"/>
    <n v="1"/>
    <n v="6"/>
  </r>
  <r>
    <x v="1"/>
    <x v="1"/>
    <s v="S39000008"/>
    <x v="36"/>
    <n v="1"/>
    <m/>
    <n v="0"/>
    <n v="0"/>
    <n v="3"/>
    <n v="5"/>
    <n v="3"/>
  </r>
  <r>
    <x v="1"/>
    <x v="1"/>
    <s v="S39000009"/>
    <x v="37"/>
    <n v="2"/>
    <m/>
    <n v="2"/>
    <n v="2"/>
    <n v="8"/>
    <n v="4"/>
    <n v="6"/>
  </r>
  <r>
    <x v="1"/>
    <x v="1"/>
    <s v="S39000010"/>
    <x v="38"/>
    <n v="1"/>
    <m/>
    <n v="0"/>
    <n v="1"/>
    <n v="3"/>
    <n v="3"/>
    <n v="5"/>
  </r>
  <r>
    <x v="1"/>
    <x v="1"/>
    <s v="S39000012"/>
    <x v="30"/>
    <n v="1"/>
    <m/>
    <n v="1"/>
    <n v="2"/>
    <n v="4"/>
    <n v="8"/>
    <n v="9"/>
  </r>
  <r>
    <x v="1"/>
    <x v="1"/>
    <s v="S39000013"/>
    <x v="39"/>
    <n v="1"/>
    <m/>
    <n v="0"/>
    <n v="0"/>
    <n v="6"/>
    <n v="5"/>
    <n v="1"/>
  </r>
  <r>
    <x v="1"/>
    <x v="1"/>
    <s v="S39000014"/>
    <x v="28"/>
    <n v="2"/>
    <m/>
    <n v="1"/>
    <n v="1"/>
    <n v="3"/>
    <n v="5"/>
    <n v="4"/>
  </r>
  <r>
    <x v="1"/>
    <x v="1"/>
    <s v="S39000015"/>
    <x v="17"/>
    <n v="1"/>
    <m/>
    <n v="0"/>
    <n v="0"/>
    <n v="4"/>
    <n v="2"/>
    <n v="3"/>
  </r>
  <r>
    <x v="1"/>
    <x v="1"/>
    <s v="S39000016"/>
    <x v="40"/>
    <n v="0"/>
    <m/>
    <n v="0"/>
    <n v="0"/>
    <n v="1"/>
    <n v="4"/>
    <n v="0"/>
  </r>
  <r>
    <x v="1"/>
    <x v="1"/>
    <s v="S39000017"/>
    <x v="41"/>
    <n v="1"/>
    <m/>
    <n v="0"/>
    <n v="0"/>
    <n v="3"/>
    <n v="3"/>
    <n v="0"/>
  </r>
  <r>
    <x v="1"/>
    <x v="1"/>
    <s v="S39000018"/>
    <x v="42"/>
    <n v="1"/>
    <m/>
    <n v="0"/>
    <n v="0"/>
    <n v="3"/>
    <n v="5"/>
    <n v="3"/>
  </r>
  <r>
    <x v="1"/>
    <x v="1"/>
    <s v="S39000019"/>
    <x v="31"/>
    <n v="2"/>
    <m/>
    <n v="0"/>
    <n v="0"/>
    <n v="2"/>
    <n v="6"/>
    <n v="11"/>
  </r>
  <r>
    <x v="1"/>
    <x v="2"/>
    <s v="S40000003"/>
    <x v="43"/>
    <n v="2"/>
    <m/>
    <n v="9"/>
    <n v="0"/>
    <n v="15"/>
    <n v="4"/>
    <n v="75"/>
  </r>
  <r>
    <x v="1"/>
    <x v="2"/>
    <s v="S40000004"/>
    <x v="44"/>
    <n v="1"/>
    <m/>
    <n v="4"/>
    <n v="6"/>
    <n v="4"/>
    <n v="17"/>
    <n v="46"/>
  </r>
  <r>
    <x v="1"/>
    <x v="2"/>
    <s v="S40000005"/>
    <x v="45"/>
    <n v="1"/>
    <m/>
    <n v="21"/>
    <n v="1"/>
    <n v="7"/>
    <n v="10"/>
    <n v="26"/>
  </r>
  <r>
    <x v="1"/>
    <x v="3"/>
    <s v="S92000003"/>
    <x v="46"/>
    <n v="11"/>
    <n v="7"/>
    <n v="4"/>
    <n v="1"/>
    <n v="12"/>
    <n v="6"/>
    <n v="11"/>
  </r>
  <r>
    <x v="2"/>
    <x v="0"/>
    <s v="S12000005"/>
    <x v="0"/>
    <m/>
    <m/>
    <n v="5"/>
    <n v="17"/>
    <m/>
    <n v="0"/>
    <n v="4"/>
  </r>
  <r>
    <x v="2"/>
    <x v="0"/>
    <s v="S12000006"/>
    <x v="1"/>
    <m/>
    <m/>
    <n v="14"/>
    <n v="48"/>
    <m/>
    <n v="0"/>
    <n v="3"/>
  </r>
  <r>
    <x v="2"/>
    <x v="0"/>
    <s v="S12000008"/>
    <x v="2"/>
    <m/>
    <m/>
    <n v="7"/>
    <n v="41"/>
    <m/>
    <n v="0"/>
    <n v="5"/>
  </r>
  <r>
    <x v="2"/>
    <x v="0"/>
    <s v="S12000010"/>
    <x v="3"/>
    <m/>
    <m/>
    <n v="4"/>
    <n v="19"/>
    <m/>
    <n v="0"/>
    <n v="4"/>
  </r>
  <r>
    <x v="2"/>
    <x v="0"/>
    <s v="S12000011"/>
    <x v="4"/>
    <m/>
    <m/>
    <n v="10"/>
    <n v="34"/>
    <m/>
    <n v="0"/>
    <n v="9"/>
  </r>
  <r>
    <x v="2"/>
    <x v="0"/>
    <s v="S12000013"/>
    <x v="5"/>
    <m/>
    <m/>
    <n v="0"/>
    <n v="0"/>
    <m/>
    <n v="0"/>
    <n v="0"/>
  </r>
  <r>
    <x v="2"/>
    <x v="0"/>
    <s v="S12000014"/>
    <x v="6"/>
    <m/>
    <m/>
    <n v="17"/>
    <n v="66"/>
    <m/>
    <n v="0"/>
    <n v="12"/>
  </r>
  <r>
    <x v="2"/>
    <x v="0"/>
    <s v="S12000017"/>
    <x v="7"/>
    <m/>
    <m/>
    <n v="11"/>
    <n v="53"/>
    <m/>
    <n v="0"/>
    <n v="4"/>
  </r>
  <r>
    <x v="2"/>
    <x v="0"/>
    <s v="S12000018"/>
    <x v="8"/>
    <m/>
    <m/>
    <n v="12"/>
    <n v="48"/>
    <m/>
    <n v="1"/>
    <n v="9"/>
  </r>
  <r>
    <x v="2"/>
    <x v="0"/>
    <s v="S12000019"/>
    <x v="9"/>
    <m/>
    <m/>
    <n v="4"/>
    <n v="16"/>
    <m/>
    <n v="0"/>
    <n v="3"/>
  </r>
  <r>
    <x v="2"/>
    <x v="0"/>
    <s v="S12000020"/>
    <x v="10"/>
    <m/>
    <m/>
    <n v="5"/>
    <n v="21"/>
    <m/>
    <n v="0"/>
    <n v="5"/>
  </r>
  <r>
    <x v="2"/>
    <x v="0"/>
    <s v="S12000021"/>
    <x v="11"/>
    <m/>
    <m/>
    <n v="14"/>
    <n v="52"/>
    <m/>
    <n v="0"/>
    <n v="12"/>
  </r>
  <r>
    <x v="2"/>
    <x v="0"/>
    <s v="S12000023"/>
    <x v="12"/>
    <m/>
    <m/>
    <n v="0"/>
    <n v="0"/>
    <m/>
    <n v="0"/>
    <n v="0"/>
  </r>
  <r>
    <x v="2"/>
    <x v="0"/>
    <s v="S12000024"/>
    <x v="13"/>
    <m/>
    <m/>
    <n v="13"/>
    <n v="56"/>
    <m/>
    <n v="0"/>
    <n v="4"/>
  </r>
  <r>
    <x v="2"/>
    <x v="0"/>
    <s v="S12000026"/>
    <x v="14"/>
    <m/>
    <m/>
    <n v="12"/>
    <n v="50"/>
    <m/>
    <n v="0"/>
    <n v="9"/>
  </r>
  <r>
    <x v="2"/>
    <x v="0"/>
    <s v="S12000027"/>
    <x v="15"/>
    <m/>
    <m/>
    <n v="0"/>
    <n v="0"/>
    <m/>
    <n v="0"/>
    <n v="0"/>
  </r>
  <r>
    <x v="2"/>
    <x v="0"/>
    <s v="S12000028"/>
    <x v="16"/>
    <m/>
    <m/>
    <n v="10"/>
    <n v="40"/>
    <m/>
    <n v="0"/>
    <n v="5"/>
  </r>
  <r>
    <x v="2"/>
    <x v="0"/>
    <s v="S12000029"/>
    <x v="17"/>
    <m/>
    <m/>
    <n v="28"/>
    <n v="132"/>
    <m/>
    <n v="0"/>
    <n v="18"/>
  </r>
  <r>
    <x v="2"/>
    <x v="0"/>
    <s v="S12000030"/>
    <x v="18"/>
    <m/>
    <m/>
    <n v="9"/>
    <n v="40"/>
    <m/>
    <n v="0"/>
    <n v="2"/>
  </r>
  <r>
    <x v="2"/>
    <x v="0"/>
    <s v="S12000033"/>
    <x v="19"/>
    <m/>
    <m/>
    <n v="22"/>
    <n v="109"/>
    <m/>
    <n v="0"/>
    <n v="13"/>
  </r>
  <r>
    <x v="2"/>
    <x v="0"/>
    <s v="S12000034"/>
    <x v="20"/>
    <m/>
    <m/>
    <n v="6"/>
    <n v="22"/>
    <m/>
    <n v="0"/>
    <n v="4"/>
  </r>
  <r>
    <x v="2"/>
    <x v="0"/>
    <s v="S12000035"/>
    <x v="21"/>
    <m/>
    <m/>
    <n v="8"/>
    <n v="37"/>
    <m/>
    <n v="0"/>
    <n v="10"/>
  </r>
  <r>
    <x v="2"/>
    <x v="0"/>
    <s v="S12000036"/>
    <x v="22"/>
    <m/>
    <m/>
    <n v="48"/>
    <n v="248"/>
    <m/>
    <n v="0"/>
    <n v="19"/>
  </r>
  <r>
    <x v="2"/>
    <x v="0"/>
    <s v="S12000038"/>
    <x v="23"/>
    <m/>
    <m/>
    <n v="15"/>
    <n v="62"/>
    <m/>
    <n v="0"/>
    <n v="15"/>
  </r>
  <r>
    <x v="2"/>
    <x v="0"/>
    <s v="S12000039"/>
    <x v="24"/>
    <m/>
    <m/>
    <n v="11"/>
    <n v="49"/>
    <m/>
    <n v="0"/>
    <n v="10"/>
  </r>
  <r>
    <x v="2"/>
    <x v="0"/>
    <s v="S12000040"/>
    <x v="25"/>
    <m/>
    <m/>
    <n v="9"/>
    <n v="44"/>
    <m/>
    <n v="0"/>
    <n v="8"/>
  </r>
  <r>
    <x v="2"/>
    <x v="0"/>
    <s v="S12000041"/>
    <x v="26"/>
    <m/>
    <m/>
    <n v="8"/>
    <n v="25"/>
    <m/>
    <n v="0"/>
    <n v="3"/>
  </r>
  <r>
    <x v="2"/>
    <x v="0"/>
    <s v="S12000042"/>
    <x v="27"/>
    <m/>
    <m/>
    <n v="26"/>
    <n v="135"/>
    <m/>
    <n v="1"/>
    <n v="14"/>
  </r>
  <r>
    <x v="2"/>
    <x v="0"/>
    <s v="S12000044"/>
    <x v="28"/>
    <m/>
    <m/>
    <n v="28"/>
    <n v="136"/>
    <m/>
    <n v="0"/>
    <n v="16"/>
  </r>
  <r>
    <x v="2"/>
    <x v="0"/>
    <s v="S12000045"/>
    <x v="29"/>
    <m/>
    <m/>
    <n v="9"/>
    <n v="46"/>
    <m/>
    <n v="0"/>
    <n v="15"/>
  </r>
  <r>
    <x v="2"/>
    <x v="0"/>
    <s v="S12000046"/>
    <x v="30"/>
    <m/>
    <m/>
    <n v="99"/>
    <n v="350"/>
    <m/>
    <n v="0"/>
    <n v="50"/>
  </r>
  <r>
    <x v="2"/>
    <x v="0"/>
    <s v="S12000047"/>
    <x v="31"/>
    <m/>
    <m/>
    <n v="47"/>
    <n v="211"/>
    <m/>
    <n v="0"/>
    <n v="20"/>
  </r>
  <r>
    <x v="2"/>
    <x v="1"/>
    <s v="S39000001"/>
    <x v="19"/>
    <n v="1"/>
    <m/>
    <n v="0"/>
    <n v="3"/>
    <n v="3"/>
    <n v="2"/>
    <n v="7"/>
  </r>
  <r>
    <x v="2"/>
    <x v="1"/>
    <s v="S39000002"/>
    <x v="32"/>
    <n v="1"/>
    <m/>
    <n v="7"/>
    <n v="1"/>
    <n v="2"/>
    <n v="6"/>
    <n v="10"/>
  </r>
  <r>
    <x v="2"/>
    <x v="1"/>
    <s v="S39000003"/>
    <x v="33"/>
    <n v="1"/>
    <m/>
    <n v="2"/>
    <n v="4"/>
    <n v="5"/>
    <n v="7"/>
    <n v="6"/>
  </r>
  <r>
    <x v="2"/>
    <x v="1"/>
    <s v="S39000004"/>
    <x v="1"/>
    <n v="0"/>
    <m/>
    <n v="0"/>
    <n v="2"/>
    <n v="2"/>
    <n v="5"/>
    <n v="10"/>
  </r>
  <r>
    <x v="2"/>
    <x v="1"/>
    <s v="S39000006"/>
    <x v="34"/>
    <n v="1"/>
    <m/>
    <n v="4"/>
    <n v="2"/>
    <n v="6"/>
    <n v="7"/>
    <n v="9"/>
  </r>
  <r>
    <x v="2"/>
    <x v="1"/>
    <s v="S39000007"/>
    <x v="35"/>
    <n v="1"/>
    <m/>
    <n v="10"/>
    <n v="5"/>
    <n v="5"/>
    <n v="6"/>
    <n v="11"/>
  </r>
  <r>
    <x v="2"/>
    <x v="1"/>
    <s v="S39000008"/>
    <x v="36"/>
    <n v="1"/>
    <m/>
    <n v="1"/>
    <n v="3"/>
    <n v="2"/>
    <n v="3"/>
    <n v="7"/>
  </r>
  <r>
    <x v="2"/>
    <x v="1"/>
    <s v="S39000009"/>
    <x v="37"/>
    <n v="0"/>
    <m/>
    <n v="5"/>
    <n v="4"/>
    <n v="7"/>
    <n v="2"/>
    <n v="9"/>
  </r>
  <r>
    <x v="2"/>
    <x v="1"/>
    <s v="S39000010"/>
    <x v="38"/>
    <n v="1"/>
    <m/>
    <n v="1"/>
    <n v="2"/>
    <n v="2"/>
    <n v="3"/>
    <n v="7"/>
  </r>
  <r>
    <x v="2"/>
    <x v="1"/>
    <s v="S39000012"/>
    <x v="30"/>
    <n v="1"/>
    <m/>
    <n v="1"/>
    <n v="2"/>
    <n v="5"/>
    <n v="8"/>
    <n v="15"/>
  </r>
  <r>
    <x v="2"/>
    <x v="1"/>
    <s v="S39000013"/>
    <x v="39"/>
    <n v="1"/>
    <m/>
    <n v="7"/>
    <n v="0"/>
    <n v="6"/>
    <n v="8"/>
    <n v="7"/>
  </r>
  <r>
    <x v="2"/>
    <x v="1"/>
    <s v="S39000014"/>
    <x v="28"/>
    <n v="1"/>
    <m/>
    <n v="3"/>
    <n v="0"/>
    <n v="3"/>
    <n v="4"/>
    <n v="9"/>
  </r>
  <r>
    <x v="2"/>
    <x v="1"/>
    <s v="S39000015"/>
    <x v="17"/>
    <n v="1"/>
    <m/>
    <n v="3"/>
    <n v="1"/>
    <n v="3"/>
    <n v="5"/>
    <n v="3"/>
  </r>
  <r>
    <x v="2"/>
    <x v="1"/>
    <s v="S39000016"/>
    <x v="40"/>
    <n v="0"/>
    <m/>
    <n v="2"/>
    <n v="1"/>
    <n v="2"/>
    <n v="5"/>
    <n v="3"/>
  </r>
  <r>
    <x v="2"/>
    <x v="1"/>
    <s v="S39000017"/>
    <x v="41"/>
    <n v="1"/>
    <m/>
    <n v="1"/>
    <n v="0"/>
    <n v="3"/>
    <n v="5"/>
    <n v="1"/>
  </r>
  <r>
    <x v="2"/>
    <x v="1"/>
    <s v="S39000018"/>
    <x v="42"/>
    <n v="1"/>
    <m/>
    <n v="0"/>
    <n v="1"/>
    <n v="4"/>
    <n v="10"/>
    <n v="8"/>
  </r>
  <r>
    <x v="2"/>
    <x v="1"/>
    <s v="S39000019"/>
    <x v="31"/>
    <n v="1"/>
    <m/>
    <n v="3"/>
    <n v="4"/>
    <n v="2"/>
    <n v="5"/>
    <n v="11"/>
  </r>
  <r>
    <x v="2"/>
    <x v="2"/>
    <s v="S40000003"/>
    <x v="43"/>
    <n v="1"/>
    <m/>
    <n v="3"/>
    <m/>
    <n v="5"/>
    <n v="3"/>
    <n v="4"/>
  </r>
  <r>
    <x v="2"/>
    <x v="2"/>
    <s v="S40000004"/>
    <x v="44"/>
    <n v="1"/>
    <m/>
    <n v="2"/>
    <m/>
    <n v="2"/>
    <n v="3"/>
    <n v="17"/>
  </r>
  <r>
    <x v="2"/>
    <x v="2"/>
    <s v="S40000005"/>
    <x v="45"/>
    <n v="1"/>
    <m/>
    <n v="8"/>
    <m/>
    <n v="2"/>
    <n v="8"/>
    <n v="25"/>
  </r>
  <r>
    <x v="2"/>
    <x v="3"/>
    <s v="S92000003"/>
    <x v="46"/>
    <n v="18"/>
    <n v="4"/>
    <n v="26"/>
    <n v="16"/>
    <n v="19"/>
    <n v="19"/>
    <n v="93"/>
  </r>
  <r>
    <x v="3"/>
    <x v="0"/>
    <s v="S12000005"/>
    <x v="0"/>
    <m/>
    <m/>
    <n v="4"/>
    <n v="14"/>
    <m/>
    <m/>
    <n v="4"/>
  </r>
  <r>
    <x v="3"/>
    <x v="0"/>
    <s v="S12000006"/>
    <x v="1"/>
    <m/>
    <m/>
    <n v="11"/>
    <n v="48"/>
    <m/>
    <m/>
    <n v="4"/>
  </r>
  <r>
    <x v="3"/>
    <x v="0"/>
    <s v="S12000008"/>
    <x v="2"/>
    <m/>
    <m/>
    <n v="9"/>
    <n v="32"/>
    <m/>
    <m/>
    <n v="5"/>
  </r>
  <r>
    <x v="3"/>
    <x v="0"/>
    <s v="S12000010"/>
    <x v="3"/>
    <m/>
    <m/>
    <n v="4"/>
    <n v="19"/>
    <m/>
    <m/>
    <n v="4"/>
  </r>
  <r>
    <x v="3"/>
    <x v="0"/>
    <s v="S12000011"/>
    <x v="4"/>
    <m/>
    <m/>
    <n v="10"/>
    <n v="30"/>
    <m/>
    <m/>
    <n v="10"/>
  </r>
  <r>
    <x v="3"/>
    <x v="0"/>
    <s v="S12000013"/>
    <x v="5"/>
    <m/>
    <m/>
    <n v="0"/>
    <n v="0"/>
    <m/>
    <m/>
    <n v="0"/>
  </r>
  <r>
    <x v="3"/>
    <x v="0"/>
    <s v="S12000014"/>
    <x v="6"/>
    <m/>
    <m/>
    <n v="16"/>
    <n v="57"/>
    <m/>
    <m/>
    <n v="13"/>
  </r>
  <r>
    <x v="3"/>
    <x v="0"/>
    <s v="S12000017"/>
    <x v="7"/>
    <m/>
    <m/>
    <n v="11"/>
    <n v="52"/>
    <m/>
    <m/>
    <n v="4"/>
  </r>
  <r>
    <x v="3"/>
    <x v="0"/>
    <s v="S12000018"/>
    <x v="8"/>
    <m/>
    <m/>
    <n v="13"/>
    <n v="43"/>
    <m/>
    <n v="1"/>
    <n v="11"/>
  </r>
  <r>
    <x v="3"/>
    <x v="0"/>
    <s v="S12000019"/>
    <x v="9"/>
    <m/>
    <m/>
    <n v="4"/>
    <n v="14"/>
    <m/>
    <m/>
    <n v="4"/>
  </r>
  <r>
    <x v="3"/>
    <x v="0"/>
    <s v="S12000020"/>
    <x v="10"/>
    <m/>
    <m/>
    <n v="4"/>
    <n v="19"/>
    <m/>
    <m/>
    <n v="4"/>
  </r>
  <r>
    <x v="3"/>
    <x v="0"/>
    <s v="S12000021"/>
    <x v="11"/>
    <m/>
    <m/>
    <n v="17"/>
    <n v="46"/>
    <m/>
    <m/>
    <n v="15"/>
  </r>
  <r>
    <x v="3"/>
    <x v="0"/>
    <s v="S12000023"/>
    <x v="12"/>
    <m/>
    <m/>
    <n v="0"/>
    <n v="0"/>
    <m/>
    <m/>
    <n v="0"/>
  </r>
  <r>
    <x v="3"/>
    <x v="0"/>
    <s v="S12000024"/>
    <x v="13"/>
    <m/>
    <m/>
    <n v="12"/>
    <n v="52"/>
    <m/>
    <m/>
    <n v="4"/>
  </r>
  <r>
    <x v="3"/>
    <x v="0"/>
    <s v="S12000026"/>
    <x v="14"/>
    <m/>
    <m/>
    <n v="8"/>
    <n v="40"/>
    <m/>
    <m/>
    <n v="8"/>
  </r>
  <r>
    <x v="3"/>
    <x v="0"/>
    <s v="S12000027"/>
    <x v="15"/>
    <m/>
    <m/>
    <n v="0"/>
    <n v="0"/>
    <m/>
    <m/>
    <n v="0"/>
  </r>
  <r>
    <x v="3"/>
    <x v="0"/>
    <s v="S12000028"/>
    <x v="16"/>
    <m/>
    <m/>
    <n v="10"/>
    <n v="39"/>
    <m/>
    <m/>
    <n v="5"/>
  </r>
  <r>
    <x v="3"/>
    <x v="0"/>
    <s v="S12000029"/>
    <x v="17"/>
    <m/>
    <m/>
    <n v="34"/>
    <n v="117"/>
    <m/>
    <m/>
    <n v="20"/>
  </r>
  <r>
    <x v="3"/>
    <x v="0"/>
    <s v="S12000030"/>
    <x v="18"/>
    <m/>
    <m/>
    <n v="9"/>
    <n v="40"/>
    <m/>
    <m/>
    <n v="4"/>
  </r>
  <r>
    <x v="3"/>
    <x v="0"/>
    <s v="S12000033"/>
    <x v="19"/>
    <m/>
    <m/>
    <n v="26"/>
    <n v="113"/>
    <m/>
    <m/>
    <n v="16"/>
  </r>
  <r>
    <x v="3"/>
    <x v="0"/>
    <s v="S12000034"/>
    <x v="20"/>
    <m/>
    <m/>
    <n v="4"/>
    <n v="17"/>
    <m/>
    <m/>
    <n v="4"/>
  </r>
  <r>
    <x v="3"/>
    <x v="0"/>
    <s v="S12000035"/>
    <x v="21"/>
    <m/>
    <m/>
    <n v="9"/>
    <n v="24"/>
    <m/>
    <m/>
    <n v="10"/>
  </r>
  <r>
    <x v="3"/>
    <x v="0"/>
    <s v="S12000036"/>
    <x v="22"/>
    <m/>
    <m/>
    <n v="60"/>
    <n v="227"/>
    <m/>
    <m/>
    <n v="26"/>
  </r>
  <r>
    <x v="3"/>
    <x v="0"/>
    <s v="S12000038"/>
    <x v="23"/>
    <m/>
    <m/>
    <n v="21"/>
    <n v="60"/>
    <m/>
    <m/>
    <n v="16"/>
  </r>
  <r>
    <x v="3"/>
    <x v="0"/>
    <s v="S12000039"/>
    <x v="24"/>
    <m/>
    <m/>
    <n v="15"/>
    <n v="44"/>
    <m/>
    <m/>
    <n v="10"/>
  </r>
  <r>
    <x v="3"/>
    <x v="0"/>
    <s v="S12000040"/>
    <x v="25"/>
    <m/>
    <m/>
    <n v="10"/>
    <n v="42"/>
    <m/>
    <m/>
    <n v="8"/>
  </r>
  <r>
    <x v="3"/>
    <x v="0"/>
    <s v="S12000041"/>
    <x v="26"/>
    <m/>
    <m/>
    <n v="4"/>
    <n v="18"/>
    <m/>
    <m/>
    <n v="3"/>
  </r>
  <r>
    <x v="3"/>
    <x v="0"/>
    <s v="S12000042"/>
    <x v="27"/>
    <m/>
    <m/>
    <n v="30"/>
    <n v="144"/>
    <m/>
    <m/>
    <n v="18"/>
  </r>
  <r>
    <x v="3"/>
    <x v="0"/>
    <s v="S12000044"/>
    <x v="28"/>
    <m/>
    <m/>
    <n v="30"/>
    <n v="123"/>
    <m/>
    <m/>
    <n v="20"/>
  </r>
  <r>
    <x v="3"/>
    <x v="0"/>
    <s v="S12000045"/>
    <x v="29"/>
    <m/>
    <m/>
    <n v="14"/>
    <n v="39"/>
    <m/>
    <m/>
    <n v="15"/>
  </r>
  <r>
    <x v="3"/>
    <x v="0"/>
    <s v="S12000046"/>
    <x v="30"/>
    <m/>
    <m/>
    <n v="105"/>
    <n v="313"/>
    <m/>
    <m/>
    <n v="57"/>
  </r>
  <r>
    <x v="3"/>
    <x v="0"/>
    <s v="S12000047"/>
    <x v="31"/>
    <m/>
    <m/>
    <n v="48"/>
    <n v="201"/>
    <m/>
    <m/>
    <n v="21"/>
  </r>
  <r>
    <x v="3"/>
    <x v="1"/>
    <s v="S39000001"/>
    <x v="19"/>
    <n v="1"/>
    <m/>
    <n v="2"/>
    <n v="2"/>
    <n v="1"/>
    <n v="3"/>
    <n v="5"/>
  </r>
  <r>
    <x v="3"/>
    <x v="1"/>
    <s v="S39000002"/>
    <x v="32"/>
    <n v="1"/>
    <m/>
    <n v="5"/>
    <n v="0"/>
    <n v="2"/>
    <n v="8"/>
    <n v="9"/>
  </r>
  <r>
    <x v="3"/>
    <x v="1"/>
    <s v="S39000003"/>
    <x v="33"/>
    <n v="1"/>
    <m/>
    <n v="4"/>
    <n v="2"/>
    <n v="3"/>
    <n v="9"/>
    <n v="7"/>
  </r>
  <r>
    <x v="3"/>
    <x v="1"/>
    <s v="S39000004"/>
    <x v="1"/>
    <n v="1"/>
    <m/>
    <n v="3"/>
    <n v="1"/>
    <n v="2"/>
    <n v="6"/>
    <n v="9"/>
  </r>
  <r>
    <x v="3"/>
    <x v="1"/>
    <s v="S39000006"/>
    <x v="34"/>
    <n v="1"/>
    <m/>
    <n v="5"/>
    <n v="2"/>
    <n v="4"/>
    <n v="9"/>
    <n v="9"/>
  </r>
  <r>
    <x v="3"/>
    <x v="1"/>
    <s v="S39000007"/>
    <x v="35"/>
    <n v="1"/>
    <m/>
    <n v="5"/>
    <n v="5"/>
    <n v="4"/>
    <n v="8"/>
    <n v="8"/>
  </r>
  <r>
    <x v="3"/>
    <x v="1"/>
    <s v="S39000008"/>
    <x v="36"/>
    <n v="1"/>
    <m/>
    <n v="2"/>
    <n v="1"/>
    <n v="3"/>
    <n v="4"/>
    <n v="7"/>
  </r>
  <r>
    <x v="3"/>
    <x v="1"/>
    <s v="S39000009"/>
    <x v="37"/>
    <n v="1"/>
    <m/>
    <n v="2"/>
    <n v="4"/>
    <n v="3"/>
    <n v="6"/>
    <n v="11"/>
  </r>
  <r>
    <x v="3"/>
    <x v="1"/>
    <s v="S39000010"/>
    <x v="38"/>
    <n v="1"/>
    <m/>
    <n v="3"/>
    <n v="2"/>
    <n v="2"/>
    <n v="6"/>
    <n v="7"/>
  </r>
  <r>
    <x v="3"/>
    <x v="1"/>
    <s v="S39000012"/>
    <x v="30"/>
    <n v="1"/>
    <m/>
    <n v="3"/>
    <n v="2"/>
    <n v="4"/>
    <n v="9"/>
    <n v="6"/>
  </r>
  <r>
    <x v="3"/>
    <x v="1"/>
    <s v="S39000013"/>
    <x v="39"/>
    <n v="1"/>
    <m/>
    <n v="10"/>
    <n v="1"/>
    <n v="4"/>
    <n v="13"/>
    <n v="8"/>
  </r>
  <r>
    <x v="3"/>
    <x v="1"/>
    <s v="S39000014"/>
    <x v="28"/>
    <n v="1"/>
    <m/>
    <n v="1"/>
    <n v="1"/>
    <n v="2"/>
    <n v="5"/>
    <n v="5"/>
  </r>
  <r>
    <x v="3"/>
    <x v="1"/>
    <s v="S39000015"/>
    <x v="17"/>
    <n v="1"/>
    <m/>
    <n v="2"/>
    <n v="1"/>
    <n v="2"/>
    <n v="5"/>
    <n v="4"/>
  </r>
  <r>
    <x v="3"/>
    <x v="1"/>
    <s v="S39000016"/>
    <x v="40"/>
    <n v="0"/>
    <m/>
    <n v="3"/>
    <n v="1"/>
    <n v="2"/>
    <n v="4"/>
    <n v="5"/>
  </r>
  <r>
    <x v="3"/>
    <x v="1"/>
    <s v="S39000017"/>
    <x v="41"/>
    <n v="1"/>
    <m/>
    <n v="6"/>
    <n v="0"/>
    <n v="3"/>
    <n v="5"/>
    <n v="1"/>
  </r>
  <r>
    <x v="3"/>
    <x v="1"/>
    <s v="S39000018"/>
    <x v="42"/>
    <n v="1"/>
    <m/>
    <n v="2"/>
    <n v="2"/>
    <n v="4"/>
    <n v="9"/>
    <n v="10"/>
  </r>
  <r>
    <x v="3"/>
    <x v="1"/>
    <s v="S39000019"/>
    <x v="31"/>
    <n v="1"/>
    <m/>
    <n v="3"/>
    <n v="3"/>
    <n v="2"/>
    <n v="7"/>
    <n v="8"/>
  </r>
  <r>
    <x v="3"/>
    <x v="2"/>
    <s v="S40000003"/>
    <x v="43"/>
    <n v="1"/>
    <m/>
    <n v="10"/>
    <n v="1"/>
    <n v="3"/>
    <n v="11"/>
    <n v="42"/>
  </r>
  <r>
    <x v="3"/>
    <x v="2"/>
    <s v="S40000004"/>
    <x v="44"/>
    <n v="1"/>
    <m/>
    <n v="6"/>
    <n v="1"/>
    <n v="5"/>
    <n v="5"/>
    <n v="20"/>
  </r>
  <r>
    <x v="3"/>
    <x v="2"/>
    <s v="S40000005"/>
    <x v="45"/>
    <n v="1"/>
    <m/>
    <n v="6"/>
    <n v="1"/>
    <n v="4"/>
    <n v="9"/>
    <n v="24"/>
  </r>
  <r>
    <x v="3"/>
    <x v="3"/>
    <s v="S92000003"/>
    <x v="46"/>
    <n v="15"/>
    <n v="4"/>
    <n v="0"/>
    <n v="101"/>
    <n v="11"/>
    <n v="9"/>
    <n v="42"/>
  </r>
  <r>
    <x v="4"/>
    <x v="0"/>
    <s v="S12000005"/>
    <x v="0"/>
    <m/>
    <m/>
    <n v="5"/>
    <n v="15"/>
    <m/>
    <m/>
    <n v="5"/>
  </r>
  <r>
    <x v="4"/>
    <x v="0"/>
    <s v="S12000006"/>
    <x v="1"/>
    <m/>
    <m/>
    <n v="11"/>
    <n v="38"/>
    <m/>
    <m/>
    <n v="5"/>
  </r>
  <r>
    <x v="4"/>
    <x v="0"/>
    <s v="S12000008"/>
    <x v="2"/>
    <m/>
    <m/>
    <n v="10"/>
    <n v="34"/>
    <m/>
    <m/>
    <n v="5"/>
  </r>
  <r>
    <x v="4"/>
    <x v="0"/>
    <s v="S12000010"/>
    <x v="3"/>
    <m/>
    <m/>
    <n v="5"/>
    <n v="13"/>
    <m/>
    <m/>
    <n v="5"/>
  </r>
  <r>
    <x v="4"/>
    <x v="0"/>
    <s v="S12000011"/>
    <x v="4"/>
    <m/>
    <m/>
    <n v="10"/>
    <n v="30"/>
    <m/>
    <m/>
    <n v="11"/>
  </r>
  <r>
    <x v="4"/>
    <x v="0"/>
    <s v="S12000014"/>
    <x v="6"/>
    <m/>
    <m/>
    <n v="22"/>
    <n v="49"/>
    <m/>
    <m/>
    <n v="16"/>
  </r>
  <r>
    <x v="4"/>
    <x v="0"/>
    <s v="S12000017"/>
    <x v="7"/>
    <m/>
    <m/>
    <n v="15"/>
    <n v="49"/>
    <m/>
    <m/>
    <n v="4"/>
  </r>
  <r>
    <x v="4"/>
    <x v="0"/>
    <s v="S12000018"/>
    <x v="8"/>
    <m/>
    <m/>
    <n v="15"/>
    <n v="44"/>
    <m/>
    <m/>
    <n v="13"/>
  </r>
  <r>
    <x v="4"/>
    <x v="0"/>
    <s v="S12000019"/>
    <x v="9"/>
    <m/>
    <m/>
    <n v="5"/>
    <n v="18"/>
    <m/>
    <m/>
    <n v="5"/>
  </r>
  <r>
    <x v="4"/>
    <x v="0"/>
    <s v="S12000020"/>
    <x v="10"/>
    <m/>
    <m/>
    <n v="5"/>
    <n v="19"/>
    <m/>
    <m/>
    <n v="5"/>
  </r>
  <r>
    <x v="4"/>
    <x v="0"/>
    <s v="S12000021"/>
    <x v="11"/>
    <m/>
    <m/>
    <n v="16"/>
    <n v="45"/>
    <m/>
    <m/>
    <n v="15"/>
  </r>
  <r>
    <x v="4"/>
    <x v="0"/>
    <s v="S12000024"/>
    <x v="13"/>
    <m/>
    <m/>
    <n v="10"/>
    <n v="54"/>
    <m/>
    <m/>
    <n v="5"/>
  </r>
  <r>
    <x v="4"/>
    <x v="0"/>
    <s v="S12000026"/>
    <x v="14"/>
    <m/>
    <m/>
    <n v="9"/>
    <n v="32"/>
    <m/>
    <m/>
    <n v="10"/>
  </r>
  <r>
    <x v="4"/>
    <x v="0"/>
    <s v="S12000028"/>
    <x v="16"/>
    <m/>
    <m/>
    <n v="10"/>
    <n v="35"/>
    <m/>
    <m/>
    <n v="5"/>
  </r>
  <r>
    <x v="4"/>
    <x v="0"/>
    <s v="S12000029"/>
    <x v="17"/>
    <m/>
    <m/>
    <n v="35"/>
    <n v="111"/>
    <m/>
    <m/>
    <n v="20"/>
  </r>
  <r>
    <x v="4"/>
    <x v="0"/>
    <s v="S12000030"/>
    <x v="18"/>
    <m/>
    <m/>
    <n v="9"/>
    <n v="34"/>
    <m/>
    <m/>
    <n v="5"/>
  </r>
  <r>
    <x v="4"/>
    <x v="0"/>
    <s v="S12000033"/>
    <x v="19"/>
    <m/>
    <m/>
    <n v="33"/>
    <n v="97"/>
    <m/>
    <m/>
    <n v="15"/>
  </r>
  <r>
    <x v="4"/>
    <x v="0"/>
    <s v="S12000034"/>
    <x v="20"/>
    <m/>
    <m/>
    <n v="5"/>
    <n v="14"/>
    <m/>
    <m/>
    <n v="5"/>
  </r>
  <r>
    <x v="4"/>
    <x v="0"/>
    <s v="S12000035"/>
    <x v="21"/>
    <m/>
    <m/>
    <n v="10"/>
    <n v="30"/>
    <m/>
    <m/>
    <n v="10"/>
  </r>
  <r>
    <x v="4"/>
    <x v="0"/>
    <s v="S12000036"/>
    <x v="22"/>
    <m/>
    <m/>
    <n v="54"/>
    <n v="204"/>
    <m/>
    <m/>
    <n v="35"/>
  </r>
  <r>
    <x v="4"/>
    <x v="0"/>
    <s v="S12000038"/>
    <x v="23"/>
    <m/>
    <m/>
    <n v="20"/>
    <n v="59"/>
    <m/>
    <m/>
    <n v="15"/>
  </r>
  <r>
    <x v="4"/>
    <x v="0"/>
    <s v="S12000039"/>
    <x v="24"/>
    <m/>
    <m/>
    <n v="15"/>
    <n v="43"/>
    <m/>
    <m/>
    <n v="10"/>
  </r>
  <r>
    <x v="4"/>
    <x v="0"/>
    <s v="S12000040"/>
    <x v="25"/>
    <m/>
    <m/>
    <n v="11"/>
    <n v="37"/>
    <m/>
    <m/>
    <n v="10"/>
  </r>
  <r>
    <x v="4"/>
    <x v="0"/>
    <s v="S12000041"/>
    <x v="26"/>
    <m/>
    <m/>
    <n v="5"/>
    <n v="18"/>
    <m/>
    <m/>
    <n v="5"/>
  </r>
  <r>
    <x v="4"/>
    <x v="0"/>
    <s v="S12000042"/>
    <x v="27"/>
    <m/>
    <m/>
    <n v="35"/>
    <n v="122"/>
    <m/>
    <m/>
    <n v="21"/>
  </r>
  <r>
    <x v="4"/>
    <x v="0"/>
    <s v="S12000044"/>
    <x v="28"/>
    <m/>
    <m/>
    <n v="31"/>
    <n v="113"/>
    <m/>
    <m/>
    <n v="19"/>
  </r>
  <r>
    <x v="4"/>
    <x v="0"/>
    <s v="S12000045"/>
    <x v="29"/>
    <m/>
    <m/>
    <n v="15"/>
    <n v="48"/>
    <m/>
    <m/>
    <n v="15"/>
  </r>
  <r>
    <x v="4"/>
    <x v="0"/>
    <s v="S12000046"/>
    <x v="30"/>
    <m/>
    <m/>
    <n v="113"/>
    <n v="319"/>
    <m/>
    <m/>
    <n v="57"/>
  </r>
  <r>
    <x v="4"/>
    <x v="0"/>
    <s v="S12000047"/>
    <x v="31"/>
    <m/>
    <m/>
    <n v="49"/>
    <n v="181"/>
    <m/>
    <m/>
    <n v="24"/>
  </r>
  <r>
    <x v="4"/>
    <x v="1"/>
    <s v="S39000001"/>
    <x v="19"/>
    <n v="1"/>
    <m/>
    <n v="2"/>
    <n v="2"/>
    <n v="2"/>
    <n v="3"/>
    <n v="5"/>
  </r>
  <r>
    <x v="4"/>
    <x v="1"/>
    <s v="S39000002"/>
    <x v="32"/>
    <n v="1"/>
    <m/>
    <n v="7"/>
    <m/>
    <n v="2"/>
    <n v="7"/>
    <n v="8"/>
  </r>
  <r>
    <x v="4"/>
    <x v="1"/>
    <s v="S39000003"/>
    <x v="33"/>
    <n v="1"/>
    <m/>
    <n v="6"/>
    <n v="1"/>
    <n v="3"/>
    <n v="9"/>
    <n v="6"/>
  </r>
  <r>
    <x v="4"/>
    <x v="1"/>
    <s v="S39000004"/>
    <x v="1"/>
    <n v="1"/>
    <m/>
    <n v="4"/>
    <n v="2"/>
    <n v="2"/>
    <n v="6"/>
    <n v="7"/>
  </r>
  <r>
    <x v="4"/>
    <x v="1"/>
    <s v="S39000006"/>
    <x v="34"/>
    <n v="1"/>
    <m/>
    <n v="5"/>
    <n v="1"/>
    <n v="3"/>
    <n v="9"/>
    <n v="8"/>
  </r>
  <r>
    <x v="4"/>
    <x v="1"/>
    <s v="S39000007"/>
    <x v="35"/>
    <n v="1"/>
    <m/>
    <n v="3"/>
    <n v="5"/>
    <n v="3"/>
    <n v="7"/>
    <n v="8"/>
  </r>
  <r>
    <x v="4"/>
    <x v="1"/>
    <s v="S39000008"/>
    <x v="36"/>
    <n v="1"/>
    <m/>
    <n v="2"/>
    <n v="2"/>
    <n v="3"/>
    <n v="4"/>
    <n v="4"/>
  </r>
  <r>
    <x v="4"/>
    <x v="1"/>
    <s v="S39000009"/>
    <x v="37"/>
    <n v="1"/>
    <m/>
    <n v="6"/>
    <n v="3"/>
    <n v="3"/>
    <n v="7"/>
    <n v="11"/>
  </r>
  <r>
    <x v="4"/>
    <x v="1"/>
    <s v="S39000010"/>
    <x v="38"/>
    <n v="1"/>
    <m/>
    <n v="3"/>
    <n v="2"/>
    <n v="2"/>
    <n v="5"/>
    <n v="6"/>
  </r>
  <r>
    <x v="4"/>
    <x v="1"/>
    <s v="S39000012"/>
    <x v="30"/>
    <n v="1"/>
    <m/>
    <n v="2"/>
    <n v="1"/>
    <n v="4"/>
    <n v="8"/>
    <n v="6"/>
  </r>
  <r>
    <x v="4"/>
    <x v="1"/>
    <s v="S39000013"/>
    <x v="39"/>
    <n v="1"/>
    <m/>
    <n v="7"/>
    <n v="1"/>
    <n v="4"/>
    <n v="12"/>
    <n v="7"/>
  </r>
  <r>
    <x v="4"/>
    <x v="1"/>
    <s v="S39000014"/>
    <x v="28"/>
    <n v="1"/>
    <m/>
    <n v="2"/>
    <n v="1"/>
    <n v="2"/>
    <n v="6"/>
    <n v="5"/>
  </r>
  <r>
    <x v="4"/>
    <x v="1"/>
    <s v="S39000015"/>
    <x v="17"/>
    <n v="1"/>
    <m/>
    <n v="2"/>
    <n v="1"/>
    <n v="2"/>
    <n v="6"/>
    <n v="4"/>
  </r>
  <r>
    <x v="4"/>
    <x v="1"/>
    <s v="S39000016"/>
    <x v="40"/>
    <n v="1"/>
    <m/>
    <n v="3"/>
    <n v="1"/>
    <n v="3"/>
    <n v="5"/>
    <n v="5"/>
  </r>
  <r>
    <x v="4"/>
    <x v="1"/>
    <s v="S39000017"/>
    <x v="41"/>
    <n v="1"/>
    <m/>
    <n v="5"/>
    <m/>
    <n v="2"/>
    <n v="6"/>
    <n v="5"/>
  </r>
  <r>
    <x v="4"/>
    <x v="1"/>
    <s v="S39000018"/>
    <x v="42"/>
    <n v="1"/>
    <m/>
    <n v="3"/>
    <n v="2"/>
    <n v="4"/>
    <n v="9"/>
    <n v="9"/>
  </r>
  <r>
    <x v="4"/>
    <x v="1"/>
    <s v="S39000019"/>
    <x v="31"/>
    <m/>
    <m/>
    <n v="1"/>
    <n v="4"/>
    <n v="2"/>
    <n v="6"/>
    <n v="6"/>
  </r>
  <r>
    <x v="4"/>
    <x v="2"/>
    <s v="S40000003"/>
    <x v="43"/>
    <n v="1"/>
    <m/>
    <n v="18"/>
    <m/>
    <n v="4"/>
    <n v="13"/>
    <n v="37"/>
  </r>
  <r>
    <x v="4"/>
    <x v="2"/>
    <s v="S40000004"/>
    <x v="44"/>
    <n v="1"/>
    <m/>
    <n v="9"/>
    <m/>
    <n v="5"/>
    <n v="6"/>
    <n v="16"/>
  </r>
  <r>
    <x v="4"/>
    <x v="2"/>
    <s v="S40000005"/>
    <x v="45"/>
    <n v="1"/>
    <m/>
    <n v="11"/>
    <m/>
    <n v="6"/>
    <n v="10"/>
    <n v="18"/>
  </r>
  <r>
    <x v="4"/>
    <x v="3"/>
    <s v="S92000003"/>
    <x v="46"/>
    <n v="15"/>
    <n v="4"/>
    <m/>
    <n v="55"/>
    <n v="13"/>
    <n v="9"/>
    <n v="47"/>
  </r>
  <r>
    <x v="5"/>
    <x v="0"/>
    <s v="S12000006"/>
    <x v="1"/>
    <n v="0"/>
    <n v="0"/>
    <n v="10"/>
    <n v="38"/>
    <n v="0"/>
    <n v="0"/>
    <n v="5"/>
  </r>
  <r>
    <x v="5"/>
    <x v="0"/>
    <s v="S12000008"/>
    <x v="2"/>
    <n v="0"/>
    <n v="0"/>
    <n v="10"/>
    <n v="32"/>
    <n v="0"/>
    <n v="0"/>
    <n v="5"/>
  </r>
  <r>
    <x v="5"/>
    <x v="0"/>
    <s v="S12000011"/>
    <x v="4"/>
    <n v="0"/>
    <n v="0"/>
    <n v="10"/>
    <n v="31"/>
    <n v="0"/>
    <n v="0"/>
    <n v="11"/>
  </r>
  <r>
    <x v="5"/>
    <x v="0"/>
    <s v="S12000017"/>
    <x v="7"/>
    <n v="0"/>
    <n v="0"/>
    <n v="15"/>
    <n v="50"/>
    <n v="0"/>
    <n v="0"/>
    <n v="5"/>
  </r>
  <r>
    <x v="5"/>
    <x v="0"/>
    <s v="S12000018"/>
    <x v="8"/>
    <n v="0"/>
    <n v="0"/>
    <n v="15"/>
    <n v="47"/>
    <n v="0"/>
    <n v="0"/>
    <n v="10"/>
  </r>
  <r>
    <x v="5"/>
    <x v="0"/>
    <s v="S12000020"/>
    <x v="10"/>
    <n v="0"/>
    <n v="0"/>
    <n v="5"/>
    <n v="20"/>
    <n v="0"/>
    <n v="0"/>
    <n v="5"/>
  </r>
  <r>
    <x v="5"/>
    <x v="0"/>
    <s v="S12000021"/>
    <x v="11"/>
    <n v="0"/>
    <n v="0"/>
    <n v="15"/>
    <n v="45"/>
    <n v="0"/>
    <n v="0"/>
    <n v="16"/>
  </r>
  <r>
    <x v="5"/>
    <x v="0"/>
    <s v="S12000028"/>
    <x v="16"/>
    <n v="0"/>
    <n v="0"/>
    <n v="11"/>
    <n v="34"/>
    <n v="0"/>
    <n v="0"/>
    <n v="5"/>
  </r>
  <r>
    <x v="5"/>
    <x v="0"/>
    <s v="S12000029"/>
    <x v="17"/>
    <n v="0"/>
    <n v="0"/>
    <n v="36"/>
    <n v="111"/>
    <n v="0"/>
    <n v="0"/>
    <n v="20"/>
  </r>
  <r>
    <x v="5"/>
    <x v="0"/>
    <s v="S12000033"/>
    <x v="19"/>
    <n v="0"/>
    <n v="0"/>
    <n v="35"/>
    <n v="104"/>
    <n v="0"/>
    <n v="0"/>
    <n v="15"/>
  </r>
  <r>
    <x v="5"/>
    <x v="0"/>
    <s v="S12000034"/>
    <x v="20"/>
    <n v="0"/>
    <n v="0"/>
    <n v="5"/>
    <n v="20"/>
    <n v="0"/>
    <n v="0"/>
    <n v="5"/>
  </r>
  <r>
    <x v="5"/>
    <x v="0"/>
    <s v="S12000035"/>
    <x v="21"/>
    <n v="0"/>
    <n v="0"/>
    <n v="11"/>
    <n v="33"/>
    <n v="0"/>
    <n v="0"/>
    <n v="10"/>
  </r>
  <r>
    <x v="5"/>
    <x v="0"/>
    <s v="S12000038"/>
    <x v="23"/>
    <n v="0"/>
    <n v="0"/>
    <n v="18"/>
    <n v="65"/>
    <n v="0"/>
    <n v="0"/>
    <n v="16"/>
  </r>
  <r>
    <x v="5"/>
    <x v="0"/>
    <s v="S12000039"/>
    <x v="24"/>
    <n v="0"/>
    <n v="0"/>
    <n v="15"/>
    <n v="48"/>
    <n v="0"/>
    <n v="0"/>
    <n v="10"/>
  </r>
  <r>
    <x v="5"/>
    <x v="0"/>
    <s v="S12000041"/>
    <x v="26"/>
    <n v="0"/>
    <n v="0"/>
    <n v="5"/>
    <n v="18"/>
    <n v="0"/>
    <n v="0"/>
    <n v="5"/>
  </r>
  <r>
    <x v="5"/>
    <x v="0"/>
    <s v="S12000042"/>
    <x v="27"/>
    <n v="0"/>
    <n v="0"/>
    <n v="35"/>
    <n v="122"/>
    <n v="0"/>
    <n v="0"/>
    <n v="20"/>
  </r>
  <r>
    <x v="5"/>
    <x v="0"/>
    <s v="S12000044"/>
    <x v="28"/>
    <n v="0"/>
    <n v="0"/>
    <n v="35"/>
    <n v="111"/>
    <n v="0"/>
    <n v="0"/>
    <n v="20"/>
  </r>
  <r>
    <x v="5"/>
    <x v="0"/>
    <s v="S12000045"/>
    <x v="29"/>
    <n v="0"/>
    <n v="0"/>
    <n v="15"/>
    <n v="47"/>
    <n v="0"/>
    <n v="0"/>
    <n v="16"/>
  </r>
  <r>
    <x v="5"/>
    <x v="0"/>
    <s v="S12000046"/>
    <x v="30"/>
    <n v="0"/>
    <n v="0"/>
    <n v="110"/>
    <n v="349"/>
    <n v="0"/>
    <n v="0"/>
    <n v="56"/>
  </r>
  <r>
    <x v="5"/>
    <x v="0"/>
    <s v="S12000048"/>
    <x v="13"/>
    <n v="0"/>
    <n v="0"/>
    <n v="10"/>
    <n v="54"/>
    <n v="0"/>
    <n v="0"/>
    <n v="5"/>
  </r>
  <r>
    <x v="5"/>
    <x v="0"/>
    <s v="S40000004"/>
    <x v="22"/>
    <n v="0"/>
    <n v="0"/>
    <n v="59"/>
    <n v="203"/>
    <n v="0"/>
    <n v="0"/>
    <n v="35"/>
  </r>
  <r>
    <x v="5"/>
    <x v="0"/>
    <s v="S40000004"/>
    <x v="0"/>
    <n v="0"/>
    <n v="0"/>
    <n v="5"/>
    <n v="15"/>
    <n v="0"/>
    <n v="0"/>
    <n v="5"/>
  </r>
  <r>
    <x v="5"/>
    <x v="0"/>
    <s v="S40000004"/>
    <x v="3"/>
    <n v="0"/>
    <n v="0"/>
    <n v="5"/>
    <n v="14"/>
    <n v="0"/>
    <n v="0"/>
    <n v="5"/>
  </r>
  <r>
    <x v="5"/>
    <x v="0"/>
    <s v="S40000004"/>
    <x v="6"/>
    <n v="0"/>
    <n v="0"/>
    <n v="20"/>
    <n v="53"/>
    <n v="0"/>
    <n v="0"/>
    <n v="15"/>
  </r>
  <r>
    <x v="5"/>
    <x v="0"/>
    <s v="S40000004"/>
    <x v="31"/>
    <n v="0"/>
    <n v="0"/>
    <n v="48"/>
    <n v="199"/>
    <n v="0"/>
    <n v="0"/>
    <n v="27"/>
  </r>
  <r>
    <x v="5"/>
    <x v="0"/>
    <s v="S40000004"/>
    <x v="9"/>
    <n v="0"/>
    <n v="0"/>
    <n v="4"/>
    <n v="17"/>
    <n v="0"/>
    <n v="0"/>
    <n v="5"/>
  </r>
  <r>
    <x v="5"/>
    <x v="0"/>
    <s v="S40000004"/>
    <x v="14"/>
    <n v="0"/>
    <n v="0"/>
    <n v="10"/>
    <n v="36"/>
    <n v="0"/>
    <n v="0"/>
    <n v="10"/>
  </r>
  <r>
    <x v="5"/>
    <x v="0"/>
    <s v="S40000004"/>
    <x v="18"/>
    <n v="0"/>
    <n v="0"/>
    <n v="10"/>
    <n v="34"/>
    <n v="0"/>
    <n v="0"/>
    <n v="5"/>
  </r>
  <r>
    <x v="5"/>
    <x v="0"/>
    <s v="S40000004"/>
    <x v="25"/>
    <n v="0"/>
    <n v="0"/>
    <n v="10"/>
    <n v="36"/>
    <n v="0"/>
    <n v="0"/>
    <n v="10"/>
  </r>
  <r>
    <x v="5"/>
    <x v="1"/>
    <s v="S39000001"/>
    <x v="19"/>
    <n v="1"/>
    <n v="0"/>
    <n v="2"/>
    <n v="1"/>
    <n v="2"/>
    <n v="4"/>
    <n v="6"/>
  </r>
  <r>
    <x v="5"/>
    <x v="1"/>
    <s v="S39000002"/>
    <x v="32"/>
    <n v="1"/>
    <n v="0"/>
    <n v="6"/>
    <n v="0"/>
    <n v="2"/>
    <n v="8"/>
    <n v="8"/>
  </r>
  <r>
    <x v="5"/>
    <x v="1"/>
    <s v="S39000003"/>
    <x v="33"/>
    <n v="1"/>
    <n v="0"/>
    <n v="6"/>
    <n v="2"/>
    <n v="3"/>
    <n v="8"/>
    <n v="6"/>
  </r>
  <r>
    <x v="5"/>
    <x v="1"/>
    <s v="S39000004"/>
    <x v="1"/>
    <n v="1"/>
    <n v="0"/>
    <n v="4"/>
    <n v="2"/>
    <n v="2"/>
    <n v="6"/>
    <n v="7"/>
  </r>
  <r>
    <x v="5"/>
    <x v="1"/>
    <s v="S39000006"/>
    <x v="34"/>
    <n v="1"/>
    <n v="0"/>
    <n v="2"/>
    <n v="2"/>
    <n v="3"/>
    <n v="9"/>
    <n v="8"/>
  </r>
  <r>
    <x v="5"/>
    <x v="1"/>
    <s v="S39000007"/>
    <x v="35"/>
    <n v="1"/>
    <n v="0"/>
    <n v="2"/>
    <n v="3"/>
    <n v="3"/>
    <n v="7"/>
    <n v="9"/>
  </r>
  <r>
    <x v="5"/>
    <x v="1"/>
    <s v="S39000008"/>
    <x v="36"/>
    <n v="1"/>
    <n v="0"/>
    <n v="0"/>
    <n v="2"/>
    <n v="4"/>
    <n v="4"/>
    <n v="3"/>
  </r>
  <r>
    <x v="5"/>
    <x v="1"/>
    <s v="S39000009"/>
    <x v="37"/>
    <n v="1"/>
    <n v="0"/>
    <n v="5"/>
    <n v="3"/>
    <n v="5"/>
    <n v="4"/>
    <n v="12"/>
  </r>
  <r>
    <x v="5"/>
    <x v="1"/>
    <s v="S39000010"/>
    <x v="38"/>
    <n v="1"/>
    <n v="0"/>
    <n v="3"/>
    <n v="2"/>
    <n v="2"/>
    <n v="6"/>
    <n v="6"/>
  </r>
  <r>
    <x v="5"/>
    <x v="1"/>
    <s v="S39000012"/>
    <x v="30"/>
    <n v="1"/>
    <n v="0"/>
    <n v="2"/>
    <n v="2"/>
    <n v="4"/>
    <n v="9"/>
    <n v="7"/>
  </r>
  <r>
    <x v="5"/>
    <x v="1"/>
    <s v="S39000013"/>
    <x v="39"/>
    <n v="1"/>
    <n v="0"/>
    <n v="9"/>
    <n v="1"/>
    <n v="4"/>
    <n v="14"/>
    <n v="16"/>
  </r>
  <r>
    <x v="5"/>
    <x v="1"/>
    <s v="S39000014"/>
    <x v="28"/>
    <n v="1"/>
    <n v="0"/>
    <n v="2"/>
    <n v="1"/>
    <n v="2"/>
    <n v="5"/>
    <n v="6"/>
  </r>
  <r>
    <x v="5"/>
    <x v="1"/>
    <s v="S39000015"/>
    <x v="17"/>
    <n v="1"/>
    <n v="0"/>
    <n v="2"/>
    <n v="1"/>
    <n v="2"/>
    <n v="6"/>
    <n v="4"/>
  </r>
  <r>
    <x v="5"/>
    <x v="1"/>
    <s v="S39000016"/>
    <x v="40"/>
    <n v="1"/>
    <n v="0"/>
    <n v="3"/>
    <n v="1"/>
    <n v="2"/>
    <n v="6"/>
    <n v="5"/>
  </r>
  <r>
    <x v="5"/>
    <x v="1"/>
    <s v="S39000017"/>
    <x v="41"/>
    <n v="1"/>
    <n v="0"/>
    <n v="3"/>
    <n v="0"/>
    <n v="3"/>
    <n v="5"/>
    <n v="4"/>
  </r>
  <r>
    <x v="5"/>
    <x v="1"/>
    <s v="S39000018"/>
    <x v="42"/>
    <n v="1"/>
    <n v="0"/>
    <n v="3"/>
    <n v="2"/>
    <n v="4"/>
    <n v="8"/>
    <n v="11"/>
  </r>
  <r>
    <x v="5"/>
    <x v="1"/>
    <s v="S39000019"/>
    <x v="31"/>
    <n v="0"/>
    <n v="0"/>
    <n v="0"/>
    <n v="4"/>
    <n v="2"/>
    <n v="6"/>
    <n v="6"/>
  </r>
  <r>
    <x v="5"/>
    <x v="2"/>
    <s v="S40000003"/>
    <x v="43"/>
    <n v="1"/>
    <n v="0"/>
    <n v="26"/>
    <n v="0"/>
    <n v="5"/>
    <n v="12"/>
    <n v="35"/>
  </r>
  <r>
    <x v="5"/>
    <x v="2"/>
    <s v="S40000004"/>
    <x v="44"/>
    <n v="1"/>
    <n v="0"/>
    <n v="8"/>
    <n v="0"/>
    <n v="5"/>
    <n v="5"/>
    <n v="18"/>
  </r>
  <r>
    <x v="5"/>
    <x v="2"/>
    <s v="S40000005"/>
    <x v="45"/>
    <n v="1"/>
    <n v="0"/>
    <n v="7"/>
    <n v="0"/>
    <n v="4"/>
    <n v="7"/>
    <n v="11"/>
  </r>
  <r>
    <x v="5"/>
    <x v="3"/>
    <s v="S92000003"/>
    <x v="46"/>
    <n v="14"/>
    <n v="4"/>
    <n v="0"/>
    <n v="60"/>
    <n v="17"/>
    <n v="8"/>
    <n v="46"/>
  </r>
  <r>
    <x v="6"/>
    <x v="0"/>
    <s v="S40000003"/>
    <x v="21"/>
    <n v="0"/>
    <n v="0"/>
    <n v="10"/>
    <n v="33"/>
    <n v="0"/>
    <n v="0"/>
    <n v="10"/>
  </r>
  <r>
    <x v="6"/>
    <x v="0"/>
    <s v="S40000003"/>
    <x v="1"/>
    <n v="0"/>
    <n v="0"/>
    <n v="10"/>
    <n v="37"/>
    <n v="0"/>
    <n v="0"/>
    <n v="5"/>
  </r>
  <r>
    <x v="6"/>
    <x v="0"/>
    <s v="S40000003"/>
    <x v="2"/>
    <n v="0"/>
    <n v="0"/>
    <n v="10"/>
    <n v="34"/>
    <n v="0"/>
    <n v="0"/>
    <n v="5"/>
  </r>
  <r>
    <x v="6"/>
    <x v="0"/>
    <s v="S40000003"/>
    <x v="29"/>
    <n v="0"/>
    <n v="0"/>
    <n v="15"/>
    <n v="49"/>
    <n v="0"/>
    <n v="0"/>
    <n v="15"/>
  </r>
  <r>
    <x v="6"/>
    <x v="0"/>
    <s v="S40000003"/>
    <x v="4"/>
    <n v="0"/>
    <n v="0"/>
    <n v="10"/>
    <n v="30"/>
    <n v="0"/>
    <n v="0"/>
    <n v="10"/>
  </r>
  <r>
    <x v="6"/>
    <x v="0"/>
    <s v="S40000003"/>
    <x v="30"/>
    <n v="0"/>
    <n v="0"/>
    <n v="114"/>
    <n v="346"/>
    <n v="0"/>
    <n v="0"/>
    <n v="57"/>
  </r>
  <r>
    <x v="6"/>
    <x v="0"/>
    <s v="S40000003"/>
    <x v="8"/>
    <n v="0"/>
    <n v="0"/>
    <n v="15"/>
    <n v="45"/>
    <n v="0"/>
    <n v="0"/>
    <n v="10"/>
  </r>
  <r>
    <x v="6"/>
    <x v="0"/>
    <s v="S40000003"/>
    <x v="11"/>
    <n v="0"/>
    <n v="0"/>
    <n v="15"/>
    <n v="45"/>
    <n v="0"/>
    <n v="0"/>
    <n v="15"/>
  </r>
  <r>
    <x v="6"/>
    <x v="0"/>
    <s v="S40000003"/>
    <x v="28"/>
    <n v="0"/>
    <n v="0"/>
    <n v="37"/>
    <n v="105"/>
    <n v="0"/>
    <n v="0"/>
    <n v="21"/>
  </r>
  <r>
    <x v="6"/>
    <x v="0"/>
    <s v="S40000003"/>
    <x v="23"/>
    <n v="0"/>
    <n v="0"/>
    <n v="21"/>
    <n v="66"/>
    <n v="0"/>
    <n v="0"/>
    <n v="15"/>
  </r>
  <r>
    <x v="6"/>
    <x v="0"/>
    <s v="S40000003"/>
    <x v="16"/>
    <n v="0"/>
    <n v="0"/>
    <n v="9"/>
    <n v="36"/>
    <n v="0"/>
    <n v="0"/>
    <n v="5"/>
  </r>
  <r>
    <x v="6"/>
    <x v="0"/>
    <s v="S40000003"/>
    <x v="17"/>
    <n v="0"/>
    <n v="0"/>
    <n v="37"/>
    <n v="111"/>
    <n v="0"/>
    <n v="0"/>
    <n v="20"/>
  </r>
  <r>
    <x v="6"/>
    <x v="0"/>
    <s v="S40000003"/>
    <x v="24"/>
    <n v="0"/>
    <n v="0"/>
    <n v="15"/>
    <n v="48"/>
    <n v="0"/>
    <n v="0"/>
    <n v="10"/>
  </r>
  <r>
    <x v="6"/>
    <x v="0"/>
    <s v="S40000004"/>
    <x v="22"/>
    <n v="0"/>
    <n v="0"/>
    <n v="56"/>
    <n v="214"/>
    <n v="0"/>
    <n v="0"/>
    <n v="36"/>
  </r>
  <r>
    <x v="6"/>
    <x v="0"/>
    <s v="S40000004"/>
    <x v="0"/>
    <n v="0"/>
    <n v="0"/>
    <n v="5"/>
    <n v="15"/>
    <n v="0"/>
    <n v="0"/>
    <n v="5"/>
  </r>
  <r>
    <x v="6"/>
    <x v="0"/>
    <s v="S40000004"/>
    <x v="3"/>
    <n v="0"/>
    <n v="0"/>
    <n v="5"/>
    <n v="15"/>
    <n v="0"/>
    <n v="0"/>
    <n v="5"/>
  </r>
  <r>
    <x v="6"/>
    <x v="0"/>
    <s v="S40000004"/>
    <x v="6"/>
    <n v="0"/>
    <n v="0"/>
    <n v="19"/>
    <n v="54"/>
    <n v="0"/>
    <n v="0"/>
    <n v="15"/>
  </r>
  <r>
    <x v="6"/>
    <x v="0"/>
    <s v="S40000004"/>
    <x v="31"/>
    <n v="0"/>
    <n v="0"/>
    <n v="51"/>
    <n v="192"/>
    <n v="0"/>
    <n v="0"/>
    <n v="26"/>
  </r>
  <r>
    <x v="6"/>
    <x v="0"/>
    <s v="S40000004"/>
    <x v="9"/>
    <n v="0"/>
    <n v="0"/>
    <n v="4"/>
    <n v="17"/>
    <n v="0"/>
    <n v="0"/>
    <n v="5"/>
  </r>
  <r>
    <x v="6"/>
    <x v="0"/>
    <s v="S40000004"/>
    <x v="14"/>
    <n v="0"/>
    <n v="0"/>
    <n v="10"/>
    <n v="33"/>
    <n v="0"/>
    <n v="0"/>
    <n v="10"/>
  </r>
  <r>
    <x v="6"/>
    <x v="0"/>
    <s v="S40000004"/>
    <x v="18"/>
    <n v="0"/>
    <n v="0"/>
    <n v="10"/>
    <n v="36"/>
    <n v="0"/>
    <n v="0"/>
    <n v="5"/>
  </r>
  <r>
    <x v="6"/>
    <x v="0"/>
    <s v="S40000004"/>
    <x v="25"/>
    <n v="0"/>
    <n v="0"/>
    <n v="10"/>
    <n v="38"/>
    <n v="0"/>
    <n v="0"/>
    <n v="10"/>
  </r>
  <r>
    <x v="6"/>
    <x v="0"/>
    <s v="S40000005"/>
    <x v="19"/>
    <n v="0"/>
    <n v="0"/>
    <n v="35"/>
    <n v="105"/>
    <n v="0"/>
    <n v="0"/>
    <n v="15"/>
  </r>
  <r>
    <x v="6"/>
    <x v="0"/>
    <s v="S40000005"/>
    <x v="20"/>
    <n v="0"/>
    <n v="0"/>
    <n v="4"/>
    <n v="22"/>
    <n v="0"/>
    <n v="0"/>
    <n v="6"/>
  </r>
  <r>
    <x v="6"/>
    <x v="0"/>
    <s v="S40000005"/>
    <x v="26"/>
    <n v="0"/>
    <n v="0"/>
    <n v="5"/>
    <n v="17"/>
    <n v="0"/>
    <n v="0"/>
    <n v="5"/>
  </r>
  <r>
    <x v="6"/>
    <x v="0"/>
    <s v="S40000005"/>
    <x v="27"/>
    <n v="0"/>
    <n v="0"/>
    <n v="36"/>
    <n v="126"/>
    <n v="0"/>
    <n v="0"/>
    <n v="20"/>
  </r>
  <r>
    <x v="6"/>
    <x v="0"/>
    <s v="S40000005"/>
    <x v="7"/>
    <n v="0"/>
    <n v="0"/>
    <n v="14"/>
    <n v="52"/>
    <n v="0"/>
    <n v="0"/>
    <n v="5"/>
  </r>
  <r>
    <x v="6"/>
    <x v="0"/>
    <s v="S40000005"/>
    <x v="10"/>
    <n v="0"/>
    <n v="0"/>
    <n v="5"/>
    <n v="20"/>
    <n v="0"/>
    <n v="0"/>
    <n v="5"/>
  </r>
  <r>
    <x v="6"/>
    <x v="0"/>
    <s v="S40000005"/>
    <x v="13"/>
    <n v="0"/>
    <n v="0"/>
    <n v="10"/>
    <n v="52"/>
    <n v="0"/>
    <n v="0"/>
    <n v="5"/>
  </r>
  <r>
    <x v="6"/>
    <x v="1"/>
    <m/>
    <x v="47"/>
    <n v="1"/>
    <n v="0"/>
    <n v="6"/>
    <n v="4"/>
    <n v="4"/>
    <n v="12"/>
    <n v="11"/>
  </r>
  <r>
    <x v="6"/>
    <x v="1"/>
    <s v="S40000003"/>
    <x v="33"/>
    <n v="1"/>
    <n v="0"/>
    <n v="7"/>
    <n v="2"/>
    <n v="3"/>
    <n v="8"/>
    <n v="7"/>
  </r>
  <r>
    <x v="6"/>
    <x v="1"/>
    <s v="S40000003"/>
    <x v="1"/>
    <n v="1"/>
    <n v="0"/>
    <n v="3"/>
    <n v="2"/>
    <n v="2"/>
    <n v="6"/>
    <n v="8"/>
  </r>
  <r>
    <x v="6"/>
    <x v="1"/>
    <s v="S40000003"/>
    <x v="34"/>
    <n v="1"/>
    <n v="0"/>
    <n v="5"/>
    <n v="1"/>
    <n v="3"/>
    <n v="10"/>
    <n v="8"/>
  </r>
  <r>
    <x v="6"/>
    <x v="1"/>
    <s v="S40000003"/>
    <x v="36"/>
    <n v="1"/>
    <n v="0"/>
    <n v="0"/>
    <n v="1"/>
    <n v="4"/>
    <n v="4"/>
    <n v="3"/>
  </r>
  <r>
    <x v="6"/>
    <x v="1"/>
    <s v="S40000003"/>
    <x v="30"/>
    <n v="1"/>
    <n v="0"/>
    <n v="2"/>
    <n v="2"/>
    <n v="5"/>
    <n v="10"/>
    <n v="5"/>
  </r>
  <r>
    <x v="6"/>
    <x v="1"/>
    <s v="S40000003"/>
    <x v="28"/>
    <n v="1"/>
    <n v="0"/>
    <n v="2"/>
    <n v="1"/>
    <n v="2"/>
    <n v="5"/>
    <n v="5"/>
  </r>
  <r>
    <x v="6"/>
    <x v="1"/>
    <s v="S40000003"/>
    <x v="17"/>
    <n v="1"/>
    <n v="0"/>
    <n v="3"/>
    <n v="0"/>
    <n v="2"/>
    <n v="6"/>
    <n v="4"/>
  </r>
  <r>
    <x v="6"/>
    <x v="1"/>
    <s v="S40000004"/>
    <x v="35"/>
    <n v="1"/>
    <n v="0"/>
    <n v="5"/>
    <n v="4"/>
    <n v="3"/>
    <n v="7"/>
    <n v="9"/>
  </r>
  <r>
    <x v="6"/>
    <x v="1"/>
    <s v="S40000004"/>
    <x v="37"/>
    <n v="1"/>
    <n v="0"/>
    <n v="4"/>
    <n v="4"/>
    <n v="4"/>
    <n v="5"/>
    <n v="10"/>
  </r>
  <r>
    <x v="6"/>
    <x v="1"/>
    <s v="S40000004"/>
    <x v="38"/>
    <n v="1"/>
    <n v="0"/>
    <n v="2"/>
    <n v="2"/>
    <n v="2"/>
    <n v="6"/>
    <n v="6"/>
  </r>
  <r>
    <x v="6"/>
    <x v="1"/>
    <s v="S40000005"/>
    <x v="19"/>
    <n v="1"/>
    <n v="0"/>
    <n v="2"/>
    <n v="1"/>
    <n v="2"/>
    <n v="3"/>
    <n v="4"/>
  </r>
  <r>
    <x v="6"/>
    <x v="1"/>
    <s v="S40000005"/>
    <x v="32"/>
    <n v="1"/>
    <n v="0"/>
    <n v="4"/>
    <n v="1"/>
    <n v="3"/>
    <n v="9"/>
    <n v="7"/>
  </r>
  <r>
    <x v="6"/>
    <x v="1"/>
    <s v="S40000005"/>
    <x v="42"/>
    <n v="1"/>
    <n v="0"/>
    <n v="4"/>
    <n v="2"/>
    <n v="4"/>
    <n v="9"/>
    <n v="11"/>
  </r>
  <r>
    <x v="6"/>
    <x v="1"/>
    <s v="S40000005"/>
    <x v="39"/>
    <n v="1"/>
    <n v="0"/>
    <n v="8"/>
    <n v="1"/>
    <n v="4"/>
    <n v="13"/>
    <n v="11"/>
  </r>
  <r>
    <x v="6"/>
    <x v="1"/>
    <s v="S40000005"/>
    <x v="41"/>
    <n v="1"/>
    <n v="0"/>
    <n v="1"/>
    <n v="0"/>
    <n v="3"/>
    <n v="5"/>
    <n v="4"/>
  </r>
  <r>
    <x v="6"/>
    <x v="2"/>
    <s v="S40000003"/>
    <x v="43"/>
    <n v="3"/>
    <n v="0"/>
    <n v="21"/>
    <n v="0"/>
    <n v="10"/>
    <n v="14"/>
    <n v="55"/>
  </r>
  <r>
    <x v="6"/>
    <x v="2"/>
    <s v="S40000004"/>
    <x v="44"/>
    <n v="1"/>
    <n v="0"/>
    <n v="6"/>
    <n v="0"/>
    <n v="4"/>
    <n v="8"/>
    <n v="33"/>
  </r>
  <r>
    <x v="6"/>
    <x v="2"/>
    <s v="S40000005"/>
    <x v="45"/>
    <n v="2"/>
    <n v="0"/>
    <n v="6"/>
    <n v="0"/>
    <n v="3"/>
    <n v="7"/>
    <n v="24"/>
  </r>
  <r>
    <x v="6"/>
    <x v="3"/>
    <s v="S92000003"/>
    <x v="46"/>
    <n v="9"/>
    <n v="6"/>
    <n v="0"/>
    <n v="49"/>
    <n v="13"/>
    <n v="6"/>
    <n v="7"/>
  </r>
  <r>
    <x v="7"/>
    <x v="0"/>
    <s v="S40000003"/>
    <x v="21"/>
    <n v="0"/>
    <n v="0"/>
    <n v="10"/>
    <n v="32"/>
    <n v="0"/>
    <n v="0"/>
    <n v="10"/>
  </r>
  <r>
    <x v="7"/>
    <x v="0"/>
    <s v="S40000003"/>
    <x v="1"/>
    <n v="0"/>
    <n v="0"/>
    <n v="10"/>
    <n v="36"/>
    <n v="0"/>
    <n v="0"/>
    <n v="5"/>
  </r>
  <r>
    <x v="7"/>
    <x v="0"/>
    <s v="S40000003"/>
    <x v="2"/>
    <n v="0"/>
    <n v="0"/>
    <n v="10"/>
    <n v="32"/>
    <n v="0"/>
    <n v="0"/>
    <n v="5"/>
  </r>
  <r>
    <x v="7"/>
    <x v="0"/>
    <s v="S40000003"/>
    <x v="29"/>
    <n v="0"/>
    <n v="0"/>
    <n v="14"/>
    <n v="46"/>
    <n v="0"/>
    <n v="0"/>
    <n v="16"/>
  </r>
  <r>
    <x v="7"/>
    <x v="0"/>
    <s v="S40000003"/>
    <x v="4"/>
    <n v="0"/>
    <n v="0"/>
    <n v="10"/>
    <n v="28"/>
    <n v="0"/>
    <n v="0"/>
    <n v="10"/>
  </r>
  <r>
    <x v="7"/>
    <x v="0"/>
    <s v="S40000003"/>
    <x v="30"/>
    <n v="0"/>
    <n v="0"/>
    <n v="109"/>
    <n v="335"/>
    <n v="0"/>
    <n v="0"/>
    <n v="55"/>
  </r>
  <r>
    <x v="7"/>
    <x v="0"/>
    <s v="S40000003"/>
    <x v="8"/>
    <n v="0"/>
    <n v="0"/>
    <n v="15"/>
    <n v="45"/>
    <n v="0"/>
    <n v="0"/>
    <n v="10"/>
  </r>
  <r>
    <x v="7"/>
    <x v="0"/>
    <s v="S40000003"/>
    <x v="11"/>
    <n v="0"/>
    <n v="0"/>
    <n v="15"/>
    <n v="45"/>
    <n v="0"/>
    <n v="0"/>
    <n v="15"/>
  </r>
  <r>
    <x v="7"/>
    <x v="0"/>
    <s v="S40000003"/>
    <x v="28"/>
    <n v="0"/>
    <n v="0"/>
    <n v="35"/>
    <n v="105"/>
    <n v="0"/>
    <n v="0"/>
    <n v="20"/>
  </r>
  <r>
    <x v="7"/>
    <x v="0"/>
    <s v="S40000003"/>
    <x v="23"/>
    <n v="0"/>
    <n v="0"/>
    <n v="21"/>
    <n v="64"/>
    <n v="0"/>
    <n v="0"/>
    <n v="15"/>
  </r>
  <r>
    <x v="7"/>
    <x v="0"/>
    <s v="S40000003"/>
    <x v="16"/>
    <n v="0"/>
    <n v="0"/>
    <n v="10"/>
    <n v="36"/>
    <n v="0"/>
    <n v="0"/>
    <n v="5"/>
  </r>
  <r>
    <x v="7"/>
    <x v="0"/>
    <s v="S40000003"/>
    <x v="17"/>
    <n v="0"/>
    <n v="0"/>
    <n v="37"/>
    <n v="111"/>
    <n v="0"/>
    <n v="0"/>
    <n v="20"/>
  </r>
  <r>
    <x v="7"/>
    <x v="0"/>
    <s v="S40000003"/>
    <x v="24"/>
    <n v="0"/>
    <n v="0"/>
    <n v="17"/>
    <n v="46"/>
    <n v="0"/>
    <n v="0"/>
    <n v="10"/>
  </r>
  <r>
    <x v="7"/>
    <x v="0"/>
    <s v="S40000004"/>
    <x v="22"/>
    <n v="0"/>
    <n v="0"/>
    <n v="58"/>
    <n v="206"/>
    <n v="0"/>
    <n v="0"/>
    <n v="36"/>
  </r>
  <r>
    <x v="7"/>
    <x v="0"/>
    <s v="S40000004"/>
    <x v="0"/>
    <n v="0"/>
    <n v="0"/>
    <n v="5"/>
    <n v="13"/>
    <n v="0"/>
    <n v="0"/>
    <n v="6"/>
  </r>
  <r>
    <x v="7"/>
    <x v="0"/>
    <s v="S40000004"/>
    <x v="3"/>
    <n v="0"/>
    <n v="0"/>
    <n v="5"/>
    <n v="16"/>
    <n v="0"/>
    <n v="0"/>
    <n v="5"/>
  </r>
  <r>
    <x v="7"/>
    <x v="0"/>
    <s v="S40000004"/>
    <x v="6"/>
    <n v="0"/>
    <n v="0"/>
    <n v="20"/>
    <n v="53"/>
    <n v="0"/>
    <n v="0"/>
    <n v="15"/>
  </r>
  <r>
    <x v="7"/>
    <x v="0"/>
    <s v="S40000004"/>
    <x v="31"/>
    <n v="0"/>
    <n v="0"/>
    <n v="50"/>
    <n v="179"/>
    <n v="0"/>
    <n v="0"/>
    <n v="25"/>
  </r>
  <r>
    <x v="7"/>
    <x v="0"/>
    <s v="S40000004"/>
    <x v="9"/>
    <n v="0"/>
    <n v="0"/>
    <n v="5"/>
    <n v="17"/>
    <n v="0"/>
    <n v="0"/>
    <n v="5"/>
  </r>
  <r>
    <x v="7"/>
    <x v="0"/>
    <s v="S40000004"/>
    <x v="14"/>
    <n v="0"/>
    <n v="0"/>
    <n v="8"/>
    <n v="33"/>
    <n v="0"/>
    <n v="0"/>
    <n v="10"/>
  </r>
  <r>
    <x v="7"/>
    <x v="0"/>
    <s v="S40000004"/>
    <x v="18"/>
    <n v="0"/>
    <n v="0"/>
    <n v="10"/>
    <n v="37"/>
    <n v="0"/>
    <n v="0"/>
    <n v="5"/>
  </r>
  <r>
    <x v="7"/>
    <x v="0"/>
    <s v="S40000004"/>
    <x v="25"/>
    <n v="0"/>
    <n v="0"/>
    <n v="11"/>
    <n v="36"/>
    <n v="0"/>
    <n v="0"/>
    <n v="10"/>
  </r>
  <r>
    <x v="7"/>
    <x v="0"/>
    <s v="S40000005"/>
    <x v="19"/>
    <n v="0"/>
    <n v="0"/>
    <n v="35"/>
    <n v="99"/>
    <n v="0"/>
    <n v="0"/>
    <n v="15"/>
  </r>
  <r>
    <x v="7"/>
    <x v="0"/>
    <s v="S40000005"/>
    <x v="20"/>
    <n v="0"/>
    <n v="0"/>
    <n v="5"/>
    <n v="19"/>
    <n v="0"/>
    <n v="0"/>
    <n v="5"/>
  </r>
  <r>
    <x v="7"/>
    <x v="0"/>
    <s v="S40000005"/>
    <x v="26"/>
    <n v="0"/>
    <n v="0"/>
    <n v="5"/>
    <n v="17"/>
    <n v="0"/>
    <n v="0"/>
    <n v="5"/>
  </r>
  <r>
    <x v="7"/>
    <x v="0"/>
    <s v="S40000005"/>
    <x v="27"/>
    <n v="0"/>
    <n v="0"/>
    <n v="36"/>
    <n v="127"/>
    <n v="0"/>
    <n v="0"/>
    <n v="19"/>
  </r>
  <r>
    <x v="7"/>
    <x v="0"/>
    <s v="S40000005"/>
    <x v="7"/>
    <n v="0"/>
    <n v="0"/>
    <n v="15"/>
    <n v="54"/>
    <n v="0"/>
    <n v="0"/>
    <n v="5"/>
  </r>
  <r>
    <x v="7"/>
    <x v="0"/>
    <s v="S40000005"/>
    <x v="10"/>
    <n v="0"/>
    <n v="0"/>
    <n v="5"/>
    <n v="20"/>
    <n v="0"/>
    <n v="0"/>
    <n v="5"/>
  </r>
  <r>
    <x v="7"/>
    <x v="0"/>
    <s v="S40000005"/>
    <x v="13"/>
    <n v="0"/>
    <n v="0"/>
    <n v="10"/>
    <n v="48"/>
    <n v="0"/>
    <n v="0"/>
    <n v="5"/>
  </r>
  <r>
    <x v="7"/>
    <x v="1"/>
    <m/>
    <x v="47"/>
    <n v="1"/>
    <n v="0"/>
    <n v="6"/>
    <n v="4"/>
    <n v="4"/>
    <n v="11"/>
    <n v="11"/>
  </r>
  <r>
    <x v="7"/>
    <x v="1"/>
    <s v="S40000003"/>
    <x v="33"/>
    <n v="1"/>
    <n v="0"/>
    <n v="6"/>
    <n v="2"/>
    <n v="3"/>
    <n v="7"/>
    <n v="7"/>
  </r>
  <r>
    <x v="7"/>
    <x v="1"/>
    <s v="S40000003"/>
    <x v="1"/>
    <n v="1"/>
    <n v="0"/>
    <n v="4"/>
    <n v="2"/>
    <n v="2"/>
    <n v="6"/>
    <n v="6"/>
  </r>
  <r>
    <x v="7"/>
    <x v="1"/>
    <s v="S40000003"/>
    <x v="34"/>
    <n v="1"/>
    <n v="0"/>
    <n v="5"/>
    <n v="1"/>
    <n v="3"/>
    <n v="9"/>
    <n v="8"/>
  </r>
  <r>
    <x v="7"/>
    <x v="1"/>
    <s v="S40000003"/>
    <x v="36"/>
    <n v="1"/>
    <n v="0"/>
    <n v="2"/>
    <n v="1"/>
    <n v="4"/>
    <n v="5"/>
    <n v="4"/>
  </r>
  <r>
    <x v="7"/>
    <x v="1"/>
    <s v="S40000003"/>
    <x v="30"/>
    <n v="1"/>
    <n v="0"/>
    <n v="2"/>
    <n v="2"/>
    <n v="5"/>
    <n v="9"/>
    <n v="7"/>
  </r>
  <r>
    <x v="7"/>
    <x v="1"/>
    <s v="S40000003"/>
    <x v="28"/>
    <n v="1"/>
    <n v="0"/>
    <n v="2"/>
    <n v="0"/>
    <n v="2"/>
    <n v="5"/>
    <n v="5"/>
  </r>
  <r>
    <x v="7"/>
    <x v="1"/>
    <s v="S40000003"/>
    <x v="17"/>
    <n v="1"/>
    <n v="0"/>
    <n v="3"/>
    <n v="0"/>
    <n v="2"/>
    <n v="6"/>
    <n v="4"/>
  </r>
  <r>
    <x v="7"/>
    <x v="1"/>
    <s v="S40000004"/>
    <x v="35"/>
    <n v="1"/>
    <n v="0"/>
    <n v="3"/>
    <n v="4"/>
    <n v="3"/>
    <n v="7"/>
    <n v="10"/>
  </r>
  <r>
    <x v="7"/>
    <x v="1"/>
    <s v="S40000004"/>
    <x v="37"/>
    <n v="1"/>
    <n v="0"/>
    <n v="3"/>
    <n v="4"/>
    <n v="3"/>
    <n v="7"/>
    <n v="10"/>
  </r>
  <r>
    <x v="7"/>
    <x v="1"/>
    <s v="S40000004"/>
    <x v="38"/>
    <n v="1"/>
    <n v="0"/>
    <n v="3"/>
    <n v="2"/>
    <n v="2"/>
    <n v="5"/>
    <n v="6"/>
  </r>
  <r>
    <x v="7"/>
    <x v="1"/>
    <s v="S40000005"/>
    <x v="19"/>
    <n v="1"/>
    <n v="0"/>
    <n v="1"/>
    <n v="1"/>
    <n v="2"/>
    <n v="3"/>
    <n v="4"/>
  </r>
  <r>
    <x v="7"/>
    <x v="1"/>
    <s v="S40000005"/>
    <x v="32"/>
    <n v="1"/>
    <n v="0"/>
    <n v="4"/>
    <n v="1"/>
    <n v="3"/>
    <n v="9"/>
    <n v="8"/>
  </r>
  <r>
    <x v="7"/>
    <x v="1"/>
    <s v="S40000005"/>
    <x v="42"/>
    <n v="1"/>
    <n v="0"/>
    <n v="4"/>
    <n v="1"/>
    <n v="4"/>
    <n v="8"/>
    <n v="10"/>
  </r>
  <r>
    <x v="7"/>
    <x v="1"/>
    <s v="S40000005"/>
    <x v="39"/>
    <n v="1"/>
    <n v="0"/>
    <n v="7"/>
    <n v="1"/>
    <n v="4"/>
    <n v="12"/>
    <n v="10"/>
  </r>
  <r>
    <x v="7"/>
    <x v="1"/>
    <s v="S40000005"/>
    <x v="41"/>
    <n v="1"/>
    <n v="0"/>
    <n v="0"/>
    <n v="0"/>
    <n v="3"/>
    <n v="7"/>
    <n v="4"/>
  </r>
  <r>
    <x v="7"/>
    <x v="2"/>
    <s v="S40000003"/>
    <x v="43"/>
    <n v="3"/>
    <n v="0"/>
    <n v="17"/>
    <n v="25"/>
    <n v="5"/>
    <n v="5"/>
    <n v="36"/>
  </r>
  <r>
    <x v="7"/>
    <x v="2"/>
    <s v="S40000004"/>
    <x v="44"/>
    <n v="1"/>
    <n v="0"/>
    <n v="6"/>
    <n v="20"/>
    <n v="2"/>
    <n v="5"/>
    <n v="32"/>
  </r>
  <r>
    <x v="7"/>
    <x v="2"/>
    <s v="S40000005"/>
    <x v="45"/>
    <n v="2"/>
    <n v="0"/>
    <n v="13"/>
    <n v="13"/>
    <n v="2"/>
    <n v="6"/>
    <n v="19"/>
  </r>
  <r>
    <x v="7"/>
    <x v="3"/>
    <s v="S92000003"/>
    <x v="46"/>
    <n v="13"/>
    <n v="5"/>
    <n v="0"/>
    <n v="1"/>
    <n v="21"/>
    <n v="20"/>
    <n v="30"/>
  </r>
  <r>
    <x v="8"/>
    <x v="0"/>
    <m/>
    <x v="19"/>
    <n v="0"/>
    <n v="0"/>
    <n v="35"/>
    <n v="103"/>
    <n v="0"/>
    <n v="0"/>
    <n v="16"/>
  </r>
  <r>
    <x v="8"/>
    <x v="0"/>
    <m/>
    <x v="20"/>
    <n v="0"/>
    <n v="0"/>
    <n v="5"/>
    <n v="18"/>
    <n v="0"/>
    <n v="0"/>
    <n v="5"/>
  </r>
  <r>
    <x v="8"/>
    <x v="0"/>
    <m/>
    <x v="26"/>
    <n v="0"/>
    <n v="0"/>
    <n v="5"/>
    <n v="16"/>
    <n v="0"/>
    <n v="0"/>
    <n v="5"/>
  </r>
  <r>
    <x v="8"/>
    <x v="0"/>
    <m/>
    <x v="21"/>
    <n v="0"/>
    <n v="0"/>
    <n v="8"/>
    <n v="28"/>
    <n v="0"/>
    <n v="0"/>
    <n v="10"/>
  </r>
  <r>
    <x v="8"/>
    <x v="0"/>
    <m/>
    <x v="1"/>
    <n v="0"/>
    <n v="0"/>
    <n v="10"/>
    <n v="35"/>
    <n v="0"/>
    <n v="0"/>
    <n v="5"/>
  </r>
  <r>
    <x v="8"/>
    <x v="0"/>
    <m/>
    <x v="27"/>
    <n v="0"/>
    <n v="0"/>
    <n v="35"/>
    <n v="119"/>
    <n v="0"/>
    <n v="0"/>
    <n v="20"/>
  </r>
  <r>
    <x v="8"/>
    <x v="0"/>
    <m/>
    <x v="2"/>
    <n v="0"/>
    <n v="0"/>
    <n v="10"/>
    <n v="31"/>
    <n v="0"/>
    <n v="0"/>
    <n v="5"/>
  </r>
  <r>
    <x v="8"/>
    <x v="0"/>
    <m/>
    <x v="29"/>
    <n v="0"/>
    <n v="0"/>
    <n v="13"/>
    <n v="46"/>
    <n v="0"/>
    <n v="0"/>
    <n v="16"/>
  </r>
  <r>
    <x v="8"/>
    <x v="0"/>
    <m/>
    <x v="4"/>
    <n v="0"/>
    <n v="0"/>
    <n v="7"/>
    <n v="30"/>
    <n v="0"/>
    <n v="0"/>
    <n v="10"/>
  </r>
  <r>
    <x v="8"/>
    <x v="0"/>
    <m/>
    <x v="30"/>
    <n v="0"/>
    <n v="0"/>
    <n v="106"/>
    <n v="332"/>
    <n v="0"/>
    <n v="0"/>
    <n v="55"/>
  </r>
  <r>
    <x v="8"/>
    <x v="0"/>
    <m/>
    <x v="7"/>
    <n v="0"/>
    <n v="0"/>
    <n v="15"/>
    <n v="50"/>
    <n v="0"/>
    <n v="0"/>
    <n v="5"/>
  </r>
  <r>
    <x v="8"/>
    <x v="0"/>
    <m/>
    <x v="8"/>
    <n v="0"/>
    <n v="0"/>
    <n v="12"/>
    <n v="46"/>
    <n v="0"/>
    <n v="0"/>
    <n v="10"/>
  </r>
  <r>
    <x v="8"/>
    <x v="0"/>
    <m/>
    <x v="10"/>
    <n v="0"/>
    <n v="0"/>
    <n v="5"/>
    <n v="20"/>
    <n v="0"/>
    <n v="0"/>
    <n v="5"/>
  </r>
  <r>
    <x v="8"/>
    <x v="0"/>
    <m/>
    <x v="11"/>
    <n v="0"/>
    <n v="0"/>
    <n v="14"/>
    <n v="46"/>
    <n v="0"/>
    <n v="0"/>
    <n v="14"/>
  </r>
  <r>
    <x v="8"/>
    <x v="0"/>
    <m/>
    <x v="28"/>
    <n v="0"/>
    <n v="0"/>
    <n v="37"/>
    <n v="100"/>
    <n v="0"/>
    <n v="0"/>
    <n v="19"/>
  </r>
  <r>
    <x v="8"/>
    <x v="0"/>
    <m/>
    <x v="13"/>
    <n v="0"/>
    <n v="0"/>
    <n v="9"/>
    <n v="53"/>
    <n v="0"/>
    <n v="0"/>
    <n v="4"/>
  </r>
  <r>
    <x v="8"/>
    <x v="0"/>
    <m/>
    <x v="23"/>
    <n v="0"/>
    <n v="0"/>
    <n v="19"/>
    <n v="63"/>
    <n v="0"/>
    <n v="0"/>
    <n v="17"/>
  </r>
  <r>
    <x v="8"/>
    <x v="0"/>
    <m/>
    <x v="16"/>
    <n v="0"/>
    <n v="0"/>
    <n v="10"/>
    <n v="32"/>
    <n v="0"/>
    <n v="0"/>
    <n v="5"/>
  </r>
  <r>
    <x v="8"/>
    <x v="0"/>
    <m/>
    <x v="17"/>
    <n v="0"/>
    <n v="0"/>
    <n v="36"/>
    <n v="99"/>
    <n v="0"/>
    <n v="0"/>
    <n v="20"/>
  </r>
  <r>
    <x v="8"/>
    <x v="0"/>
    <m/>
    <x v="18"/>
    <n v="0"/>
    <n v="0"/>
    <n v="1"/>
    <n v="0"/>
    <n v="0"/>
    <n v="0"/>
    <n v="0"/>
  </r>
  <r>
    <x v="8"/>
    <x v="0"/>
    <m/>
    <x v="24"/>
    <n v="0"/>
    <n v="0"/>
    <n v="11"/>
    <n v="47"/>
    <n v="0"/>
    <n v="0"/>
    <n v="11"/>
  </r>
  <r>
    <x v="8"/>
    <x v="0"/>
    <s v="S40000004"/>
    <x v="22"/>
    <n v="0"/>
    <n v="0"/>
    <n v="58"/>
    <n v="202"/>
    <n v="0"/>
    <n v="0"/>
    <n v="35"/>
  </r>
  <r>
    <x v="8"/>
    <x v="0"/>
    <s v="S40000004"/>
    <x v="0"/>
    <n v="0"/>
    <n v="0"/>
    <n v="4"/>
    <n v="15"/>
    <n v="0"/>
    <n v="0"/>
    <n v="5"/>
  </r>
  <r>
    <x v="8"/>
    <x v="0"/>
    <s v="S40000004"/>
    <x v="3"/>
    <n v="0"/>
    <n v="0"/>
    <n v="4"/>
    <n v="14"/>
    <n v="0"/>
    <n v="0"/>
    <n v="6"/>
  </r>
  <r>
    <x v="8"/>
    <x v="0"/>
    <s v="S40000004"/>
    <x v="6"/>
    <n v="0"/>
    <n v="0"/>
    <n v="19"/>
    <n v="53"/>
    <n v="0"/>
    <n v="0"/>
    <n v="15"/>
  </r>
  <r>
    <x v="8"/>
    <x v="0"/>
    <s v="S40000004"/>
    <x v="31"/>
    <n v="0"/>
    <n v="0"/>
    <n v="50"/>
    <n v="179"/>
    <n v="0"/>
    <n v="0"/>
    <n v="25"/>
  </r>
  <r>
    <x v="8"/>
    <x v="0"/>
    <s v="S40000004"/>
    <x v="9"/>
    <n v="0"/>
    <n v="0"/>
    <n v="4"/>
    <n v="17"/>
    <n v="0"/>
    <n v="0"/>
    <n v="5"/>
  </r>
  <r>
    <x v="8"/>
    <x v="0"/>
    <s v="S40000004"/>
    <x v="14"/>
    <n v="0"/>
    <n v="0"/>
    <n v="10"/>
    <n v="33"/>
    <n v="0"/>
    <n v="0"/>
    <n v="10"/>
  </r>
  <r>
    <x v="8"/>
    <x v="0"/>
    <s v="S40000004"/>
    <x v="18"/>
    <n v="0"/>
    <n v="0"/>
    <n v="10"/>
    <n v="33"/>
    <n v="0"/>
    <n v="0"/>
    <n v="5"/>
  </r>
  <r>
    <x v="8"/>
    <x v="0"/>
    <s v="S40000004"/>
    <x v="25"/>
    <n v="0"/>
    <n v="0"/>
    <n v="10"/>
    <n v="38"/>
    <n v="0"/>
    <n v="0"/>
    <n v="10"/>
  </r>
  <r>
    <x v="8"/>
    <x v="1"/>
    <m/>
    <x v="48"/>
    <n v="1"/>
    <n v="0"/>
    <n v="5"/>
    <n v="2"/>
    <n v="4"/>
    <n v="12"/>
    <n v="12"/>
  </r>
  <r>
    <x v="8"/>
    <x v="1"/>
    <m/>
    <x v="33"/>
    <n v="1"/>
    <n v="0"/>
    <n v="6"/>
    <n v="2"/>
    <n v="4"/>
    <n v="8"/>
    <n v="7"/>
  </r>
  <r>
    <x v="8"/>
    <x v="1"/>
    <m/>
    <x v="1"/>
    <n v="1"/>
    <n v="0"/>
    <n v="4"/>
    <n v="2"/>
    <n v="2"/>
    <n v="6"/>
    <n v="7"/>
  </r>
  <r>
    <x v="8"/>
    <x v="1"/>
    <m/>
    <x v="42"/>
    <n v="1"/>
    <n v="0"/>
    <n v="5"/>
    <n v="2"/>
    <n v="4"/>
    <n v="8"/>
    <n v="11"/>
  </r>
  <r>
    <x v="8"/>
    <x v="1"/>
    <m/>
    <x v="34"/>
    <n v="1"/>
    <n v="0"/>
    <n v="3"/>
    <n v="1"/>
    <n v="3"/>
    <n v="11"/>
    <n v="8"/>
  </r>
  <r>
    <x v="8"/>
    <x v="1"/>
    <m/>
    <x v="35"/>
    <n v="1"/>
    <n v="0"/>
    <n v="6"/>
    <n v="4"/>
    <n v="3"/>
    <n v="7"/>
    <n v="8"/>
  </r>
  <r>
    <x v="8"/>
    <x v="1"/>
    <m/>
    <x v="36"/>
    <n v="1"/>
    <n v="0"/>
    <n v="3"/>
    <n v="1"/>
    <n v="3"/>
    <n v="6"/>
    <n v="5"/>
  </r>
  <r>
    <x v="8"/>
    <x v="1"/>
    <m/>
    <x v="37"/>
    <n v="1"/>
    <n v="0"/>
    <n v="3"/>
    <n v="4"/>
    <n v="3"/>
    <n v="7"/>
    <n v="9"/>
  </r>
  <r>
    <x v="8"/>
    <x v="1"/>
    <m/>
    <x v="38"/>
    <n v="1"/>
    <n v="0"/>
    <n v="3"/>
    <n v="2"/>
    <n v="2"/>
    <n v="4"/>
    <n v="6"/>
  </r>
  <r>
    <x v="8"/>
    <x v="1"/>
    <m/>
    <x v="30"/>
    <n v="1"/>
    <n v="0"/>
    <n v="1"/>
    <n v="1"/>
    <n v="4"/>
    <n v="9"/>
    <n v="7"/>
  </r>
  <r>
    <x v="8"/>
    <x v="1"/>
    <m/>
    <x v="39"/>
    <n v="1"/>
    <n v="0"/>
    <n v="6"/>
    <n v="2"/>
    <n v="4"/>
    <n v="10"/>
    <n v="10"/>
  </r>
  <r>
    <x v="8"/>
    <x v="1"/>
    <m/>
    <x v="49"/>
    <n v="1"/>
    <n v="0"/>
    <n v="4"/>
    <n v="1"/>
    <n v="3"/>
    <n v="11"/>
    <n v="10"/>
  </r>
  <r>
    <x v="8"/>
    <x v="1"/>
    <m/>
    <x v="47"/>
    <n v="1"/>
    <n v="0"/>
    <n v="7"/>
    <n v="3"/>
    <n v="4"/>
    <n v="13"/>
    <n v="10"/>
  </r>
  <r>
    <x v="8"/>
    <x v="1"/>
    <m/>
    <x v="41"/>
    <n v="1"/>
    <n v="0"/>
    <n v="0"/>
    <n v="0"/>
    <n v="4"/>
    <n v="7"/>
    <n v="5"/>
  </r>
  <r>
    <x v="8"/>
    <x v="2"/>
    <m/>
    <x v="45"/>
    <n v="2"/>
    <n v="0"/>
    <n v="10"/>
    <n v="10"/>
    <n v="2"/>
    <n v="7"/>
    <n v="17"/>
  </r>
  <r>
    <x v="8"/>
    <x v="2"/>
    <m/>
    <x v="43"/>
    <n v="2"/>
    <n v="0"/>
    <n v="16"/>
    <n v="34"/>
    <n v="5"/>
    <n v="7"/>
    <n v="43"/>
  </r>
  <r>
    <x v="8"/>
    <x v="2"/>
    <s v="S40000004"/>
    <x v="44"/>
    <n v="1"/>
    <n v="0"/>
    <n v="6"/>
    <n v="21"/>
    <n v="2"/>
    <n v="5"/>
    <n v="31"/>
  </r>
  <r>
    <x v="8"/>
    <x v="3"/>
    <s v="S92000003"/>
    <x v="46"/>
    <n v="16"/>
    <n v="5"/>
    <n v="0"/>
    <n v="0"/>
    <n v="20"/>
    <n v="19"/>
    <n v="28"/>
  </r>
  <r>
    <x v="9"/>
    <x v="0"/>
    <m/>
    <x v="19"/>
    <n v="0"/>
    <n v="0"/>
    <n v="32"/>
    <n v="103"/>
    <n v="0"/>
    <n v="0"/>
    <n v="20"/>
  </r>
  <r>
    <x v="9"/>
    <x v="0"/>
    <m/>
    <x v="20"/>
    <n v="0"/>
    <n v="0"/>
    <n v="5"/>
    <n v="18"/>
    <n v="0"/>
    <n v="0"/>
    <n v="5"/>
  </r>
  <r>
    <x v="9"/>
    <x v="0"/>
    <m/>
    <x v="26"/>
    <n v="0"/>
    <n v="0"/>
    <n v="5"/>
    <n v="14"/>
    <n v="0"/>
    <n v="0"/>
    <n v="5"/>
  </r>
  <r>
    <x v="9"/>
    <x v="0"/>
    <m/>
    <x v="21"/>
    <n v="0"/>
    <n v="0"/>
    <n v="11"/>
    <n v="29"/>
    <n v="0"/>
    <n v="0"/>
    <n v="10"/>
  </r>
  <r>
    <x v="9"/>
    <x v="0"/>
    <m/>
    <x v="1"/>
    <n v="0"/>
    <n v="0"/>
    <n v="9"/>
    <n v="37"/>
    <n v="0"/>
    <n v="0"/>
    <n v="5"/>
  </r>
  <r>
    <x v="9"/>
    <x v="0"/>
    <m/>
    <x v="27"/>
    <n v="0"/>
    <n v="0"/>
    <n v="37"/>
    <n v="112"/>
    <n v="0"/>
    <n v="0"/>
    <n v="20"/>
  </r>
  <r>
    <x v="9"/>
    <x v="0"/>
    <m/>
    <x v="2"/>
    <n v="0"/>
    <n v="0"/>
    <n v="8"/>
    <n v="34"/>
    <n v="0"/>
    <n v="0"/>
    <n v="5"/>
  </r>
  <r>
    <x v="9"/>
    <x v="0"/>
    <m/>
    <x v="29"/>
    <n v="0"/>
    <n v="0"/>
    <n v="12"/>
    <n v="44"/>
    <n v="0"/>
    <n v="0"/>
    <n v="15"/>
  </r>
  <r>
    <x v="9"/>
    <x v="0"/>
    <m/>
    <x v="4"/>
    <n v="0"/>
    <n v="0"/>
    <n v="10"/>
    <n v="27"/>
    <n v="0"/>
    <n v="0"/>
    <n v="10"/>
  </r>
  <r>
    <x v="9"/>
    <x v="0"/>
    <m/>
    <x v="30"/>
    <n v="0"/>
    <n v="0"/>
    <n v="108"/>
    <n v="317"/>
    <n v="0"/>
    <n v="0"/>
    <n v="66"/>
  </r>
  <r>
    <x v="9"/>
    <x v="0"/>
    <m/>
    <x v="7"/>
    <n v="0"/>
    <n v="0"/>
    <n v="7"/>
    <n v="0"/>
    <n v="0"/>
    <n v="0"/>
    <n v="4"/>
  </r>
  <r>
    <x v="9"/>
    <x v="0"/>
    <m/>
    <x v="7"/>
    <n v="0"/>
    <n v="0"/>
    <n v="16"/>
    <n v="51"/>
    <n v="0"/>
    <n v="0"/>
    <n v="6"/>
  </r>
  <r>
    <x v="9"/>
    <x v="0"/>
    <m/>
    <x v="8"/>
    <n v="0"/>
    <n v="0"/>
    <n v="14"/>
    <n v="43"/>
    <n v="0"/>
    <n v="0"/>
    <n v="10"/>
  </r>
  <r>
    <x v="9"/>
    <x v="0"/>
    <m/>
    <x v="10"/>
    <n v="0"/>
    <n v="0"/>
    <n v="4"/>
    <n v="20"/>
    <n v="0"/>
    <n v="0"/>
    <n v="5"/>
  </r>
  <r>
    <x v="9"/>
    <x v="0"/>
    <m/>
    <x v="5"/>
    <n v="0"/>
    <n v="0"/>
    <n v="0"/>
    <n v="0"/>
    <n v="0"/>
    <n v="0"/>
    <n v="3"/>
  </r>
  <r>
    <x v="9"/>
    <x v="0"/>
    <m/>
    <x v="11"/>
    <n v="0"/>
    <n v="0"/>
    <n v="16"/>
    <n v="44"/>
    <n v="0"/>
    <n v="0"/>
    <n v="15"/>
  </r>
  <r>
    <x v="9"/>
    <x v="0"/>
    <m/>
    <x v="28"/>
    <n v="0"/>
    <n v="0"/>
    <n v="36"/>
    <n v="102"/>
    <n v="0"/>
    <n v="0"/>
    <n v="21"/>
  </r>
  <r>
    <x v="9"/>
    <x v="0"/>
    <m/>
    <x v="12"/>
    <n v="0"/>
    <n v="0"/>
    <n v="0"/>
    <n v="0"/>
    <n v="0"/>
    <n v="0"/>
    <n v="1"/>
  </r>
  <r>
    <x v="9"/>
    <x v="0"/>
    <m/>
    <x v="13"/>
    <n v="0"/>
    <n v="0"/>
    <n v="11"/>
    <n v="53"/>
    <n v="0"/>
    <n v="0"/>
    <n v="5"/>
  </r>
  <r>
    <x v="9"/>
    <x v="0"/>
    <m/>
    <x v="23"/>
    <n v="0"/>
    <n v="0"/>
    <n v="20"/>
    <n v="60"/>
    <n v="0"/>
    <n v="0"/>
    <n v="15"/>
  </r>
  <r>
    <x v="9"/>
    <x v="0"/>
    <m/>
    <x v="15"/>
    <n v="0"/>
    <n v="0"/>
    <n v="0"/>
    <n v="0"/>
    <n v="0"/>
    <n v="0"/>
    <n v="1"/>
  </r>
  <r>
    <x v="9"/>
    <x v="0"/>
    <m/>
    <x v="16"/>
    <n v="0"/>
    <n v="0"/>
    <n v="9"/>
    <n v="34"/>
    <n v="0"/>
    <n v="0"/>
    <n v="5"/>
  </r>
  <r>
    <x v="9"/>
    <x v="0"/>
    <m/>
    <x v="17"/>
    <n v="0"/>
    <n v="0"/>
    <n v="35"/>
    <n v="109"/>
    <n v="0"/>
    <n v="0"/>
    <n v="20"/>
  </r>
  <r>
    <x v="9"/>
    <x v="0"/>
    <m/>
    <x v="24"/>
    <n v="0"/>
    <n v="0"/>
    <n v="15"/>
    <n v="43"/>
    <n v="0"/>
    <n v="0"/>
    <n v="10"/>
  </r>
  <r>
    <x v="9"/>
    <x v="0"/>
    <m/>
    <x v="25"/>
    <n v="0"/>
    <n v="0"/>
    <n v="0"/>
    <n v="0"/>
    <n v="0"/>
    <n v="0"/>
    <n v="2"/>
  </r>
  <r>
    <x v="9"/>
    <x v="0"/>
    <s v="S40000004"/>
    <x v="22"/>
    <n v="0"/>
    <n v="0"/>
    <n v="53"/>
    <n v="192"/>
    <n v="0"/>
    <n v="0"/>
    <n v="38"/>
  </r>
  <r>
    <x v="9"/>
    <x v="0"/>
    <s v="S40000004"/>
    <x v="0"/>
    <n v="0"/>
    <n v="0"/>
    <n v="6"/>
    <n v="14"/>
    <n v="0"/>
    <n v="0"/>
    <n v="5"/>
  </r>
  <r>
    <x v="9"/>
    <x v="0"/>
    <s v="S40000004"/>
    <x v="3"/>
    <n v="0"/>
    <n v="0"/>
    <n v="4"/>
    <n v="15"/>
    <n v="0"/>
    <n v="0"/>
    <n v="5"/>
  </r>
  <r>
    <x v="9"/>
    <x v="0"/>
    <s v="S40000004"/>
    <x v="6"/>
    <n v="0"/>
    <n v="0"/>
    <n v="19"/>
    <n v="50"/>
    <n v="0"/>
    <n v="0"/>
    <n v="15"/>
  </r>
  <r>
    <x v="9"/>
    <x v="0"/>
    <s v="S40000004"/>
    <x v="31"/>
    <n v="0"/>
    <n v="0"/>
    <n v="51"/>
    <n v="163"/>
    <n v="0"/>
    <n v="0"/>
    <n v="25"/>
  </r>
  <r>
    <x v="9"/>
    <x v="0"/>
    <s v="S40000004"/>
    <x v="9"/>
    <n v="0"/>
    <n v="0"/>
    <n v="4"/>
    <n v="15"/>
    <n v="0"/>
    <n v="0"/>
    <n v="6"/>
  </r>
  <r>
    <x v="9"/>
    <x v="0"/>
    <s v="S40000004"/>
    <x v="14"/>
    <n v="0"/>
    <n v="0"/>
    <n v="9"/>
    <n v="37"/>
    <n v="0"/>
    <n v="0"/>
    <n v="10"/>
  </r>
  <r>
    <x v="9"/>
    <x v="0"/>
    <s v="S40000004"/>
    <x v="18"/>
    <n v="0"/>
    <n v="0"/>
    <n v="9"/>
    <n v="32"/>
    <n v="0"/>
    <n v="0"/>
    <n v="5"/>
  </r>
  <r>
    <x v="9"/>
    <x v="0"/>
    <s v="S40000004"/>
    <x v="25"/>
    <n v="0"/>
    <n v="0"/>
    <n v="10"/>
    <n v="37"/>
    <n v="0"/>
    <n v="0"/>
    <n v="10"/>
  </r>
  <r>
    <x v="9"/>
    <x v="1"/>
    <m/>
    <x v="48"/>
    <n v="1"/>
    <n v="0"/>
    <n v="0"/>
    <n v="0"/>
    <n v="4"/>
    <n v="10"/>
    <n v="9"/>
  </r>
  <r>
    <x v="9"/>
    <x v="1"/>
    <m/>
    <x v="33"/>
    <n v="1"/>
    <n v="0"/>
    <n v="6"/>
    <n v="2"/>
    <n v="4"/>
    <n v="10"/>
    <n v="7"/>
  </r>
  <r>
    <x v="9"/>
    <x v="1"/>
    <m/>
    <x v="1"/>
    <n v="1"/>
    <n v="0"/>
    <n v="4"/>
    <n v="2"/>
    <n v="2"/>
    <n v="6"/>
    <n v="3"/>
  </r>
  <r>
    <x v="9"/>
    <x v="1"/>
    <m/>
    <x v="42"/>
    <n v="1"/>
    <n v="0"/>
    <n v="0"/>
    <n v="2"/>
    <n v="4"/>
    <n v="7"/>
    <n v="9"/>
  </r>
  <r>
    <x v="9"/>
    <x v="1"/>
    <m/>
    <x v="34"/>
    <n v="1"/>
    <n v="0"/>
    <n v="4"/>
    <n v="0"/>
    <n v="4"/>
    <n v="10"/>
    <n v="7"/>
  </r>
  <r>
    <x v="9"/>
    <x v="1"/>
    <m/>
    <x v="35"/>
    <n v="1"/>
    <n v="0"/>
    <n v="6"/>
    <n v="4"/>
    <n v="4"/>
    <n v="6"/>
    <n v="11"/>
  </r>
  <r>
    <x v="9"/>
    <x v="1"/>
    <m/>
    <x v="36"/>
    <n v="1"/>
    <n v="0"/>
    <n v="4"/>
    <n v="1"/>
    <n v="3"/>
    <n v="6"/>
    <n v="4"/>
  </r>
  <r>
    <x v="9"/>
    <x v="1"/>
    <m/>
    <x v="37"/>
    <n v="1"/>
    <n v="0"/>
    <n v="3"/>
    <n v="3"/>
    <n v="3"/>
    <n v="8"/>
    <n v="8"/>
  </r>
  <r>
    <x v="9"/>
    <x v="1"/>
    <m/>
    <x v="38"/>
    <n v="1"/>
    <n v="0"/>
    <n v="4"/>
    <n v="1"/>
    <n v="1"/>
    <n v="6"/>
    <n v="6"/>
  </r>
  <r>
    <x v="9"/>
    <x v="1"/>
    <m/>
    <x v="30"/>
    <n v="1"/>
    <n v="0"/>
    <n v="2"/>
    <n v="1"/>
    <n v="4"/>
    <n v="9"/>
    <n v="6"/>
  </r>
  <r>
    <x v="9"/>
    <x v="1"/>
    <m/>
    <x v="39"/>
    <n v="1"/>
    <n v="0"/>
    <n v="0"/>
    <n v="1"/>
    <n v="4"/>
    <n v="10"/>
    <n v="4"/>
  </r>
  <r>
    <x v="9"/>
    <x v="1"/>
    <m/>
    <x v="49"/>
    <n v="1"/>
    <n v="0"/>
    <n v="4"/>
    <n v="1"/>
    <n v="3"/>
    <n v="8"/>
    <n v="10"/>
  </r>
  <r>
    <x v="9"/>
    <x v="1"/>
    <m/>
    <x v="47"/>
    <n v="1"/>
    <n v="0"/>
    <n v="6"/>
    <n v="2"/>
    <n v="4"/>
    <n v="10"/>
    <n v="8"/>
  </r>
  <r>
    <x v="9"/>
    <x v="1"/>
    <m/>
    <x v="41"/>
    <n v="0"/>
    <n v="0"/>
    <n v="0"/>
    <n v="0"/>
    <n v="1"/>
    <n v="0"/>
    <n v="0"/>
  </r>
  <r>
    <x v="9"/>
    <x v="1"/>
    <m/>
    <x v="41"/>
    <n v="1"/>
    <n v="0"/>
    <n v="0"/>
    <n v="0"/>
    <n v="3"/>
    <n v="5"/>
    <n v="0"/>
  </r>
  <r>
    <x v="9"/>
    <x v="2"/>
    <m/>
    <x v="45"/>
    <n v="2"/>
    <n v="0"/>
    <n v="12"/>
    <n v="25"/>
    <n v="3"/>
    <n v="6"/>
    <n v="22"/>
  </r>
  <r>
    <x v="9"/>
    <x v="2"/>
    <m/>
    <x v="43"/>
    <n v="2"/>
    <n v="0"/>
    <n v="10"/>
    <n v="48"/>
    <n v="5"/>
    <n v="11"/>
    <n v="43"/>
  </r>
  <r>
    <x v="9"/>
    <x v="2"/>
    <s v="S40000004"/>
    <x v="44"/>
    <n v="1"/>
    <n v="0"/>
    <n v="4"/>
    <n v="30"/>
    <n v="3"/>
    <n v="4"/>
    <n v="25"/>
  </r>
  <r>
    <x v="9"/>
    <x v="3"/>
    <s v="S92000003"/>
    <x v="46"/>
    <n v="12"/>
    <n v="5"/>
    <n v="1"/>
    <n v="0"/>
    <n v="19"/>
    <n v="16"/>
    <n v="16"/>
  </r>
  <r>
    <x v="10"/>
    <x v="0"/>
    <m/>
    <x v="19"/>
    <n v="0"/>
    <n v="0"/>
    <n v="34"/>
    <n v="106"/>
    <n v="0"/>
    <n v="0"/>
    <n v="22"/>
  </r>
  <r>
    <x v="10"/>
    <x v="0"/>
    <m/>
    <x v="20"/>
    <n v="0"/>
    <n v="0"/>
    <n v="6"/>
    <n v="17"/>
    <n v="0"/>
    <n v="0"/>
    <n v="5"/>
  </r>
  <r>
    <x v="10"/>
    <x v="0"/>
    <m/>
    <x v="26"/>
    <n v="0"/>
    <n v="0"/>
    <n v="5"/>
    <n v="17"/>
    <n v="0"/>
    <n v="0"/>
    <n v="5"/>
  </r>
  <r>
    <x v="10"/>
    <x v="0"/>
    <m/>
    <x v="21"/>
    <n v="0"/>
    <n v="0"/>
    <n v="10"/>
    <n v="34"/>
    <n v="0"/>
    <n v="0"/>
    <n v="11"/>
  </r>
  <r>
    <x v="10"/>
    <x v="0"/>
    <m/>
    <x v="1"/>
    <n v="0"/>
    <n v="0"/>
    <n v="10"/>
    <n v="38"/>
    <n v="0"/>
    <n v="0"/>
    <n v="5"/>
  </r>
  <r>
    <x v="10"/>
    <x v="0"/>
    <m/>
    <x v="27"/>
    <n v="0"/>
    <n v="0"/>
    <n v="30"/>
    <n v="118"/>
    <n v="0"/>
    <n v="0"/>
    <n v="20"/>
  </r>
  <r>
    <x v="10"/>
    <x v="0"/>
    <m/>
    <x v="2"/>
    <n v="0"/>
    <n v="0"/>
    <n v="10"/>
    <n v="32"/>
    <n v="0"/>
    <n v="0"/>
    <n v="6"/>
  </r>
  <r>
    <x v="10"/>
    <x v="0"/>
    <m/>
    <x v="29"/>
    <n v="0"/>
    <n v="0"/>
    <n v="15"/>
    <n v="46"/>
    <n v="0"/>
    <n v="0"/>
    <n v="15"/>
  </r>
  <r>
    <x v="10"/>
    <x v="0"/>
    <m/>
    <x v="4"/>
    <n v="0"/>
    <n v="0"/>
    <n v="10"/>
    <n v="33"/>
    <n v="0"/>
    <n v="0"/>
    <n v="10"/>
  </r>
  <r>
    <x v="10"/>
    <x v="0"/>
    <m/>
    <x v="30"/>
    <n v="0"/>
    <n v="0"/>
    <n v="94"/>
    <n v="302"/>
    <n v="0"/>
    <n v="0"/>
    <n v="67"/>
  </r>
  <r>
    <x v="10"/>
    <x v="0"/>
    <m/>
    <x v="7"/>
    <n v="0"/>
    <n v="0"/>
    <n v="20"/>
    <n v="52"/>
    <n v="0"/>
    <n v="0"/>
    <n v="8"/>
  </r>
  <r>
    <x v="10"/>
    <x v="0"/>
    <m/>
    <x v="8"/>
    <n v="0"/>
    <n v="0"/>
    <n v="14"/>
    <n v="39"/>
    <n v="0"/>
    <n v="0"/>
    <n v="10"/>
  </r>
  <r>
    <x v="10"/>
    <x v="0"/>
    <m/>
    <x v="10"/>
    <n v="0"/>
    <n v="0"/>
    <n v="4"/>
    <n v="21"/>
    <n v="0"/>
    <n v="0"/>
    <n v="5"/>
  </r>
  <r>
    <x v="10"/>
    <x v="0"/>
    <m/>
    <x v="5"/>
    <n v="0"/>
    <n v="0"/>
    <n v="0"/>
    <n v="0"/>
    <n v="0"/>
    <n v="0"/>
    <n v="3"/>
  </r>
  <r>
    <x v="10"/>
    <x v="0"/>
    <m/>
    <x v="11"/>
    <n v="0"/>
    <n v="0"/>
    <n v="16"/>
    <n v="54"/>
    <n v="0"/>
    <n v="0"/>
    <n v="15"/>
  </r>
  <r>
    <x v="10"/>
    <x v="0"/>
    <m/>
    <x v="28"/>
    <n v="0"/>
    <n v="0"/>
    <n v="36"/>
    <n v="112"/>
    <n v="0"/>
    <n v="0"/>
    <n v="21"/>
  </r>
  <r>
    <x v="10"/>
    <x v="0"/>
    <m/>
    <x v="13"/>
    <n v="0"/>
    <n v="0"/>
    <n v="12"/>
    <n v="49"/>
    <n v="0"/>
    <n v="0"/>
    <n v="5"/>
  </r>
  <r>
    <x v="10"/>
    <x v="0"/>
    <m/>
    <x v="23"/>
    <n v="0"/>
    <n v="0"/>
    <n v="21"/>
    <n v="66"/>
    <n v="0"/>
    <n v="0"/>
    <n v="15"/>
  </r>
  <r>
    <x v="10"/>
    <x v="0"/>
    <m/>
    <x v="15"/>
    <n v="0"/>
    <n v="0"/>
    <n v="0"/>
    <n v="0"/>
    <n v="0"/>
    <n v="0"/>
    <n v="1"/>
  </r>
  <r>
    <x v="10"/>
    <x v="0"/>
    <m/>
    <x v="16"/>
    <n v="0"/>
    <n v="0"/>
    <n v="10"/>
    <n v="36"/>
    <n v="0"/>
    <n v="0"/>
    <n v="6"/>
  </r>
  <r>
    <x v="10"/>
    <x v="0"/>
    <m/>
    <x v="17"/>
    <n v="0"/>
    <n v="0"/>
    <n v="30"/>
    <n v="111"/>
    <n v="0"/>
    <n v="0"/>
    <n v="20"/>
  </r>
  <r>
    <x v="10"/>
    <x v="0"/>
    <m/>
    <x v="24"/>
    <n v="0"/>
    <n v="0"/>
    <n v="13"/>
    <n v="51"/>
    <n v="0"/>
    <n v="0"/>
    <n v="11"/>
  </r>
  <r>
    <x v="10"/>
    <x v="0"/>
    <s v="S40000004"/>
    <x v="22"/>
    <n v="0"/>
    <n v="0"/>
    <n v="59"/>
    <n v="199"/>
    <n v="0"/>
    <n v="0"/>
    <n v="35"/>
  </r>
  <r>
    <x v="10"/>
    <x v="0"/>
    <s v="S40000004"/>
    <x v="0"/>
    <n v="0"/>
    <n v="0"/>
    <n v="5"/>
    <n v="16"/>
    <n v="0"/>
    <n v="0"/>
    <n v="6"/>
  </r>
  <r>
    <x v="10"/>
    <x v="0"/>
    <s v="S40000004"/>
    <x v="3"/>
    <n v="0"/>
    <n v="0"/>
    <n v="5"/>
    <n v="15"/>
    <n v="0"/>
    <n v="0"/>
    <n v="5"/>
  </r>
  <r>
    <x v="10"/>
    <x v="0"/>
    <s v="S40000004"/>
    <x v="6"/>
    <n v="0"/>
    <n v="0"/>
    <n v="20"/>
    <n v="56"/>
    <n v="0"/>
    <n v="0"/>
    <n v="15"/>
  </r>
  <r>
    <x v="10"/>
    <x v="0"/>
    <s v="S40000004"/>
    <x v="31"/>
    <n v="0"/>
    <n v="0"/>
    <n v="43"/>
    <n v="146"/>
    <n v="0"/>
    <n v="0"/>
    <n v="27"/>
  </r>
  <r>
    <x v="10"/>
    <x v="0"/>
    <s v="S40000004"/>
    <x v="9"/>
    <n v="0"/>
    <n v="0"/>
    <n v="7"/>
    <n v="16"/>
    <n v="0"/>
    <n v="0"/>
    <n v="6"/>
  </r>
  <r>
    <x v="10"/>
    <x v="0"/>
    <s v="S40000004"/>
    <x v="14"/>
    <n v="0"/>
    <n v="0"/>
    <n v="9"/>
    <n v="38"/>
    <n v="0"/>
    <n v="0"/>
    <n v="10"/>
  </r>
  <r>
    <x v="10"/>
    <x v="0"/>
    <s v="S40000004"/>
    <x v="18"/>
    <n v="0"/>
    <n v="0"/>
    <n v="10"/>
    <n v="34"/>
    <n v="0"/>
    <n v="0"/>
    <n v="5"/>
  </r>
  <r>
    <x v="10"/>
    <x v="0"/>
    <s v="S40000004"/>
    <x v="25"/>
    <n v="0"/>
    <n v="0"/>
    <n v="11"/>
    <n v="39"/>
    <n v="0"/>
    <n v="0"/>
    <n v="13"/>
  </r>
  <r>
    <x v="10"/>
    <x v="1"/>
    <m/>
    <x v="48"/>
    <n v="1"/>
    <n v="0"/>
    <n v="0"/>
    <n v="0"/>
    <n v="4"/>
    <n v="11"/>
    <n v="6"/>
  </r>
  <r>
    <x v="10"/>
    <x v="1"/>
    <m/>
    <x v="33"/>
    <n v="1"/>
    <n v="0"/>
    <n v="6"/>
    <n v="2"/>
    <n v="4"/>
    <n v="9"/>
    <n v="6"/>
  </r>
  <r>
    <x v="10"/>
    <x v="1"/>
    <m/>
    <x v="1"/>
    <n v="1"/>
    <n v="0"/>
    <n v="5"/>
    <n v="2"/>
    <n v="2"/>
    <n v="5"/>
    <n v="7"/>
  </r>
  <r>
    <x v="10"/>
    <x v="1"/>
    <m/>
    <x v="42"/>
    <n v="2"/>
    <n v="0"/>
    <n v="0"/>
    <n v="0"/>
    <n v="4"/>
    <n v="8"/>
    <n v="9"/>
  </r>
  <r>
    <x v="10"/>
    <x v="1"/>
    <m/>
    <x v="34"/>
    <n v="1"/>
    <n v="0"/>
    <n v="5"/>
    <n v="0"/>
    <n v="3"/>
    <n v="9"/>
    <n v="7"/>
  </r>
  <r>
    <x v="10"/>
    <x v="1"/>
    <m/>
    <x v="35"/>
    <n v="1"/>
    <n v="0"/>
    <n v="3"/>
    <n v="4"/>
    <n v="3"/>
    <n v="6"/>
    <n v="9"/>
  </r>
  <r>
    <x v="10"/>
    <x v="1"/>
    <m/>
    <x v="36"/>
    <n v="1"/>
    <n v="0"/>
    <n v="3"/>
    <n v="1"/>
    <n v="3"/>
    <n v="6"/>
    <n v="4"/>
  </r>
  <r>
    <x v="10"/>
    <x v="1"/>
    <m/>
    <x v="37"/>
    <n v="1"/>
    <n v="0"/>
    <n v="4"/>
    <n v="3"/>
    <n v="3"/>
    <n v="7"/>
    <n v="9"/>
  </r>
  <r>
    <x v="10"/>
    <x v="1"/>
    <m/>
    <x v="38"/>
    <n v="1"/>
    <n v="0"/>
    <n v="3"/>
    <n v="1"/>
    <n v="2"/>
    <n v="6"/>
    <n v="6"/>
  </r>
  <r>
    <x v="10"/>
    <x v="1"/>
    <m/>
    <x v="30"/>
    <n v="1"/>
    <n v="0"/>
    <n v="2"/>
    <n v="1"/>
    <n v="4"/>
    <n v="8"/>
    <n v="7"/>
  </r>
  <r>
    <x v="10"/>
    <x v="1"/>
    <m/>
    <x v="39"/>
    <n v="1"/>
    <n v="0"/>
    <n v="1"/>
    <n v="1"/>
    <n v="4"/>
    <n v="12"/>
    <n v="4"/>
  </r>
  <r>
    <x v="10"/>
    <x v="1"/>
    <m/>
    <x v="49"/>
    <n v="1"/>
    <n v="0"/>
    <n v="3"/>
    <n v="1"/>
    <n v="3"/>
    <n v="10"/>
    <n v="9"/>
  </r>
  <r>
    <x v="10"/>
    <x v="1"/>
    <m/>
    <x v="47"/>
    <n v="1"/>
    <n v="0"/>
    <n v="7"/>
    <n v="2"/>
    <n v="4"/>
    <n v="9"/>
    <n v="10"/>
  </r>
  <r>
    <x v="10"/>
    <x v="1"/>
    <m/>
    <x v="41"/>
    <n v="0"/>
    <n v="0"/>
    <n v="0"/>
    <n v="0"/>
    <n v="1"/>
    <n v="0"/>
    <n v="0"/>
  </r>
  <r>
    <x v="10"/>
    <x v="1"/>
    <m/>
    <x v="41"/>
    <n v="1"/>
    <n v="0"/>
    <n v="0"/>
    <n v="0"/>
    <n v="3"/>
    <n v="6"/>
    <n v="0"/>
  </r>
  <r>
    <x v="10"/>
    <x v="2"/>
    <m/>
    <x v="45"/>
    <n v="2"/>
    <n v="0"/>
    <n v="17"/>
    <n v="0"/>
    <n v="2"/>
    <n v="8"/>
    <n v="23"/>
  </r>
  <r>
    <x v="10"/>
    <x v="2"/>
    <m/>
    <x v="43"/>
    <n v="2"/>
    <n v="0"/>
    <n v="8"/>
    <n v="1"/>
    <n v="4"/>
    <n v="7"/>
    <n v="38"/>
  </r>
  <r>
    <x v="10"/>
    <x v="2"/>
    <s v="S40000004"/>
    <x v="44"/>
    <n v="1"/>
    <n v="0"/>
    <n v="3"/>
    <n v="0"/>
    <n v="2"/>
    <n v="5"/>
    <n v="18"/>
  </r>
  <r>
    <x v="10"/>
    <x v="3"/>
    <s v="S92000003"/>
    <x v="46"/>
    <n v="11"/>
    <n v="5"/>
    <n v="1"/>
    <n v="0"/>
    <n v="16"/>
    <n v="24"/>
    <n v="27"/>
  </r>
  <r>
    <x v="11"/>
    <x v="0"/>
    <m/>
    <x v="19"/>
    <n v="0"/>
    <n v="0"/>
    <n v="35"/>
    <n v="102"/>
    <n v="0"/>
    <n v="0"/>
    <n v="20"/>
  </r>
  <r>
    <x v="11"/>
    <x v="0"/>
    <m/>
    <x v="20"/>
    <n v="0"/>
    <n v="0"/>
    <n v="6"/>
    <n v="20"/>
    <n v="0"/>
    <n v="0"/>
    <n v="5"/>
  </r>
  <r>
    <x v="11"/>
    <x v="0"/>
    <m/>
    <x v="26"/>
    <n v="0"/>
    <n v="0"/>
    <n v="5"/>
    <n v="15"/>
    <n v="0"/>
    <n v="0"/>
    <n v="6"/>
  </r>
  <r>
    <x v="11"/>
    <x v="0"/>
    <m/>
    <x v="21"/>
    <n v="0"/>
    <n v="0"/>
    <n v="10"/>
    <n v="32"/>
    <n v="0"/>
    <n v="0"/>
    <n v="11"/>
  </r>
  <r>
    <x v="11"/>
    <x v="0"/>
    <m/>
    <x v="1"/>
    <n v="0"/>
    <n v="0"/>
    <n v="9"/>
    <n v="37"/>
    <n v="0"/>
    <n v="0"/>
    <n v="6"/>
  </r>
  <r>
    <x v="11"/>
    <x v="0"/>
    <m/>
    <x v="27"/>
    <n v="0"/>
    <n v="0"/>
    <n v="29"/>
    <n v="112"/>
    <n v="0"/>
    <n v="0"/>
    <n v="21"/>
  </r>
  <r>
    <x v="11"/>
    <x v="0"/>
    <m/>
    <x v="2"/>
    <n v="0"/>
    <n v="0"/>
    <n v="10"/>
    <n v="39"/>
    <n v="0"/>
    <n v="0"/>
    <n v="6"/>
  </r>
  <r>
    <x v="11"/>
    <x v="0"/>
    <m/>
    <x v="29"/>
    <n v="0"/>
    <n v="0"/>
    <n v="14"/>
    <n v="46"/>
    <n v="0"/>
    <n v="0"/>
    <n v="15"/>
  </r>
  <r>
    <x v="11"/>
    <x v="0"/>
    <m/>
    <x v="4"/>
    <n v="0"/>
    <n v="0"/>
    <n v="10"/>
    <n v="32"/>
    <n v="0"/>
    <n v="0"/>
    <n v="10"/>
  </r>
  <r>
    <x v="11"/>
    <x v="0"/>
    <m/>
    <x v="30"/>
    <n v="0"/>
    <n v="0"/>
    <n v="91"/>
    <n v="290"/>
    <n v="0"/>
    <n v="0"/>
    <n v="67"/>
  </r>
  <r>
    <x v="11"/>
    <x v="0"/>
    <m/>
    <x v="7"/>
    <n v="0"/>
    <n v="0"/>
    <n v="17"/>
    <n v="51"/>
    <n v="0"/>
    <n v="0"/>
    <n v="5"/>
  </r>
  <r>
    <x v="11"/>
    <x v="0"/>
    <m/>
    <x v="8"/>
    <n v="0"/>
    <n v="0"/>
    <n v="15"/>
    <n v="39"/>
    <n v="0"/>
    <n v="0"/>
    <n v="10"/>
  </r>
  <r>
    <x v="11"/>
    <x v="0"/>
    <m/>
    <x v="9"/>
    <n v="0"/>
    <n v="0"/>
    <n v="0"/>
    <n v="1"/>
    <n v="0"/>
    <n v="0"/>
    <n v="0"/>
  </r>
  <r>
    <x v="11"/>
    <x v="0"/>
    <m/>
    <x v="10"/>
    <n v="0"/>
    <n v="0"/>
    <n v="5"/>
    <n v="20"/>
    <n v="0"/>
    <n v="0"/>
    <n v="5"/>
  </r>
  <r>
    <x v="11"/>
    <x v="0"/>
    <m/>
    <x v="5"/>
    <n v="0"/>
    <n v="0"/>
    <n v="0"/>
    <n v="0"/>
    <n v="0"/>
    <n v="0"/>
    <n v="3"/>
  </r>
  <r>
    <x v="11"/>
    <x v="0"/>
    <m/>
    <x v="11"/>
    <n v="0"/>
    <n v="0"/>
    <n v="15"/>
    <n v="42"/>
    <n v="0"/>
    <n v="0"/>
    <n v="15"/>
  </r>
  <r>
    <x v="11"/>
    <x v="0"/>
    <m/>
    <x v="28"/>
    <n v="0"/>
    <n v="0"/>
    <n v="31"/>
    <n v="112"/>
    <n v="0"/>
    <n v="0"/>
    <n v="20"/>
  </r>
  <r>
    <x v="11"/>
    <x v="0"/>
    <m/>
    <x v="13"/>
    <n v="0"/>
    <n v="0"/>
    <n v="11"/>
    <n v="43"/>
    <n v="0"/>
    <n v="0"/>
    <n v="5"/>
  </r>
  <r>
    <x v="11"/>
    <x v="0"/>
    <m/>
    <x v="23"/>
    <n v="0"/>
    <n v="0"/>
    <n v="21"/>
    <n v="66"/>
    <n v="0"/>
    <n v="0"/>
    <n v="15"/>
  </r>
  <r>
    <x v="11"/>
    <x v="0"/>
    <m/>
    <x v="16"/>
    <n v="0"/>
    <n v="0"/>
    <n v="11"/>
    <n v="36"/>
    <n v="0"/>
    <n v="0"/>
    <n v="6"/>
  </r>
  <r>
    <x v="11"/>
    <x v="0"/>
    <m/>
    <x v="17"/>
    <n v="0"/>
    <n v="0"/>
    <n v="28"/>
    <n v="108"/>
    <n v="0"/>
    <n v="0"/>
    <n v="19"/>
  </r>
  <r>
    <x v="11"/>
    <x v="0"/>
    <m/>
    <x v="24"/>
    <n v="0"/>
    <n v="0"/>
    <n v="15"/>
    <n v="50"/>
    <n v="0"/>
    <n v="0"/>
    <n v="10"/>
  </r>
  <r>
    <x v="11"/>
    <x v="0"/>
    <s v="S40000004"/>
    <x v="22"/>
    <n v="0"/>
    <n v="0"/>
    <n v="56"/>
    <n v="198"/>
    <n v="0"/>
    <n v="0"/>
    <n v="34"/>
  </r>
  <r>
    <x v="11"/>
    <x v="0"/>
    <s v="S40000004"/>
    <x v="0"/>
    <n v="0"/>
    <n v="0"/>
    <n v="5"/>
    <n v="16"/>
    <n v="0"/>
    <n v="0"/>
    <n v="5"/>
  </r>
  <r>
    <x v="11"/>
    <x v="0"/>
    <s v="S40000004"/>
    <x v="3"/>
    <n v="0"/>
    <n v="0"/>
    <n v="5"/>
    <n v="16"/>
    <n v="0"/>
    <n v="0"/>
    <n v="5"/>
  </r>
  <r>
    <x v="11"/>
    <x v="0"/>
    <s v="S40000004"/>
    <x v="6"/>
    <n v="0"/>
    <n v="0"/>
    <n v="19"/>
    <n v="50"/>
    <n v="0"/>
    <n v="0"/>
    <n v="14"/>
  </r>
  <r>
    <x v="11"/>
    <x v="0"/>
    <s v="S40000004"/>
    <x v="31"/>
    <n v="0"/>
    <n v="0"/>
    <n v="43"/>
    <n v="143"/>
    <n v="0"/>
    <n v="0"/>
    <n v="25"/>
  </r>
  <r>
    <x v="11"/>
    <x v="0"/>
    <s v="S40000004"/>
    <x v="9"/>
    <n v="0"/>
    <n v="0"/>
    <n v="4"/>
    <n v="20"/>
    <n v="0"/>
    <n v="0"/>
    <n v="4"/>
  </r>
  <r>
    <x v="11"/>
    <x v="0"/>
    <s v="S40000004"/>
    <x v="14"/>
    <n v="0"/>
    <n v="0"/>
    <n v="10"/>
    <n v="38"/>
    <n v="0"/>
    <n v="0"/>
    <n v="10"/>
  </r>
  <r>
    <x v="11"/>
    <x v="0"/>
    <s v="S40000004"/>
    <x v="18"/>
    <n v="0"/>
    <n v="0"/>
    <n v="10"/>
    <n v="32"/>
    <n v="0"/>
    <n v="0"/>
    <n v="5"/>
  </r>
  <r>
    <x v="11"/>
    <x v="0"/>
    <s v="S40000004"/>
    <x v="25"/>
    <n v="0"/>
    <n v="0"/>
    <n v="11"/>
    <n v="39"/>
    <n v="0"/>
    <n v="0"/>
    <n v="14"/>
  </r>
  <r>
    <x v="11"/>
    <x v="1"/>
    <m/>
    <x v="48"/>
    <n v="1"/>
    <n v="0"/>
    <n v="0"/>
    <n v="0"/>
    <n v="4"/>
    <n v="10"/>
    <n v="5"/>
  </r>
  <r>
    <x v="11"/>
    <x v="1"/>
    <m/>
    <x v="33"/>
    <n v="1"/>
    <n v="0"/>
    <n v="0"/>
    <n v="2"/>
    <n v="4"/>
    <n v="9"/>
    <n v="4"/>
  </r>
  <r>
    <x v="11"/>
    <x v="1"/>
    <m/>
    <x v="1"/>
    <n v="0"/>
    <n v="0"/>
    <n v="0"/>
    <n v="0"/>
    <n v="0"/>
    <n v="1"/>
    <n v="0"/>
  </r>
  <r>
    <x v="11"/>
    <x v="1"/>
    <m/>
    <x v="1"/>
    <n v="1"/>
    <n v="0"/>
    <n v="0"/>
    <n v="2"/>
    <n v="2"/>
    <n v="5"/>
    <n v="5"/>
  </r>
  <r>
    <x v="11"/>
    <x v="1"/>
    <m/>
    <x v="42"/>
    <n v="1"/>
    <n v="0"/>
    <n v="0"/>
    <n v="4"/>
    <n v="4"/>
    <n v="8"/>
    <n v="8"/>
  </r>
  <r>
    <x v="11"/>
    <x v="1"/>
    <m/>
    <x v="34"/>
    <n v="1"/>
    <n v="0"/>
    <n v="0"/>
    <n v="0"/>
    <n v="3"/>
    <n v="9"/>
    <n v="5"/>
  </r>
  <r>
    <x v="11"/>
    <x v="1"/>
    <m/>
    <x v="35"/>
    <n v="1"/>
    <n v="0"/>
    <n v="0"/>
    <n v="4"/>
    <n v="3"/>
    <n v="6"/>
    <n v="6"/>
  </r>
  <r>
    <x v="11"/>
    <x v="1"/>
    <m/>
    <x v="36"/>
    <n v="1"/>
    <n v="0"/>
    <n v="2"/>
    <n v="1"/>
    <n v="3"/>
    <n v="5"/>
    <n v="3"/>
  </r>
  <r>
    <x v="11"/>
    <x v="1"/>
    <m/>
    <x v="37"/>
    <n v="1"/>
    <n v="0"/>
    <n v="2"/>
    <n v="3"/>
    <n v="3"/>
    <n v="6"/>
    <n v="10"/>
  </r>
  <r>
    <x v="11"/>
    <x v="1"/>
    <m/>
    <x v="38"/>
    <n v="1"/>
    <n v="0"/>
    <n v="1"/>
    <n v="0"/>
    <n v="2"/>
    <n v="6"/>
    <n v="5"/>
  </r>
  <r>
    <x v="11"/>
    <x v="1"/>
    <m/>
    <x v="30"/>
    <n v="1"/>
    <n v="0"/>
    <n v="0"/>
    <n v="1"/>
    <n v="4"/>
    <n v="8"/>
    <n v="6"/>
  </r>
  <r>
    <x v="11"/>
    <x v="1"/>
    <m/>
    <x v="39"/>
    <n v="1"/>
    <n v="0"/>
    <n v="1"/>
    <n v="0"/>
    <n v="4"/>
    <n v="14"/>
    <n v="5"/>
  </r>
  <r>
    <x v="11"/>
    <x v="1"/>
    <m/>
    <x v="49"/>
    <n v="1"/>
    <n v="0"/>
    <n v="1"/>
    <n v="2"/>
    <n v="3"/>
    <n v="9"/>
    <n v="7"/>
  </r>
  <r>
    <x v="11"/>
    <x v="1"/>
    <m/>
    <x v="47"/>
    <n v="1"/>
    <n v="0"/>
    <n v="1"/>
    <n v="2"/>
    <n v="4"/>
    <n v="10"/>
    <n v="8"/>
  </r>
  <r>
    <x v="11"/>
    <x v="1"/>
    <m/>
    <x v="41"/>
    <n v="1"/>
    <n v="0"/>
    <n v="0"/>
    <n v="0"/>
    <n v="4"/>
    <n v="6"/>
    <n v="0"/>
  </r>
  <r>
    <x v="11"/>
    <x v="2"/>
    <m/>
    <x v="45"/>
    <n v="2"/>
    <n v="0"/>
    <n v="18"/>
    <n v="6"/>
    <n v="3"/>
    <n v="9"/>
    <n v="26"/>
  </r>
  <r>
    <x v="11"/>
    <x v="2"/>
    <m/>
    <x v="43"/>
    <n v="1"/>
    <n v="0"/>
    <n v="26"/>
    <n v="47"/>
    <n v="4"/>
    <n v="7"/>
    <n v="47"/>
  </r>
  <r>
    <x v="11"/>
    <x v="2"/>
    <s v="S40000004"/>
    <x v="44"/>
    <n v="1"/>
    <n v="0"/>
    <n v="18"/>
    <n v="16"/>
    <n v="2"/>
    <n v="8"/>
    <n v="28"/>
  </r>
  <r>
    <x v="11"/>
    <x v="3"/>
    <s v="S92000003"/>
    <x v="46"/>
    <n v="12"/>
    <n v="5"/>
    <n v="1"/>
    <n v="1"/>
    <n v="16"/>
    <n v="24"/>
    <n v="31"/>
  </r>
  <r>
    <x v="12"/>
    <x v="0"/>
    <m/>
    <x v="19"/>
    <n v="0"/>
    <n v="0"/>
    <n v="25"/>
    <n v="69"/>
    <n v="0"/>
    <n v="0"/>
    <n v="15"/>
  </r>
  <r>
    <x v="12"/>
    <x v="0"/>
    <m/>
    <x v="20"/>
    <n v="0"/>
    <n v="0"/>
    <n v="11"/>
    <n v="16"/>
    <n v="0"/>
    <n v="0"/>
    <n v="15"/>
  </r>
  <r>
    <x v="12"/>
    <x v="0"/>
    <m/>
    <x v="26"/>
    <n v="0"/>
    <n v="0"/>
    <n v="5"/>
    <n v="15"/>
    <n v="0"/>
    <n v="1"/>
    <n v="5"/>
  </r>
  <r>
    <x v="12"/>
    <x v="0"/>
    <m/>
    <x v="21"/>
    <n v="0"/>
    <n v="0"/>
    <n v="10"/>
    <n v="31"/>
    <n v="0"/>
    <n v="0"/>
    <n v="11"/>
  </r>
  <r>
    <x v="12"/>
    <x v="0"/>
    <m/>
    <x v="22"/>
    <n v="0"/>
    <n v="0"/>
    <n v="3"/>
    <n v="0"/>
    <n v="0"/>
    <n v="0"/>
    <n v="15"/>
  </r>
  <r>
    <x v="12"/>
    <x v="0"/>
    <m/>
    <x v="1"/>
    <n v="0"/>
    <n v="0"/>
    <n v="15"/>
    <n v="36"/>
    <n v="0"/>
    <n v="0"/>
    <n v="13"/>
  </r>
  <r>
    <x v="12"/>
    <x v="0"/>
    <m/>
    <x v="27"/>
    <n v="0"/>
    <n v="0"/>
    <n v="31"/>
    <n v="106"/>
    <n v="1"/>
    <n v="0"/>
    <n v="20"/>
  </r>
  <r>
    <x v="12"/>
    <x v="0"/>
    <m/>
    <x v="2"/>
    <n v="0"/>
    <n v="0"/>
    <n v="11"/>
    <n v="37"/>
    <n v="0"/>
    <n v="0"/>
    <n v="5"/>
  </r>
  <r>
    <x v="12"/>
    <x v="0"/>
    <m/>
    <x v="29"/>
    <n v="0"/>
    <n v="0"/>
    <n v="17"/>
    <n v="49"/>
    <n v="0"/>
    <n v="0"/>
    <n v="15"/>
  </r>
  <r>
    <x v="12"/>
    <x v="0"/>
    <m/>
    <x v="4"/>
    <n v="0"/>
    <n v="0"/>
    <n v="10"/>
    <n v="30"/>
    <n v="0"/>
    <n v="0"/>
    <n v="10"/>
  </r>
  <r>
    <x v="12"/>
    <x v="0"/>
    <m/>
    <x v="30"/>
    <n v="0"/>
    <n v="0"/>
    <n v="94"/>
    <n v="291"/>
    <n v="0"/>
    <n v="0"/>
    <n v="67"/>
  </r>
  <r>
    <x v="12"/>
    <x v="0"/>
    <m/>
    <x v="7"/>
    <n v="0"/>
    <n v="0"/>
    <n v="5"/>
    <n v="0"/>
    <n v="0"/>
    <n v="0"/>
    <n v="6"/>
  </r>
  <r>
    <x v="12"/>
    <x v="0"/>
    <m/>
    <x v="7"/>
    <n v="0"/>
    <n v="0"/>
    <n v="16"/>
    <n v="50"/>
    <n v="0"/>
    <n v="0"/>
    <n v="6"/>
  </r>
  <r>
    <x v="12"/>
    <x v="0"/>
    <m/>
    <x v="8"/>
    <n v="0"/>
    <n v="0"/>
    <n v="15"/>
    <n v="41"/>
    <n v="0"/>
    <n v="0"/>
    <n v="10"/>
  </r>
  <r>
    <x v="12"/>
    <x v="0"/>
    <m/>
    <x v="10"/>
    <n v="0"/>
    <n v="0"/>
    <n v="5"/>
    <n v="19"/>
    <n v="0"/>
    <n v="0"/>
    <n v="5"/>
  </r>
  <r>
    <x v="12"/>
    <x v="0"/>
    <m/>
    <x v="5"/>
    <n v="0"/>
    <n v="0"/>
    <n v="0"/>
    <n v="0"/>
    <n v="0"/>
    <n v="0"/>
    <n v="3"/>
  </r>
  <r>
    <x v="12"/>
    <x v="0"/>
    <m/>
    <x v="11"/>
    <n v="0"/>
    <n v="0"/>
    <n v="15"/>
    <n v="45"/>
    <n v="0"/>
    <n v="0"/>
    <n v="16"/>
  </r>
  <r>
    <x v="12"/>
    <x v="0"/>
    <m/>
    <x v="28"/>
    <n v="0"/>
    <n v="0"/>
    <n v="35"/>
    <n v="114"/>
    <n v="0"/>
    <n v="0"/>
    <n v="21"/>
  </r>
  <r>
    <x v="12"/>
    <x v="0"/>
    <m/>
    <x v="12"/>
    <n v="0"/>
    <n v="0"/>
    <n v="0"/>
    <n v="0"/>
    <n v="0"/>
    <n v="0"/>
    <n v="1"/>
  </r>
  <r>
    <x v="12"/>
    <x v="0"/>
    <m/>
    <x v="13"/>
    <n v="0"/>
    <n v="0"/>
    <n v="15"/>
    <n v="41"/>
    <n v="0"/>
    <n v="1"/>
    <n v="13"/>
  </r>
  <r>
    <x v="12"/>
    <x v="0"/>
    <m/>
    <x v="23"/>
    <n v="0"/>
    <n v="0"/>
    <n v="20"/>
    <n v="66"/>
    <n v="0"/>
    <n v="0"/>
    <n v="15"/>
  </r>
  <r>
    <x v="12"/>
    <x v="0"/>
    <m/>
    <x v="16"/>
    <n v="0"/>
    <n v="0"/>
    <n v="10"/>
    <n v="35"/>
    <n v="0"/>
    <n v="0"/>
    <n v="6"/>
  </r>
  <r>
    <x v="12"/>
    <x v="0"/>
    <m/>
    <x v="17"/>
    <n v="0"/>
    <n v="0"/>
    <n v="29"/>
    <n v="100"/>
    <n v="1"/>
    <n v="0"/>
    <n v="20"/>
  </r>
  <r>
    <x v="12"/>
    <x v="0"/>
    <m/>
    <x v="24"/>
    <n v="0"/>
    <n v="0"/>
    <n v="15"/>
    <n v="51"/>
    <n v="0"/>
    <n v="0"/>
    <n v="11"/>
  </r>
  <r>
    <x v="12"/>
    <x v="0"/>
    <s v="S40000004"/>
    <x v="22"/>
    <n v="0"/>
    <n v="0"/>
    <n v="57"/>
    <n v="192"/>
    <n v="0"/>
    <n v="0"/>
    <n v="36"/>
  </r>
  <r>
    <x v="12"/>
    <x v="0"/>
    <s v="S40000004"/>
    <x v="0"/>
    <n v="0"/>
    <n v="0"/>
    <n v="5"/>
    <n v="17"/>
    <n v="0"/>
    <n v="0"/>
    <n v="5"/>
  </r>
  <r>
    <x v="12"/>
    <x v="0"/>
    <s v="S40000004"/>
    <x v="3"/>
    <n v="0"/>
    <n v="0"/>
    <n v="5"/>
    <n v="15"/>
    <n v="0"/>
    <n v="0"/>
    <n v="5"/>
  </r>
  <r>
    <x v="12"/>
    <x v="0"/>
    <s v="S40000004"/>
    <x v="6"/>
    <n v="0"/>
    <n v="0"/>
    <n v="20"/>
    <n v="49"/>
    <n v="0"/>
    <n v="0"/>
    <n v="15"/>
  </r>
  <r>
    <x v="12"/>
    <x v="0"/>
    <s v="S40000004"/>
    <x v="31"/>
    <n v="0"/>
    <n v="0"/>
    <n v="42"/>
    <n v="137"/>
    <n v="0"/>
    <n v="0"/>
    <n v="25"/>
  </r>
  <r>
    <x v="12"/>
    <x v="0"/>
    <s v="S40000004"/>
    <x v="9"/>
    <n v="0"/>
    <n v="0"/>
    <n v="6"/>
    <n v="18"/>
    <n v="0"/>
    <n v="0"/>
    <n v="7"/>
  </r>
  <r>
    <x v="12"/>
    <x v="0"/>
    <s v="S40000004"/>
    <x v="14"/>
    <n v="0"/>
    <n v="0"/>
    <n v="10"/>
    <n v="36"/>
    <n v="0"/>
    <n v="0"/>
    <n v="12"/>
  </r>
  <r>
    <x v="12"/>
    <x v="0"/>
    <s v="S40000004"/>
    <x v="18"/>
    <n v="0"/>
    <n v="0"/>
    <n v="11"/>
    <n v="33"/>
    <n v="0"/>
    <n v="0"/>
    <n v="5"/>
  </r>
  <r>
    <x v="12"/>
    <x v="0"/>
    <s v="S40000004"/>
    <x v="25"/>
    <n v="0"/>
    <n v="0"/>
    <n v="11"/>
    <n v="40"/>
    <n v="0"/>
    <n v="0"/>
    <n v="14"/>
  </r>
  <r>
    <x v="12"/>
    <x v="1"/>
    <m/>
    <x v="48"/>
    <n v="1"/>
    <n v="0"/>
    <n v="12"/>
    <n v="32"/>
    <n v="5"/>
    <n v="10"/>
    <n v="13"/>
  </r>
  <r>
    <x v="12"/>
    <x v="1"/>
    <m/>
    <x v="33"/>
    <n v="1"/>
    <n v="0"/>
    <n v="4"/>
    <n v="0"/>
    <n v="4"/>
    <n v="9"/>
    <n v="6"/>
  </r>
  <r>
    <x v="12"/>
    <x v="1"/>
    <m/>
    <x v="1"/>
    <n v="1"/>
    <n v="0"/>
    <n v="0"/>
    <n v="0"/>
    <n v="3"/>
    <n v="6"/>
    <n v="1"/>
  </r>
  <r>
    <x v="12"/>
    <x v="1"/>
    <m/>
    <x v="42"/>
    <n v="1"/>
    <n v="0"/>
    <n v="1"/>
    <n v="1"/>
    <n v="4"/>
    <n v="6"/>
    <n v="9"/>
  </r>
  <r>
    <x v="12"/>
    <x v="1"/>
    <m/>
    <x v="34"/>
    <n v="1"/>
    <n v="0"/>
    <n v="3"/>
    <n v="0"/>
    <n v="3"/>
    <n v="9"/>
    <n v="9"/>
  </r>
  <r>
    <x v="12"/>
    <x v="1"/>
    <m/>
    <x v="35"/>
    <n v="1"/>
    <n v="0"/>
    <n v="4"/>
    <n v="4"/>
    <n v="3"/>
    <n v="6"/>
    <n v="8"/>
  </r>
  <r>
    <x v="12"/>
    <x v="1"/>
    <m/>
    <x v="36"/>
    <n v="1"/>
    <n v="0"/>
    <n v="3"/>
    <n v="1"/>
    <n v="3"/>
    <n v="5"/>
    <n v="5"/>
  </r>
  <r>
    <x v="12"/>
    <x v="1"/>
    <m/>
    <x v="37"/>
    <n v="2"/>
    <n v="0"/>
    <n v="3"/>
    <n v="3"/>
    <n v="5"/>
    <n v="9"/>
    <n v="9"/>
  </r>
  <r>
    <x v="12"/>
    <x v="1"/>
    <m/>
    <x v="38"/>
    <n v="1"/>
    <n v="0"/>
    <n v="3"/>
    <n v="1"/>
    <n v="2"/>
    <n v="6"/>
    <n v="6"/>
  </r>
  <r>
    <x v="12"/>
    <x v="1"/>
    <m/>
    <x v="30"/>
    <n v="2"/>
    <n v="0"/>
    <n v="5"/>
    <n v="2"/>
    <n v="4"/>
    <n v="8"/>
    <n v="9"/>
  </r>
  <r>
    <x v="12"/>
    <x v="1"/>
    <m/>
    <x v="39"/>
    <n v="1"/>
    <n v="0"/>
    <n v="1"/>
    <n v="0"/>
    <n v="4"/>
    <n v="13"/>
    <n v="5"/>
  </r>
  <r>
    <x v="12"/>
    <x v="1"/>
    <m/>
    <x v="49"/>
    <n v="1"/>
    <n v="0"/>
    <n v="1"/>
    <n v="1"/>
    <n v="1"/>
    <n v="9"/>
    <n v="7"/>
  </r>
  <r>
    <x v="12"/>
    <x v="1"/>
    <m/>
    <x v="47"/>
    <n v="1"/>
    <n v="0"/>
    <n v="6"/>
    <n v="2"/>
    <n v="3"/>
    <n v="10"/>
    <n v="10"/>
  </r>
  <r>
    <x v="12"/>
    <x v="1"/>
    <m/>
    <x v="41"/>
    <n v="1"/>
    <n v="0"/>
    <n v="0"/>
    <n v="0"/>
    <n v="3"/>
    <n v="6"/>
    <n v="0"/>
  </r>
  <r>
    <x v="12"/>
    <x v="2"/>
    <m/>
    <x v="45"/>
    <n v="1"/>
    <n v="0"/>
    <n v="2"/>
    <n v="12"/>
    <n v="2"/>
    <n v="6"/>
    <n v="4"/>
  </r>
  <r>
    <x v="12"/>
    <x v="2"/>
    <m/>
    <x v="43"/>
    <n v="1"/>
    <n v="0"/>
    <n v="12"/>
    <n v="36"/>
    <n v="4"/>
    <n v="6"/>
    <n v="35"/>
  </r>
  <r>
    <x v="12"/>
    <x v="2"/>
    <s v="S40000004"/>
    <x v="44"/>
    <n v="0"/>
    <n v="0"/>
    <n v="1"/>
    <n v="24"/>
    <n v="2"/>
    <n v="8"/>
    <n v="5"/>
  </r>
  <r>
    <x v="12"/>
    <x v="3"/>
    <s v="S92000003"/>
    <x v="46"/>
    <n v="9"/>
    <n v="5"/>
    <n v="1"/>
    <n v="1"/>
    <n v="15"/>
    <n v="26"/>
    <n v="36"/>
  </r>
</pivotCacheRecords>
</file>

<file path=xl/pivotCache/pivotCacheRecords24.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3">
  <r>
    <x v="0"/>
    <x v="0"/>
    <s v="S92000003"/>
    <n v="0"/>
    <n v="52"/>
    <n v="103"/>
    <n v="5"/>
    <n v="11"/>
    <n v="52"/>
  </r>
  <r>
    <x v="1"/>
    <x v="0"/>
    <s v="S92000003"/>
    <n v="0"/>
    <n v="52"/>
    <n v="110"/>
    <n v="5"/>
    <n v="13"/>
    <n v="50"/>
  </r>
  <r>
    <x v="2"/>
    <x v="0"/>
    <s v="S92000003"/>
    <n v="0"/>
    <n v="44"/>
    <n v="95"/>
    <n v="6"/>
    <n v="7"/>
    <n v="51"/>
  </r>
  <r>
    <x v="3"/>
    <x v="0"/>
    <s v="S92000003"/>
    <n v="0"/>
    <n v="31"/>
    <n v="80"/>
    <n v="5"/>
    <n v="8"/>
    <n v="41"/>
  </r>
  <r>
    <x v="4"/>
    <x v="0"/>
    <s v="S92000003"/>
    <n v="0"/>
    <n v="27"/>
    <n v="106"/>
    <n v="5"/>
    <n v="8"/>
    <n v="43"/>
  </r>
  <r>
    <x v="5"/>
    <x v="0"/>
    <s v="S92000003"/>
    <n v="1"/>
    <n v="4"/>
    <n v="9"/>
    <n v="42"/>
    <n v="27"/>
    <n v="124"/>
  </r>
  <r>
    <x v="6"/>
    <x v="0"/>
    <s v="S92000003"/>
    <n v="1"/>
    <n v="4"/>
    <n v="8"/>
    <n v="45"/>
    <n v="26"/>
    <n v="104"/>
  </r>
  <r>
    <x v="7"/>
    <x v="0"/>
    <s v="S92000003"/>
    <n v="1"/>
    <n v="4"/>
    <n v="10"/>
    <n v="41"/>
    <n v="31"/>
    <n v="95"/>
  </r>
  <r>
    <x v="8"/>
    <x v="0"/>
    <s v="S92000003"/>
    <n v="1"/>
    <n v="4"/>
    <n v="10"/>
    <n v="42"/>
    <n v="27"/>
    <n v="90"/>
  </r>
  <r>
    <x v="9"/>
    <x v="0"/>
    <s v="S92000003"/>
    <n v="1"/>
    <n v="4"/>
    <n v="10"/>
    <n v="37"/>
    <n v="29"/>
    <n v="91"/>
  </r>
  <r>
    <x v="10"/>
    <x v="0"/>
    <s v="S92000003"/>
    <n v="1"/>
    <n v="4"/>
    <n v="9"/>
    <n v="40"/>
    <n v="26"/>
    <n v="91"/>
  </r>
  <r>
    <x v="11"/>
    <x v="0"/>
    <s v="S92000003"/>
    <n v="1"/>
    <n v="2"/>
    <n v="8"/>
    <n v="37"/>
    <n v="28"/>
    <n v="95"/>
  </r>
  <r>
    <x v="12"/>
    <x v="0"/>
    <s v="S92000003"/>
    <n v="0"/>
    <n v="3"/>
    <n v="6"/>
    <n v="24"/>
    <n v="42"/>
    <n v="100"/>
  </r>
</pivotCacheRecords>
</file>

<file path=xl/pivotCache/pivotCacheRecords25.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52">
  <r>
    <x v="0"/>
    <x v="0"/>
    <s v="S40000003"/>
    <x v="0"/>
    <n v="416"/>
    <m/>
    <n v="4"/>
    <n v="4"/>
    <n v="8"/>
    <n v="107"/>
    <n v="149"/>
    <n v="144"/>
  </r>
  <r>
    <x v="0"/>
    <x v="0"/>
    <s v="S40000004"/>
    <x v="0"/>
    <n v="175"/>
    <m/>
    <n v="6"/>
    <n v="2"/>
    <n v="7"/>
    <n v="46"/>
    <n v="66"/>
    <n v="48"/>
  </r>
  <r>
    <x v="0"/>
    <x v="0"/>
    <s v="S40000005"/>
    <x v="0"/>
    <n v="133"/>
    <m/>
    <n v="4"/>
    <n v="5"/>
    <n v="6"/>
    <n v="59"/>
    <n v="19"/>
    <n v="40"/>
  </r>
  <r>
    <x v="0"/>
    <x v="0"/>
    <s v="S92000003"/>
    <x v="0"/>
    <n v="237"/>
    <m/>
    <n v="56"/>
    <n v="9"/>
    <n v="24"/>
    <n v="102"/>
    <n v="0"/>
    <n v="46"/>
  </r>
  <r>
    <x v="1"/>
    <x v="0"/>
    <s v="S40000003"/>
    <x v="0"/>
    <n v="340"/>
    <m/>
    <n v="3"/>
    <n v="9"/>
    <n v="14"/>
    <n v="113"/>
    <n v="109"/>
    <n v="92"/>
  </r>
  <r>
    <x v="1"/>
    <x v="0"/>
    <s v="S40000004"/>
    <x v="0"/>
    <n v="163"/>
    <m/>
    <n v="3"/>
    <n v="7"/>
    <n v="12"/>
    <n v="48"/>
    <n v="65"/>
    <n v="28"/>
  </r>
  <r>
    <x v="1"/>
    <x v="0"/>
    <s v="S40000005"/>
    <x v="0"/>
    <n v="126"/>
    <m/>
    <n v="3"/>
    <n v="7"/>
    <n v="6"/>
    <n v="64"/>
    <n v="19"/>
    <n v="27"/>
  </r>
  <r>
    <x v="1"/>
    <x v="0"/>
    <s v="S92000003"/>
    <x v="0"/>
    <n v="238"/>
    <n v="2"/>
    <n v="35"/>
    <n v="13"/>
    <n v="27"/>
    <n v="112"/>
    <n v="0"/>
    <n v="49"/>
  </r>
  <r>
    <x v="2"/>
    <x v="0"/>
    <s v="S40000003"/>
    <x v="0"/>
    <n v="286"/>
    <m/>
    <n v="2"/>
    <n v="10"/>
    <n v="15"/>
    <n v="110"/>
    <n v="84"/>
    <n v="65"/>
  </r>
  <r>
    <x v="2"/>
    <x v="0"/>
    <s v="S40000004"/>
    <x v="0"/>
    <n v="124"/>
    <m/>
    <n v="3"/>
    <n v="5"/>
    <n v="13"/>
    <n v="35"/>
    <n v="56"/>
    <n v="12"/>
  </r>
  <r>
    <x v="2"/>
    <x v="0"/>
    <s v="S40000005"/>
    <x v="0"/>
    <n v="121"/>
    <m/>
    <n v="3"/>
    <n v="7"/>
    <n v="11"/>
    <n v="61"/>
    <n v="20"/>
    <n v="19"/>
  </r>
  <r>
    <x v="2"/>
    <x v="0"/>
    <s v="S92000003"/>
    <x v="0"/>
    <n v="297"/>
    <n v="3"/>
    <n v="32"/>
    <n v="12"/>
    <n v="35"/>
    <n v="110"/>
    <n v="7"/>
    <n v="98"/>
  </r>
  <r>
    <x v="3"/>
    <x v="0"/>
    <s v="S40000003"/>
    <x v="0"/>
    <n v="294"/>
    <m/>
    <n v="2"/>
    <n v="10"/>
    <n v="15"/>
    <n v="120"/>
    <n v="89"/>
    <n v="58"/>
  </r>
  <r>
    <x v="3"/>
    <x v="0"/>
    <s v="S40000004"/>
    <x v="0"/>
    <n v="142"/>
    <m/>
    <n v="3"/>
    <n v="5"/>
    <n v="13"/>
    <n v="48"/>
    <n v="54"/>
    <n v="19"/>
  </r>
  <r>
    <x v="3"/>
    <x v="0"/>
    <s v="S40000005"/>
    <x v="0"/>
    <n v="135"/>
    <m/>
    <n v="3"/>
    <n v="7"/>
    <n v="12"/>
    <n v="75"/>
    <n v="14"/>
    <n v="24"/>
  </r>
  <r>
    <x v="3"/>
    <x v="0"/>
    <s v="S92000003"/>
    <x v="0"/>
    <n v="267"/>
    <n v="3"/>
    <n v="34"/>
    <n v="12"/>
    <n v="38"/>
    <n v="103"/>
    <n v="8"/>
    <n v="69"/>
  </r>
  <r>
    <x v="4"/>
    <x v="0"/>
    <s v="S40000003"/>
    <x v="0"/>
    <n v="300"/>
    <m/>
    <n v="2"/>
    <n v="10"/>
    <n v="16"/>
    <n v="133"/>
    <n v="82"/>
    <n v="57"/>
  </r>
  <r>
    <x v="4"/>
    <x v="0"/>
    <s v="S40000004"/>
    <x v="0"/>
    <n v="128"/>
    <m/>
    <n v="3"/>
    <n v="3"/>
    <n v="11"/>
    <n v="45"/>
    <n v="49"/>
    <n v="17"/>
  </r>
  <r>
    <x v="4"/>
    <x v="0"/>
    <s v="S40000005"/>
    <x v="0"/>
    <n v="141"/>
    <m/>
    <n v="3"/>
    <n v="8"/>
    <n v="11"/>
    <n v="81"/>
    <n v="15"/>
    <n v="23"/>
  </r>
  <r>
    <x v="4"/>
    <x v="0"/>
    <s v="S92000003"/>
    <x v="0"/>
    <n v="277"/>
    <n v="2"/>
    <n v="42"/>
    <n v="11"/>
    <n v="41"/>
    <n v="107"/>
    <n v="7"/>
    <n v="67"/>
  </r>
  <r>
    <x v="5"/>
    <x v="1"/>
    <s v="S40000003"/>
    <x v="1"/>
    <n v="0"/>
    <m/>
    <n v="0"/>
    <n v="0"/>
    <n v="0"/>
    <n v="0"/>
    <n v="0"/>
    <n v="0"/>
  </r>
  <r>
    <x v="5"/>
    <x v="1"/>
    <s v="S40000004"/>
    <x v="2"/>
    <n v="0"/>
    <m/>
    <n v="0"/>
    <n v="0"/>
    <n v="0"/>
    <n v="0"/>
    <n v="0"/>
    <n v="0"/>
  </r>
  <r>
    <x v="5"/>
    <x v="1"/>
    <s v="S40000005"/>
    <x v="3"/>
    <n v="0"/>
    <m/>
    <n v="0"/>
    <n v="0"/>
    <n v="0"/>
    <n v="0"/>
    <n v="0"/>
    <n v="0"/>
  </r>
  <r>
    <x v="5"/>
    <x v="0"/>
    <s v="S92000003"/>
    <x v="0"/>
    <n v="792"/>
    <n v="3"/>
    <n v="49"/>
    <n v="34"/>
    <n v="84"/>
    <n v="388"/>
    <n v="64"/>
    <n v="170"/>
  </r>
  <r>
    <x v="6"/>
    <x v="1"/>
    <s v="S40000003"/>
    <x v="1"/>
    <n v="0"/>
    <m/>
    <n v="0"/>
    <n v="0"/>
    <n v="0"/>
    <n v="0"/>
    <n v="0"/>
    <n v="0"/>
  </r>
  <r>
    <x v="6"/>
    <x v="1"/>
    <s v="S40000004"/>
    <x v="2"/>
    <n v="0"/>
    <m/>
    <n v="0"/>
    <n v="0"/>
    <n v="0"/>
    <n v="0"/>
    <n v="0"/>
    <n v="0"/>
  </r>
  <r>
    <x v="6"/>
    <x v="1"/>
    <s v="S40000005"/>
    <x v="3"/>
    <n v="0"/>
    <m/>
    <n v="0"/>
    <n v="0"/>
    <n v="0"/>
    <n v="0"/>
    <n v="0"/>
    <n v="0"/>
  </r>
  <r>
    <x v="6"/>
    <x v="0"/>
    <s v="S92000003"/>
    <x v="0"/>
    <n v="817"/>
    <n v="3"/>
    <n v="47"/>
    <n v="32"/>
    <n v="90"/>
    <n v="400"/>
    <n v="63"/>
    <n v="182"/>
  </r>
  <r>
    <x v="7"/>
    <x v="1"/>
    <s v="S40000003"/>
    <x v="1"/>
    <n v="0"/>
    <m/>
    <n v="0"/>
    <n v="0"/>
    <n v="0"/>
    <n v="0"/>
    <n v="0"/>
    <n v="0"/>
  </r>
  <r>
    <x v="7"/>
    <x v="1"/>
    <s v="S40000004"/>
    <x v="2"/>
    <n v="0"/>
    <m/>
    <n v="0"/>
    <n v="0"/>
    <n v="0"/>
    <n v="0"/>
    <n v="0"/>
    <n v="0"/>
  </r>
  <r>
    <x v="7"/>
    <x v="1"/>
    <s v="S40000005"/>
    <x v="3"/>
    <n v="0"/>
    <m/>
    <n v="0"/>
    <n v="0"/>
    <n v="0"/>
    <n v="0"/>
    <n v="0"/>
    <n v="0"/>
  </r>
  <r>
    <x v="7"/>
    <x v="0"/>
    <s v="S92000003"/>
    <x v="0"/>
    <n v="835"/>
    <n v="3"/>
    <n v="50"/>
    <n v="30"/>
    <n v="91"/>
    <n v="413"/>
    <n v="61"/>
    <n v="187"/>
  </r>
  <r>
    <x v="8"/>
    <x v="1"/>
    <m/>
    <x v="3"/>
    <n v="0"/>
    <m/>
    <n v="0"/>
    <n v="0"/>
    <n v="0"/>
    <n v="0"/>
    <n v="0"/>
    <n v="0"/>
  </r>
  <r>
    <x v="8"/>
    <x v="1"/>
    <m/>
    <x v="1"/>
    <n v="0"/>
    <m/>
    <n v="0"/>
    <n v="0"/>
    <n v="0"/>
    <n v="0"/>
    <n v="0"/>
    <n v="0"/>
  </r>
  <r>
    <x v="8"/>
    <x v="1"/>
    <s v="S40000004"/>
    <x v="2"/>
    <n v="0"/>
    <m/>
    <n v="0"/>
    <n v="0"/>
    <n v="0"/>
    <n v="0"/>
    <n v="0"/>
    <n v="0"/>
  </r>
  <r>
    <x v="8"/>
    <x v="0"/>
    <s v="S92000003"/>
    <x v="0"/>
    <n v="920"/>
    <n v="4"/>
    <n v="57"/>
    <n v="33"/>
    <n v="104"/>
    <n v="469"/>
    <n v="60"/>
    <n v="193"/>
  </r>
  <r>
    <x v="9"/>
    <x v="1"/>
    <m/>
    <x v="3"/>
    <n v="0"/>
    <m/>
    <n v="0"/>
    <n v="0"/>
    <n v="0"/>
    <n v="0"/>
    <n v="0"/>
    <n v="0"/>
  </r>
  <r>
    <x v="9"/>
    <x v="1"/>
    <m/>
    <x v="1"/>
    <n v="0"/>
    <m/>
    <n v="0"/>
    <n v="0"/>
    <n v="0"/>
    <n v="0"/>
    <n v="0"/>
    <n v="0"/>
  </r>
  <r>
    <x v="9"/>
    <x v="1"/>
    <s v="S40000004"/>
    <x v="2"/>
    <n v="0"/>
    <m/>
    <n v="0"/>
    <n v="0"/>
    <n v="0"/>
    <n v="0"/>
    <n v="0"/>
    <n v="0"/>
  </r>
  <r>
    <x v="9"/>
    <x v="0"/>
    <s v="S92000003"/>
    <x v="0"/>
    <n v="901"/>
    <n v="4"/>
    <n v="81"/>
    <n v="36"/>
    <n v="98"/>
    <n v="465"/>
    <n v="58"/>
    <n v="159"/>
  </r>
  <r>
    <x v="10"/>
    <x v="1"/>
    <m/>
    <x v="3"/>
    <n v="0"/>
    <m/>
    <n v="0"/>
    <n v="0"/>
    <n v="0"/>
    <n v="0"/>
    <n v="0"/>
    <n v="0"/>
  </r>
  <r>
    <x v="10"/>
    <x v="1"/>
    <m/>
    <x v="1"/>
    <n v="0"/>
    <m/>
    <n v="0"/>
    <n v="0"/>
    <n v="0"/>
    <n v="0"/>
    <n v="0"/>
    <n v="0"/>
  </r>
  <r>
    <x v="10"/>
    <x v="1"/>
    <s v="S40000004"/>
    <x v="2"/>
    <n v="0"/>
    <m/>
    <n v="0"/>
    <n v="0"/>
    <n v="0"/>
    <n v="0"/>
    <n v="0"/>
    <n v="0"/>
  </r>
  <r>
    <x v="10"/>
    <x v="0"/>
    <s v="S92000003"/>
    <x v="0"/>
    <n v="887"/>
    <n v="3"/>
    <n v="87"/>
    <n v="35"/>
    <n v="90"/>
    <n v="470"/>
    <n v="60"/>
    <n v="142"/>
  </r>
  <r>
    <x v="11"/>
    <x v="1"/>
    <m/>
    <x v="3"/>
    <n v="0"/>
    <m/>
    <n v="0"/>
    <n v="0"/>
    <n v="0"/>
    <n v="0"/>
    <n v="0"/>
    <n v="0"/>
  </r>
  <r>
    <x v="11"/>
    <x v="1"/>
    <m/>
    <x v="1"/>
    <n v="0"/>
    <m/>
    <n v="0"/>
    <n v="0"/>
    <n v="0"/>
    <n v="0"/>
    <n v="0"/>
    <n v="0"/>
  </r>
  <r>
    <x v="11"/>
    <x v="1"/>
    <s v="S40000004"/>
    <x v="2"/>
    <n v="0"/>
    <m/>
    <n v="0"/>
    <n v="0"/>
    <n v="0"/>
    <n v="0"/>
    <n v="0"/>
    <n v="0"/>
  </r>
  <r>
    <x v="11"/>
    <x v="0"/>
    <s v="S92000003"/>
    <x v="0"/>
    <n v="917"/>
    <n v="4"/>
    <n v="95"/>
    <n v="35"/>
    <n v="94"/>
    <n v="479"/>
    <n v="58"/>
    <n v="152"/>
  </r>
  <r>
    <x v="12"/>
    <x v="1"/>
    <m/>
    <x v="3"/>
    <n v="0"/>
    <m/>
    <n v="0"/>
    <n v="0"/>
    <n v="0"/>
    <n v="0"/>
    <n v="0"/>
    <n v="0"/>
  </r>
  <r>
    <x v="12"/>
    <x v="1"/>
    <m/>
    <x v="1"/>
    <n v="0"/>
    <m/>
    <n v="0"/>
    <n v="0"/>
    <n v="0"/>
    <n v="0"/>
    <n v="0"/>
    <n v="0"/>
  </r>
  <r>
    <x v="12"/>
    <x v="1"/>
    <s v="S40000004"/>
    <x v="2"/>
    <n v="0"/>
    <m/>
    <n v="0"/>
    <n v="0"/>
    <n v="0"/>
    <n v="0"/>
    <n v="0"/>
    <n v="0"/>
  </r>
  <r>
    <x v="12"/>
    <x v="0"/>
    <s v="S92000003"/>
    <x v="0"/>
    <n v="922"/>
    <n v="3"/>
    <n v="101"/>
    <n v="45"/>
    <n v="87"/>
    <n v="484"/>
    <n v="63"/>
    <n v="139"/>
  </r>
</pivotCacheRecords>
</file>

<file path=xl/pivotCache/pivotCacheRecords26.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87">
  <r>
    <x v="0"/>
    <x v="0"/>
    <s v="S12000005"/>
    <x v="0"/>
    <n v="0"/>
    <n v="0"/>
    <n v="0"/>
    <n v="0"/>
  </r>
  <r>
    <x v="0"/>
    <x v="0"/>
    <s v="S12000006"/>
    <x v="1"/>
    <n v="4"/>
    <n v="0"/>
    <n v="1"/>
    <n v="3"/>
  </r>
  <r>
    <x v="0"/>
    <x v="0"/>
    <s v="S12000008"/>
    <x v="2"/>
    <n v="0"/>
    <n v="0"/>
    <n v="0"/>
    <n v="0"/>
  </r>
  <r>
    <x v="0"/>
    <x v="0"/>
    <s v="S12000010"/>
    <x v="3"/>
    <n v="0"/>
    <n v="0"/>
    <n v="0"/>
    <n v="0"/>
  </r>
  <r>
    <x v="0"/>
    <x v="0"/>
    <s v="S12000011"/>
    <x v="4"/>
    <n v="0"/>
    <n v="0"/>
    <n v="0"/>
    <n v="0"/>
  </r>
  <r>
    <x v="0"/>
    <x v="0"/>
    <s v="S12000013"/>
    <x v="5"/>
    <n v="0"/>
    <n v="0"/>
    <n v="0"/>
    <n v="0"/>
  </r>
  <r>
    <x v="0"/>
    <x v="0"/>
    <s v="S12000014"/>
    <x v="6"/>
    <n v="0"/>
    <n v="0"/>
    <n v="0"/>
    <n v="0"/>
  </r>
  <r>
    <x v="0"/>
    <x v="0"/>
    <s v="S12000017"/>
    <x v="7"/>
    <n v="72"/>
    <n v="8"/>
    <n v="13"/>
    <n v="51"/>
  </r>
  <r>
    <x v="0"/>
    <x v="0"/>
    <s v="S12000018"/>
    <x v="8"/>
    <n v="0"/>
    <n v="0"/>
    <n v="0"/>
    <n v="0"/>
  </r>
  <r>
    <x v="0"/>
    <x v="0"/>
    <s v="S12000019"/>
    <x v="9"/>
    <n v="0"/>
    <n v="0"/>
    <n v="0"/>
    <n v="0"/>
  </r>
  <r>
    <x v="0"/>
    <x v="0"/>
    <s v="S12000020"/>
    <x v="10"/>
    <n v="32"/>
    <n v="1"/>
    <n v="2"/>
    <n v="29"/>
  </r>
  <r>
    <x v="0"/>
    <x v="0"/>
    <s v="S12000021"/>
    <x v="11"/>
    <n v="21"/>
    <n v="0"/>
    <n v="6"/>
    <n v="15"/>
  </r>
  <r>
    <x v="0"/>
    <x v="0"/>
    <s v="S12000023"/>
    <x v="12"/>
    <n v="0"/>
    <n v="0"/>
    <n v="0"/>
    <n v="0"/>
  </r>
  <r>
    <x v="0"/>
    <x v="0"/>
    <s v="S12000024"/>
    <x v="13"/>
    <n v="25"/>
    <n v="0"/>
    <n v="3"/>
    <n v="22"/>
  </r>
  <r>
    <x v="0"/>
    <x v="0"/>
    <s v="S12000026"/>
    <x v="14"/>
    <n v="0"/>
    <n v="0"/>
    <n v="0"/>
    <n v="0"/>
  </r>
  <r>
    <x v="0"/>
    <x v="0"/>
    <s v="S12000027"/>
    <x v="15"/>
    <n v="0"/>
    <n v="0"/>
    <n v="0"/>
    <n v="0"/>
  </r>
  <r>
    <x v="0"/>
    <x v="0"/>
    <s v="S12000028"/>
    <x v="16"/>
    <n v="0"/>
    <n v="0"/>
    <n v="0"/>
    <n v="0"/>
  </r>
  <r>
    <x v="0"/>
    <x v="0"/>
    <s v="S12000029"/>
    <x v="17"/>
    <n v="2"/>
    <n v="0"/>
    <n v="1"/>
    <n v="1"/>
  </r>
  <r>
    <x v="0"/>
    <x v="0"/>
    <s v="S12000030"/>
    <x v="18"/>
    <n v="0"/>
    <n v="0"/>
    <n v="0"/>
    <n v="0"/>
  </r>
  <r>
    <x v="0"/>
    <x v="0"/>
    <s v="S12000033"/>
    <x v="19"/>
    <n v="0"/>
    <n v="0"/>
    <n v="0"/>
    <n v="0"/>
  </r>
  <r>
    <x v="0"/>
    <x v="0"/>
    <s v="S12000034"/>
    <x v="20"/>
    <n v="0"/>
    <n v="0"/>
    <n v="0"/>
    <n v="0"/>
  </r>
  <r>
    <x v="0"/>
    <x v="0"/>
    <s v="S12000035"/>
    <x v="21"/>
    <n v="203"/>
    <n v="0"/>
    <n v="47"/>
    <n v="156"/>
  </r>
  <r>
    <x v="0"/>
    <x v="0"/>
    <s v="S12000036"/>
    <x v="22"/>
    <n v="0"/>
    <n v="0"/>
    <n v="0"/>
    <n v="0"/>
  </r>
  <r>
    <x v="0"/>
    <x v="0"/>
    <s v="S12000038"/>
    <x v="23"/>
    <n v="0"/>
    <n v="0"/>
    <n v="0"/>
    <n v="0"/>
  </r>
  <r>
    <x v="0"/>
    <x v="0"/>
    <s v="S12000039"/>
    <x v="24"/>
    <n v="0"/>
    <n v="0"/>
    <n v="0"/>
    <n v="0"/>
  </r>
  <r>
    <x v="0"/>
    <x v="0"/>
    <s v="S12000040"/>
    <x v="25"/>
    <n v="0"/>
    <n v="0"/>
    <n v="0"/>
    <n v="0"/>
  </r>
  <r>
    <x v="0"/>
    <x v="0"/>
    <s v="S12000041"/>
    <x v="26"/>
    <n v="0"/>
    <n v="0"/>
    <n v="0"/>
    <n v="0"/>
  </r>
  <r>
    <x v="0"/>
    <x v="0"/>
    <s v="S12000042"/>
    <x v="27"/>
    <n v="0"/>
    <n v="0"/>
    <n v="0"/>
    <n v="0"/>
  </r>
  <r>
    <x v="0"/>
    <x v="0"/>
    <s v="S12000044"/>
    <x v="28"/>
    <n v="0"/>
    <n v="0"/>
    <n v="0"/>
    <n v="0"/>
  </r>
  <r>
    <x v="0"/>
    <x v="0"/>
    <s v="S12000045"/>
    <x v="29"/>
    <n v="0"/>
    <n v="0"/>
    <n v="0"/>
    <n v="0"/>
  </r>
  <r>
    <x v="0"/>
    <x v="0"/>
    <s v="S12000046"/>
    <x v="30"/>
    <n v="0"/>
    <n v="0"/>
    <n v="0"/>
    <n v="0"/>
  </r>
  <r>
    <x v="0"/>
    <x v="0"/>
    <s v="S12000047"/>
    <x v="31"/>
    <n v="0"/>
    <n v="0"/>
    <n v="0"/>
    <n v="0"/>
  </r>
  <r>
    <x v="1"/>
    <x v="0"/>
    <s v="S12000005"/>
    <x v="0"/>
    <n v="0"/>
    <n v="0"/>
    <n v="0"/>
    <n v="0"/>
  </r>
  <r>
    <x v="1"/>
    <x v="0"/>
    <s v="S12000006"/>
    <x v="1"/>
    <n v="3"/>
    <n v="0"/>
    <n v="1"/>
    <n v="2"/>
  </r>
  <r>
    <x v="1"/>
    <x v="0"/>
    <s v="S12000008"/>
    <x v="2"/>
    <n v="0"/>
    <n v="0"/>
    <n v="0"/>
    <n v="0"/>
  </r>
  <r>
    <x v="1"/>
    <x v="0"/>
    <s v="S12000010"/>
    <x v="3"/>
    <n v="0"/>
    <n v="0"/>
    <n v="0"/>
    <n v="0"/>
  </r>
  <r>
    <x v="1"/>
    <x v="0"/>
    <s v="S12000011"/>
    <x v="4"/>
    <n v="0"/>
    <n v="0"/>
    <n v="0"/>
    <n v="0"/>
  </r>
  <r>
    <x v="1"/>
    <x v="0"/>
    <s v="S12000013"/>
    <x v="5"/>
    <n v="0"/>
    <n v="0"/>
    <n v="0"/>
    <n v="0"/>
  </r>
  <r>
    <x v="1"/>
    <x v="0"/>
    <s v="S12000014"/>
    <x v="6"/>
    <n v="0"/>
    <n v="0"/>
    <n v="0"/>
    <n v="0"/>
  </r>
  <r>
    <x v="1"/>
    <x v="0"/>
    <s v="S12000017"/>
    <x v="7"/>
    <n v="69"/>
    <n v="8"/>
    <n v="12"/>
    <n v="49"/>
  </r>
  <r>
    <x v="1"/>
    <x v="0"/>
    <s v="S12000018"/>
    <x v="8"/>
    <n v="0"/>
    <n v="0"/>
    <n v="0"/>
    <n v="0"/>
  </r>
  <r>
    <x v="1"/>
    <x v="0"/>
    <s v="S12000019"/>
    <x v="9"/>
    <n v="0"/>
    <n v="0"/>
    <n v="0"/>
    <n v="0"/>
  </r>
  <r>
    <x v="1"/>
    <x v="0"/>
    <s v="S12000020"/>
    <x v="10"/>
    <n v="25"/>
    <n v="1"/>
    <n v="2"/>
    <n v="22"/>
  </r>
  <r>
    <x v="1"/>
    <x v="0"/>
    <s v="S12000021"/>
    <x v="11"/>
    <n v="26"/>
    <n v="3"/>
    <n v="3"/>
    <n v="20"/>
  </r>
  <r>
    <x v="1"/>
    <x v="0"/>
    <s v="S12000023"/>
    <x v="12"/>
    <n v="1"/>
    <n v="0"/>
    <n v="1"/>
    <n v="0"/>
  </r>
  <r>
    <x v="1"/>
    <x v="0"/>
    <s v="S12000024"/>
    <x v="13"/>
    <n v="24"/>
    <n v="0"/>
    <n v="5"/>
    <n v="19"/>
  </r>
  <r>
    <x v="1"/>
    <x v="0"/>
    <s v="S12000026"/>
    <x v="14"/>
    <n v="0"/>
    <n v="0"/>
    <n v="0"/>
    <n v="0"/>
  </r>
  <r>
    <x v="1"/>
    <x v="0"/>
    <s v="S12000027"/>
    <x v="15"/>
    <n v="1"/>
    <n v="0"/>
    <n v="0"/>
    <n v="1"/>
  </r>
  <r>
    <x v="1"/>
    <x v="0"/>
    <s v="S12000028"/>
    <x v="16"/>
    <n v="0"/>
    <n v="0"/>
    <n v="0"/>
    <n v="0"/>
  </r>
  <r>
    <x v="1"/>
    <x v="0"/>
    <s v="S12000029"/>
    <x v="17"/>
    <n v="4"/>
    <n v="1"/>
    <m/>
    <n v="3"/>
  </r>
  <r>
    <x v="1"/>
    <x v="0"/>
    <s v="S12000030"/>
    <x v="18"/>
    <n v="0"/>
    <n v="0"/>
    <n v="0"/>
    <n v="0"/>
  </r>
  <r>
    <x v="1"/>
    <x v="0"/>
    <s v="S12000033"/>
    <x v="19"/>
    <n v="0"/>
    <n v="0"/>
    <n v="0"/>
    <n v="0"/>
  </r>
  <r>
    <x v="1"/>
    <x v="0"/>
    <s v="S12000034"/>
    <x v="20"/>
    <n v="0"/>
    <n v="0"/>
    <n v="0"/>
    <n v="0"/>
  </r>
  <r>
    <x v="1"/>
    <x v="0"/>
    <s v="S12000035"/>
    <x v="21"/>
    <n v="225"/>
    <n v="25"/>
    <n v="20"/>
    <n v="180"/>
  </r>
  <r>
    <x v="1"/>
    <x v="0"/>
    <s v="S12000036"/>
    <x v="22"/>
    <n v="0"/>
    <n v="0"/>
    <n v="0"/>
    <n v="0"/>
  </r>
  <r>
    <x v="1"/>
    <x v="0"/>
    <s v="S12000038"/>
    <x v="23"/>
    <n v="0"/>
    <n v="0"/>
    <n v="0"/>
    <n v="0"/>
  </r>
  <r>
    <x v="1"/>
    <x v="0"/>
    <s v="S12000039"/>
    <x v="24"/>
    <n v="0"/>
    <n v="0"/>
    <n v="0"/>
    <n v="0"/>
  </r>
  <r>
    <x v="1"/>
    <x v="0"/>
    <s v="S12000040"/>
    <x v="25"/>
    <n v="0"/>
    <n v="0"/>
    <n v="0"/>
    <n v="0"/>
  </r>
  <r>
    <x v="1"/>
    <x v="0"/>
    <s v="S12000041"/>
    <x v="26"/>
    <n v="0"/>
    <n v="0"/>
    <n v="0"/>
    <n v="0"/>
  </r>
  <r>
    <x v="1"/>
    <x v="0"/>
    <s v="S12000042"/>
    <x v="27"/>
    <n v="0"/>
    <n v="0"/>
    <n v="0"/>
    <n v="0"/>
  </r>
  <r>
    <x v="1"/>
    <x v="0"/>
    <s v="S12000044"/>
    <x v="28"/>
    <n v="0"/>
    <n v="0"/>
    <n v="0"/>
    <n v="0"/>
  </r>
  <r>
    <x v="1"/>
    <x v="0"/>
    <s v="S12000045"/>
    <x v="29"/>
    <n v="0"/>
    <n v="0"/>
    <n v="0"/>
    <n v="0"/>
  </r>
  <r>
    <x v="1"/>
    <x v="0"/>
    <s v="S12000046"/>
    <x v="30"/>
    <n v="0"/>
    <n v="0"/>
    <n v="0"/>
    <n v="0"/>
  </r>
  <r>
    <x v="1"/>
    <x v="0"/>
    <s v="S12000047"/>
    <x v="31"/>
    <n v="0"/>
    <n v="0"/>
    <n v="0"/>
    <n v="0"/>
  </r>
  <r>
    <x v="2"/>
    <x v="0"/>
    <s v="S12000005"/>
    <x v="0"/>
    <n v="0"/>
    <n v="0"/>
    <n v="0"/>
    <n v="0"/>
  </r>
  <r>
    <x v="2"/>
    <x v="0"/>
    <s v="S12000006"/>
    <x v="1"/>
    <n v="5"/>
    <n v="1"/>
    <n v="1"/>
    <n v="3"/>
  </r>
  <r>
    <x v="2"/>
    <x v="0"/>
    <s v="S12000008"/>
    <x v="2"/>
    <n v="0"/>
    <n v="0"/>
    <n v="0"/>
    <n v="0"/>
  </r>
  <r>
    <x v="2"/>
    <x v="0"/>
    <s v="S12000010"/>
    <x v="3"/>
    <n v="0"/>
    <n v="0"/>
    <n v="0"/>
    <n v="0"/>
  </r>
  <r>
    <x v="2"/>
    <x v="0"/>
    <s v="S12000011"/>
    <x v="4"/>
    <n v="0"/>
    <n v="0"/>
    <n v="0"/>
    <n v="0"/>
  </r>
  <r>
    <x v="2"/>
    <x v="0"/>
    <s v="S12000013"/>
    <x v="5"/>
    <n v="0"/>
    <n v="0"/>
    <n v="0"/>
    <n v="0"/>
  </r>
  <r>
    <x v="2"/>
    <x v="0"/>
    <s v="S12000014"/>
    <x v="6"/>
    <n v="0"/>
    <n v="0"/>
    <n v="0"/>
    <n v="0"/>
  </r>
  <r>
    <x v="2"/>
    <x v="0"/>
    <s v="S12000017"/>
    <x v="7"/>
    <n v="68"/>
    <n v="8"/>
    <n v="14"/>
    <n v="46"/>
  </r>
  <r>
    <x v="2"/>
    <x v="0"/>
    <s v="S12000018"/>
    <x v="8"/>
    <n v="0"/>
    <n v="0"/>
    <n v="0"/>
    <n v="0"/>
  </r>
  <r>
    <x v="2"/>
    <x v="0"/>
    <s v="S12000019"/>
    <x v="9"/>
    <n v="0"/>
    <n v="0"/>
    <n v="0"/>
    <n v="0"/>
  </r>
  <r>
    <x v="2"/>
    <x v="0"/>
    <s v="S12000020"/>
    <x v="10"/>
    <n v="20"/>
    <n v="2"/>
    <n v="1"/>
    <n v="17"/>
  </r>
  <r>
    <x v="2"/>
    <x v="0"/>
    <s v="S12000021"/>
    <x v="11"/>
    <n v="22"/>
    <n v="3"/>
    <n v="4"/>
    <n v="15"/>
  </r>
  <r>
    <x v="2"/>
    <x v="0"/>
    <s v="S12000023"/>
    <x v="12"/>
    <n v="0"/>
    <n v="0"/>
    <n v="0"/>
    <n v="0"/>
  </r>
  <r>
    <x v="2"/>
    <x v="0"/>
    <s v="S12000024"/>
    <x v="13"/>
    <n v="23"/>
    <n v="0"/>
    <n v="2"/>
    <n v="21"/>
  </r>
  <r>
    <x v="2"/>
    <x v="0"/>
    <s v="S12000026"/>
    <x v="14"/>
    <n v="0"/>
    <n v="0"/>
    <n v="0"/>
    <n v="0"/>
  </r>
  <r>
    <x v="2"/>
    <x v="0"/>
    <s v="S12000027"/>
    <x v="15"/>
    <n v="0"/>
    <n v="0"/>
    <n v="0"/>
    <n v="0"/>
  </r>
  <r>
    <x v="2"/>
    <x v="0"/>
    <s v="S12000028"/>
    <x v="16"/>
    <n v="0"/>
    <n v="0"/>
    <n v="0"/>
    <n v="0"/>
  </r>
  <r>
    <x v="2"/>
    <x v="0"/>
    <s v="S12000029"/>
    <x v="17"/>
    <n v="3"/>
    <n v="0"/>
    <n v="1"/>
    <n v="2"/>
  </r>
  <r>
    <x v="2"/>
    <x v="0"/>
    <s v="S12000030"/>
    <x v="18"/>
    <n v="0"/>
    <n v="0"/>
    <n v="0"/>
    <n v="0"/>
  </r>
  <r>
    <x v="2"/>
    <x v="0"/>
    <s v="S12000033"/>
    <x v="19"/>
    <n v="0"/>
    <n v="0"/>
    <n v="0"/>
    <n v="0"/>
  </r>
  <r>
    <x v="2"/>
    <x v="0"/>
    <s v="S12000034"/>
    <x v="20"/>
    <n v="0"/>
    <n v="0"/>
    <n v="0"/>
    <n v="0"/>
  </r>
  <r>
    <x v="2"/>
    <x v="0"/>
    <s v="S12000035"/>
    <x v="21"/>
    <n v="201"/>
    <n v="22"/>
    <n v="23"/>
    <n v="156"/>
  </r>
  <r>
    <x v="2"/>
    <x v="0"/>
    <s v="S12000036"/>
    <x v="22"/>
    <n v="0"/>
    <n v="0"/>
    <n v="0"/>
    <n v="0"/>
  </r>
  <r>
    <x v="2"/>
    <x v="0"/>
    <s v="S12000038"/>
    <x v="23"/>
    <n v="0"/>
    <n v="0"/>
    <n v="0"/>
    <n v="0"/>
  </r>
  <r>
    <x v="2"/>
    <x v="0"/>
    <s v="S12000039"/>
    <x v="24"/>
    <n v="0"/>
    <n v="0"/>
    <n v="0"/>
    <n v="0"/>
  </r>
  <r>
    <x v="2"/>
    <x v="0"/>
    <s v="S12000040"/>
    <x v="25"/>
    <n v="0"/>
    <n v="0"/>
    <n v="0"/>
    <n v="0"/>
  </r>
  <r>
    <x v="2"/>
    <x v="0"/>
    <s v="S12000041"/>
    <x v="26"/>
    <n v="0"/>
    <n v="0"/>
    <n v="0"/>
    <n v="0"/>
  </r>
  <r>
    <x v="2"/>
    <x v="0"/>
    <s v="S12000042"/>
    <x v="27"/>
    <n v="0"/>
    <n v="0"/>
    <n v="0"/>
    <n v="0"/>
  </r>
  <r>
    <x v="2"/>
    <x v="0"/>
    <s v="S12000044"/>
    <x v="28"/>
    <n v="0"/>
    <n v="0"/>
    <n v="0"/>
    <n v="0"/>
  </r>
  <r>
    <x v="2"/>
    <x v="0"/>
    <s v="S12000045"/>
    <x v="29"/>
    <n v="0"/>
    <n v="0"/>
    <n v="0"/>
    <n v="0"/>
  </r>
  <r>
    <x v="2"/>
    <x v="0"/>
    <s v="S12000046"/>
    <x v="30"/>
    <n v="0"/>
    <n v="0"/>
    <n v="0"/>
    <n v="0"/>
  </r>
  <r>
    <x v="2"/>
    <x v="0"/>
    <s v="S12000047"/>
    <x v="31"/>
    <n v="0"/>
    <n v="0"/>
    <n v="0"/>
    <n v="0"/>
  </r>
  <r>
    <x v="3"/>
    <x v="0"/>
    <s v="S12000005"/>
    <x v="0"/>
    <n v="0"/>
    <n v="0"/>
    <n v="0"/>
    <n v="0"/>
  </r>
  <r>
    <x v="3"/>
    <x v="0"/>
    <s v="S12000006"/>
    <x v="1"/>
    <n v="5"/>
    <n v="1"/>
    <n v="1"/>
    <n v="3"/>
  </r>
  <r>
    <x v="3"/>
    <x v="0"/>
    <s v="S12000008"/>
    <x v="2"/>
    <n v="0"/>
    <n v="0"/>
    <n v="0"/>
    <n v="0"/>
  </r>
  <r>
    <x v="3"/>
    <x v="0"/>
    <s v="S12000010"/>
    <x v="3"/>
    <n v="0"/>
    <n v="0"/>
    <n v="0"/>
    <n v="0"/>
  </r>
  <r>
    <x v="3"/>
    <x v="0"/>
    <s v="S12000011"/>
    <x v="4"/>
    <n v="0"/>
    <n v="0"/>
    <n v="0"/>
    <n v="0"/>
  </r>
  <r>
    <x v="3"/>
    <x v="0"/>
    <s v="S12000013"/>
    <x v="5"/>
    <n v="0"/>
    <n v="0"/>
    <n v="0"/>
    <n v="0"/>
  </r>
  <r>
    <x v="3"/>
    <x v="0"/>
    <s v="S12000014"/>
    <x v="6"/>
    <n v="0"/>
    <n v="0"/>
    <n v="0"/>
    <n v="0"/>
  </r>
  <r>
    <x v="3"/>
    <x v="0"/>
    <s v="S12000017"/>
    <x v="7"/>
    <n v="67"/>
    <n v="7"/>
    <n v="13"/>
    <n v="47"/>
  </r>
  <r>
    <x v="3"/>
    <x v="0"/>
    <s v="S12000018"/>
    <x v="8"/>
    <n v="0"/>
    <n v="0"/>
    <n v="0"/>
    <n v="0"/>
  </r>
  <r>
    <x v="3"/>
    <x v="0"/>
    <s v="S12000019"/>
    <x v="9"/>
    <n v="0"/>
    <n v="0"/>
    <n v="0"/>
    <n v="0"/>
  </r>
  <r>
    <x v="3"/>
    <x v="0"/>
    <s v="S12000020"/>
    <x v="10"/>
    <n v="4"/>
    <n v="1"/>
    <n v="2"/>
    <n v="1"/>
  </r>
  <r>
    <x v="3"/>
    <x v="0"/>
    <s v="S12000021"/>
    <x v="11"/>
    <n v="18"/>
    <n v="3"/>
    <n v="4"/>
    <n v="11"/>
  </r>
  <r>
    <x v="3"/>
    <x v="0"/>
    <s v="S12000023"/>
    <x v="12"/>
    <n v="0"/>
    <n v="0"/>
    <n v="0"/>
    <n v="0"/>
  </r>
  <r>
    <x v="3"/>
    <x v="0"/>
    <s v="S12000024"/>
    <x v="13"/>
    <n v="23"/>
    <n v="0"/>
    <n v="3"/>
    <n v="20"/>
  </r>
  <r>
    <x v="3"/>
    <x v="0"/>
    <s v="S12000026"/>
    <x v="14"/>
    <n v="0"/>
    <n v="0"/>
    <n v="0"/>
    <n v="0"/>
  </r>
  <r>
    <x v="3"/>
    <x v="0"/>
    <s v="S12000027"/>
    <x v="15"/>
    <n v="0"/>
    <n v="0"/>
    <n v="0"/>
    <n v="0"/>
  </r>
  <r>
    <x v="3"/>
    <x v="0"/>
    <s v="S12000028"/>
    <x v="16"/>
    <n v="0"/>
    <n v="0"/>
    <n v="0"/>
    <n v="0"/>
  </r>
  <r>
    <x v="3"/>
    <x v="0"/>
    <s v="S12000029"/>
    <x v="17"/>
    <n v="3"/>
    <n v="1"/>
    <n v="0"/>
    <n v="2"/>
  </r>
  <r>
    <x v="3"/>
    <x v="0"/>
    <s v="S12000030"/>
    <x v="18"/>
    <n v="0"/>
    <n v="0"/>
    <n v="0"/>
    <n v="0"/>
  </r>
  <r>
    <x v="3"/>
    <x v="0"/>
    <s v="S12000033"/>
    <x v="19"/>
    <n v="0"/>
    <n v="0"/>
    <n v="0"/>
    <n v="0"/>
  </r>
  <r>
    <x v="3"/>
    <x v="0"/>
    <s v="S12000034"/>
    <x v="20"/>
    <n v="0"/>
    <n v="0"/>
    <n v="0"/>
    <n v="0"/>
  </r>
  <r>
    <x v="3"/>
    <x v="0"/>
    <s v="S12000035"/>
    <x v="21"/>
    <n v="200"/>
    <n v="24"/>
    <n v="21"/>
    <n v="155"/>
  </r>
  <r>
    <x v="3"/>
    <x v="0"/>
    <s v="S12000036"/>
    <x v="22"/>
    <n v="0"/>
    <n v="0"/>
    <n v="0"/>
    <n v="0"/>
  </r>
  <r>
    <x v="3"/>
    <x v="0"/>
    <s v="S12000038"/>
    <x v="23"/>
    <n v="0"/>
    <n v="0"/>
    <n v="0"/>
    <n v="0"/>
  </r>
  <r>
    <x v="3"/>
    <x v="0"/>
    <s v="S12000039"/>
    <x v="24"/>
    <n v="0"/>
    <n v="0"/>
    <n v="0"/>
    <n v="0"/>
  </r>
  <r>
    <x v="3"/>
    <x v="0"/>
    <s v="S12000040"/>
    <x v="25"/>
    <n v="0"/>
    <n v="0"/>
    <n v="0"/>
    <n v="0"/>
  </r>
  <r>
    <x v="3"/>
    <x v="0"/>
    <s v="S12000041"/>
    <x v="26"/>
    <n v="0"/>
    <n v="0"/>
    <n v="0"/>
    <n v="0"/>
  </r>
  <r>
    <x v="3"/>
    <x v="0"/>
    <s v="S12000042"/>
    <x v="27"/>
    <n v="0"/>
    <n v="0"/>
    <n v="0"/>
    <n v="0"/>
  </r>
  <r>
    <x v="3"/>
    <x v="0"/>
    <s v="S12000044"/>
    <x v="28"/>
    <n v="0"/>
    <n v="0"/>
    <n v="0"/>
    <n v="0"/>
  </r>
  <r>
    <x v="3"/>
    <x v="0"/>
    <s v="S12000045"/>
    <x v="29"/>
    <n v="0"/>
    <n v="0"/>
    <n v="0"/>
    <n v="0"/>
  </r>
  <r>
    <x v="3"/>
    <x v="0"/>
    <s v="S12000046"/>
    <x v="30"/>
    <n v="0"/>
    <n v="0"/>
    <n v="0"/>
    <n v="0"/>
  </r>
  <r>
    <x v="3"/>
    <x v="0"/>
    <s v="S12000047"/>
    <x v="31"/>
    <n v="0"/>
    <n v="0"/>
    <n v="0"/>
    <n v="0"/>
  </r>
  <r>
    <x v="4"/>
    <x v="0"/>
    <s v="S12000006"/>
    <x v="1"/>
    <n v="4"/>
    <n v="1"/>
    <m/>
    <n v="3"/>
  </r>
  <r>
    <x v="4"/>
    <x v="0"/>
    <s v="S12000017"/>
    <x v="7"/>
    <n v="64"/>
    <n v="7"/>
    <n v="11"/>
    <n v="46"/>
  </r>
  <r>
    <x v="4"/>
    <x v="0"/>
    <s v="S12000020"/>
    <x v="10"/>
    <n v="4"/>
    <n v="2"/>
    <n v="1"/>
    <n v="1"/>
  </r>
  <r>
    <x v="4"/>
    <x v="0"/>
    <s v="S12000021"/>
    <x v="11"/>
    <n v="23"/>
    <n v="3"/>
    <n v="3"/>
    <n v="17"/>
  </r>
  <r>
    <x v="4"/>
    <x v="0"/>
    <s v="S12000024"/>
    <x v="13"/>
    <n v="28"/>
    <m/>
    <n v="3"/>
    <n v="25"/>
  </r>
  <r>
    <x v="4"/>
    <x v="0"/>
    <s v="S12000029"/>
    <x v="17"/>
    <n v="2"/>
    <n v="1"/>
    <m/>
    <n v="1"/>
  </r>
  <r>
    <x v="4"/>
    <x v="0"/>
    <s v="S12000035"/>
    <x v="21"/>
    <n v="211"/>
    <n v="25"/>
    <n v="22"/>
    <n v="164"/>
  </r>
  <r>
    <x v="5"/>
    <x v="0"/>
    <s v="S12000006"/>
    <x v="1"/>
    <n v="6"/>
    <n v="1"/>
    <n v="0"/>
    <n v="5"/>
  </r>
  <r>
    <x v="5"/>
    <x v="0"/>
    <s v="S12000017"/>
    <x v="7"/>
    <n v="62"/>
    <n v="7"/>
    <n v="12"/>
    <n v="43"/>
  </r>
  <r>
    <x v="5"/>
    <x v="0"/>
    <s v="S12000020"/>
    <x v="10"/>
    <n v="4"/>
    <n v="1"/>
    <n v="2"/>
    <n v="1"/>
  </r>
  <r>
    <x v="5"/>
    <x v="0"/>
    <s v="S12000021"/>
    <x v="11"/>
    <n v="22"/>
    <n v="3"/>
    <n v="3"/>
    <n v="16"/>
  </r>
  <r>
    <x v="5"/>
    <x v="0"/>
    <s v="S12000029"/>
    <x v="17"/>
    <n v="2"/>
    <n v="1"/>
    <n v="0"/>
    <n v="1"/>
  </r>
  <r>
    <x v="5"/>
    <x v="0"/>
    <s v="S12000035"/>
    <x v="21"/>
    <n v="203"/>
    <n v="25"/>
    <n v="22"/>
    <n v="156"/>
  </r>
  <r>
    <x v="5"/>
    <x v="0"/>
    <s v="S12000048"/>
    <x v="13"/>
    <n v="22"/>
    <n v="0"/>
    <n v="3"/>
    <n v="19"/>
  </r>
  <r>
    <x v="6"/>
    <x v="0"/>
    <s v="S40000003"/>
    <x v="21"/>
    <n v="212"/>
    <n v="25"/>
    <n v="22"/>
    <n v="165"/>
  </r>
  <r>
    <x v="6"/>
    <x v="0"/>
    <s v="S40000003"/>
    <x v="1"/>
    <n v="5"/>
    <n v="1"/>
    <n v="1"/>
    <n v="3"/>
  </r>
  <r>
    <x v="6"/>
    <x v="0"/>
    <s v="S40000003"/>
    <x v="11"/>
    <n v="22"/>
    <n v="3"/>
    <n v="3"/>
    <n v="16"/>
  </r>
  <r>
    <x v="6"/>
    <x v="0"/>
    <s v="S40000003"/>
    <x v="17"/>
    <n v="2"/>
    <n v="1"/>
    <n v="0"/>
    <n v="1"/>
  </r>
  <r>
    <x v="6"/>
    <x v="0"/>
    <s v="S40000005"/>
    <x v="7"/>
    <n v="49"/>
    <n v="6"/>
    <n v="10"/>
    <n v="33"/>
  </r>
  <r>
    <x v="6"/>
    <x v="0"/>
    <s v="S40000005"/>
    <x v="10"/>
    <n v="4"/>
    <n v="1"/>
    <n v="2"/>
    <n v="1"/>
  </r>
  <r>
    <x v="6"/>
    <x v="0"/>
    <s v="S40000005"/>
    <x v="13"/>
    <n v="21"/>
    <n v="0"/>
    <n v="3"/>
    <n v="18"/>
  </r>
  <r>
    <x v="7"/>
    <x v="0"/>
    <s v="S40000003"/>
    <x v="21"/>
    <n v="201"/>
    <n v="25"/>
    <n v="22"/>
    <n v="154"/>
  </r>
  <r>
    <x v="7"/>
    <x v="0"/>
    <s v="S40000003"/>
    <x v="1"/>
    <n v="6"/>
    <n v="1"/>
    <n v="1"/>
    <n v="4"/>
  </r>
  <r>
    <x v="7"/>
    <x v="0"/>
    <s v="S40000003"/>
    <x v="11"/>
    <n v="22"/>
    <n v="3"/>
    <n v="3"/>
    <n v="16"/>
  </r>
  <r>
    <x v="7"/>
    <x v="0"/>
    <s v="S40000003"/>
    <x v="17"/>
    <n v="2"/>
    <n v="1"/>
    <n v="0"/>
    <n v="1"/>
  </r>
  <r>
    <x v="7"/>
    <x v="0"/>
    <s v="S40000005"/>
    <x v="7"/>
    <n v="48"/>
    <n v="6"/>
    <n v="12"/>
    <n v="30"/>
  </r>
  <r>
    <x v="7"/>
    <x v="0"/>
    <s v="S40000005"/>
    <x v="10"/>
    <n v="3"/>
    <n v="1"/>
    <n v="2"/>
    <n v="0"/>
  </r>
  <r>
    <x v="7"/>
    <x v="0"/>
    <s v="S40000005"/>
    <x v="13"/>
    <n v="21"/>
    <n v="0"/>
    <n v="3"/>
    <n v="18"/>
  </r>
  <r>
    <x v="8"/>
    <x v="0"/>
    <m/>
    <x v="21"/>
    <n v="183"/>
    <n v="24"/>
    <n v="21"/>
    <n v="138"/>
  </r>
  <r>
    <x v="8"/>
    <x v="0"/>
    <m/>
    <x v="1"/>
    <n v="6"/>
    <n v="1"/>
    <n v="1"/>
    <n v="4"/>
  </r>
  <r>
    <x v="8"/>
    <x v="0"/>
    <m/>
    <x v="7"/>
    <n v="45"/>
    <n v="7"/>
    <n v="12"/>
    <n v="26"/>
  </r>
  <r>
    <x v="8"/>
    <x v="0"/>
    <m/>
    <x v="11"/>
    <n v="19"/>
    <n v="3"/>
    <n v="3"/>
    <n v="13"/>
  </r>
  <r>
    <x v="8"/>
    <x v="0"/>
    <m/>
    <x v="13"/>
    <n v="22"/>
    <n v="0"/>
    <n v="3"/>
    <n v="19"/>
  </r>
  <r>
    <x v="8"/>
    <x v="0"/>
    <m/>
    <x v="17"/>
    <n v="2"/>
    <n v="1"/>
    <n v="0"/>
    <n v="1"/>
  </r>
  <r>
    <x v="9"/>
    <x v="0"/>
    <m/>
    <x v="21"/>
    <n v="172"/>
    <n v="25"/>
    <n v="21"/>
    <n v="126"/>
  </r>
  <r>
    <x v="9"/>
    <x v="0"/>
    <m/>
    <x v="1"/>
    <n v="6"/>
    <n v="1"/>
    <n v="1"/>
    <n v="4"/>
  </r>
  <r>
    <x v="9"/>
    <x v="0"/>
    <m/>
    <x v="7"/>
    <n v="42"/>
    <n v="6"/>
    <n v="11"/>
    <n v="25"/>
  </r>
  <r>
    <x v="9"/>
    <x v="0"/>
    <m/>
    <x v="10"/>
    <n v="3"/>
    <n v="1"/>
    <n v="2"/>
    <n v="0"/>
  </r>
  <r>
    <x v="9"/>
    <x v="0"/>
    <m/>
    <x v="11"/>
    <n v="20"/>
    <n v="3"/>
    <n v="2"/>
    <n v="15"/>
  </r>
  <r>
    <x v="9"/>
    <x v="0"/>
    <m/>
    <x v="13"/>
    <n v="21"/>
    <n v="0"/>
    <n v="3"/>
    <n v="18"/>
  </r>
  <r>
    <x v="9"/>
    <x v="0"/>
    <m/>
    <x v="17"/>
    <n v="2"/>
    <n v="1"/>
    <n v="0"/>
    <n v="1"/>
  </r>
  <r>
    <x v="10"/>
    <x v="0"/>
    <m/>
    <x v="21"/>
    <n v="172"/>
    <n v="25"/>
    <n v="21"/>
    <n v="126"/>
  </r>
  <r>
    <x v="10"/>
    <x v="0"/>
    <m/>
    <x v="1"/>
    <n v="7"/>
    <n v="1"/>
    <n v="2"/>
    <n v="4"/>
  </r>
  <r>
    <x v="10"/>
    <x v="0"/>
    <m/>
    <x v="7"/>
    <n v="47"/>
    <n v="6"/>
    <n v="11"/>
    <n v="30"/>
  </r>
  <r>
    <x v="10"/>
    <x v="0"/>
    <m/>
    <x v="10"/>
    <n v="3"/>
    <n v="1"/>
    <n v="2"/>
    <n v="0"/>
  </r>
  <r>
    <x v="10"/>
    <x v="0"/>
    <m/>
    <x v="11"/>
    <n v="19"/>
    <n v="2"/>
    <n v="2"/>
    <n v="15"/>
  </r>
  <r>
    <x v="10"/>
    <x v="0"/>
    <m/>
    <x v="13"/>
    <n v="21"/>
    <n v="0"/>
    <n v="3"/>
    <n v="18"/>
  </r>
  <r>
    <x v="11"/>
    <x v="0"/>
    <m/>
    <x v="21"/>
    <n v="181"/>
    <n v="25"/>
    <n v="22"/>
    <n v="134"/>
  </r>
  <r>
    <x v="11"/>
    <x v="0"/>
    <m/>
    <x v="1"/>
    <n v="6"/>
    <n v="1"/>
    <n v="2"/>
    <n v="3"/>
  </r>
  <r>
    <x v="11"/>
    <x v="0"/>
    <m/>
    <x v="7"/>
    <n v="43"/>
    <n v="6"/>
    <n v="10"/>
    <n v="27"/>
  </r>
  <r>
    <x v="11"/>
    <x v="0"/>
    <m/>
    <x v="10"/>
    <n v="3"/>
    <n v="1"/>
    <n v="2"/>
    <n v="0"/>
  </r>
  <r>
    <x v="11"/>
    <x v="0"/>
    <m/>
    <x v="11"/>
    <n v="19"/>
    <n v="2"/>
    <n v="2"/>
    <n v="15"/>
  </r>
  <r>
    <x v="11"/>
    <x v="0"/>
    <m/>
    <x v="13"/>
    <n v="21"/>
    <n v="1"/>
    <n v="3"/>
    <n v="17"/>
  </r>
  <r>
    <x v="12"/>
    <x v="0"/>
    <m/>
    <x v="21"/>
    <n v="164"/>
    <n v="25"/>
    <n v="21"/>
    <n v="118"/>
  </r>
  <r>
    <x v="12"/>
    <x v="0"/>
    <m/>
    <x v="1"/>
    <n v="4"/>
    <n v="1"/>
    <n v="2"/>
    <n v="1"/>
  </r>
  <r>
    <x v="12"/>
    <x v="0"/>
    <m/>
    <x v="7"/>
    <n v="43"/>
    <n v="6"/>
    <n v="10"/>
    <n v="27"/>
  </r>
  <r>
    <x v="12"/>
    <x v="0"/>
    <m/>
    <x v="10"/>
    <n v="1"/>
    <n v="0"/>
    <n v="1"/>
    <n v="0"/>
  </r>
  <r>
    <x v="12"/>
    <x v="0"/>
    <m/>
    <x v="11"/>
    <n v="19"/>
    <n v="2"/>
    <n v="2"/>
    <n v="15"/>
  </r>
  <r>
    <x v="12"/>
    <x v="0"/>
    <m/>
    <x v="13"/>
    <n v="21"/>
    <n v="1"/>
    <n v="3"/>
    <n v="17"/>
  </r>
</pivotCacheRecords>
</file>

<file path=xl/pivotCache/pivotCacheRecords27.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663">
  <r>
    <x v="0"/>
    <x v="0"/>
    <s v="S12000005"/>
    <x v="0"/>
    <n v="43"/>
    <n v="0"/>
    <n v="0"/>
    <n v="9"/>
    <n v="30"/>
    <n v="0"/>
    <n v="0"/>
    <n v="4"/>
  </r>
  <r>
    <x v="0"/>
    <x v="0"/>
    <s v="S12000006"/>
    <x v="1"/>
    <n v="69"/>
    <n v="0"/>
    <n v="0"/>
    <n v="11"/>
    <n v="53"/>
    <n v="0"/>
    <n v="0"/>
    <n v="5"/>
  </r>
  <r>
    <x v="0"/>
    <x v="0"/>
    <s v="S12000008"/>
    <x v="2"/>
    <n v="59"/>
    <n v="0"/>
    <n v="0"/>
    <n v="11"/>
    <n v="40"/>
    <n v="0"/>
    <n v="0"/>
    <n v="8"/>
  </r>
  <r>
    <x v="0"/>
    <x v="0"/>
    <s v="S12000010"/>
    <x v="3"/>
    <n v="29"/>
    <n v="0"/>
    <n v="0"/>
    <n v="5"/>
    <n v="21"/>
    <n v="0"/>
    <n v="0"/>
    <n v="3"/>
  </r>
  <r>
    <x v="0"/>
    <x v="0"/>
    <s v="S12000011"/>
    <x v="4"/>
    <n v="59"/>
    <n v="0"/>
    <n v="0"/>
    <n v="14"/>
    <n v="34"/>
    <n v="0"/>
    <n v="0"/>
    <n v="11"/>
  </r>
  <r>
    <x v="0"/>
    <x v="0"/>
    <s v="S12000013"/>
    <x v="5"/>
    <n v="0"/>
    <n v="0"/>
    <n v="0"/>
    <n v="0"/>
    <n v="0"/>
    <n v="0"/>
    <n v="0"/>
    <n v="0"/>
  </r>
  <r>
    <x v="0"/>
    <x v="0"/>
    <s v="S12000014"/>
    <x v="6"/>
    <n v="96"/>
    <n v="0"/>
    <n v="0"/>
    <n v="18"/>
    <n v="65"/>
    <n v="0"/>
    <n v="1"/>
    <n v="12"/>
  </r>
  <r>
    <x v="0"/>
    <x v="0"/>
    <s v="S12000017"/>
    <x v="7"/>
    <n v="81"/>
    <n v="0"/>
    <n v="0"/>
    <n v="9"/>
    <n v="60"/>
    <n v="0"/>
    <n v="2"/>
    <n v="10"/>
  </r>
  <r>
    <x v="0"/>
    <x v="0"/>
    <s v="S12000018"/>
    <x v="8"/>
    <n v="78"/>
    <n v="0"/>
    <n v="0"/>
    <n v="18"/>
    <n v="49"/>
    <n v="0"/>
    <n v="0"/>
    <n v="11"/>
  </r>
  <r>
    <x v="0"/>
    <x v="0"/>
    <s v="S12000019"/>
    <x v="9"/>
    <n v="35"/>
    <n v="0"/>
    <n v="0"/>
    <n v="4"/>
    <n v="26"/>
    <n v="0"/>
    <n v="0"/>
    <n v="5"/>
  </r>
  <r>
    <x v="0"/>
    <x v="0"/>
    <s v="S12000020"/>
    <x v="10"/>
    <n v="20"/>
    <n v="0"/>
    <n v="0"/>
    <n v="2"/>
    <n v="15"/>
    <n v="0"/>
    <n v="0"/>
    <n v="3"/>
  </r>
  <r>
    <x v="0"/>
    <x v="0"/>
    <s v="S12000021"/>
    <x v="11"/>
    <n v="76"/>
    <n v="0"/>
    <n v="0"/>
    <n v="13"/>
    <n v="50"/>
    <n v="0"/>
    <n v="0"/>
    <n v="13"/>
  </r>
  <r>
    <x v="0"/>
    <x v="0"/>
    <s v="S12000023"/>
    <x v="12"/>
    <n v="0"/>
    <n v="0"/>
    <n v="0"/>
    <n v="0"/>
    <n v="0"/>
    <n v="0"/>
    <n v="0"/>
    <n v="0"/>
  </r>
  <r>
    <x v="0"/>
    <x v="0"/>
    <s v="S12000024"/>
    <x v="13"/>
    <n v="88"/>
    <n v="0"/>
    <n v="0"/>
    <n v="14"/>
    <n v="61"/>
    <n v="0"/>
    <n v="2"/>
    <n v="11"/>
  </r>
  <r>
    <x v="0"/>
    <x v="0"/>
    <s v="S12000026"/>
    <x v="14"/>
    <n v="75"/>
    <n v="0"/>
    <n v="0"/>
    <n v="11"/>
    <n v="54"/>
    <n v="0"/>
    <n v="0"/>
    <n v="10"/>
  </r>
  <r>
    <x v="0"/>
    <x v="0"/>
    <s v="S12000027"/>
    <x v="15"/>
    <n v="0"/>
    <n v="0"/>
    <n v="0"/>
    <n v="0"/>
    <n v="0"/>
    <n v="0"/>
    <n v="0"/>
    <n v="0"/>
  </r>
  <r>
    <x v="0"/>
    <x v="0"/>
    <s v="S12000028"/>
    <x v="16"/>
    <n v="65"/>
    <n v="0"/>
    <n v="0"/>
    <n v="10"/>
    <n v="47"/>
    <n v="0"/>
    <n v="0"/>
    <n v="8"/>
  </r>
  <r>
    <x v="0"/>
    <x v="0"/>
    <s v="S12000029"/>
    <x v="17"/>
    <n v="190"/>
    <n v="0"/>
    <n v="0"/>
    <n v="33"/>
    <n v="129"/>
    <n v="0"/>
    <n v="2"/>
    <n v="26"/>
  </r>
  <r>
    <x v="0"/>
    <x v="0"/>
    <s v="S12000030"/>
    <x v="18"/>
    <n v="61.76"/>
    <n v="0"/>
    <n v="0"/>
    <n v="10"/>
    <n v="41.76"/>
    <n v="0"/>
    <n v="0"/>
    <n v="10"/>
  </r>
  <r>
    <x v="0"/>
    <x v="0"/>
    <s v="S12000033"/>
    <x v="19"/>
    <n v="174"/>
    <n v="0"/>
    <n v="0"/>
    <n v="24"/>
    <n v="128"/>
    <n v="0"/>
    <n v="0"/>
    <n v="22"/>
  </r>
  <r>
    <x v="0"/>
    <x v="0"/>
    <s v="S12000034"/>
    <x v="20"/>
    <n v="23"/>
    <n v="0"/>
    <n v="0"/>
    <n v="3"/>
    <n v="16"/>
    <n v="0"/>
    <n v="0"/>
    <n v="4"/>
  </r>
  <r>
    <x v="0"/>
    <x v="0"/>
    <s v="S12000035"/>
    <x v="21"/>
    <n v="58"/>
    <n v="0"/>
    <n v="0"/>
    <n v="10"/>
    <n v="31"/>
    <n v="0"/>
    <n v="2"/>
    <n v="15"/>
  </r>
  <r>
    <x v="0"/>
    <x v="0"/>
    <s v="S12000036"/>
    <x v="22"/>
    <n v="370"/>
    <n v="0"/>
    <n v="0"/>
    <n v="70"/>
    <n v="275"/>
    <n v="0"/>
    <n v="0"/>
    <n v="25"/>
  </r>
  <r>
    <x v="0"/>
    <x v="0"/>
    <s v="S12000038"/>
    <x v="23"/>
    <n v="116"/>
    <n v="0"/>
    <n v="0"/>
    <n v="22"/>
    <n v="74"/>
    <n v="0"/>
    <n v="1"/>
    <n v="19"/>
  </r>
  <r>
    <x v="0"/>
    <x v="0"/>
    <s v="S12000039"/>
    <x v="24"/>
    <n v="80"/>
    <n v="0"/>
    <n v="0"/>
    <n v="18"/>
    <n v="52"/>
    <n v="0"/>
    <n v="0"/>
    <n v="10"/>
  </r>
  <r>
    <x v="0"/>
    <x v="0"/>
    <s v="S12000040"/>
    <x v="25"/>
    <n v="85"/>
    <n v="0"/>
    <n v="0"/>
    <n v="14"/>
    <n v="61"/>
    <n v="0"/>
    <n v="0"/>
    <n v="10"/>
  </r>
  <r>
    <x v="0"/>
    <x v="0"/>
    <s v="S12000041"/>
    <x v="26"/>
    <n v="35"/>
    <n v="0"/>
    <n v="0"/>
    <n v="0"/>
    <n v="25"/>
    <n v="0"/>
    <n v="1"/>
    <n v="9"/>
  </r>
  <r>
    <x v="0"/>
    <x v="0"/>
    <s v="S12000042"/>
    <x v="27"/>
    <n v="215"/>
    <n v="0"/>
    <n v="0"/>
    <n v="29"/>
    <n v="162"/>
    <n v="0"/>
    <n v="1"/>
    <n v="23"/>
  </r>
  <r>
    <x v="0"/>
    <x v="0"/>
    <s v="S12000044"/>
    <x v="28"/>
    <n v="188"/>
    <n v="0"/>
    <n v="0"/>
    <n v="34"/>
    <n v="129"/>
    <n v="0"/>
    <n v="1"/>
    <n v="24"/>
  </r>
  <r>
    <x v="0"/>
    <x v="0"/>
    <s v="S12000045"/>
    <x v="29"/>
    <n v="74"/>
    <n v="0"/>
    <n v="0"/>
    <n v="15"/>
    <n v="45"/>
    <n v="0"/>
    <n v="0"/>
    <n v="14"/>
  </r>
  <r>
    <x v="0"/>
    <x v="0"/>
    <s v="S12000046"/>
    <x v="30"/>
    <n v="560"/>
    <n v="0"/>
    <n v="0"/>
    <n v="119"/>
    <n v="373"/>
    <n v="0"/>
    <n v="0"/>
    <n v="68"/>
  </r>
  <r>
    <x v="0"/>
    <x v="0"/>
    <s v="S12000047"/>
    <x v="31"/>
    <n v="289"/>
    <n v="0"/>
    <n v="0"/>
    <n v="58"/>
    <n v="208"/>
    <n v="0"/>
    <n v="0"/>
    <n v="23"/>
  </r>
  <r>
    <x v="0"/>
    <x v="1"/>
    <s v="S39000001"/>
    <x v="19"/>
    <n v="23"/>
    <n v="1"/>
    <n v="0"/>
    <n v="0"/>
    <n v="1"/>
    <n v="7"/>
    <n v="6"/>
    <n v="8"/>
  </r>
  <r>
    <x v="0"/>
    <x v="1"/>
    <s v="S39000002"/>
    <x v="32"/>
    <n v="15"/>
    <n v="1"/>
    <n v="0"/>
    <n v="0"/>
    <n v="0"/>
    <n v="2"/>
    <n v="4"/>
    <n v="8"/>
  </r>
  <r>
    <x v="0"/>
    <x v="1"/>
    <s v="S39000003"/>
    <x v="33"/>
    <n v="22"/>
    <n v="1"/>
    <n v="0"/>
    <n v="1"/>
    <n v="1"/>
    <n v="3"/>
    <n v="6"/>
    <n v="10"/>
  </r>
  <r>
    <x v="0"/>
    <x v="1"/>
    <s v="S39000004"/>
    <x v="1"/>
    <n v="16"/>
    <n v="0"/>
    <n v="0"/>
    <n v="0"/>
    <n v="0"/>
    <n v="2"/>
    <n v="5"/>
    <n v="9"/>
  </r>
  <r>
    <x v="0"/>
    <x v="1"/>
    <s v="S39000006"/>
    <x v="34"/>
    <n v="21"/>
    <n v="1"/>
    <n v="0"/>
    <n v="0"/>
    <n v="5"/>
    <n v="7"/>
    <n v="0"/>
    <n v="8"/>
  </r>
  <r>
    <x v="0"/>
    <x v="1"/>
    <s v="S39000007"/>
    <x v="35"/>
    <n v="12"/>
    <n v="1"/>
    <n v="0"/>
    <n v="0"/>
    <n v="1"/>
    <n v="3"/>
    <n v="5"/>
    <n v="2"/>
  </r>
  <r>
    <x v="0"/>
    <x v="1"/>
    <s v="S39000008"/>
    <x v="36"/>
    <n v="23"/>
    <n v="1"/>
    <n v="0"/>
    <n v="0"/>
    <n v="0"/>
    <n v="9"/>
    <n v="7"/>
    <n v="6"/>
  </r>
  <r>
    <x v="0"/>
    <x v="1"/>
    <s v="S39000009"/>
    <x v="37"/>
    <n v="26"/>
    <n v="2"/>
    <n v="0"/>
    <n v="3"/>
    <n v="2"/>
    <n v="9"/>
    <n v="3"/>
    <n v="7"/>
  </r>
  <r>
    <x v="0"/>
    <x v="1"/>
    <s v="S39000010"/>
    <x v="38"/>
    <n v="13"/>
    <n v="1"/>
    <n v="0"/>
    <n v="0"/>
    <n v="2"/>
    <n v="2"/>
    <n v="2"/>
    <n v="6"/>
  </r>
  <r>
    <x v="0"/>
    <x v="1"/>
    <s v="S39000012"/>
    <x v="30"/>
    <n v="28"/>
    <n v="1"/>
    <n v="0"/>
    <n v="0"/>
    <n v="3"/>
    <n v="4"/>
    <n v="10"/>
    <n v="10"/>
  </r>
  <r>
    <x v="0"/>
    <x v="1"/>
    <s v="S39000013"/>
    <x v="39"/>
    <n v="13"/>
    <n v="1"/>
    <n v="0"/>
    <n v="0"/>
    <n v="0"/>
    <n v="4"/>
    <n v="7"/>
    <n v="1"/>
  </r>
  <r>
    <x v="0"/>
    <x v="1"/>
    <s v="S39000014"/>
    <x v="28"/>
    <n v="14"/>
    <n v="1"/>
    <n v="0"/>
    <n v="1"/>
    <n v="0"/>
    <n v="2"/>
    <n v="6"/>
    <n v="4"/>
  </r>
  <r>
    <x v="0"/>
    <x v="1"/>
    <s v="S39000015"/>
    <x v="17"/>
    <n v="10"/>
    <n v="1"/>
    <n v="0"/>
    <n v="0"/>
    <n v="0"/>
    <n v="3"/>
    <n v="4"/>
    <n v="2"/>
  </r>
  <r>
    <x v="0"/>
    <x v="1"/>
    <s v="S39000016"/>
    <x v="40"/>
    <n v="8"/>
    <n v="1"/>
    <n v="0"/>
    <n v="0"/>
    <n v="0"/>
    <n v="3"/>
    <n v="4"/>
    <n v="0"/>
  </r>
  <r>
    <x v="0"/>
    <x v="1"/>
    <s v="S39000017"/>
    <x v="41"/>
    <n v="9"/>
    <n v="1"/>
    <n v="0"/>
    <n v="0"/>
    <n v="0"/>
    <n v="3"/>
    <n v="5"/>
    <n v="0"/>
  </r>
  <r>
    <x v="0"/>
    <x v="1"/>
    <s v="S39000018"/>
    <x v="42"/>
    <n v="11"/>
    <n v="1"/>
    <n v="0"/>
    <n v="0"/>
    <n v="0"/>
    <n v="3"/>
    <n v="5"/>
    <n v="2"/>
  </r>
  <r>
    <x v="0"/>
    <x v="1"/>
    <s v="S39000019"/>
    <x v="31"/>
    <n v="21"/>
    <n v="1"/>
    <n v="0"/>
    <n v="0"/>
    <n v="0"/>
    <n v="3"/>
    <n v="6"/>
    <n v="11"/>
  </r>
  <r>
    <x v="0"/>
    <x v="2"/>
    <s v="S40000003"/>
    <x v="43"/>
    <n v="111"/>
    <n v="3"/>
    <n v="1"/>
    <n v="8"/>
    <n v="0"/>
    <n v="12"/>
    <n v="8"/>
    <n v="79"/>
  </r>
  <r>
    <x v="0"/>
    <x v="2"/>
    <s v="S40000004"/>
    <x v="44"/>
    <n v="80"/>
    <n v="1"/>
    <n v="1"/>
    <n v="8"/>
    <n v="3"/>
    <n v="3"/>
    <n v="15"/>
    <n v="49"/>
  </r>
  <r>
    <x v="0"/>
    <x v="2"/>
    <s v="S40000005"/>
    <x v="45"/>
    <n v="77"/>
    <n v="2"/>
    <n v="1"/>
    <n v="24"/>
    <n v="1"/>
    <n v="9"/>
    <n v="10"/>
    <n v="30"/>
  </r>
  <r>
    <x v="0"/>
    <x v="3"/>
    <s v="S92000003"/>
    <x v="46"/>
    <n v="56"/>
    <n v="5"/>
    <n v="6"/>
    <n v="7"/>
    <n v="0"/>
    <n v="22"/>
    <n v="5"/>
    <n v="11"/>
  </r>
  <r>
    <x v="0"/>
    <x v="4"/>
    <s v="S92000003"/>
    <x v="46"/>
    <n v="4000.76"/>
    <n v="28"/>
    <n v="9"/>
    <n v="660"/>
    <n v="2373.7600000000002"/>
    <n v="115"/>
    <n v="136"/>
    <n v="679"/>
  </r>
  <r>
    <x v="1"/>
    <x v="0"/>
    <s v="S12000005"/>
    <x v="0"/>
    <n v="37"/>
    <m/>
    <m/>
    <n v="8"/>
    <n v="25"/>
    <m/>
    <n v="0"/>
    <n v="4"/>
  </r>
  <r>
    <x v="1"/>
    <x v="0"/>
    <s v="S12000006"/>
    <x v="1"/>
    <n v="69"/>
    <m/>
    <m/>
    <n v="11"/>
    <n v="52"/>
    <m/>
    <n v="0"/>
    <n v="6"/>
  </r>
  <r>
    <x v="1"/>
    <x v="0"/>
    <s v="S12000008"/>
    <x v="2"/>
    <n v="56"/>
    <m/>
    <m/>
    <n v="9"/>
    <n v="39"/>
    <m/>
    <n v="0"/>
    <n v="8"/>
  </r>
  <r>
    <x v="1"/>
    <x v="0"/>
    <s v="S12000010"/>
    <x v="3"/>
    <n v="28"/>
    <m/>
    <m/>
    <n v="3"/>
    <n v="21"/>
    <m/>
    <n v="0"/>
    <n v="4"/>
  </r>
  <r>
    <x v="1"/>
    <x v="0"/>
    <s v="S12000011"/>
    <x v="4"/>
    <n v="57"/>
    <m/>
    <m/>
    <n v="13"/>
    <n v="35"/>
    <m/>
    <n v="0"/>
    <n v="9"/>
  </r>
  <r>
    <x v="1"/>
    <x v="0"/>
    <s v="S12000013"/>
    <x v="5"/>
    <n v="0"/>
    <m/>
    <m/>
    <n v="0"/>
    <n v="0"/>
    <m/>
    <n v="0"/>
    <n v="0"/>
  </r>
  <r>
    <x v="1"/>
    <x v="0"/>
    <s v="S12000014"/>
    <x v="6"/>
    <n v="94"/>
    <m/>
    <m/>
    <n v="17"/>
    <n v="60"/>
    <m/>
    <n v="2"/>
    <n v="15"/>
  </r>
  <r>
    <x v="1"/>
    <x v="0"/>
    <s v="S12000017"/>
    <x v="7"/>
    <n v="81"/>
    <m/>
    <m/>
    <n v="11"/>
    <n v="57"/>
    <m/>
    <n v="1"/>
    <n v="12"/>
  </r>
  <r>
    <x v="1"/>
    <x v="0"/>
    <s v="S12000018"/>
    <x v="8"/>
    <n v="77"/>
    <m/>
    <m/>
    <n v="16"/>
    <n v="49"/>
    <m/>
    <n v="0"/>
    <n v="12"/>
  </r>
  <r>
    <x v="1"/>
    <x v="0"/>
    <s v="S12000019"/>
    <x v="9"/>
    <n v="35"/>
    <m/>
    <m/>
    <n v="4"/>
    <n v="26"/>
    <m/>
    <n v="0"/>
    <n v="5"/>
  </r>
  <r>
    <x v="1"/>
    <x v="0"/>
    <s v="S12000020"/>
    <x v="10"/>
    <n v="21"/>
    <m/>
    <m/>
    <n v="3"/>
    <n v="14"/>
    <m/>
    <n v="0"/>
    <n v="4"/>
  </r>
  <r>
    <x v="1"/>
    <x v="0"/>
    <s v="S12000021"/>
    <x v="11"/>
    <n v="78"/>
    <m/>
    <m/>
    <n v="14"/>
    <n v="50"/>
    <m/>
    <n v="0"/>
    <n v="14"/>
  </r>
  <r>
    <x v="1"/>
    <x v="0"/>
    <s v="S12000023"/>
    <x v="12"/>
    <n v="0"/>
    <m/>
    <m/>
    <n v="0"/>
    <n v="0"/>
    <m/>
    <n v="0"/>
    <n v="0"/>
  </r>
  <r>
    <x v="1"/>
    <x v="0"/>
    <s v="S12000024"/>
    <x v="13"/>
    <n v="86"/>
    <m/>
    <m/>
    <n v="16"/>
    <n v="58"/>
    <m/>
    <n v="1"/>
    <n v="11"/>
  </r>
  <r>
    <x v="1"/>
    <x v="0"/>
    <s v="S12000026"/>
    <x v="14"/>
    <n v="73"/>
    <m/>
    <m/>
    <n v="11"/>
    <n v="51"/>
    <m/>
    <n v="0"/>
    <n v="11"/>
  </r>
  <r>
    <x v="1"/>
    <x v="0"/>
    <s v="S12000027"/>
    <x v="15"/>
    <n v="0"/>
    <m/>
    <m/>
    <n v="0"/>
    <n v="0"/>
    <m/>
    <n v="0"/>
    <n v="0"/>
  </r>
  <r>
    <x v="1"/>
    <x v="0"/>
    <s v="S12000028"/>
    <x v="16"/>
    <n v="60"/>
    <m/>
    <m/>
    <n v="9"/>
    <n v="43"/>
    <m/>
    <n v="0"/>
    <n v="8"/>
  </r>
  <r>
    <x v="1"/>
    <x v="0"/>
    <s v="S12000029"/>
    <x v="17"/>
    <n v="187"/>
    <m/>
    <m/>
    <n v="35"/>
    <n v="126"/>
    <m/>
    <n v="2"/>
    <n v="24"/>
  </r>
  <r>
    <x v="1"/>
    <x v="0"/>
    <s v="S12000030"/>
    <x v="18"/>
    <n v="55"/>
    <m/>
    <m/>
    <n v="10"/>
    <n v="37"/>
    <m/>
    <n v="0"/>
    <n v="8"/>
  </r>
  <r>
    <x v="1"/>
    <x v="0"/>
    <s v="S12000033"/>
    <x v="19"/>
    <n v="173"/>
    <m/>
    <m/>
    <n v="25"/>
    <n v="122"/>
    <m/>
    <n v="0"/>
    <n v="26"/>
  </r>
  <r>
    <x v="1"/>
    <x v="0"/>
    <s v="S12000034"/>
    <x v="20"/>
    <n v="23"/>
    <m/>
    <m/>
    <n v="3"/>
    <n v="18"/>
    <m/>
    <n v="0"/>
    <n v="2"/>
  </r>
  <r>
    <x v="1"/>
    <x v="0"/>
    <s v="S12000035"/>
    <x v="21"/>
    <n v="54"/>
    <m/>
    <m/>
    <n v="10"/>
    <n v="27"/>
    <m/>
    <n v="2"/>
    <n v="15"/>
  </r>
  <r>
    <x v="1"/>
    <x v="0"/>
    <s v="S12000036"/>
    <x v="22"/>
    <n v="348"/>
    <m/>
    <m/>
    <n v="64"/>
    <n v="257"/>
    <m/>
    <n v="1"/>
    <n v="26"/>
  </r>
  <r>
    <x v="1"/>
    <x v="0"/>
    <s v="S12000038"/>
    <x v="23"/>
    <n v="115"/>
    <m/>
    <m/>
    <n v="23"/>
    <n v="72"/>
    <m/>
    <n v="0"/>
    <n v="20"/>
  </r>
  <r>
    <x v="1"/>
    <x v="0"/>
    <s v="S12000039"/>
    <x v="24"/>
    <n v="74"/>
    <m/>
    <m/>
    <n v="20"/>
    <n v="45"/>
    <m/>
    <n v="0"/>
    <n v="9"/>
  </r>
  <r>
    <x v="1"/>
    <x v="0"/>
    <s v="S12000040"/>
    <x v="25"/>
    <n v="79"/>
    <m/>
    <m/>
    <n v="9"/>
    <n v="59"/>
    <m/>
    <n v="1"/>
    <n v="10"/>
  </r>
  <r>
    <x v="1"/>
    <x v="0"/>
    <s v="S12000041"/>
    <x v="26"/>
    <n v="27"/>
    <m/>
    <m/>
    <n v="0"/>
    <n v="22"/>
    <m/>
    <n v="1"/>
    <n v="4"/>
  </r>
  <r>
    <x v="1"/>
    <x v="0"/>
    <s v="S12000042"/>
    <x v="27"/>
    <n v="207"/>
    <m/>
    <m/>
    <n v="27"/>
    <n v="158"/>
    <m/>
    <n v="1"/>
    <n v="21"/>
  </r>
  <r>
    <x v="1"/>
    <x v="0"/>
    <s v="S12000044"/>
    <x v="28"/>
    <n v="187"/>
    <m/>
    <m/>
    <n v="37"/>
    <n v="125"/>
    <m/>
    <n v="1"/>
    <n v="24"/>
  </r>
  <r>
    <x v="1"/>
    <x v="0"/>
    <s v="S12000045"/>
    <x v="29"/>
    <n v="72"/>
    <m/>
    <m/>
    <n v="14"/>
    <n v="44"/>
    <m/>
    <n v="0"/>
    <n v="14"/>
  </r>
  <r>
    <x v="1"/>
    <x v="0"/>
    <s v="S12000046"/>
    <x v="30"/>
    <n v="544"/>
    <m/>
    <m/>
    <n v="116"/>
    <n v="362"/>
    <m/>
    <n v="1"/>
    <n v="65"/>
  </r>
  <r>
    <x v="1"/>
    <x v="0"/>
    <s v="S12000047"/>
    <x v="31"/>
    <n v="288"/>
    <m/>
    <m/>
    <n v="54"/>
    <n v="209"/>
    <m/>
    <n v="0"/>
    <n v="25"/>
  </r>
  <r>
    <x v="1"/>
    <x v="1"/>
    <s v="S39000001"/>
    <x v="19"/>
    <n v="18"/>
    <n v="1"/>
    <m/>
    <n v="0"/>
    <n v="0"/>
    <n v="3"/>
    <n v="7"/>
    <n v="7"/>
  </r>
  <r>
    <x v="1"/>
    <x v="1"/>
    <s v="S39000002"/>
    <x v="32"/>
    <n v="18"/>
    <n v="1"/>
    <m/>
    <n v="0"/>
    <n v="2"/>
    <n v="1"/>
    <n v="4"/>
    <n v="10"/>
  </r>
  <r>
    <x v="1"/>
    <x v="1"/>
    <s v="S39000003"/>
    <x v="33"/>
    <n v="21"/>
    <n v="1"/>
    <m/>
    <n v="0"/>
    <n v="1"/>
    <n v="7"/>
    <n v="5"/>
    <n v="7"/>
  </r>
  <r>
    <x v="1"/>
    <x v="1"/>
    <s v="S39000004"/>
    <x v="1"/>
    <n v="18"/>
    <n v="0"/>
    <m/>
    <n v="0"/>
    <n v="1"/>
    <n v="2"/>
    <n v="5"/>
    <n v="10"/>
  </r>
  <r>
    <x v="1"/>
    <x v="1"/>
    <s v="S39000006"/>
    <x v="34"/>
    <n v="20"/>
    <n v="1"/>
    <m/>
    <n v="0"/>
    <n v="0"/>
    <n v="7"/>
    <n v="7"/>
    <n v="5"/>
  </r>
  <r>
    <x v="1"/>
    <x v="1"/>
    <s v="S39000007"/>
    <x v="35"/>
    <n v="17"/>
    <n v="1"/>
    <m/>
    <n v="0"/>
    <n v="4"/>
    <n v="5"/>
    <n v="1"/>
    <n v="6"/>
  </r>
  <r>
    <x v="1"/>
    <x v="1"/>
    <s v="S39000008"/>
    <x v="36"/>
    <n v="12"/>
    <n v="1"/>
    <m/>
    <n v="0"/>
    <n v="0"/>
    <n v="3"/>
    <n v="5"/>
    <n v="3"/>
  </r>
  <r>
    <x v="1"/>
    <x v="1"/>
    <s v="S39000009"/>
    <x v="37"/>
    <n v="24"/>
    <n v="2"/>
    <m/>
    <n v="2"/>
    <n v="2"/>
    <n v="8"/>
    <n v="4"/>
    <n v="6"/>
  </r>
  <r>
    <x v="1"/>
    <x v="1"/>
    <s v="S39000010"/>
    <x v="38"/>
    <n v="13"/>
    <n v="1"/>
    <m/>
    <n v="0"/>
    <n v="1"/>
    <n v="3"/>
    <n v="3"/>
    <n v="5"/>
  </r>
  <r>
    <x v="1"/>
    <x v="1"/>
    <s v="S39000012"/>
    <x v="30"/>
    <n v="25"/>
    <n v="1"/>
    <m/>
    <n v="1"/>
    <n v="2"/>
    <n v="4"/>
    <n v="8"/>
    <n v="9"/>
  </r>
  <r>
    <x v="1"/>
    <x v="1"/>
    <s v="S39000013"/>
    <x v="39"/>
    <n v="13"/>
    <n v="1"/>
    <m/>
    <n v="0"/>
    <n v="0"/>
    <n v="6"/>
    <n v="5"/>
    <n v="1"/>
  </r>
  <r>
    <x v="1"/>
    <x v="1"/>
    <s v="S39000014"/>
    <x v="28"/>
    <n v="16"/>
    <n v="2"/>
    <m/>
    <n v="1"/>
    <n v="1"/>
    <n v="3"/>
    <n v="5"/>
    <n v="4"/>
  </r>
  <r>
    <x v="1"/>
    <x v="1"/>
    <s v="S39000015"/>
    <x v="17"/>
    <n v="10"/>
    <n v="1"/>
    <m/>
    <n v="0"/>
    <n v="0"/>
    <n v="4"/>
    <n v="2"/>
    <n v="3"/>
  </r>
  <r>
    <x v="1"/>
    <x v="1"/>
    <s v="S39000016"/>
    <x v="40"/>
    <n v="5"/>
    <n v="0"/>
    <m/>
    <n v="0"/>
    <n v="0"/>
    <n v="1"/>
    <n v="4"/>
    <n v="0"/>
  </r>
  <r>
    <x v="1"/>
    <x v="1"/>
    <s v="S39000017"/>
    <x v="41"/>
    <n v="7"/>
    <n v="1"/>
    <m/>
    <n v="0"/>
    <n v="0"/>
    <n v="3"/>
    <n v="3"/>
    <n v="0"/>
  </r>
  <r>
    <x v="1"/>
    <x v="1"/>
    <s v="S39000018"/>
    <x v="42"/>
    <n v="12"/>
    <n v="1"/>
    <m/>
    <n v="0"/>
    <n v="0"/>
    <n v="3"/>
    <n v="5"/>
    <n v="3"/>
  </r>
  <r>
    <x v="1"/>
    <x v="1"/>
    <s v="S39000019"/>
    <x v="31"/>
    <n v="21"/>
    <n v="2"/>
    <m/>
    <n v="0"/>
    <n v="0"/>
    <n v="2"/>
    <n v="6"/>
    <n v="11"/>
  </r>
  <r>
    <x v="1"/>
    <x v="2"/>
    <s v="S40000003"/>
    <x v="43"/>
    <n v="105"/>
    <n v="2"/>
    <m/>
    <n v="9"/>
    <n v="0"/>
    <n v="15"/>
    <n v="4"/>
    <n v="75"/>
  </r>
  <r>
    <x v="1"/>
    <x v="2"/>
    <s v="S40000004"/>
    <x v="44"/>
    <n v="78"/>
    <n v="1"/>
    <m/>
    <n v="4"/>
    <n v="6"/>
    <n v="4"/>
    <n v="17"/>
    <n v="46"/>
  </r>
  <r>
    <x v="1"/>
    <x v="2"/>
    <s v="S40000005"/>
    <x v="45"/>
    <n v="66"/>
    <n v="1"/>
    <m/>
    <n v="21"/>
    <n v="1"/>
    <n v="7"/>
    <n v="10"/>
    <n v="26"/>
  </r>
  <r>
    <x v="1"/>
    <x v="3"/>
    <s v="S92000003"/>
    <x v="46"/>
    <n v="52"/>
    <n v="11"/>
    <n v="7"/>
    <n v="4"/>
    <n v="1"/>
    <n v="12"/>
    <n v="6"/>
    <n v="11"/>
  </r>
  <r>
    <x v="1"/>
    <x v="4"/>
    <s v="S92000003"/>
    <x v="46"/>
    <n v="3856"/>
    <n v="33"/>
    <n v="7"/>
    <n v="634"/>
    <n v="2285"/>
    <n v="103"/>
    <n v="130"/>
    <n v="664"/>
  </r>
  <r>
    <x v="2"/>
    <x v="0"/>
    <s v="S12000005"/>
    <x v="0"/>
    <n v="26"/>
    <m/>
    <m/>
    <n v="5"/>
    <n v="17"/>
    <m/>
    <n v="0"/>
    <n v="4"/>
  </r>
  <r>
    <x v="2"/>
    <x v="0"/>
    <s v="S12000006"/>
    <x v="1"/>
    <n v="65"/>
    <m/>
    <m/>
    <n v="14"/>
    <n v="48"/>
    <m/>
    <n v="0"/>
    <n v="3"/>
  </r>
  <r>
    <x v="2"/>
    <x v="0"/>
    <s v="S12000008"/>
    <x v="2"/>
    <n v="53"/>
    <m/>
    <m/>
    <n v="7"/>
    <n v="41"/>
    <m/>
    <n v="0"/>
    <n v="5"/>
  </r>
  <r>
    <x v="2"/>
    <x v="0"/>
    <s v="S12000010"/>
    <x v="3"/>
    <n v="27"/>
    <m/>
    <m/>
    <n v="4"/>
    <n v="19"/>
    <m/>
    <n v="0"/>
    <n v="4"/>
  </r>
  <r>
    <x v="2"/>
    <x v="0"/>
    <s v="S12000011"/>
    <x v="4"/>
    <n v="53"/>
    <m/>
    <m/>
    <n v="10"/>
    <n v="34"/>
    <m/>
    <n v="0"/>
    <n v="9"/>
  </r>
  <r>
    <x v="2"/>
    <x v="0"/>
    <s v="S12000013"/>
    <x v="5"/>
    <n v="95"/>
    <m/>
    <m/>
    <n v="17"/>
    <n v="66"/>
    <m/>
    <n v="0"/>
    <n v="12"/>
  </r>
  <r>
    <x v="2"/>
    <x v="0"/>
    <s v="S12000014"/>
    <x v="6"/>
    <n v="277.07499999999999"/>
    <m/>
    <m/>
    <n v="47"/>
    <n v="210.07499999999999"/>
    <m/>
    <n v="0"/>
    <n v="20"/>
  </r>
  <r>
    <x v="2"/>
    <x v="0"/>
    <s v="S12000017"/>
    <x v="7"/>
    <n v="70"/>
    <m/>
    <m/>
    <n v="12"/>
    <n v="48"/>
    <m/>
    <n v="1"/>
    <n v="9"/>
  </r>
  <r>
    <x v="2"/>
    <x v="0"/>
    <s v="S12000018"/>
    <x v="8"/>
    <n v="23"/>
    <m/>
    <m/>
    <n v="4"/>
    <n v="16"/>
    <m/>
    <n v="0"/>
    <n v="3"/>
  </r>
  <r>
    <x v="2"/>
    <x v="0"/>
    <s v="S12000019"/>
    <x v="9"/>
    <n v="31"/>
    <m/>
    <m/>
    <n v="5"/>
    <n v="21"/>
    <m/>
    <n v="0"/>
    <n v="5"/>
  </r>
  <r>
    <x v="2"/>
    <x v="0"/>
    <s v="S12000020"/>
    <x v="10"/>
    <n v="0"/>
    <m/>
    <m/>
    <n v="0"/>
    <n v="0"/>
    <m/>
    <n v="0"/>
    <n v="0"/>
  </r>
  <r>
    <x v="2"/>
    <x v="0"/>
    <s v="S12000021"/>
    <x v="11"/>
    <n v="75.095238095238102"/>
    <m/>
    <m/>
    <n v="13.095238095238095"/>
    <n v="50"/>
    <m/>
    <n v="0"/>
    <n v="12"/>
  </r>
  <r>
    <x v="2"/>
    <x v="0"/>
    <s v="S12000023"/>
    <x v="12"/>
    <n v="0"/>
    <m/>
    <m/>
    <n v="0"/>
    <n v="0"/>
    <m/>
    <n v="0"/>
    <n v="0"/>
  </r>
  <r>
    <x v="2"/>
    <x v="0"/>
    <s v="S12000024"/>
    <x v="13"/>
    <n v="72.75"/>
    <m/>
    <m/>
    <n v="13"/>
    <n v="55.75"/>
    <m/>
    <n v="0"/>
    <n v="4"/>
  </r>
  <r>
    <x v="2"/>
    <x v="0"/>
    <s v="S12000026"/>
    <x v="14"/>
    <n v="69.075000000000003"/>
    <m/>
    <m/>
    <n v="12"/>
    <n v="48.075000000000003"/>
    <m/>
    <n v="0"/>
    <n v="9"/>
  </r>
  <r>
    <x v="2"/>
    <x v="0"/>
    <s v="S12000027"/>
    <x v="15"/>
    <n v="0"/>
    <m/>
    <m/>
    <n v="0"/>
    <n v="0"/>
    <m/>
    <n v="0"/>
    <n v="0"/>
  </r>
  <r>
    <x v="2"/>
    <x v="0"/>
    <s v="S12000028"/>
    <x v="16"/>
    <n v="55"/>
    <m/>
    <m/>
    <n v="10"/>
    <n v="40"/>
    <m/>
    <n v="0"/>
    <n v="5"/>
  </r>
  <r>
    <x v="2"/>
    <x v="0"/>
    <s v="S12000029"/>
    <x v="17"/>
    <n v="178"/>
    <m/>
    <m/>
    <n v="28"/>
    <n v="132"/>
    <m/>
    <n v="0"/>
    <n v="18"/>
  </r>
  <r>
    <x v="2"/>
    <x v="0"/>
    <s v="S12000030"/>
    <x v="18"/>
    <n v="51"/>
    <m/>
    <m/>
    <n v="9"/>
    <n v="40"/>
    <m/>
    <n v="0"/>
    <n v="2"/>
  </r>
  <r>
    <x v="2"/>
    <x v="0"/>
    <s v="S12000033"/>
    <x v="19"/>
    <n v="142"/>
    <m/>
    <m/>
    <n v="22"/>
    <n v="107"/>
    <m/>
    <n v="0"/>
    <n v="13"/>
  </r>
  <r>
    <x v="2"/>
    <x v="0"/>
    <s v="S12000034"/>
    <x v="20"/>
    <n v="32"/>
    <m/>
    <m/>
    <n v="6"/>
    <n v="22"/>
    <m/>
    <n v="0"/>
    <n v="4"/>
  </r>
  <r>
    <x v="2"/>
    <x v="0"/>
    <s v="S12000035"/>
    <x v="21"/>
    <n v="55"/>
    <m/>
    <m/>
    <n v="8"/>
    <n v="37"/>
    <m/>
    <n v="0"/>
    <n v="10"/>
  </r>
  <r>
    <x v="2"/>
    <x v="0"/>
    <s v="S12000036"/>
    <x v="22"/>
    <n v="315"/>
    <m/>
    <m/>
    <n v="48"/>
    <n v="248"/>
    <m/>
    <n v="0"/>
    <n v="19"/>
  </r>
  <r>
    <x v="2"/>
    <x v="0"/>
    <s v="S12000038"/>
    <x v="23"/>
    <n v="92"/>
    <m/>
    <m/>
    <n v="15"/>
    <n v="62"/>
    <m/>
    <n v="0"/>
    <n v="15"/>
  </r>
  <r>
    <x v="2"/>
    <x v="0"/>
    <s v="S12000039"/>
    <x v="24"/>
    <n v="70"/>
    <m/>
    <m/>
    <n v="11"/>
    <n v="49"/>
    <m/>
    <n v="0"/>
    <n v="10"/>
  </r>
  <r>
    <x v="2"/>
    <x v="0"/>
    <s v="S12000040"/>
    <x v="25"/>
    <n v="61"/>
    <m/>
    <m/>
    <n v="9"/>
    <n v="44"/>
    <m/>
    <n v="0"/>
    <n v="8"/>
  </r>
  <r>
    <x v="2"/>
    <x v="0"/>
    <s v="S12000041"/>
    <x v="26"/>
    <n v="36"/>
    <m/>
    <m/>
    <n v="8"/>
    <n v="25"/>
    <m/>
    <n v="0"/>
    <n v="3"/>
  </r>
  <r>
    <x v="2"/>
    <x v="0"/>
    <s v="S12000042"/>
    <x v="27"/>
    <n v="176"/>
    <m/>
    <m/>
    <n v="26"/>
    <n v="135"/>
    <m/>
    <n v="1"/>
    <n v="14"/>
  </r>
  <r>
    <x v="2"/>
    <x v="0"/>
    <s v="S12000044"/>
    <x v="28"/>
    <n v="179.75"/>
    <m/>
    <m/>
    <n v="27.75"/>
    <n v="136"/>
    <m/>
    <n v="0"/>
    <n v="16"/>
  </r>
  <r>
    <x v="2"/>
    <x v="0"/>
    <s v="S12000045"/>
    <x v="29"/>
    <n v="70"/>
    <m/>
    <m/>
    <n v="9"/>
    <n v="46"/>
    <m/>
    <n v="0"/>
    <n v="15"/>
  </r>
  <r>
    <x v="2"/>
    <x v="0"/>
    <s v="S12000046"/>
    <x v="30"/>
    <n v="68"/>
    <m/>
    <m/>
    <n v="11"/>
    <n v="53"/>
    <m/>
    <n v="0"/>
    <n v="4"/>
  </r>
  <r>
    <x v="2"/>
    <x v="0"/>
    <s v="S12000047"/>
    <x v="31"/>
    <n v="498.15952380952382"/>
    <m/>
    <m/>
    <n v="98.5"/>
    <n v="350"/>
    <m/>
    <n v="0"/>
    <n v="49.659523809523812"/>
  </r>
  <r>
    <x v="2"/>
    <x v="1"/>
    <s v="S39000001"/>
    <x v="19"/>
    <n v="16"/>
    <n v="1"/>
    <m/>
    <n v="0"/>
    <n v="3"/>
    <n v="3"/>
    <n v="2"/>
    <n v="7"/>
  </r>
  <r>
    <x v="2"/>
    <x v="1"/>
    <s v="S39000002"/>
    <x v="32"/>
    <n v="27"/>
    <n v="1"/>
    <m/>
    <n v="7"/>
    <n v="1"/>
    <n v="2"/>
    <n v="6"/>
    <n v="10"/>
  </r>
  <r>
    <x v="2"/>
    <x v="1"/>
    <s v="S39000003"/>
    <x v="33"/>
    <n v="25"/>
    <n v="1"/>
    <m/>
    <n v="2"/>
    <n v="4"/>
    <n v="5"/>
    <n v="7"/>
    <n v="6"/>
  </r>
  <r>
    <x v="2"/>
    <x v="1"/>
    <s v="S39000004"/>
    <x v="1"/>
    <n v="19"/>
    <n v="0"/>
    <m/>
    <n v="0"/>
    <n v="2"/>
    <n v="2"/>
    <n v="5"/>
    <n v="10"/>
  </r>
  <r>
    <x v="2"/>
    <x v="1"/>
    <s v="S39000006"/>
    <x v="34"/>
    <n v="28.885714285714286"/>
    <n v="1"/>
    <m/>
    <n v="4"/>
    <n v="1.8857142857142857"/>
    <n v="6"/>
    <n v="7"/>
    <n v="9"/>
  </r>
  <r>
    <x v="2"/>
    <x v="1"/>
    <s v="S39000007"/>
    <x v="35"/>
    <n v="38"/>
    <n v="1"/>
    <m/>
    <n v="10"/>
    <n v="5"/>
    <n v="5"/>
    <n v="6"/>
    <n v="11"/>
  </r>
  <r>
    <x v="2"/>
    <x v="1"/>
    <s v="S39000008"/>
    <x v="36"/>
    <n v="17"/>
    <n v="1"/>
    <m/>
    <n v="1"/>
    <n v="3"/>
    <n v="2"/>
    <n v="3"/>
    <n v="7"/>
  </r>
  <r>
    <x v="2"/>
    <x v="1"/>
    <s v="S39000009"/>
    <x v="37"/>
    <n v="27"/>
    <n v="0"/>
    <m/>
    <n v="5"/>
    <n v="4"/>
    <n v="7"/>
    <n v="2"/>
    <n v="9"/>
  </r>
  <r>
    <x v="2"/>
    <x v="1"/>
    <s v="S39000010"/>
    <x v="38"/>
    <n v="25"/>
    <n v="1"/>
    <m/>
    <n v="1"/>
    <n v="2"/>
    <n v="2"/>
    <n v="3"/>
    <n v="16"/>
  </r>
  <r>
    <x v="2"/>
    <x v="1"/>
    <s v="S39000012"/>
    <x v="30"/>
    <n v="31.659523809523812"/>
    <n v="1"/>
    <m/>
    <n v="1"/>
    <n v="2"/>
    <n v="5"/>
    <n v="8"/>
    <n v="14.65952380952381"/>
  </r>
  <r>
    <x v="2"/>
    <x v="1"/>
    <s v="S39000013"/>
    <x v="39"/>
    <n v="29"/>
    <n v="1"/>
    <m/>
    <n v="7"/>
    <n v="0"/>
    <n v="6"/>
    <n v="8"/>
    <n v="7"/>
  </r>
  <r>
    <x v="2"/>
    <x v="1"/>
    <s v="S39000014"/>
    <x v="28"/>
    <n v="20"/>
    <n v="1"/>
    <m/>
    <n v="3"/>
    <n v="0"/>
    <n v="3"/>
    <n v="4"/>
    <n v="9"/>
  </r>
  <r>
    <x v="2"/>
    <x v="1"/>
    <s v="S39000015"/>
    <x v="17"/>
    <n v="16"/>
    <n v="1"/>
    <m/>
    <n v="3"/>
    <n v="1"/>
    <n v="3"/>
    <n v="5"/>
    <n v="3"/>
  </r>
  <r>
    <x v="2"/>
    <x v="1"/>
    <s v="S39000016"/>
    <x v="40"/>
    <n v="13"/>
    <n v="0"/>
    <m/>
    <n v="2"/>
    <n v="1"/>
    <n v="2"/>
    <n v="5"/>
    <n v="3"/>
  </r>
  <r>
    <x v="2"/>
    <x v="1"/>
    <s v="S39000017"/>
    <x v="41"/>
    <n v="11"/>
    <n v="1"/>
    <m/>
    <n v="1"/>
    <n v="0"/>
    <n v="3"/>
    <n v="5"/>
    <n v="1"/>
  </r>
  <r>
    <x v="2"/>
    <x v="1"/>
    <s v="S39000018"/>
    <x v="42"/>
    <n v="24"/>
    <n v="1"/>
    <m/>
    <n v="0"/>
    <n v="1"/>
    <n v="4"/>
    <n v="10"/>
    <n v="8"/>
  </r>
  <r>
    <x v="2"/>
    <x v="1"/>
    <s v="S39000019"/>
    <x v="31"/>
    <n v="26"/>
    <n v="1"/>
    <m/>
    <n v="3"/>
    <n v="4"/>
    <n v="2"/>
    <n v="5"/>
    <n v="11"/>
  </r>
  <r>
    <x v="2"/>
    <x v="2"/>
    <s v="S40000003"/>
    <x v="43"/>
    <n v="16"/>
    <n v="1"/>
    <m/>
    <n v="3"/>
    <n v="0"/>
    <n v="5"/>
    <n v="3"/>
    <n v="4"/>
  </r>
  <r>
    <x v="2"/>
    <x v="2"/>
    <s v="S40000004"/>
    <x v="44"/>
    <n v="25"/>
    <n v="1"/>
    <m/>
    <n v="2"/>
    <n v="0"/>
    <n v="2"/>
    <n v="3"/>
    <n v="17"/>
  </r>
  <r>
    <x v="2"/>
    <x v="2"/>
    <s v="S40000005"/>
    <x v="45"/>
    <n v="44"/>
    <n v="1"/>
    <m/>
    <n v="8"/>
    <n v="0"/>
    <n v="2"/>
    <n v="8"/>
    <n v="25"/>
  </r>
  <r>
    <x v="2"/>
    <x v="3"/>
    <s v="S92000003"/>
    <x v="46"/>
    <n v="195"/>
    <n v="18"/>
    <n v="10"/>
    <n v="26"/>
    <n v="16"/>
    <n v="19"/>
    <n v="19"/>
    <n v="93"/>
  </r>
  <r>
    <x v="2"/>
    <x v="4"/>
    <s v="S92000003"/>
    <x v="46"/>
    <n v="3690"/>
    <n v="35"/>
    <n v="4"/>
    <n v="598.34523809523807"/>
    <n v="2250.7857142857142"/>
    <n v="90"/>
    <n v="126"/>
    <n v="585.31904761904764"/>
  </r>
  <r>
    <x v="3"/>
    <x v="0"/>
    <s v="S12000005"/>
    <x v="0"/>
    <n v="22"/>
    <n v="0"/>
    <n v="0"/>
    <n v="4"/>
    <n v="14"/>
    <n v="0"/>
    <n v="0"/>
    <n v="4"/>
  </r>
  <r>
    <x v="3"/>
    <x v="0"/>
    <s v="S12000006"/>
    <x v="1"/>
    <n v="63"/>
    <n v="0"/>
    <n v="0"/>
    <n v="11"/>
    <n v="48"/>
    <n v="0"/>
    <n v="0"/>
    <n v="4"/>
  </r>
  <r>
    <x v="3"/>
    <x v="0"/>
    <s v="S12000008"/>
    <x v="2"/>
    <n v="46"/>
    <n v="0"/>
    <n v="0"/>
    <n v="9"/>
    <n v="32"/>
    <n v="0"/>
    <n v="0"/>
    <n v="5"/>
  </r>
  <r>
    <x v="3"/>
    <x v="0"/>
    <s v="S12000010"/>
    <x v="3"/>
    <n v="27"/>
    <n v="0"/>
    <n v="0"/>
    <n v="4"/>
    <n v="19"/>
    <n v="0"/>
    <n v="0"/>
    <n v="4"/>
  </r>
  <r>
    <x v="3"/>
    <x v="0"/>
    <s v="S12000011"/>
    <x v="4"/>
    <n v="50"/>
    <n v="0"/>
    <n v="0"/>
    <n v="10"/>
    <n v="30"/>
    <n v="0"/>
    <n v="0"/>
    <n v="10"/>
  </r>
  <r>
    <x v="3"/>
    <x v="0"/>
    <s v="S12000013"/>
    <x v="5"/>
    <n v="0"/>
    <n v="0"/>
    <n v="0"/>
    <n v="0"/>
    <n v="0"/>
    <n v="0"/>
    <n v="0"/>
    <n v="0"/>
  </r>
  <r>
    <x v="3"/>
    <x v="0"/>
    <s v="S12000014"/>
    <x v="6"/>
    <n v="86"/>
    <n v="0"/>
    <n v="0"/>
    <n v="16"/>
    <n v="57"/>
    <n v="0"/>
    <n v="0"/>
    <n v="13"/>
  </r>
  <r>
    <x v="3"/>
    <x v="0"/>
    <s v="S12000017"/>
    <x v="7"/>
    <n v="67"/>
    <n v="0"/>
    <n v="0"/>
    <n v="11"/>
    <n v="52"/>
    <n v="0"/>
    <n v="0"/>
    <n v="4"/>
  </r>
  <r>
    <x v="3"/>
    <x v="0"/>
    <s v="S12000018"/>
    <x v="8"/>
    <n v="68"/>
    <n v="0"/>
    <n v="0"/>
    <n v="13"/>
    <n v="43"/>
    <n v="0"/>
    <n v="1"/>
    <n v="11"/>
  </r>
  <r>
    <x v="3"/>
    <x v="0"/>
    <s v="S12000019"/>
    <x v="9"/>
    <n v="22"/>
    <n v="0"/>
    <n v="0"/>
    <n v="4"/>
    <n v="14"/>
    <n v="0"/>
    <n v="0"/>
    <n v="4"/>
  </r>
  <r>
    <x v="3"/>
    <x v="0"/>
    <s v="S12000020"/>
    <x v="10"/>
    <n v="27"/>
    <n v="0"/>
    <n v="0"/>
    <n v="4"/>
    <n v="19"/>
    <n v="0"/>
    <n v="0"/>
    <n v="4"/>
  </r>
  <r>
    <x v="3"/>
    <x v="0"/>
    <s v="S12000021"/>
    <x v="11"/>
    <n v="78"/>
    <n v="0"/>
    <n v="0"/>
    <n v="17"/>
    <n v="46"/>
    <n v="0"/>
    <n v="0"/>
    <n v="15"/>
  </r>
  <r>
    <x v="3"/>
    <x v="0"/>
    <s v="S12000023"/>
    <x v="12"/>
    <n v="0"/>
    <n v="0"/>
    <n v="0"/>
    <n v="0"/>
    <n v="0"/>
    <n v="0"/>
    <n v="0"/>
    <n v="0"/>
  </r>
  <r>
    <x v="3"/>
    <x v="0"/>
    <s v="S12000024"/>
    <x v="13"/>
    <n v="68"/>
    <n v="0"/>
    <n v="0"/>
    <n v="12"/>
    <n v="52"/>
    <n v="0"/>
    <n v="0"/>
    <n v="4"/>
  </r>
  <r>
    <x v="3"/>
    <x v="0"/>
    <s v="S12000026"/>
    <x v="14"/>
    <n v="56"/>
    <n v="0"/>
    <n v="0"/>
    <n v="8"/>
    <n v="40"/>
    <n v="0"/>
    <n v="0"/>
    <n v="8"/>
  </r>
  <r>
    <x v="3"/>
    <x v="0"/>
    <s v="S12000027"/>
    <x v="15"/>
    <n v="0"/>
    <n v="0"/>
    <n v="0"/>
    <n v="0"/>
    <n v="0"/>
    <n v="0"/>
    <n v="0"/>
    <n v="0"/>
  </r>
  <r>
    <x v="3"/>
    <x v="0"/>
    <s v="S12000028"/>
    <x v="16"/>
    <n v="54"/>
    <n v="0"/>
    <n v="0"/>
    <n v="10"/>
    <n v="39"/>
    <n v="0"/>
    <n v="0"/>
    <n v="5"/>
  </r>
  <r>
    <x v="3"/>
    <x v="0"/>
    <s v="S12000029"/>
    <x v="17"/>
    <n v="171"/>
    <n v="0"/>
    <n v="0"/>
    <n v="34"/>
    <n v="117"/>
    <n v="0"/>
    <n v="0"/>
    <n v="20"/>
  </r>
  <r>
    <x v="3"/>
    <x v="0"/>
    <s v="S12000030"/>
    <x v="18"/>
    <n v="53"/>
    <n v="0"/>
    <n v="0"/>
    <n v="9"/>
    <n v="40"/>
    <n v="0"/>
    <n v="0"/>
    <n v="4"/>
  </r>
  <r>
    <x v="3"/>
    <x v="0"/>
    <s v="S12000033"/>
    <x v="19"/>
    <n v="155"/>
    <n v="0"/>
    <n v="0"/>
    <n v="26"/>
    <n v="113"/>
    <n v="0"/>
    <n v="0"/>
    <n v="16"/>
  </r>
  <r>
    <x v="3"/>
    <x v="0"/>
    <s v="S12000034"/>
    <x v="20"/>
    <n v="25"/>
    <n v="0"/>
    <n v="0"/>
    <n v="4"/>
    <n v="17"/>
    <n v="0"/>
    <n v="0"/>
    <n v="4"/>
  </r>
  <r>
    <x v="3"/>
    <x v="0"/>
    <s v="S12000035"/>
    <x v="21"/>
    <n v="43"/>
    <n v="0"/>
    <n v="0"/>
    <n v="9"/>
    <n v="24"/>
    <n v="0"/>
    <n v="0"/>
    <n v="10"/>
  </r>
  <r>
    <x v="3"/>
    <x v="0"/>
    <s v="S12000036"/>
    <x v="22"/>
    <n v="313"/>
    <n v="0"/>
    <n v="0"/>
    <n v="60"/>
    <n v="227"/>
    <n v="0"/>
    <n v="0"/>
    <n v="26"/>
  </r>
  <r>
    <x v="3"/>
    <x v="0"/>
    <s v="S12000038"/>
    <x v="23"/>
    <n v="97"/>
    <n v="0"/>
    <n v="0"/>
    <n v="21"/>
    <n v="60"/>
    <n v="0"/>
    <n v="0"/>
    <n v="16"/>
  </r>
  <r>
    <x v="3"/>
    <x v="0"/>
    <s v="S12000039"/>
    <x v="24"/>
    <n v="69"/>
    <n v="0"/>
    <n v="0"/>
    <n v="15"/>
    <n v="44"/>
    <n v="0"/>
    <n v="0"/>
    <n v="10"/>
  </r>
  <r>
    <x v="3"/>
    <x v="0"/>
    <s v="S12000040"/>
    <x v="25"/>
    <n v="60"/>
    <n v="0"/>
    <n v="0"/>
    <n v="10"/>
    <n v="42"/>
    <n v="0"/>
    <n v="0"/>
    <n v="8"/>
  </r>
  <r>
    <x v="3"/>
    <x v="0"/>
    <s v="S12000041"/>
    <x v="26"/>
    <n v="25"/>
    <n v="0"/>
    <n v="0"/>
    <n v="4"/>
    <n v="18"/>
    <n v="0"/>
    <n v="0"/>
    <n v="3"/>
  </r>
  <r>
    <x v="3"/>
    <x v="0"/>
    <s v="S12000042"/>
    <x v="27"/>
    <n v="192"/>
    <n v="0"/>
    <n v="0"/>
    <n v="30"/>
    <n v="144"/>
    <n v="0"/>
    <n v="0"/>
    <n v="18"/>
  </r>
  <r>
    <x v="3"/>
    <x v="0"/>
    <s v="S12000044"/>
    <x v="28"/>
    <n v="173"/>
    <n v="0"/>
    <n v="0"/>
    <n v="30"/>
    <n v="123"/>
    <n v="0"/>
    <n v="0"/>
    <n v="20"/>
  </r>
  <r>
    <x v="3"/>
    <x v="0"/>
    <s v="S12000045"/>
    <x v="29"/>
    <n v="68"/>
    <n v="0"/>
    <n v="0"/>
    <n v="14"/>
    <n v="39"/>
    <n v="0"/>
    <n v="0"/>
    <n v="15"/>
  </r>
  <r>
    <x v="3"/>
    <x v="0"/>
    <s v="S12000046"/>
    <x v="30"/>
    <n v="475"/>
    <n v="0"/>
    <n v="0"/>
    <n v="105"/>
    <n v="313"/>
    <n v="0"/>
    <n v="0"/>
    <n v="57"/>
  </r>
  <r>
    <x v="3"/>
    <x v="0"/>
    <s v="S12000047"/>
    <x v="31"/>
    <n v="270"/>
    <n v="0"/>
    <n v="0"/>
    <n v="48"/>
    <n v="201"/>
    <n v="0"/>
    <n v="0"/>
    <n v="21"/>
  </r>
  <r>
    <x v="3"/>
    <x v="1"/>
    <s v="S39000001"/>
    <x v="19"/>
    <n v="14"/>
    <n v="1"/>
    <n v="0"/>
    <n v="2"/>
    <n v="2"/>
    <n v="1"/>
    <n v="3"/>
    <n v="5"/>
  </r>
  <r>
    <x v="3"/>
    <x v="1"/>
    <s v="S39000002"/>
    <x v="32"/>
    <n v="25"/>
    <n v="1"/>
    <n v="0"/>
    <n v="5"/>
    <n v="0"/>
    <n v="2"/>
    <n v="8"/>
    <n v="9"/>
  </r>
  <r>
    <x v="3"/>
    <x v="1"/>
    <s v="S39000003"/>
    <x v="33"/>
    <n v="26"/>
    <n v="1"/>
    <n v="0"/>
    <n v="4"/>
    <n v="2"/>
    <n v="3"/>
    <n v="9"/>
    <n v="7"/>
  </r>
  <r>
    <x v="3"/>
    <x v="1"/>
    <s v="S39000004"/>
    <x v="1"/>
    <n v="21"/>
    <n v="1"/>
    <n v="0"/>
    <n v="3"/>
    <n v="0"/>
    <n v="2"/>
    <n v="6"/>
    <n v="9"/>
  </r>
  <r>
    <x v="3"/>
    <x v="1"/>
    <s v="S39000006"/>
    <x v="34"/>
    <n v="29"/>
    <n v="1"/>
    <n v="0"/>
    <n v="5"/>
    <n v="1"/>
    <n v="4"/>
    <n v="9"/>
    <n v="9"/>
  </r>
  <r>
    <x v="3"/>
    <x v="1"/>
    <s v="S39000007"/>
    <x v="35"/>
    <n v="31"/>
    <n v="1"/>
    <n v="0"/>
    <n v="5"/>
    <n v="5"/>
    <n v="4"/>
    <n v="8"/>
    <n v="8"/>
  </r>
  <r>
    <x v="3"/>
    <x v="1"/>
    <s v="S39000008"/>
    <x v="36"/>
    <n v="18"/>
    <n v="1"/>
    <n v="0"/>
    <n v="2"/>
    <n v="1"/>
    <n v="3"/>
    <n v="4"/>
    <n v="7"/>
  </r>
  <r>
    <x v="3"/>
    <x v="1"/>
    <s v="S39000009"/>
    <x v="37"/>
    <n v="27"/>
    <n v="1"/>
    <n v="0"/>
    <n v="2"/>
    <n v="4"/>
    <n v="3"/>
    <n v="6"/>
    <n v="11"/>
  </r>
  <r>
    <x v="3"/>
    <x v="1"/>
    <s v="S39000010"/>
    <x v="38"/>
    <n v="21"/>
    <n v="1"/>
    <n v="0"/>
    <n v="3"/>
    <n v="2"/>
    <n v="2"/>
    <n v="6"/>
    <n v="7"/>
  </r>
  <r>
    <x v="3"/>
    <x v="1"/>
    <s v="S39000012"/>
    <x v="30"/>
    <n v="25"/>
    <n v="1"/>
    <n v="0"/>
    <n v="3"/>
    <n v="2"/>
    <n v="4"/>
    <n v="9"/>
    <n v="6"/>
  </r>
  <r>
    <x v="3"/>
    <x v="1"/>
    <s v="S39000013"/>
    <x v="39"/>
    <n v="36"/>
    <n v="1"/>
    <n v="0"/>
    <n v="10"/>
    <n v="0"/>
    <n v="4"/>
    <n v="13"/>
    <n v="8"/>
  </r>
  <r>
    <x v="3"/>
    <x v="1"/>
    <s v="S39000014"/>
    <x v="28"/>
    <n v="15"/>
    <n v="1"/>
    <n v="0"/>
    <n v="1"/>
    <n v="1"/>
    <n v="2"/>
    <n v="5"/>
    <n v="5"/>
  </r>
  <r>
    <x v="3"/>
    <x v="1"/>
    <s v="S39000015"/>
    <x v="17"/>
    <n v="15"/>
    <n v="1"/>
    <n v="0"/>
    <n v="2"/>
    <n v="1"/>
    <n v="2"/>
    <n v="5"/>
    <n v="4"/>
  </r>
  <r>
    <x v="3"/>
    <x v="1"/>
    <s v="S39000016"/>
    <x v="40"/>
    <n v="15"/>
    <n v="0"/>
    <n v="0"/>
    <n v="3"/>
    <n v="1"/>
    <n v="2"/>
    <n v="4"/>
    <n v="5"/>
  </r>
  <r>
    <x v="3"/>
    <x v="1"/>
    <s v="S39000017"/>
    <x v="41"/>
    <n v="16"/>
    <n v="1"/>
    <n v="0"/>
    <n v="6"/>
    <n v="0"/>
    <n v="3"/>
    <n v="5"/>
    <n v="1"/>
  </r>
  <r>
    <x v="3"/>
    <x v="1"/>
    <s v="S39000018"/>
    <x v="42"/>
    <n v="28"/>
    <n v="1"/>
    <n v="0"/>
    <n v="2"/>
    <n v="2"/>
    <n v="4"/>
    <n v="9"/>
    <n v="10"/>
  </r>
  <r>
    <x v="3"/>
    <x v="1"/>
    <s v="S39000019"/>
    <x v="31"/>
    <n v="24"/>
    <n v="1"/>
    <n v="0"/>
    <n v="3"/>
    <n v="3"/>
    <n v="2"/>
    <n v="7"/>
    <n v="8"/>
  </r>
  <r>
    <x v="3"/>
    <x v="2"/>
    <s v="S40000003"/>
    <x v="43"/>
    <n v="68"/>
    <n v="1"/>
    <n v="0"/>
    <n v="10"/>
    <n v="1"/>
    <n v="3"/>
    <n v="11"/>
    <n v="42"/>
  </r>
  <r>
    <x v="3"/>
    <x v="2"/>
    <s v="S40000004"/>
    <x v="44"/>
    <n v="38"/>
    <n v="1"/>
    <n v="0"/>
    <n v="6"/>
    <n v="1"/>
    <n v="5"/>
    <n v="5"/>
    <n v="20"/>
  </r>
  <r>
    <x v="3"/>
    <x v="2"/>
    <s v="S40000005"/>
    <x v="45"/>
    <n v="45"/>
    <n v="1"/>
    <n v="0"/>
    <n v="6"/>
    <n v="1"/>
    <n v="4"/>
    <n v="9"/>
    <n v="24"/>
  </r>
  <r>
    <x v="3"/>
    <x v="3"/>
    <s v="S92000003"/>
    <x v="46"/>
    <n v="182"/>
    <n v="15"/>
    <n v="4"/>
    <n v="0"/>
    <n v="101"/>
    <n v="11"/>
    <n v="9"/>
    <n v="42"/>
  </r>
  <r>
    <x v="3"/>
    <x v="4"/>
    <s v="S92000003"/>
    <x v="46"/>
    <n v="3644"/>
    <n v="34"/>
    <n v="4"/>
    <n v="635"/>
    <n v="2158"/>
    <n v="70"/>
    <n v="151"/>
    <n v="590"/>
  </r>
  <r>
    <x v="4"/>
    <x v="0"/>
    <s v="S12000005"/>
    <x v="0"/>
    <n v="25"/>
    <m/>
    <m/>
    <n v="5"/>
    <n v="15"/>
    <m/>
    <m/>
    <n v="5"/>
  </r>
  <r>
    <x v="4"/>
    <x v="0"/>
    <s v="S12000006"/>
    <x v="1"/>
    <n v="54"/>
    <m/>
    <m/>
    <n v="11"/>
    <n v="38"/>
    <m/>
    <m/>
    <n v="5"/>
  </r>
  <r>
    <x v="4"/>
    <x v="0"/>
    <s v="S12000008"/>
    <x v="2"/>
    <n v="49"/>
    <m/>
    <m/>
    <n v="10"/>
    <n v="34"/>
    <m/>
    <m/>
    <n v="5"/>
  </r>
  <r>
    <x v="4"/>
    <x v="0"/>
    <s v="S12000010"/>
    <x v="3"/>
    <n v="23"/>
    <m/>
    <m/>
    <n v="5"/>
    <n v="13"/>
    <m/>
    <m/>
    <n v="5"/>
  </r>
  <r>
    <x v="4"/>
    <x v="0"/>
    <s v="S12000011"/>
    <x v="4"/>
    <n v="51"/>
    <m/>
    <m/>
    <n v="10"/>
    <n v="30"/>
    <m/>
    <m/>
    <n v="11"/>
  </r>
  <r>
    <x v="4"/>
    <x v="0"/>
    <s v="S12000014"/>
    <x v="6"/>
    <n v="87"/>
    <m/>
    <m/>
    <n v="22"/>
    <n v="49"/>
    <m/>
    <m/>
    <n v="16"/>
  </r>
  <r>
    <x v="4"/>
    <x v="0"/>
    <s v="S12000017"/>
    <x v="7"/>
    <n v="68"/>
    <m/>
    <m/>
    <n v="15"/>
    <n v="49"/>
    <m/>
    <m/>
    <n v="4"/>
  </r>
  <r>
    <x v="4"/>
    <x v="0"/>
    <s v="S12000018"/>
    <x v="8"/>
    <n v="72"/>
    <m/>
    <m/>
    <n v="15"/>
    <n v="44"/>
    <m/>
    <m/>
    <n v="13"/>
  </r>
  <r>
    <x v="4"/>
    <x v="0"/>
    <s v="S12000019"/>
    <x v="9"/>
    <n v="28"/>
    <m/>
    <m/>
    <n v="5"/>
    <n v="18"/>
    <m/>
    <m/>
    <n v="5"/>
  </r>
  <r>
    <x v="4"/>
    <x v="0"/>
    <s v="S12000020"/>
    <x v="10"/>
    <n v="29"/>
    <m/>
    <m/>
    <n v="5"/>
    <n v="19"/>
    <m/>
    <m/>
    <n v="5"/>
  </r>
  <r>
    <x v="4"/>
    <x v="0"/>
    <s v="S12000021"/>
    <x v="11"/>
    <n v="76"/>
    <m/>
    <m/>
    <n v="16"/>
    <n v="45"/>
    <m/>
    <m/>
    <n v="15"/>
  </r>
  <r>
    <x v="4"/>
    <x v="0"/>
    <s v="S12000024"/>
    <x v="13"/>
    <n v="69"/>
    <m/>
    <m/>
    <n v="10"/>
    <n v="54"/>
    <m/>
    <m/>
    <n v="5"/>
  </r>
  <r>
    <x v="4"/>
    <x v="0"/>
    <s v="S12000026"/>
    <x v="14"/>
    <n v="51"/>
    <m/>
    <m/>
    <n v="9"/>
    <n v="32"/>
    <m/>
    <m/>
    <n v="10"/>
  </r>
  <r>
    <x v="4"/>
    <x v="0"/>
    <s v="S12000028"/>
    <x v="16"/>
    <n v="50"/>
    <m/>
    <m/>
    <n v="10"/>
    <n v="35"/>
    <m/>
    <m/>
    <n v="5"/>
  </r>
  <r>
    <x v="4"/>
    <x v="0"/>
    <s v="S12000029"/>
    <x v="17"/>
    <n v="166"/>
    <m/>
    <m/>
    <n v="35"/>
    <n v="111"/>
    <m/>
    <m/>
    <n v="20"/>
  </r>
  <r>
    <x v="4"/>
    <x v="0"/>
    <s v="S12000030"/>
    <x v="18"/>
    <n v="48"/>
    <m/>
    <m/>
    <n v="9"/>
    <n v="34"/>
    <m/>
    <m/>
    <n v="5"/>
  </r>
  <r>
    <x v="4"/>
    <x v="0"/>
    <s v="S12000033"/>
    <x v="19"/>
    <n v="145"/>
    <m/>
    <m/>
    <n v="33"/>
    <n v="97"/>
    <m/>
    <m/>
    <n v="15"/>
  </r>
  <r>
    <x v="4"/>
    <x v="0"/>
    <s v="S12000034"/>
    <x v="20"/>
    <n v="24"/>
    <m/>
    <m/>
    <n v="5"/>
    <n v="14"/>
    <m/>
    <m/>
    <n v="5"/>
  </r>
  <r>
    <x v="4"/>
    <x v="0"/>
    <s v="S12000035"/>
    <x v="21"/>
    <n v="50"/>
    <m/>
    <m/>
    <n v="10"/>
    <n v="30"/>
    <m/>
    <m/>
    <n v="10"/>
  </r>
  <r>
    <x v="4"/>
    <x v="0"/>
    <s v="S12000036"/>
    <x v="22"/>
    <n v="293"/>
    <m/>
    <m/>
    <n v="54"/>
    <n v="204"/>
    <m/>
    <m/>
    <n v="35"/>
  </r>
  <r>
    <x v="4"/>
    <x v="0"/>
    <s v="S12000038"/>
    <x v="23"/>
    <n v="94"/>
    <m/>
    <m/>
    <n v="20"/>
    <n v="59"/>
    <m/>
    <m/>
    <n v="15"/>
  </r>
  <r>
    <x v="4"/>
    <x v="0"/>
    <s v="S12000039"/>
    <x v="24"/>
    <n v="68"/>
    <m/>
    <m/>
    <n v="15"/>
    <n v="43"/>
    <m/>
    <m/>
    <n v="10"/>
  </r>
  <r>
    <x v="4"/>
    <x v="0"/>
    <s v="S12000040"/>
    <x v="25"/>
    <n v="58"/>
    <m/>
    <m/>
    <n v="11"/>
    <n v="37"/>
    <m/>
    <m/>
    <n v="10"/>
  </r>
  <r>
    <x v="4"/>
    <x v="0"/>
    <s v="S12000041"/>
    <x v="26"/>
    <n v="28"/>
    <m/>
    <m/>
    <n v="5"/>
    <n v="18"/>
    <m/>
    <m/>
    <n v="5"/>
  </r>
  <r>
    <x v="4"/>
    <x v="0"/>
    <s v="S12000042"/>
    <x v="27"/>
    <n v="178"/>
    <m/>
    <m/>
    <n v="35"/>
    <n v="122"/>
    <m/>
    <m/>
    <n v="21"/>
  </r>
  <r>
    <x v="4"/>
    <x v="0"/>
    <s v="S12000044"/>
    <x v="28"/>
    <n v="163"/>
    <m/>
    <m/>
    <n v="31"/>
    <n v="113"/>
    <m/>
    <m/>
    <n v="19"/>
  </r>
  <r>
    <x v="4"/>
    <x v="0"/>
    <s v="S12000045"/>
    <x v="29"/>
    <n v="78"/>
    <m/>
    <m/>
    <n v="15"/>
    <n v="48"/>
    <m/>
    <m/>
    <n v="15"/>
  </r>
  <r>
    <x v="4"/>
    <x v="0"/>
    <s v="S12000046"/>
    <x v="30"/>
    <n v="489"/>
    <m/>
    <m/>
    <n v="113"/>
    <n v="319"/>
    <m/>
    <m/>
    <n v="57"/>
  </r>
  <r>
    <x v="4"/>
    <x v="0"/>
    <s v="S12000047"/>
    <x v="31"/>
    <n v="254"/>
    <m/>
    <m/>
    <n v="49"/>
    <n v="181"/>
    <m/>
    <m/>
    <n v="24"/>
  </r>
  <r>
    <x v="4"/>
    <x v="1"/>
    <s v="S39000001"/>
    <x v="19"/>
    <n v="15"/>
    <n v="1"/>
    <m/>
    <n v="2"/>
    <n v="2"/>
    <n v="2"/>
    <n v="3"/>
    <n v="5"/>
  </r>
  <r>
    <x v="4"/>
    <x v="1"/>
    <s v="S39000002"/>
    <x v="32"/>
    <n v="25"/>
    <n v="1"/>
    <m/>
    <n v="7"/>
    <m/>
    <n v="2"/>
    <n v="7"/>
    <n v="8"/>
  </r>
  <r>
    <x v="4"/>
    <x v="1"/>
    <s v="S39000003"/>
    <x v="33"/>
    <n v="26"/>
    <n v="1"/>
    <m/>
    <n v="6"/>
    <n v="1"/>
    <n v="3"/>
    <n v="9"/>
    <n v="6"/>
  </r>
  <r>
    <x v="4"/>
    <x v="1"/>
    <s v="S39000004"/>
    <x v="1"/>
    <n v="22"/>
    <n v="1"/>
    <m/>
    <n v="4"/>
    <n v="2"/>
    <n v="2"/>
    <n v="6"/>
    <n v="7"/>
  </r>
  <r>
    <x v="4"/>
    <x v="1"/>
    <s v="S39000006"/>
    <x v="34"/>
    <n v="27"/>
    <n v="1"/>
    <m/>
    <n v="5"/>
    <n v="1"/>
    <n v="3"/>
    <n v="9"/>
    <n v="8"/>
  </r>
  <r>
    <x v="4"/>
    <x v="1"/>
    <s v="S39000007"/>
    <x v="35"/>
    <n v="27"/>
    <n v="1"/>
    <m/>
    <n v="3"/>
    <n v="5"/>
    <n v="3"/>
    <n v="7"/>
    <n v="8"/>
  </r>
  <r>
    <x v="4"/>
    <x v="1"/>
    <s v="S39000008"/>
    <x v="36"/>
    <n v="16"/>
    <n v="1"/>
    <m/>
    <n v="2"/>
    <n v="2"/>
    <n v="3"/>
    <n v="4"/>
    <n v="4"/>
  </r>
  <r>
    <x v="4"/>
    <x v="1"/>
    <s v="S39000009"/>
    <x v="37"/>
    <n v="31"/>
    <n v="1"/>
    <m/>
    <n v="6"/>
    <n v="3"/>
    <n v="3"/>
    <n v="7"/>
    <n v="11"/>
  </r>
  <r>
    <x v="4"/>
    <x v="1"/>
    <s v="S39000010"/>
    <x v="38"/>
    <n v="19"/>
    <n v="1"/>
    <m/>
    <n v="3"/>
    <n v="2"/>
    <n v="2"/>
    <n v="5"/>
    <n v="6"/>
  </r>
  <r>
    <x v="4"/>
    <x v="1"/>
    <s v="S39000012"/>
    <x v="30"/>
    <n v="22"/>
    <n v="1"/>
    <m/>
    <n v="2"/>
    <n v="1"/>
    <n v="4"/>
    <n v="8"/>
    <n v="6"/>
  </r>
  <r>
    <x v="4"/>
    <x v="1"/>
    <s v="S39000013"/>
    <x v="39"/>
    <n v="32"/>
    <n v="1"/>
    <m/>
    <n v="7"/>
    <n v="1"/>
    <n v="4"/>
    <n v="12"/>
    <n v="7"/>
  </r>
  <r>
    <x v="4"/>
    <x v="1"/>
    <s v="S39000014"/>
    <x v="28"/>
    <n v="17"/>
    <n v="1"/>
    <m/>
    <n v="2"/>
    <n v="1"/>
    <n v="2"/>
    <n v="6"/>
    <n v="5"/>
  </r>
  <r>
    <x v="4"/>
    <x v="1"/>
    <s v="S39000015"/>
    <x v="17"/>
    <n v="16"/>
    <n v="1"/>
    <m/>
    <n v="2"/>
    <n v="1"/>
    <n v="2"/>
    <n v="6"/>
    <n v="4"/>
  </r>
  <r>
    <x v="4"/>
    <x v="1"/>
    <s v="S39000016"/>
    <x v="40"/>
    <n v="18"/>
    <n v="1"/>
    <m/>
    <n v="3"/>
    <n v="1"/>
    <n v="3"/>
    <n v="5"/>
    <n v="5"/>
  </r>
  <r>
    <x v="4"/>
    <x v="1"/>
    <s v="S39000017"/>
    <x v="41"/>
    <n v="18"/>
    <n v="1"/>
    <m/>
    <n v="5"/>
    <m/>
    <n v="2"/>
    <n v="6"/>
    <n v="4"/>
  </r>
  <r>
    <x v="4"/>
    <x v="1"/>
    <s v="S39000018"/>
    <x v="42"/>
    <n v="28"/>
    <n v="1"/>
    <m/>
    <n v="3"/>
    <n v="2"/>
    <n v="4"/>
    <n v="9"/>
    <n v="9"/>
  </r>
  <r>
    <x v="4"/>
    <x v="1"/>
    <s v="S39000019"/>
    <x v="31"/>
    <n v="19"/>
    <m/>
    <m/>
    <n v="1"/>
    <n v="4"/>
    <n v="2"/>
    <n v="6"/>
    <n v="6"/>
  </r>
  <r>
    <x v="4"/>
    <x v="2"/>
    <s v="S40000003"/>
    <x v="43"/>
    <n v="73"/>
    <n v="1"/>
    <m/>
    <n v="18"/>
    <m/>
    <n v="4"/>
    <n v="13"/>
    <n v="37"/>
  </r>
  <r>
    <x v="4"/>
    <x v="2"/>
    <s v="S40000004"/>
    <x v="44"/>
    <n v="37"/>
    <n v="1"/>
    <m/>
    <n v="9"/>
    <m/>
    <n v="5"/>
    <n v="6"/>
    <n v="16"/>
  </r>
  <r>
    <x v="4"/>
    <x v="2"/>
    <s v="S40000005"/>
    <x v="45"/>
    <n v="46"/>
    <n v="1"/>
    <m/>
    <n v="11"/>
    <m/>
    <n v="6"/>
    <n v="10"/>
    <n v="18"/>
  </r>
  <r>
    <x v="4"/>
    <x v="3"/>
    <s v="S92000003"/>
    <x v="46"/>
    <n v="143"/>
    <n v="15"/>
    <n v="4"/>
    <m/>
    <n v="55"/>
    <n v="13"/>
    <n v="9"/>
    <n v="47"/>
  </r>
  <r>
    <x v="4"/>
    <x v="4"/>
    <s v="S92000003"/>
    <x v="46"/>
    <n v="3544"/>
    <n v="34"/>
    <n v="4"/>
    <n v="689"/>
    <n v="1988"/>
    <n v="74"/>
    <n v="153"/>
    <n v="602"/>
  </r>
  <r>
    <x v="5"/>
    <x v="0"/>
    <s v="S12000005"/>
    <x v="0"/>
    <m/>
    <m/>
    <m/>
    <n v="5"/>
    <n v="15"/>
    <m/>
    <m/>
    <n v="5"/>
  </r>
  <r>
    <x v="5"/>
    <x v="0"/>
    <s v="S12000006"/>
    <x v="1"/>
    <m/>
    <m/>
    <m/>
    <n v="10"/>
    <n v="38"/>
    <m/>
    <m/>
    <n v="5"/>
  </r>
  <r>
    <x v="5"/>
    <x v="0"/>
    <s v="S12000008"/>
    <x v="2"/>
    <m/>
    <m/>
    <m/>
    <n v="10"/>
    <n v="32"/>
    <m/>
    <m/>
    <n v="5"/>
  </r>
  <r>
    <x v="5"/>
    <x v="0"/>
    <s v="S12000010"/>
    <x v="3"/>
    <m/>
    <m/>
    <m/>
    <n v="5"/>
    <n v="14"/>
    <m/>
    <m/>
    <n v="5"/>
  </r>
  <r>
    <x v="5"/>
    <x v="0"/>
    <s v="S12000011"/>
    <x v="4"/>
    <m/>
    <m/>
    <m/>
    <n v="10"/>
    <n v="31"/>
    <m/>
    <m/>
    <n v="11"/>
  </r>
  <r>
    <x v="5"/>
    <x v="0"/>
    <s v="S12000014"/>
    <x v="6"/>
    <m/>
    <m/>
    <m/>
    <n v="20"/>
    <n v="53"/>
    <m/>
    <m/>
    <n v="15"/>
  </r>
  <r>
    <x v="5"/>
    <x v="0"/>
    <s v="S12000017"/>
    <x v="7"/>
    <m/>
    <m/>
    <m/>
    <n v="15"/>
    <n v="50"/>
    <m/>
    <m/>
    <n v="5"/>
  </r>
  <r>
    <x v="5"/>
    <x v="0"/>
    <s v="S12000018"/>
    <x v="8"/>
    <m/>
    <m/>
    <m/>
    <n v="15"/>
    <n v="47"/>
    <m/>
    <m/>
    <n v="10"/>
  </r>
  <r>
    <x v="5"/>
    <x v="0"/>
    <s v="S12000019"/>
    <x v="9"/>
    <m/>
    <m/>
    <m/>
    <n v="4"/>
    <n v="17"/>
    <m/>
    <m/>
    <n v="5"/>
  </r>
  <r>
    <x v="5"/>
    <x v="0"/>
    <s v="S12000020"/>
    <x v="10"/>
    <m/>
    <m/>
    <m/>
    <n v="5"/>
    <n v="20"/>
    <m/>
    <m/>
    <n v="5"/>
  </r>
  <r>
    <x v="5"/>
    <x v="0"/>
    <s v="S12000021"/>
    <x v="11"/>
    <m/>
    <m/>
    <m/>
    <n v="15"/>
    <n v="45"/>
    <m/>
    <m/>
    <n v="16"/>
  </r>
  <r>
    <x v="5"/>
    <x v="0"/>
    <s v="S12000026"/>
    <x v="14"/>
    <m/>
    <m/>
    <m/>
    <n v="10"/>
    <n v="36"/>
    <m/>
    <m/>
    <n v="10"/>
  </r>
  <r>
    <x v="5"/>
    <x v="0"/>
    <s v="S12000028"/>
    <x v="16"/>
    <m/>
    <m/>
    <m/>
    <n v="11"/>
    <n v="34"/>
    <m/>
    <m/>
    <n v="5"/>
  </r>
  <r>
    <x v="5"/>
    <x v="0"/>
    <s v="S12000029"/>
    <x v="17"/>
    <m/>
    <m/>
    <m/>
    <n v="36"/>
    <n v="111"/>
    <m/>
    <m/>
    <n v="20"/>
  </r>
  <r>
    <x v="5"/>
    <x v="0"/>
    <s v="S12000030"/>
    <x v="18"/>
    <m/>
    <m/>
    <m/>
    <n v="10"/>
    <n v="34"/>
    <m/>
    <m/>
    <n v="5"/>
  </r>
  <r>
    <x v="5"/>
    <x v="0"/>
    <s v="S12000033"/>
    <x v="19"/>
    <m/>
    <m/>
    <m/>
    <n v="35"/>
    <n v="104"/>
    <m/>
    <m/>
    <n v="15"/>
  </r>
  <r>
    <x v="5"/>
    <x v="0"/>
    <s v="S12000034"/>
    <x v="20"/>
    <m/>
    <m/>
    <m/>
    <n v="5"/>
    <n v="20"/>
    <m/>
    <m/>
    <n v="5"/>
  </r>
  <r>
    <x v="5"/>
    <x v="0"/>
    <s v="S12000035"/>
    <x v="21"/>
    <m/>
    <m/>
    <m/>
    <n v="11"/>
    <n v="33"/>
    <m/>
    <m/>
    <n v="10"/>
  </r>
  <r>
    <x v="5"/>
    <x v="0"/>
    <s v="S12000036"/>
    <x v="22"/>
    <m/>
    <m/>
    <m/>
    <n v="59"/>
    <n v="203"/>
    <m/>
    <m/>
    <n v="35"/>
  </r>
  <r>
    <x v="5"/>
    <x v="0"/>
    <s v="S12000038"/>
    <x v="23"/>
    <m/>
    <m/>
    <m/>
    <n v="18"/>
    <n v="65"/>
    <m/>
    <m/>
    <n v="16"/>
  </r>
  <r>
    <x v="5"/>
    <x v="0"/>
    <s v="S12000039"/>
    <x v="24"/>
    <m/>
    <m/>
    <m/>
    <n v="15"/>
    <n v="48"/>
    <m/>
    <m/>
    <n v="10"/>
  </r>
  <r>
    <x v="5"/>
    <x v="0"/>
    <s v="S12000040"/>
    <x v="25"/>
    <m/>
    <m/>
    <m/>
    <n v="10"/>
    <n v="36"/>
    <m/>
    <m/>
    <n v="10"/>
  </r>
  <r>
    <x v="5"/>
    <x v="0"/>
    <s v="S12000041"/>
    <x v="26"/>
    <m/>
    <m/>
    <m/>
    <n v="5"/>
    <n v="18"/>
    <m/>
    <m/>
    <n v="5"/>
  </r>
  <r>
    <x v="5"/>
    <x v="0"/>
    <s v="S12000042"/>
    <x v="27"/>
    <m/>
    <m/>
    <m/>
    <n v="35"/>
    <n v="122"/>
    <m/>
    <m/>
    <n v="20"/>
  </r>
  <r>
    <x v="5"/>
    <x v="0"/>
    <s v="S12000044"/>
    <x v="28"/>
    <m/>
    <m/>
    <m/>
    <n v="35"/>
    <n v="111"/>
    <m/>
    <m/>
    <n v="20"/>
  </r>
  <r>
    <x v="5"/>
    <x v="0"/>
    <s v="S12000045"/>
    <x v="29"/>
    <m/>
    <m/>
    <m/>
    <n v="15"/>
    <n v="47"/>
    <m/>
    <m/>
    <n v="16"/>
  </r>
  <r>
    <x v="5"/>
    <x v="0"/>
    <s v="S12000046"/>
    <x v="30"/>
    <m/>
    <m/>
    <m/>
    <n v="110"/>
    <n v="349"/>
    <m/>
    <m/>
    <n v="56"/>
  </r>
  <r>
    <x v="5"/>
    <x v="0"/>
    <s v="S12000047"/>
    <x v="31"/>
    <m/>
    <m/>
    <m/>
    <n v="48"/>
    <n v="199"/>
    <m/>
    <m/>
    <n v="27"/>
  </r>
  <r>
    <x v="5"/>
    <x v="0"/>
    <s v="S12000048"/>
    <x v="13"/>
    <m/>
    <m/>
    <m/>
    <n v="10"/>
    <n v="54"/>
    <m/>
    <m/>
    <n v="5"/>
  </r>
  <r>
    <x v="5"/>
    <x v="1"/>
    <s v="S39000001"/>
    <x v="19"/>
    <m/>
    <n v="1"/>
    <m/>
    <n v="2"/>
    <n v="1"/>
    <n v="2"/>
    <n v="4"/>
    <n v="6"/>
  </r>
  <r>
    <x v="5"/>
    <x v="1"/>
    <s v="S39000002"/>
    <x v="32"/>
    <m/>
    <n v="1"/>
    <m/>
    <n v="6"/>
    <m/>
    <n v="2"/>
    <n v="8"/>
    <n v="8"/>
  </r>
  <r>
    <x v="5"/>
    <x v="1"/>
    <s v="S39000003"/>
    <x v="33"/>
    <m/>
    <n v="1"/>
    <m/>
    <n v="6"/>
    <n v="2"/>
    <n v="3"/>
    <n v="8"/>
    <n v="6"/>
  </r>
  <r>
    <x v="5"/>
    <x v="1"/>
    <s v="S39000004"/>
    <x v="1"/>
    <m/>
    <n v="1"/>
    <m/>
    <n v="4"/>
    <n v="1.83"/>
    <n v="2"/>
    <n v="6"/>
    <n v="7"/>
  </r>
  <r>
    <x v="5"/>
    <x v="1"/>
    <s v="S39000006"/>
    <x v="34"/>
    <m/>
    <n v="1"/>
    <m/>
    <n v="2"/>
    <n v="1.6"/>
    <n v="3"/>
    <n v="9"/>
    <n v="8"/>
  </r>
  <r>
    <x v="5"/>
    <x v="1"/>
    <s v="S39000007"/>
    <x v="35"/>
    <m/>
    <n v="1"/>
    <m/>
    <n v="2"/>
    <n v="3"/>
    <n v="3"/>
    <n v="7"/>
    <n v="9"/>
  </r>
  <r>
    <x v="5"/>
    <x v="1"/>
    <s v="S39000008"/>
    <x v="36"/>
    <m/>
    <n v="1"/>
    <m/>
    <m/>
    <n v="2"/>
    <n v="4"/>
    <n v="4"/>
    <n v="3"/>
  </r>
  <r>
    <x v="5"/>
    <x v="1"/>
    <s v="S39000009"/>
    <x v="37"/>
    <m/>
    <n v="1"/>
    <m/>
    <n v="5"/>
    <n v="2.5"/>
    <n v="5"/>
    <n v="4"/>
    <n v="12"/>
  </r>
  <r>
    <x v="5"/>
    <x v="1"/>
    <s v="S39000010"/>
    <x v="38"/>
    <m/>
    <n v="1"/>
    <m/>
    <n v="3"/>
    <n v="2"/>
    <n v="2"/>
    <n v="6"/>
    <n v="6"/>
  </r>
  <r>
    <x v="5"/>
    <x v="1"/>
    <s v="S39000012"/>
    <x v="30"/>
    <m/>
    <n v="1"/>
    <m/>
    <n v="2"/>
    <n v="2"/>
    <n v="4"/>
    <n v="9"/>
    <n v="7"/>
  </r>
  <r>
    <x v="5"/>
    <x v="1"/>
    <s v="S39000013"/>
    <x v="39"/>
    <m/>
    <n v="1"/>
    <m/>
    <n v="9"/>
    <n v="1"/>
    <n v="4"/>
    <n v="14"/>
    <n v="16"/>
  </r>
  <r>
    <x v="5"/>
    <x v="1"/>
    <s v="S39000014"/>
    <x v="28"/>
    <m/>
    <n v="1"/>
    <m/>
    <n v="2"/>
    <n v="1"/>
    <n v="2"/>
    <n v="5"/>
    <n v="6"/>
  </r>
  <r>
    <x v="5"/>
    <x v="1"/>
    <s v="S39000015"/>
    <x v="17"/>
    <m/>
    <n v="1"/>
    <m/>
    <n v="2"/>
    <n v="1"/>
    <n v="2"/>
    <n v="6"/>
    <n v="4"/>
  </r>
  <r>
    <x v="5"/>
    <x v="1"/>
    <s v="S39000016"/>
    <x v="40"/>
    <m/>
    <n v="1"/>
    <m/>
    <n v="3"/>
    <n v="1"/>
    <n v="2"/>
    <n v="6"/>
    <n v="5"/>
  </r>
  <r>
    <x v="5"/>
    <x v="1"/>
    <s v="S39000017"/>
    <x v="41"/>
    <m/>
    <n v="1"/>
    <m/>
    <n v="3"/>
    <m/>
    <n v="3"/>
    <n v="5"/>
    <n v="4"/>
  </r>
  <r>
    <x v="5"/>
    <x v="1"/>
    <s v="S39000018"/>
    <x v="42"/>
    <m/>
    <n v="1"/>
    <m/>
    <n v="3"/>
    <n v="2"/>
    <n v="4"/>
    <n v="8"/>
    <n v="11"/>
  </r>
  <r>
    <x v="5"/>
    <x v="1"/>
    <s v="S39000019"/>
    <x v="31"/>
    <m/>
    <m/>
    <m/>
    <m/>
    <n v="4"/>
    <n v="2"/>
    <n v="6"/>
    <n v="6"/>
  </r>
  <r>
    <x v="5"/>
    <x v="2"/>
    <s v="S40000003"/>
    <x v="43"/>
    <m/>
    <n v="1"/>
    <m/>
    <n v="26"/>
    <m/>
    <n v="5"/>
    <n v="12"/>
    <n v="35"/>
  </r>
  <r>
    <x v="5"/>
    <x v="2"/>
    <s v="S40000004"/>
    <x v="44"/>
    <m/>
    <n v="1"/>
    <m/>
    <n v="8"/>
    <m/>
    <n v="5"/>
    <n v="5"/>
    <n v="18"/>
  </r>
  <r>
    <x v="5"/>
    <x v="2"/>
    <s v="S40000005"/>
    <x v="45"/>
    <m/>
    <n v="1"/>
    <m/>
    <n v="7"/>
    <m/>
    <n v="4"/>
    <n v="7"/>
    <n v="11"/>
  </r>
  <r>
    <x v="5"/>
    <x v="3"/>
    <s v="S92000003"/>
    <x v="46"/>
    <m/>
    <n v="14"/>
    <n v="4"/>
    <m/>
    <n v="60"/>
    <n v="17"/>
    <n v="8"/>
    <n v="46"/>
  </r>
  <r>
    <x v="6"/>
    <x v="0"/>
    <s v="S40000003"/>
    <x v="21"/>
    <m/>
    <m/>
    <m/>
    <n v="10"/>
    <n v="33"/>
    <m/>
    <m/>
    <n v="10"/>
  </r>
  <r>
    <x v="6"/>
    <x v="0"/>
    <s v="S40000003"/>
    <x v="1"/>
    <m/>
    <m/>
    <m/>
    <n v="10"/>
    <n v="37"/>
    <m/>
    <m/>
    <n v="5"/>
  </r>
  <r>
    <x v="6"/>
    <x v="0"/>
    <s v="S40000003"/>
    <x v="2"/>
    <m/>
    <m/>
    <m/>
    <n v="10"/>
    <n v="34"/>
    <m/>
    <m/>
    <n v="5"/>
  </r>
  <r>
    <x v="6"/>
    <x v="0"/>
    <s v="S40000003"/>
    <x v="29"/>
    <m/>
    <m/>
    <m/>
    <n v="15"/>
    <n v="49"/>
    <m/>
    <m/>
    <n v="15"/>
  </r>
  <r>
    <x v="6"/>
    <x v="0"/>
    <s v="S40000003"/>
    <x v="4"/>
    <m/>
    <m/>
    <m/>
    <n v="10"/>
    <n v="30"/>
    <m/>
    <m/>
    <n v="10"/>
  </r>
  <r>
    <x v="6"/>
    <x v="0"/>
    <s v="S40000003"/>
    <x v="30"/>
    <m/>
    <m/>
    <m/>
    <n v="114"/>
    <n v="346"/>
    <m/>
    <m/>
    <n v="57"/>
  </r>
  <r>
    <x v="6"/>
    <x v="0"/>
    <s v="S40000003"/>
    <x v="8"/>
    <m/>
    <m/>
    <m/>
    <n v="15"/>
    <n v="45"/>
    <m/>
    <m/>
    <n v="10"/>
  </r>
  <r>
    <x v="6"/>
    <x v="0"/>
    <s v="S40000003"/>
    <x v="11"/>
    <m/>
    <m/>
    <m/>
    <n v="15"/>
    <n v="45"/>
    <m/>
    <m/>
    <n v="15"/>
  </r>
  <r>
    <x v="6"/>
    <x v="0"/>
    <s v="S40000003"/>
    <x v="28"/>
    <m/>
    <m/>
    <m/>
    <n v="37"/>
    <n v="105"/>
    <m/>
    <m/>
    <n v="21"/>
  </r>
  <r>
    <x v="6"/>
    <x v="0"/>
    <s v="S40000003"/>
    <x v="23"/>
    <m/>
    <m/>
    <m/>
    <n v="21"/>
    <n v="66"/>
    <m/>
    <m/>
    <n v="15"/>
  </r>
  <r>
    <x v="6"/>
    <x v="0"/>
    <s v="S40000003"/>
    <x v="16"/>
    <m/>
    <m/>
    <m/>
    <n v="9"/>
    <n v="36"/>
    <m/>
    <m/>
    <n v="5"/>
  </r>
  <r>
    <x v="6"/>
    <x v="0"/>
    <s v="S40000003"/>
    <x v="17"/>
    <m/>
    <m/>
    <m/>
    <n v="37"/>
    <n v="111"/>
    <m/>
    <m/>
    <n v="20"/>
  </r>
  <r>
    <x v="6"/>
    <x v="0"/>
    <s v="S40000003"/>
    <x v="24"/>
    <m/>
    <m/>
    <m/>
    <n v="15"/>
    <n v="48"/>
    <m/>
    <m/>
    <n v="10"/>
  </r>
  <r>
    <x v="6"/>
    <x v="0"/>
    <s v="S40000004"/>
    <x v="22"/>
    <m/>
    <m/>
    <m/>
    <n v="56"/>
    <n v="214"/>
    <m/>
    <m/>
    <n v="36"/>
  </r>
  <r>
    <x v="6"/>
    <x v="0"/>
    <s v="S40000004"/>
    <x v="0"/>
    <m/>
    <m/>
    <m/>
    <n v="5"/>
    <n v="15"/>
    <m/>
    <m/>
    <n v="5"/>
  </r>
  <r>
    <x v="6"/>
    <x v="0"/>
    <s v="S40000004"/>
    <x v="3"/>
    <m/>
    <m/>
    <m/>
    <n v="5"/>
    <n v="15"/>
    <m/>
    <m/>
    <n v="5"/>
  </r>
  <r>
    <x v="6"/>
    <x v="0"/>
    <s v="S40000004"/>
    <x v="6"/>
    <m/>
    <m/>
    <m/>
    <n v="19"/>
    <n v="54"/>
    <m/>
    <m/>
    <n v="15"/>
  </r>
  <r>
    <x v="6"/>
    <x v="0"/>
    <s v="S40000004"/>
    <x v="31"/>
    <m/>
    <m/>
    <m/>
    <n v="51"/>
    <n v="192"/>
    <m/>
    <m/>
    <n v="26"/>
  </r>
  <r>
    <x v="6"/>
    <x v="0"/>
    <s v="S40000004"/>
    <x v="9"/>
    <m/>
    <m/>
    <m/>
    <n v="4"/>
    <n v="17"/>
    <m/>
    <m/>
    <n v="5"/>
  </r>
  <r>
    <x v="6"/>
    <x v="0"/>
    <s v="S40000004"/>
    <x v="14"/>
    <m/>
    <m/>
    <m/>
    <n v="10"/>
    <n v="33"/>
    <m/>
    <m/>
    <n v="10"/>
  </r>
  <r>
    <x v="6"/>
    <x v="0"/>
    <s v="S40000004"/>
    <x v="18"/>
    <m/>
    <m/>
    <m/>
    <n v="10"/>
    <n v="36"/>
    <m/>
    <m/>
    <n v="5"/>
  </r>
  <r>
    <x v="6"/>
    <x v="0"/>
    <s v="S40000004"/>
    <x v="25"/>
    <m/>
    <m/>
    <m/>
    <n v="10"/>
    <n v="37"/>
    <m/>
    <m/>
    <n v="10"/>
  </r>
  <r>
    <x v="6"/>
    <x v="0"/>
    <s v="S40000005"/>
    <x v="19"/>
    <m/>
    <m/>
    <m/>
    <n v="35"/>
    <n v="105"/>
    <m/>
    <m/>
    <n v="15"/>
  </r>
  <r>
    <x v="6"/>
    <x v="0"/>
    <s v="S40000005"/>
    <x v="20"/>
    <m/>
    <m/>
    <m/>
    <n v="4"/>
    <n v="22"/>
    <m/>
    <m/>
    <n v="6"/>
  </r>
  <r>
    <x v="6"/>
    <x v="0"/>
    <s v="S40000005"/>
    <x v="26"/>
    <m/>
    <m/>
    <m/>
    <n v="5"/>
    <n v="17"/>
    <m/>
    <m/>
    <n v="5"/>
  </r>
  <r>
    <x v="6"/>
    <x v="0"/>
    <s v="S40000005"/>
    <x v="27"/>
    <m/>
    <m/>
    <m/>
    <n v="36"/>
    <n v="126"/>
    <m/>
    <m/>
    <n v="20"/>
  </r>
  <r>
    <x v="6"/>
    <x v="0"/>
    <s v="S40000005"/>
    <x v="7"/>
    <m/>
    <m/>
    <m/>
    <n v="14"/>
    <n v="52"/>
    <m/>
    <m/>
    <n v="5"/>
  </r>
  <r>
    <x v="6"/>
    <x v="0"/>
    <s v="S40000005"/>
    <x v="10"/>
    <m/>
    <m/>
    <m/>
    <n v="5"/>
    <n v="20"/>
    <m/>
    <m/>
    <n v="5"/>
  </r>
  <r>
    <x v="6"/>
    <x v="0"/>
    <s v="S40000005"/>
    <x v="13"/>
    <m/>
    <m/>
    <m/>
    <n v="10"/>
    <n v="52"/>
    <m/>
    <m/>
    <n v="5"/>
  </r>
  <r>
    <x v="6"/>
    <x v="1"/>
    <m/>
    <x v="47"/>
    <m/>
    <n v="1"/>
    <m/>
    <n v="6"/>
    <n v="4"/>
    <n v="4"/>
    <n v="12"/>
    <n v="11"/>
  </r>
  <r>
    <x v="6"/>
    <x v="1"/>
    <s v="S40000003"/>
    <x v="33"/>
    <m/>
    <n v="1"/>
    <m/>
    <n v="7"/>
    <n v="2"/>
    <n v="3"/>
    <n v="8"/>
    <n v="7"/>
  </r>
  <r>
    <x v="6"/>
    <x v="1"/>
    <s v="S40000003"/>
    <x v="1"/>
    <m/>
    <n v="1"/>
    <m/>
    <n v="3"/>
    <n v="1.83"/>
    <n v="2"/>
    <n v="6"/>
    <n v="8"/>
  </r>
  <r>
    <x v="6"/>
    <x v="1"/>
    <s v="S40000003"/>
    <x v="34"/>
    <m/>
    <n v="1"/>
    <m/>
    <n v="5"/>
    <n v="0.6"/>
    <n v="3"/>
    <n v="10"/>
    <n v="8"/>
  </r>
  <r>
    <x v="6"/>
    <x v="1"/>
    <s v="S40000003"/>
    <x v="36"/>
    <m/>
    <n v="1"/>
    <m/>
    <m/>
    <n v="1"/>
    <n v="4"/>
    <n v="4"/>
    <n v="3"/>
  </r>
  <r>
    <x v="6"/>
    <x v="1"/>
    <s v="S40000003"/>
    <x v="30"/>
    <m/>
    <n v="1"/>
    <m/>
    <n v="2"/>
    <n v="2"/>
    <n v="5"/>
    <n v="10"/>
    <n v="5"/>
  </r>
  <r>
    <x v="6"/>
    <x v="1"/>
    <s v="S40000003"/>
    <x v="28"/>
    <m/>
    <n v="1"/>
    <m/>
    <n v="2"/>
    <n v="1"/>
    <n v="2"/>
    <n v="5"/>
    <n v="5"/>
  </r>
  <r>
    <x v="6"/>
    <x v="1"/>
    <s v="S40000003"/>
    <x v="17"/>
    <m/>
    <n v="1"/>
    <m/>
    <n v="3"/>
    <m/>
    <n v="2"/>
    <n v="6"/>
    <n v="4"/>
  </r>
  <r>
    <x v="6"/>
    <x v="1"/>
    <s v="S40000004"/>
    <x v="35"/>
    <m/>
    <n v="1"/>
    <m/>
    <n v="5"/>
    <n v="4"/>
    <n v="3"/>
    <n v="7"/>
    <n v="9"/>
  </r>
  <r>
    <x v="6"/>
    <x v="1"/>
    <s v="S40000004"/>
    <x v="37"/>
    <m/>
    <n v="1"/>
    <m/>
    <n v="4"/>
    <n v="3.5"/>
    <n v="4"/>
    <n v="5"/>
    <n v="10"/>
  </r>
  <r>
    <x v="6"/>
    <x v="1"/>
    <s v="S40000004"/>
    <x v="38"/>
    <m/>
    <n v="1"/>
    <m/>
    <n v="2"/>
    <n v="2"/>
    <n v="2"/>
    <n v="6"/>
    <n v="6"/>
  </r>
  <r>
    <x v="6"/>
    <x v="1"/>
    <s v="S40000005"/>
    <x v="19"/>
    <m/>
    <n v="1"/>
    <m/>
    <n v="2"/>
    <n v="1"/>
    <n v="2"/>
    <n v="3"/>
    <n v="4"/>
  </r>
  <r>
    <x v="6"/>
    <x v="1"/>
    <s v="S40000005"/>
    <x v="32"/>
    <m/>
    <n v="1"/>
    <m/>
    <n v="4"/>
    <n v="1"/>
    <n v="3"/>
    <n v="9"/>
    <n v="7"/>
  </r>
  <r>
    <x v="6"/>
    <x v="1"/>
    <s v="S40000005"/>
    <x v="42"/>
    <m/>
    <n v="1"/>
    <m/>
    <n v="4"/>
    <n v="2"/>
    <n v="4"/>
    <n v="9"/>
    <n v="11"/>
  </r>
  <r>
    <x v="6"/>
    <x v="1"/>
    <s v="S40000005"/>
    <x v="39"/>
    <m/>
    <n v="1"/>
    <m/>
    <n v="8"/>
    <n v="1"/>
    <n v="4"/>
    <n v="13"/>
    <n v="11"/>
  </r>
  <r>
    <x v="6"/>
    <x v="1"/>
    <s v="S40000005"/>
    <x v="41"/>
    <m/>
    <n v="1"/>
    <m/>
    <n v="1"/>
    <m/>
    <n v="3"/>
    <n v="5"/>
    <n v="4"/>
  </r>
  <r>
    <x v="6"/>
    <x v="2"/>
    <s v="S40000003"/>
    <x v="43"/>
    <m/>
    <n v="3"/>
    <m/>
    <n v="21"/>
    <m/>
    <n v="10"/>
    <n v="14"/>
    <n v="55"/>
  </r>
  <r>
    <x v="6"/>
    <x v="2"/>
    <s v="S40000004"/>
    <x v="44"/>
    <m/>
    <n v="1"/>
    <m/>
    <n v="6"/>
    <m/>
    <n v="4"/>
    <n v="8"/>
    <n v="33"/>
  </r>
  <r>
    <x v="6"/>
    <x v="2"/>
    <s v="S40000005"/>
    <x v="45"/>
    <m/>
    <n v="2"/>
    <m/>
    <n v="6"/>
    <m/>
    <n v="3"/>
    <n v="7"/>
    <n v="24"/>
  </r>
  <r>
    <x v="6"/>
    <x v="3"/>
    <s v="S92000003"/>
    <x v="46"/>
    <m/>
    <n v="9"/>
    <n v="6"/>
    <m/>
    <n v="49"/>
    <n v="13"/>
    <n v="6"/>
    <n v="7"/>
  </r>
  <r>
    <x v="7"/>
    <x v="0"/>
    <s v="S40000002"/>
    <x v="0"/>
    <m/>
    <m/>
    <m/>
    <n v="5"/>
    <n v="13"/>
    <m/>
    <m/>
    <n v="6"/>
  </r>
  <r>
    <x v="7"/>
    <x v="0"/>
    <s v="S40000002"/>
    <x v="31"/>
    <m/>
    <m/>
    <m/>
    <n v="50"/>
    <n v="179"/>
    <m/>
    <m/>
    <n v="25"/>
  </r>
  <r>
    <x v="7"/>
    <x v="0"/>
    <s v="S40000002"/>
    <x v="18"/>
    <m/>
    <m/>
    <m/>
    <n v="10"/>
    <n v="37"/>
    <m/>
    <m/>
    <n v="5"/>
  </r>
  <r>
    <x v="7"/>
    <x v="0"/>
    <s v="S40000003"/>
    <x v="21"/>
    <m/>
    <m/>
    <m/>
    <n v="10"/>
    <n v="32"/>
    <m/>
    <m/>
    <n v="10"/>
  </r>
  <r>
    <x v="7"/>
    <x v="0"/>
    <s v="S40000003"/>
    <x v="1"/>
    <m/>
    <m/>
    <m/>
    <n v="10"/>
    <n v="36"/>
    <m/>
    <m/>
    <n v="5"/>
  </r>
  <r>
    <x v="7"/>
    <x v="0"/>
    <s v="S40000003"/>
    <x v="2"/>
    <m/>
    <m/>
    <m/>
    <n v="10"/>
    <n v="32"/>
    <m/>
    <m/>
    <n v="5"/>
  </r>
  <r>
    <x v="7"/>
    <x v="0"/>
    <s v="S40000003"/>
    <x v="29"/>
    <m/>
    <m/>
    <m/>
    <n v="14"/>
    <n v="46"/>
    <m/>
    <m/>
    <n v="16"/>
  </r>
  <r>
    <x v="7"/>
    <x v="0"/>
    <s v="S40000003"/>
    <x v="4"/>
    <m/>
    <m/>
    <m/>
    <n v="10"/>
    <n v="28"/>
    <m/>
    <m/>
    <n v="10"/>
  </r>
  <r>
    <x v="7"/>
    <x v="0"/>
    <s v="S40000003"/>
    <x v="30"/>
    <m/>
    <m/>
    <m/>
    <n v="109"/>
    <n v="335"/>
    <m/>
    <m/>
    <n v="55"/>
  </r>
  <r>
    <x v="7"/>
    <x v="0"/>
    <s v="S40000003"/>
    <x v="8"/>
    <m/>
    <m/>
    <m/>
    <n v="15"/>
    <n v="45"/>
    <m/>
    <m/>
    <n v="10"/>
  </r>
  <r>
    <x v="7"/>
    <x v="0"/>
    <s v="S40000003"/>
    <x v="11"/>
    <m/>
    <m/>
    <m/>
    <n v="15"/>
    <n v="45"/>
    <m/>
    <m/>
    <n v="15"/>
  </r>
  <r>
    <x v="7"/>
    <x v="0"/>
    <s v="S40000003"/>
    <x v="28"/>
    <m/>
    <m/>
    <m/>
    <n v="35"/>
    <n v="105"/>
    <m/>
    <m/>
    <n v="20"/>
  </r>
  <r>
    <x v="7"/>
    <x v="0"/>
    <s v="S40000003"/>
    <x v="23"/>
    <m/>
    <m/>
    <m/>
    <n v="21"/>
    <n v="64"/>
    <m/>
    <m/>
    <n v="15"/>
  </r>
  <r>
    <x v="7"/>
    <x v="0"/>
    <s v="S40000003"/>
    <x v="16"/>
    <m/>
    <m/>
    <m/>
    <n v="10"/>
    <n v="36"/>
    <m/>
    <m/>
    <n v="5"/>
  </r>
  <r>
    <x v="7"/>
    <x v="0"/>
    <s v="S40000003"/>
    <x v="17"/>
    <m/>
    <m/>
    <m/>
    <n v="37"/>
    <n v="111"/>
    <m/>
    <m/>
    <n v="20"/>
  </r>
  <r>
    <x v="7"/>
    <x v="0"/>
    <s v="S40000003"/>
    <x v="24"/>
    <m/>
    <m/>
    <m/>
    <n v="17"/>
    <n v="46"/>
    <m/>
    <m/>
    <n v="10"/>
  </r>
  <r>
    <x v="7"/>
    <x v="0"/>
    <s v="S40000004"/>
    <x v="22"/>
    <m/>
    <m/>
    <m/>
    <n v="58"/>
    <n v="205.5"/>
    <m/>
    <m/>
    <n v="36"/>
  </r>
  <r>
    <x v="7"/>
    <x v="0"/>
    <s v="S40000004"/>
    <x v="3"/>
    <m/>
    <m/>
    <m/>
    <n v="5"/>
    <n v="16"/>
    <m/>
    <m/>
    <n v="5"/>
  </r>
  <r>
    <x v="7"/>
    <x v="0"/>
    <s v="S40000004"/>
    <x v="6"/>
    <m/>
    <m/>
    <m/>
    <n v="20"/>
    <n v="53"/>
    <m/>
    <m/>
    <n v="15"/>
  </r>
  <r>
    <x v="7"/>
    <x v="0"/>
    <s v="S40000004"/>
    <x v="9"/>
    <m/>
    <m/>
    <m/>
    <n v="5"/>
    <n v="17"/>
    <m/>
    <m/>
    <n v="5"/>
  </r>
  <r>
    <x v="7"/>
    <x v="0"/>
    <s v="S40000004"/>
    <x v="14"/>
    <m/>
    <m/>
    <m/>
    <n v="8"/>
    <n v="33"/>
    <m/>
    <m/>
    <n v="10"/>
  </r>
  <r>
    <x v="7"/>
    <x v="0"/>
    <s v="S40000004"/>
    <x v="25"/>
    <m/>
    <m/>
    <m/>
    <n v="11"/>
    <n v="35"/>
    <m/>
    <m/>
    <n v="10"/>
  </r>
  <r>
    <x v="7"/>
    <x v="0"/>
    <s v="S40000005"/>
    <x v="19"/>
    <m/>
    <m/>
    <m/>
    <n v="35"/>
    <n v="99"/>
    <m/>
    <m/>
    <n v="15"/>
  </r>
  <r>
    <x v="7"/>
    <x v="0"/>
    <s v="S40000005"/>
    <x v="20"/>
    <m/>
    <m/>
    <m/>
    <n v="5"/>
    <n v="19"/>
    <m/>
    <m/>
    <n v="5"/>
  </r>
  <r>
    <x v="7"/>
    <x v="0"/>
    <s v="S40000005"/>
    <x v="26"/>
    <m/>
    <m/>
    <m/>
    <n v="5"/>
    <n v="17"/>
    <m/>
    <m/>
    <n v="5"/>
  </r>
  <r>
    <x v="7"/>
    <x v="0"/>
    <s v="S40000005"/>
    <x v="27"/>
    <m/>
    <m/>
    <m/>
    <n v="36"/>
    <n v="127"/>
    <m/>
    <m/>
    <n v="19"/>
  </r>
  <r>
    <x v="7"/>
    <x v="0"/>
    <s v="S40000005"/>
    <x v="7"/>
    <m/>
    <m/>
    <m/>
    <n v="15"/>
    <n v="54"/>
    <m/>
    <m/>
    <n v="5"/>
  </r>
  <r>
    <x v="7"/>
    <x v="0"/>
    <s v="S40000005"/>
    <x v="10"/>
    <m/>
    <m/>
    <m/>
    <n v="5"/>
    <n v="20"/>
    <m/>
    <m/>
    <n v="5"/>
  </r>
  <r>
    <x v="7"/>
    <x v="0"/>
    <s v="S40000005"/>
    <x v="13"/>
    <m/>
    <m/>
    <m/>
    <n v="10"/>
    <n v="48"/>
    <m/>
    <m/>
    <n v="5"/>
  </r>
  <r>
    <x v="7"/>
    <x v="1"/>
    <m/>
    <x v="47"/>
    <m/>
    <n v="1"/>
    <m/>
    <n v="6"/>
    <n v="4"/>
    <n v="4"/>
    <n v="11"/>
    <n v="11"/>
  </r>
  <r>
    <x v="7"/>
    <x v="1"/>
    <s v="S40000003"/>
    <x v="33"/>
    <m/>
    <n v="1"/>
    <m/>
    <n v="6"/>
    <n v="2"/>
    <n v="3"/>
    <n v="7"/>
    <n v="7"/>
  </r>
  <r>
    <x v="7"/>
    <x v="1"/>
    <s v="S40000003"/>
    <x v="1"/>
    <m/>
    <n v="1"/>
    <m/>
    <n v="4"/>
    <n v="1.83"/>
    <n v="2"/>
    <n v="6"/>
    <n v="6"/>
  </r>
  <r>
    <x v="7"/>
    <x v="1"/>
    <s v="S40000003"/>
    <x v="34"/>
    <m/>
    <n v="1"/>
    <m/>
    <n v="5"/>
    <n v="0.6"/>
    <n v="3"/>
    <n v="9"/>
    <n v="8"/>
  </r>
  <r>
    <x v="7"/>
    <x v="1"/>
    <s v="S40000003"/>
    <x v="36"/>
    <m/>
    <n v="1"/>
    <m/>
    <n v="2"/>
    <n v="1"/>
    <n v="4"/>
    <n v="5"/>
    <n v="4"/>
  </r>
  <r>
    <x v="7"/>
    <x v="1"/>
    <s v="S40000003"/>
    <x v="30"/>
    <m/>
    <n v="1"/>
    <m/>
    <n v="2"/>
    <n v="2"/>
    <n v="5"/>
    <n v="9"/>
    <n v="7"/>
  </r>
  <r>
    <x v="7"/>
    <x v="1"/>
    <s v="S40000003"/>
    <x v="28"/>
    <m/>
    <n v="1"/>
    <m/>
    <n v="2"/>
    <m/>
    <n v="2"/>
    <n v="5"/>
    <n v="5"/>
  </r>
  <r>
    <x v="7"/>
    <x v="1"/>
    <s v="S40000003"/>
    <x v="17"/>
    <m/>
    <n v="1"/>
    <m/>
    <n v="3"/>
    <m/>
    <n v="2"/>
    <n v="6"/>
    <n v="4"/>
  </r>
  <r>
    <x v="7"/>
    <x v="1"/>
    <s v="S40000004"/>
    <x v="35"/>
    <m/>
    <n v="1"/>
    <m/>
    <n v="3"/>
    <n v="4"/>
    <n v="3"/>
    <n v="7"/>
    <n v="10"/>
  </r>
  <r>
    <x v="7"/>
    <x v="1"/>
    <s v="S40000004"/>
    <x v="37"/>
    <m/>
    <n v="1"/>
    <m/>
    <n v="3"/>
    <n v="3.5"/>
    <n v="3"/>
    <n v="7"/>
    <n v="10"/>
  </r>
  <r>
    <x v="7"/>
    <x v="1"/>
    <s v="S40000004"/>
    <x v="38"/>
    <m/>
    <n v="1"/>
    <m/>
    <n v="3"/>
    <n v="2"/>
    <n v="2"/>
    <n v="5"/>
    <n v="6"/>
  </r>
  <r>
    <x v="7"/>
    <x v="1"/>
    <s v="S40000005"/>
    <x v="19"/>
    <m/>
    <n v="1"/>
    <m/>
    <n v="1"/>
    <n v="1"/>
    <n v="2"/>
    <n v="3"/>
    <n v="4"/>
  </r>
  <r>
    <x v="7"/>
    <x v="1"/>
    <s v="S40000005"/>
    <x v="32"/>
    <m/>
    <n v="1"/>
    <m/>
    <n v="4"/>
    <n v="1"/>
    <n v="3"/>
    <n v="9"/>
    <n v="8"/>
  </r>
  <r>
    <x v="7"/>
    <x v="1"/>
    <s v="S40000005"/>
    <x v="42"/>
    <m/>
    <n v="1"/>
    <m/>
    <n v="4"/>
    <n v="1"/>
    <n v="4"/>
    <n v="8"/>
    <n v="10"/>
  </r>
  <r>
    <x v="7"/>
    <x v="1"/>
    <s v="S40000005"/>
    <x v="39"/>
    <m/>
    <n v="1"/>
    <m/>
    <n v="7"/>
    <n v="1"/>
    <n v="4"/>
    <n v="12"/>
    <n v="10"/>
  </r>
  <r>
    <x v="7"/>
    <x v="1"/>
    <s v="S40000005"/>
    <x v="41"/>
    <m/>
    <n v="1"/>
    <m/>
    <m/>
    <m/>
    <n v="3"/>
    <n v="7"/>
    <n v="4"/>
  </r>
  <r>
    <x v="7"/>
    <x v="2"/>
    <s v="S40000003"/>
    <x v="43"/>
    <m/>
    <n v="3"/>
    <m/>
    <n v="17"/>
    <n v="25"/>
    <n v="5"/>
    <n v="5"/>
    <n v="36"/>
  </r>
  <r>
    <x v="7"/>
    <x v="2"/>
    <s v="S40000004"/>
    <x v="44"/>
    <m/>
    <n v="1"/>
    <m/>
    <n v="6"/>
    <n v="20"/>
    <n v="2"/>
    <n v="5"/>
    <n v="32"/>
  </r>
  <r>
    <x v="7"/>
    <x v="2"/>
    <s v="S40000005"/>
    <x v="45"/>
    <m/>
    <n v="2"/>
    <m/>
    <n v="13"/>
    <n v="13"/>
    <n v="2"/>
    <n v="6"/>
    <n v="19"/>
  </r>
  <r>
    <x v="7"/>
    <x v="3"/>
    <s v="S92000003"/>
    <x v="46"/>
    <m/>
    <n v="13"/>
    <n v="5"/>
    <m/>
    <n v="1"/>
    <n v="21"/>
    <n v="20"/>
    <n v="30"/>
  </r>
  <r>
    <x v="8"/>
    <x v="0"/>
    <m/>
    <x v="19"/>
    <m/>
    <m/>
    <m/>
    <n v="35"/>
    <n v="103"/>
    <m/>
    <m/>
    <n v="16"/>
  </r>
  <r>
    <x v="8"/>
    <x v="0"/>
    <m/>
    <x v="20"/>
    <m/>
    <m/>
    <m/>
    <n v="5"/>
    <n v="18"/>
    <m/>
    <m/>
    <n v="5"/>
  </r>
  <r>
    <x v="8"/>
    <x v="0"/>
    <m/>
    <x v="26"/>
    <m/>
    <m/>
    <m/>
    <n v="5"/>
    <n v="16"/>
    <m/>
    <m/>
    <n v="5"/>
  </r>
  <r>
    <x v="8"/>
    <x v="0"/>
    <m/>
    <x v="21"/>
    <m/>
    <m/>
    <m/>
    <n v="8"/>
    <n v="28"/>
    <m/>
    <m/>
    <n v="10"/>
  </r>
  <r>
    <x v="8"/>
    <x v="0"/>
    <m/>
    <x v="22"/>
    <m/>
    <m/>
    <m/>
    <n v="58"/>
    <n v="201.5"/>
    <m/>
    <m/>
    <n v="35"/>
  </r>
  <r>
    <x v="8"/>
    <x v="0"/>
    <m/>
    <x v="0"/>
    <m/>
    <m/>
    <m/>
    <n v="4"/>
    <n v="15"/>
    <m/>
    <m/>
    <n v="5"/>
  </r>
  <r>
    <x v="8"/>
    <x v="0"/>
    <m/>
    <x v="1"/>
    <m/>
    <m/>
    <m/>
    <n v="10"/>
    <n v="35"/>
    <m/>
    <m/>
    <n v="5"/>
  </r>
  <r>
    <x v="8"/>
    <x v="0"/>
    <m/>
    <x v="27"/>
    <m/>
    <m/>
    <m/>
    <n v="35"/>
    <n v="119"/>
    <m/>
    <m/>
    <n v="20"/>
  </r>
  <r>
    <x v="8"/>
    <x v="0"/>
    <m/>
    <x v="2"/>
    <m/>
    <m/>
    <m/>
    <n v="10"/>
    <n v="31"/>
    <m/>
    <m/>
    <n v="5"/>
  </r>
  <r>
    <x v="8"/>
    <x v="0"/>
    <m/>
    <x v="29"/>
    <m/>
    <m/>
    <m/>
    <n v="13"/>
    <n v="46"/>
    <m/>
    <m/>
    <n v="16"/>
  </r>
  <r>
    <x v="8"/>
    <x v="0"/>
    <m/>
    <x v="3"/>
    <m/>
    <m/>
    <m/>
    <n v="4"/>
    <n v="14"/>
    <m/>
    <m/>
    <n v="6"/>
  </r>
  <r>
    <x v="8"/>
    <x v="0"/>
    <m/>
    <x v="4"/>
    <m/>
    <m/>
    <m/>
    <n v="7"/>
    <n v="30"/>
    <m/>
    <m/>
    <n v="10"/>
  </r>
  <r>
    <x v="8"/>
    <x v="0"/>
    <m/>
    <x v="6"/>
    <m/>
    <m/>
    <m/>
    <n v="19"/>
    <n v="53"/>
    <m/>
    <m/>
    <n v="15"/>
  </r>
  <r>
    <x v="8"/>
    <x v="0"/>
    <m/>
    <x v="31"/>
    <m/>
    <m/>
    <m/>
    <n v="50"/>
    <n v="179"/>
    <m/>
    <m/>
    <n v="25"/>
  </r>
  <r>
    <x v="8"/>
    <x v="0"/>
    <m/>
    <x v="30"/>
    <m/>
    <m/>
    <m/>
    <n v="106"/>
    <n v="332"/>
    <m/>
    <m/>
    <n v="55"/>
  </r>
  <r>
    <x v="8"/>
    <x v="0"/>
    <m/>
    <x v="7"/>
    <m/>
    <m/>
    <m/>
    <n v="15"/>
    <n v="50"/>
    <m/>
    <m/>
    <n v="5"/>
  </r>
  <r>
    <x v="8"/>
    <x v="0"/>
    <m/>
    <x v="8"/>
    <m/>
    <m/>
    <m/>
    <n v="12"/>
    <n v="46"/>
    <m/>
    <m/>
    <n v="10"/>
  </r>
  <r>
    <x v="8"/>
    <x v="0"/>
    <m/>
    <x v="9"/>
    <m/>
    <m/>
    <m/>
    <n v="4"/>
    <n v="17"/>
    <m/>
    <m/>
    <n v="5"/>
  </r>
  <r>
    <x v="8"/>
    <x v="0"/>
    <m/>
    <x v="10"/>
    <m/>
    <m/>
    <m/>
    <n v="5"/>
    <n v="20"/>
    <m/>
    <m/>
    <n v="5"/>
  </r>
  <r>
    <x v="8"/>
    <x v="0"/>
    <m/>
    <x v="11"/>
    <m/>
    <m/>
    <m/>
    <n v="14"/>
    <n v="46"/>
    <m/>
    <m/>
    <n v="14"/>
  </r>
  <r>
    <x v="8"/>
    <x v="0"/>
    <m/>
    <x v="28"/>
    <m/>
    <m/>
    <m/>
    <n v="37"/>
    <n v="100"/>
    <m/>
    <m/>
    <n v="19"/>
  </r>
  <r>
    <x v="8"/>
    <x v="0"/>
    <m/>
    <x v="13"/>
    <m/>
    <m/>
    <m/>
    <n v="9"/>
    <n v="53"/>
    <m/>
    <m/>
    <n v="4"/>
  </r>
  <r>
    <x v="8"/>
    <x v="0"/>
    <m/>
    <x v="23"/>
    <m/>
    <m/>
    <m/>
    <n v="19"/>
    <n v="63"/>
    <m/>
    <m/>
    <n v="17"/>
  </r>
  <r>
    <x v="8"/>
    <x v="0"/>
    <m/>
    <x v="14"/>
    <m/>
    <m/>
    <m/>
    <n v="10"/>
    <n v="33"/>
    <m/>
    <m/>
    <n v="10"/>
  </r>
  <r>
    <x v="8"/>
    <x v="0"/>
    <m/>
    <x v="16"/>
    <m/>
    <m/>
    <m/>
    <n v="10"/>
    <n v="32"/>
    <m/>
    <m/>
    <n v="5"/>
  </r>
  <r>
    <x v="8"/>
    <x v="0"/>
    <m/>
    <x v="17"/>
    <m/>
    <m/>
    <m/>
    <n v="36"/>
    <n v="99"/>
    <m/>
    <m/>
    <n v="20"/>
  </r>
  <r>
    <x v="8"/>
    <x v="0"/>
    <m/>
    <x v="18"/>
    <m/>
    <m/>
    <m/>
    <n v="11"/>
    <n v="33"/>
    <m/>
    <m/>
    <n v="5"/>
  </r>
  <r>
    <x v="8"/>
    <x v="0"/>
    <m/>
    <x v="24"/>
    <m/>
    <m/>
    <m/>
    <n v="11"/>
    <n v="47"/>
    <m/>
    <m/>
    <n v="11"/>
  </r>
  <r>
    <x v="8"/>
    <x v="0"/>
    <m/>
    <x v="25"/>
    <m/>
    <m/>
    <m/>
    <n v="10"/>
    <n v="37.5"/>
    <m/>
    <m/>
    <n v="10"/>
  </r>
  <r>
    <x v="8"/>
    <x v="1"/>
    <m/>
    <x v="48"/>
    <m/>
    <n v="1"/>
    <m/>
    <n v="5"/>
    <n v="2"/>
    <n v="4"/>
    <n v="12"/>
    <n v="12"/>
  </r>
  <r>
    <x v="8"/>
    <x v="1"/>
    <m/>
    <x v="33"/>
    <m/>
    <n v="1"/>
    <m/>
    <n v="6"/>
    <n v="2"/>
    <n v="4"/>
    <n v="8"/>
    <n v="7"/>
  </r>
  <r>
    <x v="8"/>
    <x v="1"/>
    <m/>
    <x v="1"/>
    <m/>
    <n v="1"/>
    <m/>
    <n v="4"/>
    <n v="1.83"/>
    <n v="2"/>
    <n v="6"/>
    <n v="7"/>
  </r>
  <r>
    <x v="8"/>
    <x v="1"/>
    <m/>
    <x v="42"/>
    <m/>
    <n v="1"/>
    <m/>
    <n v="5"/>
    <n v="2"/>
    <n v="4"/>
    <n v="8"/>
    <n v="11"/>
  </r>
  <r>
    <x v="8"/>
    <x v="1"/>
    <m/>
    <x v="34"/>
    <m/>
    <n v="1"/>
    <m/>
    <n v="3"/>
    <n v="0.6"/>
    <n v="3"/>
    <n v="11"/>
    <n v="8"/>
  </r>
  <r>
    <x v="8"/>
    <x v="1"/>
    <m/>
    <x v="35"/>
    <m/>
    <n v="1"/>
    <m/>
    <n v="6"/>
    <n v="4"/>
    <n v="3"/>
    <n v="7"/>
    <n v="8"/>
  </r>
  <r>
    <x v="8"/>
    <x v="1"/>
    <m/>
    <x v="36"/>
    <m/>
    <n v="1"/>
    <m/>
    <n v="3"/>
    <n v="1"/>
    <n v="3"/>
    <n v="6"/>
    <n v="5"/>
  </r>
  <r>
    <x v="8"/>
    <x v="1"/>
    <m/>
    <x v="37"/>
    <m/>
    <n v="1"/>
    <m/>
    <n v="3"/>
    <n v="4"/>
    <n v="3"/>
    <n v="7"/>
    <n v="9"/>
  </r>
  <r>
    <x v="8"/>
    <x v="1"/>
    <m/>
    <x v="38"/>
    <m/>
    <n v="1"/>
    <m/>
    <n v="3"/>
    <n v="2"/>
    <n v="2"/>
    <n v="4"/>
    <n v="6"/>
  </r>
  <r>
    <x v="8"/>
    <x v="1"/>
    <m/>
    <x v="30"/>
    <m/>
    <n v="1"/>
    <m/>
    <n v="1"/>
    <n v="1"/>
    <n v="4"/>
    <n v="9"/>
    <n v="7"/>
  </r>
  <r>
    <x v="8"/>
    <x v="1"/>
    <m/>
    <x v="39"/>
    <m/>
    <n v="1"/>
    <m/>
    <n v="6"/>
    <n v="2"/>
    <n v="4"/>
    <n v="10"/>
    <n v="10"/>
  </r>
  <r>
    <x v="8"/>
    <x v="1"/>
    <m/>
    <x v="49"/>
    <m/>
    <n v="1"/>
    <m/>
    <n v="4"/>
    <n v="1"/>
    <n v="3"/>
    <n v="11"/>
    <n v="10"/>
  </r>
  <r>
    <x v="8"/>
    <x v="1"/>
    <m/>
    <x v="47"/>
    <m/>
    <n v="1"/>
    <m/>
    <n v="7"/>
    <n v="3"/>
    <n v="4"/>
    <n v="13"/>
    <n v="10"/>
  </r>
  <r>
    <x v="8"/>
    <x v="1"/>
    <m/>
    <x v="41"/>
    <m/>
    <n v="1"/>
    <m/>
    <m/>
    <m/>
    <n v="4"/>
    <n v="7"/>
    <n v="5"/>
  </r>
  <r>
    <x v="8"/>
    <x v="2"/>
    <m/>
    <x v="45"/>
    <m/>
    <n v="2"/>
    <m/>
    <n v="10"/>
    <n v="10"/>
    <n v="2"/>
    <n v="7"/>
    <n v="17"/>
  </r>
  <r>
    <x v="8"/>
    <x v="2"/>
    <m/>
    <x v="43"/>
    <m/>
    <n v="2"/>
    <m/>
    <n v="16"/>
    <n v="34"/>
    <n v="5"/>
    <n v="7"/>
    <n v="43"/>
  </r>
  <r>
    <x v="8"/>
    <x v="2"/>
    <s v="S40000004"/>
    <x v="44"/>
    <m/>
    <n v="1"/>
    <m/>
    <n v="6"/>
    <n v="21"/>
    <n v="2"/>
    <n v="5"/>
    <n v="31"/>
  </r>
  <r>
    <x v="8"/>
    <x v="3"/>
    <s v="S92000003"/>
    <x v="46"/>
    <m/>
    <n v="16"/>
    <n v="5"/>
    <m/>
    <m/>
    <n v="20"/>
    <n v="19"/>
    <n v="28"/>
  </r>
  <r>
    <x v="9"/>
    <x v="0"/>
    <m/>
    <x v="19"/>
    <m/>
    <m/>
    <m/>
    <n v="32"/>
    <n v="103"/>
    <m/>
    <m/>
    <n v="20"/>
  </r>
  <r>
    <x v="9"/>
    <x v="0"/>
    <m/>
    <x v="20"/>
    <m/>
    <m/>
    <m/>
    <n v="5"/>
    <n v="18"/>
    <m/>
    <m/>
    <n v="5"/>
  </r>
  <r>
    <x v="9"/>
    <x v="0"/>
    <m/>
    <x v="26"/>
    <m/>
    <m/>
    <m/>
    <n v="5"/>
    <n v="14"/>
    <m/>
    <m/>
    <n v="5"/>
  </r>
  <r>
    <x v="9"/>
    <x v="0"/>
    <m/>
    <x v="21"/>
    <m/>
    <m/>
    <m/>
    <n v="11"/>
    <n v="29"/>
    <m/>
    <m/>
    <n v="10"/>
  </r>
  <r>
    <x v="9"/>
    <x v="0"/>
    <m/>
    <x v="22"/>
    <m/>
    <m/>
    <m/>
    <n v="53"/>
    <n v="191.5"/>
    <m/>
    <m/>
    <n v="38"/>
  </r>
  <r>
    <x v="9"/>
    <x v="0"/>
    <m/>
    <x v="0"/>
    <m/>
    <m/>
    <m/>
    <n v="6"/>
    <n v="14"/>
    <m/>
    <m/>
    <n v="5"/>
  </r>
  <r>
    <x v="9"/>
    <x v="0"/>
    <m/>
    <x v="1"/>
    <m/>
    <m/>
    <m/>
    <n v="9"/>
    <n v="37"/>
    <m/>
    <m/>
    <n v="5"/>
  </r>
  <r>
    <x v="9"/>
    <x v="0"/>
    <m/>
    <x v="27"/>
    <m/>
    <m/>
    <m/>
    <n v="37"/>
    <n v="112"/>
    <m/>
    <m/>
    <n v="20"/>
  </r>
  <r>
    <x v="9"/>
    <x v="0"/>
    <m/>
    <x v="2"/>
    <m/>
    <m/>
    <m/>
    <n v="8"/>
    <n v="33.6"/>
    <m/>
    <m/>
    <n v="5"/>
  </r>
  <r>
    <x v="9"/>
    <x v="0"/>
    <m/>
    <x v="29"/>
    <m/>
    <m/>
    <m/>
    <n v="12"/>
    <n v="44"/>
    <m/>
    <m/>
    <n v="15"/>
  </r>
  <r>
    <x v="9"/>
    <x v="0"/>
    <m/>
    <x v="3"/>
    <m/>
    <m/>
    <m/>
    <n v="4"/>
    <n v="15"/>
    <m/>
    <m/>
    <n v="5"/>
  </r>
  <r>
    <x v="9"/>
    <x v="0"/>
    <m/>
    <x v="4"/>
    <m/>
    <m/>
    <m/>
    <n v="10"/>
    <n v="27"/>
    <m/>
    <m/>
    <n v="10"/>
  </r>
  <r>
    <x v="9"/>
    <x v="0"/>
    <m/>
    <x v="6"/>
    <m/>
    <m/>
    <m/>
    <n v="19"/>
    <n v="50"/>
    <m/>
    <m/>
    <n v="15"/>
  </r>
  <r>
    <x v="9"/>
    <x v="0"/>
    <m/>
    <x v="31"/>
    <m/>
    <m/>
    <m/>
    <n v="51"/>
    <n v="163"/>
    <m/>
    <m/>
    <n v="25"/>
  </r>
  <r>
    <x v="9"/>
    <x v="0"/>
    <m/>
    <x v="30"/>
    <m/>
    <m/>
    <m/>
    <n v="108"/>
    <n v="317"/>
    <m/>
    <m/>
    <n v="66"/>
  </r>
  <r>
    <x v="9"/>
    <x v="0"/>
    <m/>
    <x v="7"/>
    <m/>
    <m/>
    <m/>
    <n v="7"/>
    <m/>
    <m/>
    <m/>
    <n v="4"/>
  </r>
  <r>
    <x v="9"/>
    <x v="0"/>
    <m/>
    <x v="7"/>
    <m/>
    <m/>
    <m/>
    <n v="16"/>
    <n v="51"/>
    <m/>
    <m/>
    <n v="6"/>
  </r>
  <r>
    <x v="9"/>
    <x v="0"/>
    <m/>
    <x v="8"/>
    <m/>
    <m/>
    <m/>
    <n v="14"/>
    <n v="43"/>
    <m/>
    <m/>
    <n v="10"/>
  </r>
  <r>
    <x v="9"/>
    <x v="0"/>
    <m/>
    <x v="9"/>
    <m/>
    <m/>
    <m/>
    <n v="4"/>
    <n v="15"/>
    <m/>
    <m/>
    <n v="6"/>
  </r>
  <r>
    <x v="9"/>
    <x v="0"/>
    <m/>
    <x v="10"/>
    <m/>
    <m/>
    <m/>
    <n v="4"/>
    <n v="20"/>
    <m/>
    <m/>
    <n v="5"/>
  </r>
  <r>
    <x v="9"/>
    <x v="0"/>
    <m/>
    <x v="5"/>
    <m/>
    <m/>
    <m/>
    <m/>
    <m/>
    <m/>
    <m/>
    <n v="3"/>
  </r>
  <r>
    <x v="9"/>
    <x v="0"/>
    <m/>
    <x v="11"/>
    <m/>
    <m/>
    <m/>
    <n v="16"/>
    <n v="44"/>
    <m/>
    <m/>
    <n v="15"/>
  </r>
  <r>
    <x v="9"/>
    <x v="0"/>
    <m/>
    <x v="28"/>
    <m/>
    <m/>
    <m/>
    <n v="36"/>
    <n v="102"/>
    <m/>
    <m/>
    <n v="21"/>
  </r>
  <r>
    <x v="9"/>
    <x v="0"/>
    <m/>
    <x v="12"/>
    <m/>
    <m/>
    <m/>
    <m/>
    <m/>
    <m/>
    <m/>
    <n v="1"/>
  </r>
  <r>
    <x v="9"/>
    <x v="0"/>
    <m/>
    <x v="13"/>
    <m/>
    <m/>
    <m/>
    <n v="11"/>
    <n v="53"/>
    <m/>
    <m/>
    <n v="5"/>
  </r>
  <r>
    <x v="9"/>
    <x v="0"/>
    <m/>
    <x v="23"/>
    <m/>
    <m/>
    <m/>
    <n v="20"/>
    <n v="60"/>
    <m/>
    <m/>
    <n v="15"/>
  </r>
  <r>
    <x v="9"/>
    <x v="0"/>
    <m/>
    <x v="14"/>
    <m/>
    <m/>
    <m/>
    <n v="9"/>
    <n v="37"/>
    <m/>
    <m/>
    <n v="10"/>
  </r>
  <r>
    <x v="9"/>
    <x v="0"/>
    <m/>
    <x v="15"/>
    <m/>
    <m/>
    <m/>
    <m/>
    <m/>
    <m/>
    <m/>
    <n v="1"/>
  </r>
  <r>
    <x v="9"/>
    <x v="0"/>
    <m/>
    <x v="16"/>
    <m/>
    <m/>
    <m/>
    <n v="9"/>
    <n v="34"/>
    <m/>
    <m/>
    <n v="5"/>
  </r>
  <r>
    <x v="9"/>
    <x v="0"/>
    <m/>
    <x v="17"/>
    <m/>
    <m/>
    <m/>
    <n v="35"/>
    <n v="109"/>
    <m/>
    <m/>
    <n v="20"/>
  </r>
  <r>
    <x v="9"/>
    <x v="0"/>
    <m/>
    <x v="18"/>
    <m/>
    <m/>
    <m/>
    <n v="9"/>
    <n v="32"/>
    <m/>
    <m/>
    <n v="5"/>
  </r>
  <r>
    <x v="9"/>
    <x v="0"/>
    <m/>
    <x v="24"/>
    <m/>
    <m/>
    <m/>
    <n v="15"/>
    <n v="43"/>
    <m/>
    <m/>
    <n v="10"/>
  </r>
  <r>
    <x v="9"/>
    <x v="0"/>
    <m/>
    <x v="25"/>
    <m/>
    <m/>
    <m/>
    <n v="10"/>
    <n v="35.5"/>
    <m/>
    <m/>
    <n v="12"/>
  </r>
  <r>
    <x v="9"/>
    <x v="1"/>
    <m/>
    <x v="48"/>
    <m/>
    <n v="1"/>
    <m/>
    <m/>
    <m/>
    <n v="4"/>
    <n v="10"/>
    <n v="9"/>
  </r>
  <r>
    <x v="9"/>
    <x v="1"/>
    <m/>
    <x v="33"/>
    <m/>
    <n v="1"/>
    <m/>
    <n v="6"/>
    <n v="2"/>
    <n v="4"/>
    <n v="10"/>
    <n v="7"/>
  </r>
  <r>
    <x v="9"/>
    <x v="1"/>
    <m/>
    <x v="1"/>
    <m/>
    <n v="1"/>
    <m/>
    <n v="4"/>
    <n v="1.83"/>
    <n v="2"/>
    <n v="6"/>
    <n v="3"/>
  </r>
  <r>
    <x v="9"/>
    <x v="1"/>
    <m/>
    <x v="42"/>
    <m/>
    <n v="1"/>
    <m/>
    <m/>
    <n v="2"/>
    <n v="4"/>
    <n v="7"/>
    <n v="9"/>
  </r>
  <r>
    <x v="9"/>
    <x v="1"/>
    <m/>
    <x v="34"/>
    <m/>
    <n v="1"/>
    <m/>
    <n v="4"/>
    <m/>
    <n v="4"/>
    <n v="10"/>
    <n v="7"/>
  </r>
  <r>
    <x v="9"/>
    <x v="1"/>
    <m/>
    <x v="35"/>
    <m/>
    <n v="1"/>
    <m/>
    <n v="6"/>
    <n v="4"/>
    <n v="4"/>
    <n v="6"/>
    <n v="11"/>
  </r>
  <r>
    <x v="9"/>
    <x v="1"/>
    <m/>
    <x v="36"/>
    <m/>
    <n v="1"/>
    <m/>
    <n v="4"/>
    <n v="1"/>
    <n v="3"/>
    <n v="6"/>
    <n v="4"/>
  </r>
  <r>
    <x v="9"/>
    <x v="1"/>
    <m/>
    <x v="37"/>
    <m/>
    <n v="1"/>
    <m/>
    <n v="3"/>
    <n v="3"/>
    <n v="3"/>
    <n v="8"/>
    <n v="8"/>
  </r>
  <r>
    <x v="9"/>
    <x v="1"/>
    <m/>
    <x v="38"/>
    <m/>
    <n v="1"/>
    <m/>
    <n v="4"/>
    <n v="1"/>
    <n v="1"/>
    <n v="6"/>
    <n v="6"/>
  </r>
  <r>
    <x v="9"/>
    <x v="1"/>
    <m/>
    <x v="30"/>
    <m/>
    <n v="1"/>
    <m/>
    <n v="2"/>
    <n v="1"/>
    <n v="4"/>
    <n v="9"/>
    <n v="6"/>
  </r>
  <r>
    <x v="9"/>
    <x v="1"/>
    <m/>
    <x v="39"/>
    <m/>
    <n v="1"/>
    <m/>
    <m/>
    <n v="1"/>
    <n v="4"/>
    <n v="10"/>
    <n v="4"/>
  </r>
  <r>
    <x v="9"/>
    <x v="1"/>
    <m/>
    <x v="49"/>
    <m/>
    <n v="1"/>
    <m/>
    <n v="4"/>
    <n v="1"/>
    <n v="3"/>
    <n v="8"/>
    <n v="10"/>
  </r>
  <r>
    <x v="9"/>
    <x v="1"/>
    <m/>
    <x v="47"/>
    <m/>
    <n v="1"/>
    <m/>
    <n v="6"/>
    <n v="2"/>
    <n v="4"/>
    <n v="10"/>
    <n v="8"/>
  </r>
  <r>
    <x v="9"/>
    <x v="1"/>
    <m/>
    <x v="41"/>
    <m/>
    <m/>
    <m/>
    <m/>
    <m/>
    <n v="1"/>
    <m/>
    <m/>
  </r>
  <r>
    <x v="9"/>
    <x v="1"/>
    <m/>
    <x v="41"/>
    <m/>
    <n v="1"/>
    <m/>
    <m/>
    <m/>
    <n v="3"/>
    <n v="5"/>
    <m/>
  </r>
  <r>
    <x v="9"/>
    <x v="2"/>
    <m/>
    <x v="45"/>
    <m/>
    <n v="2"/>
    <m/>
    <n v="12"/>
    <n v="25"/>
    <n v="3"/>
    <n v="6"/>
    <n v="22"/>
  </r>
  <r>
    <x v="9"/>
    <x v="2"/>
    <m/>
    <x v="43"/>
    <m/>
    <n v="2"/>
    <m/>
    <n v="10"/>
    <n v="48"/>
    <n v="5"/>
    <n v="11"/>
    <n v="43"/>
  </r>
  <r>
    <x v="9"/>
    <x v="2"/>
    <s v="S40000004"/>
    <x v="44"/>
    <m/>
    <n v="1"/>
    <m/>
    <n v="4"/>
    <n v="30"/>
    <n v="3"/>
    <n v="4"/>
    <n v="25"/>
  </r>
  <r>
    <x v="9"/>
    <x v="3"/>
    <s v="S92000003"/>
    <x v="46"/>
    <m/>
    <n v="12"/>
    <n v="5"/>
    <n v="1"/>
    <m/>
    <n v="19"/>
    <n v="16"/>
    <n v="16"/>
  </r>
  <r>
    <x v="10"/>
    <x v="0"/>
    <m/>
    <x v="19"/>
    <m/>
    <m/>
    <m/>
    <n v="34"/>
    <n v="106"/>
    <m/>
    <m/>
    <n v="22"/>
  </r>
  <r>
    <x v="10"/>
    <x v="0"/>
    <m/>
    <x v="20"/>
    <m/>
    <m/>
    <m/>
    <n v="6"/>
    <n v="17"/>
    <m/>
    <m/>
    <n v="5"/>
  </r>
  <r>
    <x v="10"/>
    <x v="0"/>
    <m/>
    <x v="26"/>
    <m/>
    <m/>
    <m/>
    <n v="5"/>
    <n v="17"/>
    <m/>
    <m/>
    <n v="5"/>
  </r>
  <r>
    <x v="10"/>
    <x v="0"/>
    <m/>
    <x v="21"/>
    <m/>
    <m/>
    <m/>
    <n v="10"/>
    <n v="34"/>
    <m/>
    <m/>
    <n v="11"/>
  </r>
  <r>
    <x v="10"/>
    <x v="0"/>
    <m/>
    <x v="22"/>
    <m/>
    <m/>
    <m/>
    <n v="59"/>
    <n v="198.5"/>
    <m/>
    <m/>
    <n v="35"/>
  </r>
  <r>
    <x v="10"/>
    <x v="0"/>
    <m/>
    <x v="0"/>
    <m/>
    <m/>
    <m/>
    <n v="5"/>
    <n v="16"/>
    <m/>
    <m/>
    <n v="6"/>
  </r>
  <r>
    <x v="10"/>
    <x v="0"/>
    <m/>
    <x v="1"/>
    <m/>
    <m/>
    <m/>
    <n v="10"/>
    <n v="38"/>
    <m/>
    <m/>
    <n v="5"/>
  </r>
  <r>
    <x v="10"/>
    <x v="0"/>
    <m/>
    <x v="27"/>
    <m/>
    <m/>
    <m/>
    <n v="30"/>
    <n v="118"/>
    <m/>
    <m/>
    <n v="20"/>
  </r>
  <r>
    <x v="10"/>
    <x v="0"/>
    <m/>
    <x v="2"/>
    <m/>
    <m/>
    <m/>
    <n v="10"/>
    <n v="32"/>
    <m/>
    <m/>
    <n v="6"/>
  </r>
  <r>
    <x v="10"/>
    <x v="0"/>
    <m/>
    <x v="29"/>
    <m/>
    <m/>
    <m/>
    <n v="15"/>
    <n v="46"/>
    <m/>
    <m/>
    <n v="15"/>
  </r>
  <r>
    <x v="10"/>
    <x v="0"/>
    <m/>
    <x v="3"/>
    <m/>
    <m/>
    <m/>
    <n v="5"/>
    <n v="15"/>
    <m/>
    <m/>
    <n v="5"/>
  </r>
  <r>
    <x v="10"/>
    <x v="0"/>
    <m/>
    <x v="4"/>
    <m/>
    <m/>
    <m/>
    <n v="10"/>
    <n v="33"/>
    <m/>
    <m/>
    <n v="10"/>
  </r>
  <r>
    <x v="10"/>
    <x v="0"/>
    <m/>
    <x v="6"/>
    <m/>
    <m/>
    <m/>
    <n v="20"/>
    <n v="56"/>
    <m/>
    <m/>
    <n v="15"/>
  </r>
  <r>
    <x v="10"/>
    <x v="0"/>
    <m/>
    <x v="31"/>
    <m/>
    <m/>
    <m/>
    <n v="43"/>
    <n v="146"/>
    <m/>
    <m/>
    <n v="27"/>
  </r>
  <r>
    <x v="10"/>
    <x v="0"/>
    <m/>
    <x v="30"/>
    <m/>
    <m/>
    <m/>
    <n v="94"/>
    <n v="302"/>
    <m/>
    <m/>
    <n v="67"/>
  </r>
  <r>
    <x v="10"/>
    <x v="0"/>
    <m/>
    <x v="7"/>
    <m/>
    <m/>
    <m/>
    <n v="20"/>
    <n v="52"/>
    <m/>
    <m/>
    <n v="8"/>
  </r>
  <r>
    <x v="10"/>
    <x v="0"/>
    <m/>
    <x v="8"/>
    <m/>
    <m/>
    <m/>
    <n v="14"/>
    <n v="39"/>
    <m/>
    <m/>
    <n v="10"/>
  </r>
  <r>
    <x v="10"/>
    <x v="0"/>
    <m/>
    <x v="9"/>
    <m/>
    <m/>
    <m/>
    <n v="7"/>
    <n v="16"/>
    <m/>
    <m/>
    <n v="6"/>
  </r>
  <r>
    <x v="10"/>
    <x v="0"/>
    <m/>
    <x v="10"/>
    <m/>
    <m/>
    <m/>
    <n v="4"/>
    <n v="21"/>
    <m/>
    <m/>
    <n v="5"/>
  </r>
  <r>
    <x v="10"/>
    <x v="0"/>
    <m/>
    <x v="5"/>
    <m/>
    <m/>
    <m/>
    <m/>
    <m/>
    <m/>
    <m/>
    <n v="3"/>
  </r>
  <r>
    <x v="10"/>
    <x v="0"/>
    <m/>
    <x v="11"/>
    <m/>
    <m/>
    <m/>
    <n v="16"/>
    <n v="54"/>
    <m/>
    <m/>
    <n v="15"/>
  </r>
  <r>
    <x v="10"/>
    <x v="0"/>
    <m/>
    <x v="28"/>
    <m/>
    <m/>
    <m/>
    <n v="36"/>
    <n v="112"/>
    <m/>
    <m/>
    <n v="21"/>
  </r>
  <r>
    <x v="10"/>
    <x v="0"/>
    <m/>
    <x v="13"/>
    <m/>
    <m/>
    <m/>
    <n v="12"/>
    <n v="49"/>
    <m/>
    <m/>
    <n v="5"/>
  </r>
  <r>
    <x v="10"/>
    <x v="0"/>
    <m/>
    <x v="23"/>
    <m/>
    <m/>
    <m/>
    <n v="21"/>
    <n v="66"/>
    <m/>
    <m/>
    <n v="15"/>
  </r>
  <r>
    <x v="10"/>
    <x v="0"/>
    <m/>
    <x v="14"/>
    <m/>
    <m/>
    <m/>
    <n v="9"/>
    <n v="38"/>
    <m/>
    <m/>
    <n v="10"/>
  </r>
  <r>
    <x v="10"/>
    <x v="0"/>
    <m/>
    <x v="15"/>
    <m/>
    <m/>
    <m/>
    <m/>
    <m/>
    <m/>
    <m/>
    <n v="1"/>
  </r>
  <r>
    <x v="10"/>
    <x v="0"/>
    <m/>
    <x v="16"/>
    <m/>
    <m/>
    <m/>
    <n v="10"/>
    <n v="36"/>
    <m/>
    <m/>
    <n v="6"/>
  </r>
  <r>
    <x v="10"/>
    <x v="0"/>
    <m/>
    <x v="17"/>
    <m/>
    <m/>
    <m/>
    <n v="30"/>
    <n v="111"/>
    <m/>
    <m/>
    <n v="20"/>
  </r>
  <r>
    <x v="10"/>
    <x v="0"/>
    <m/>
    <x v="18"/>
    <m/>
    <m/>
    <m/>
    <n v="10"/>
    <n v="34"/>
    <m/>
    <m/>
    <n v="5"/>
  </r>
  <r>
    <x v="10"/>
    <x v="0"/>
    <m/>
    <x v="24"/>
    <m/>
    <m/>
    <m/>
    <n v="13"/>
    <n v="51"/>
    <m/>
    <m/>
    <n v="11"/>
  </r>
  <r>
    <x v="10"/>
    <x v="0"/>
    <m/>
    <x v="25"/>
    <m/>
    <m/>
    <m/>
    <n v="11"/>
    <n v="36.979999999999997"/>
    <m/>
    <m/>
    <n v="13"/>
  </r>
  <r>
    <x v="10"/>
    <x v="1"/>
    <m/>
    <x v="48"/>
    <m/>
    <n v="1"/>
    <m/>
    <m/>
    <m/>
    <n v="4"/>
    <n v="11"/>
    <n v="6"/>
  </r>
  <r>
    <x v="10"/>
    <x v="1"/>
    <m/>
    <x v="33"/>
    <m/>
    <n v="1"/>
    <m/>
    <n v="6"/>
    <n v="2"/>
    <n v="4"/>
    <n v="9"/>
    <n v="6"/>
  </r>
  <r>
    <x v="10"/>
    <x v="1"/>
    <m/>
    <x v="1"/>
    <m/>
    <n v="1"/>
    <m/>
    <n v="5"/>
    <n v="1.83"/>
    <n v="2"/>
    <n v="5"/>
    <n v="7"/>
  </r>
  <r>
    <x v="10"/>
    <x v="1"/>
    <m/>
    <x v="42"/>
    <m/>
    <n v="2"/>
    <m/>
    <m/>
    <m/>
    <n v="4"/>
    <n v="8"/>
    <n v="8.77"/>
  </r>
  <r>
    <x v="10"/>
    <x v="1"/>
    <m/>
    <x v="34"/>
    <m/>
    <n v="1"/>
    <m/>
    <n v="5"/>
    <m/>
    <n v="3"/>
    <n v="9"/>
    <n v="7"/>
  </r>
  <r>
    <x v="10"/>
    <x v="1"/>
    <m/>
    <x v="35"/>
    <m/>
    <n v="1"/>
    <m/>
    <n v="3"/>
    <n v="4"/>
    <n v="3"/>
    <n v="6"/>
    <n v="9"/>
  </r>
  <r>
    <x v="10"/>
    <x v="1"/>
    <m/>
    <x v="36"/>
    <m/>
    <n v="1"/>
    <m/>
    <n v="3"/>
    <n v="1"/>
    <n v="3"/>
    <n v="6"/>
    <n v="4"/>
  </r>
  <r>
    <x v="10"/>
    <x v="1"/>
    <m/>
    <x v="37"/>
    <m/>
    <n v="1"/>
    <m/>
    <n v="4"/>
    <n v="3"/>
    <n v="3"/>
    <n v="7"/>
    <n v="9"/>
  </r>
  <r>
    <x v="10"/>
    <x v="1"/>
    <m/>
    <x v="38"/>
    <m/>
    <n v="1"/>
    <m/>
    <n v="3"/>
    <n v="1"/>
    <n v="2"/>
    <n v="6"/>
    <n v="6"/>
  </r>
  <r>
    <x v="10"/>
    <x v="1"/>
    <m/>
    <x v="30"/>
    <m/>
    <n v="1"/>
    <m/>
    <n v="2"/>
    <n v="1"/>
    <n v="4"/>
    <n v="8"/>
    <n v="7"/>
  </r>
  <r>
    <x v="10"/>
    <x v="1"/>
    <m/>
    <x v="39"/>
    <m/>
    <n v="1"/>
    <m/>
    <n v="1"/>
    <n v="1"/>
    <n v="4"/>
    <n v="12"/>
    <n v="4"/>
  </r>
  <r>
    <x v="10"/>
    <x v="1"/>
    <m/>
    <x v="49"/>
    <m/>
    <n v="1"/>
    <m/>
    <n v="3"/>
    <n v="1"/>
    <n v="3"/>
    <n v="10"/>
    <n v="9"/>
  </r>
  <r>
    <x v="10"/>
    <x v="1"/>
    <m/>
    <x v="47"/>
    <m/>
    <n v="1"/>
    <m/>
    <n v="7"/>
    <n v="2"/>
    <n v="4"/>
    <n v="9"/>
    <n v="10"/>
  </r>
  <r>
    <x v="10"/>
    <x v="1"/>
    <m/>
    <x v="41"/>
    <m/>
    <m/>
    <m/>
    <m/>
    <m/>
    <n v="1"/>
    <m/>
    <m/>
  </r>
  <r>
    <x v="10"/>
    <x v="1"/>
    <m/>
    <x v="41"/>
    <m/>
    <n v="1"/>
    <m/>
    <m/>
    <m/>
    <n v="3"/>
    <n v="6"/>
    <m/>
  </r>
  <r>
    <x v="10"/>
    <x v="2"/>
    <m/>
    <x v="45"/>
    <m/>
    <n v="2"/>
    <m/>
    <n v="17"/>
    <m/>
    <n v="2"/>
    <n v="8"/>
    <n v="23"/>
  </r>
  <r>
    <x v="10"/>
    <x v="2"/>
    <m/>
    <x v="43"/>
    <m/>
    <n v="2"/>
    <m/>
    <n v="8"/>
    <n v="1"/>
    <n v="4"/>
    <n v="7"/>
    <n v="38"/>
  </r>
  <r>
    <x v="10"/>
    <x v="2"/>
    <s v="S40000004"/>
    <x v="44"/>
    <m/>
    <n v="1"/>
    <m/>
    <n v="3"/>
    <m/>
    <n v="2"/>
    <n v="5"/>
    <n v="18"/>
  </r>
  <r>
    <x v="10"/>
    <x v="3"/>
    <s v="S92000003"/>
    <x v="46"/>
    <m/>
    <n v="11"/>
    <n v="5"/>
    <n v="1"/>
    <m/>
    <n v="16"/>
    <n v="24"/>
    <n v="27"/>
  </r>
  <r>
    <x v="11"/>
    <x v="0"/>
    <m/>
    <x v="19"/>
    <m/>
    <m/>
    <m/>
    <n v="35"/>
    <n v="102"/>
    <m/>
    <m/>
    <n v="20"/>
  </r>
  <r>
    <x v="11"/>
    <x v="0"/>
    <m/>
    <x v="20"/>
    <m/>
    <m/>
    <m/>
    <n v="6"/>
    <n v="20"/>
    <m/>
    <m/>
    <n v="5"/>
  </r>
  <r>
    <x v="11"/>
    <x v="0"/>
    <m/>
    <x v="26"/>
    <m/>
    <m/>
    <m/>
    <n v="5"/>
    <n v="15"/>
    <m/>
    <m/>
    <n v="6"/>
  </r>
  <r>
    <x v="11"/>
    <x v="0"/>
    <m/>
    <x v="21"/>
    <m/>
    <m/>
    <m/>
    <n v="10"/>
    <n v="32"/>
    <m/>
    <m/>
    <n v="11"/>
  </r>
  <r>
    <x v="11"/>
    <x v="0"/>
    <m/>
    <x v="22"/>
    <m/>
    <m/>
    <m/>
    <n v="56"/>
    <n v="197.5"/>
    <m/>
    <m/>
    <n v="34"/>
  </r>
  <r>
    <x v="11"/>
    <x v="0"/>
    <m/>
    <x v="0"/>
    <m/>
    <m/>
    <m/>
    <n v="5"/>
    <n v="16"/>
    <m/>
    <m/>
    <n v="5"/>
  </r>
  <r>
    <x v="11"/>
    <x v="0"/>
    <m/>
    <x v="1"/>
    <m/>
    <m/>
    <m/>
    <n v="9"/>
    <n v="37"/>
    <m/>
    <m/>
    <n v="6"/>
  </r>
  <r>
    <x v="11"/>
    <x v="0"/>
    <m/>
    <x v="27"/>
    <m/>
    <m/>
    <m/>
    <n v="29"/>
    <n v="112"/>
    <m/>
    <m/>
    <n v="21"/>
  </r>
  <r>
    <x v="11"/>
    <x v="0"/>
    <m/>
    <x v="2"/>
    <m/>
    <m/>
    <m/>
    <n v="10"/>
    <n v="39"/>
    <m/>
    <m/>
    <n v="6"/>
  </r>
  <r>
    <x v="11"/>
    <x v="0"/>
    <m/>
    <x v="29"/>
    <m/>
    <m/>
    <m/>
    <n v="14"/>
    <n v="46"/>
    <m/>
    <m/>
    <n v="15"/>
  </r>
  <r>
    <x v="11"/>
    <x v="0"/>
    <m/>
    <x v="3"/>
    <m/>
    <m/>
    <m/>
    <n v="5"/>
    <n v="16"/>
    <m/>
    <m/>
    <n v="5"/>
  </r>
  <r>
    <x v="11"/>
    <x v="0"/>
    <m/>
    <x v="4"/>
    <m/>
    <m/>
    <m/>
    <n v="10"/>
    <n v="32"/>
    <m/>
    <m/>
    <n v="10"/>
  </r>
  <r>
    <x v="11"/>
    <x v="0"/>
    <m/>
    <x v="6"/>
    <m/>
    <m/>
    <m/>
    <n v="19"/>
    <n v="50"/>
    <m/>
    <m/>
    <n v="14"/>
  </r>
  <r>
    <x v="11"/>
    <x v="0"/>
    <m/>
    <x v="31"/>
    <m/>
    <m/>
    <m/>
    <n v="43"/>
    <n v="143"/>
    <m/>
    <m/>
    <n v="25"/>
  </r>
  <r>
    <x v="11"/>
    <x v="0"/>
    <m/>
    <x v="30"/>
    <m/>
    <m/>
    <m/>
    <n v="91"/>
    <n v="290"/>
    <m/>
    <m/>
    <n v="67"/>
  </r>
  <r>
    <x v="11"/>
    <x v="0"/>
    <m/>
    <x v="7"/>
    <m/>
    <m/>
    <m/>
    <n v="17"/>
    <n v="51"/>
    <m/>
    <m/>
    <n v="5"/>
  </r>
  <r>
    <x v="11"/>
    <x v="0"/>
    <m/>
    <x v="8"/>
    <m/>
    <m/>
    <m/>
    <n v="15"/>
    <n v="39"/>
    <m/>
    <m/>
    <n v="10"/>
  </r>
  <r>
    <x v="11"/>
    <x v="0"/>
    <m/>
    <x v="9"/>
    <m/>
    <m/>
    <m/>
    <n v="4"/>
    <n v="21"/>
    <m/>
    <m/>
    <n v="4"/>
  </r>
  <r>
    <x v="11"/>
    <x v="0"/>
    <m/>
    <x v="10"/>
    <m/>
    <m/>
    <m/>
    <n v="5"/>
    <n v="20"/>
    <m/>
    <m/>
    <n v="5"/>
  </r>
  <r>
    <x v="11"/>
    <x v="0"/>
    <m/>
    <x v="5"/>
    <m/>
    <m/>
    <m/>
    <m/>
    <m/>
    <m/>
    <m/>
    <n v="3"/>
  </r>
  <r>
    <x v="11"/>
    <x v="0"/>
    <m/>
    <x v="11"/>
    <m/>
    <m/>
    <m/>
    <n v="15"/>
    <n v="42"/>
    <m/>
    <m/>
    <n v="15"/>
  </r>
  <r>
    <x v="11"/>
    <x v="0"/>
    <m/>
    <x v="28"/>
    <m/>
    <m/>
    <m/>
    <n v="31"/>
    <n v="112"/>
    <m/>
    <m/>
    <n v="20"/>
  </r>
  <r>
    <x v="11"/>
    <x v="0"/>
    <m/>
    <x v="13"/>
    <m/>
    <m/>
    <m/>
    <n v="11"/>
    <n v="43"/>
    <m/>
    <m/>
    <n v="5"/>
  </r>
  <r>
    <x v="11"/>
    <x v="0"/>
    <m/>
    <x v="23"/>
    <m/>
    <m/>
    <m/>
    <n v="21"/>
    <n v="66"/>
    <m/>
    <m/>
    <n v="15"/>
  </r>
  <r>
    <x v="11"/>
    <x v="0"/>
    <m/>
    <x v="14"/>
    <m/>
    <m/>
    <m/>
    <n v="10"/>
    <n v="38"/>
    <m/>
    <m/>
    <n v="10"/>
  </r>
  <r>
    <x v="11"/>
    <x v="0"/>
    <m/>
    <x v="16"/>
    <m/>
    <m/>
    <m/>
    <n v="11"/>
    <n v="36"/>
    <m/>
    <m/>
    <n v="6"/>
  </r>
  <r>
    <x v="11"/>
    <x v="0"/>
    <m/>
    <x v="17"/>
    <m/>
    <m/>
    <m/>
    <n v="28"/>
    <n v="108"/>
    <m/>
    <m/>
    <n v="19"/>
  </r>
  <r>
    <x v="11"/>
    <x v="0"/>
    <m/>
    <x v="18"/>
    <m/>
    <m/>
    <m/>
    <n v="10"/>
    <n v="32"/>
    <m/>
    <m/>
    <n v="5"/>
  </r>
  <r>
    <x v="11"/>
    <x v="0"/>
    <m/>
    <x v="24"/>
    <m/>
    <m/>
    <m/>
    <n v="15"/>
    <n v="50"/>
    <m/>
    <m/>
    <n v="10"/>
  </r>
  <r>
    <x v="11"/>
    <x v="0"/>
    <m/>
    <x v="25"/>
    <m/>
    <m/>
    <m/>
    <n v="11"/>
    <n v="36.980000000000004"/>
    <m/>
    <m/>
    <n v="14"/>
  </r>
  <r>
    <x v="11"/>
    <x v="1"/>
    <m/>
    <x v="48"/>
    <m/>
    <n v="1"/>
    <m/>
    <m/>
    <m/>
    <n v="4"/>
    <n v="10"/>
    <n v="5"/>
  </r>
  <r>
    <x v="11"/>
    <x v="1"/>
    <m/>
    <x v="33"/>
    <m/>
    <n v="1"/>
    <m/>
    <m/>
    <n v="2"/>
    <n v="4"/>
    <n v="9"/>
    <n v="4"/>
  </r>
  <r>
    <x v="11"/>
    <x v="1"/>
    <m/>
    <x v="1"/>
    <m/>
    <m/>
    <m/>
    <m/>
    <m/>
    <m/>
    <n v="1"/>
    <m/>
  </r>
  <r>
    <x v="11"/>
    <x v="1"/>
    <m/>
    <x v="1"/>
    <m/>
    <n v="1"/>
    <m/>
    <m/>
    <n v="1.83"/>
    <n v="2"/>
    <n v="5"/>
    <n v="5"/>
  </r>
  <r>
    <x v="11"/>
    <x v="1"/>
    <m/>
    <x v="42"/>
    <m/>
    <n v="1"/>
    <m/>
    <m/>
    <n v="4"/>
    <n v="4"/>
    <n v="8"/>
    <n v="7.77"/>
  </r>
  <r>
    <x v="11"/>
    <x v="1"/>
    <m/>
    <x v="34"/>
    <m/>
    <n v="1"/>
    <m/>
    <m/>
    <m/>
    <n v="3"/>
    <n v="9"/>
    <n v="5"/>
  </r>
  <r>
    <x v="11"/>
    <x v="1"/>
    <m/>
    <x v="35"/>
    <m/>
    <n v="1"/>
    <m/>
    <m/>
    <n v="4"/>
    <n v="3"/>
    <n v="6"/>
    <n v="6"/>
  </r>
  <r>
    <x v="11"/>
    <x v="1"/>
    <m/>
    <x v="36"/>
    <m/>
    <n v="1"/>
    <m/>
    <n v="2"/>
    <n v="1"/>
    <n v="3"/>
    <n v="5"/>
    <n v="3"/>
  </r>
  <r>
    <x v="11"/>
    <x v="1"/>
    <m/>
    <x v="37"/>
    <m/>
    <n v="1"/>
    <m/>
    <n v="2"/>
    <n v="3"/>
    <n v="3"/>
    <n v="6"/>
    <n v="10"/>
  </r>
  <r>
    <x v="11"/>
    <x v="1"/>
    <m/>
    <x v="38"/>
    <m/>
    <n v="1"/>
    <m/>
    <n v="1"/>
    <m/>
    <n v="2"/>
    <n v="6"/>
    <n v="5"/>
  </r>
  <r>
    <x v="11"/>
    <x v="1"/>
    <m/>
    <x v="30"/>
    <m/>
    <n v="1"/>
    <m/>
    <m/>
    <n v="1"/>
    <n v="4"/>
    <n v="8"/>
    <n v="6"/>
  </r>
  <r>
    <x v="11"/>
    <x v="1"/>
    <m/>
    <x v="39"/>
    <m/>
    <n v="1"/>
    <m/>
    <n v="1"/>
    <m/>
    <n v="4"/>
    <n v="14"/>
    <n v="5"/>
  </r>
  <r>
    <x v="11"/>
    <x v="1"/>
    <m/>
    <x v="49"/>
    <m/>
    <n v="1"/>
    <m/>
    <n v="1"/>
    <n v="2"/>
    <n v="3"/>
    <n v="9"/>
    <n v="7"/>
  </r>
  <r>
    <x v="11"/>
    <x v="1"/>
    <m/>
    <x v="47"/>
    <m/>
    <n v="1"/>
    <m/>
    <n v="1"/>
    <n v="2"/>
    <n v="4"/>
    <n v="10"/>
    <n v="8"/>
  </r>
  <r>
    <x v="11"/>
    <x v="1"/>
    <m/>
    <x v="41"/>
    <m/>
    <n v="1"/>
    <m/>
    <m/>
    <m/>
    <n v="4"/>
    <n v="6"/>
    <m/>
  </r>
  <r>
    <x v="11"/>
    <x v="2"/>
    <m/>
    <x v="45"/>
    <m/>
    <n v="2"/>
    <m/>
    <n v="18"/>
    <n v="6"/>
    <n v="3"/>
    <n v="9"/>
    <n v="26"/>
  </r>
  <r>
    <x v="11"/>
    <x v="2"/>
    <m/>
    <x v="43"/>
    <m/>
    <n v="1"/>
    <m/>
    <n v="26"/>
    <n v="47"/>
    <n v="4"/>
    <n v="7"/>
    <n v="47"/>
  </r>
  <r>
    <x v="11"/>
    <x v="2"/>
    <s v="S40000004"/>
    <x v="44"/>
    <m/>
    <n v="1"/>
    <m/>
    <n v="18"/>
    <n v="16"/>
    <n v="2"/>
    <n v="8"/>
    <n v="28"/>
  </r>
  <r>
    <x v="11"/>
    <x v="3"/>
    <s v="S92000003"/>
    <x v="46"/>
    <n v="90"/>
    <n v="12"/>
    <n v="5"/>
    <n v="1"/>
    <n v="1"/>
    <n v="16"/>
    <n v="24"/>
    <n v="31"/>
  </r>
  <r>
    <x v="12"/>
    <x v="0"/>
    <m/>
    <x v="19"/>
    <m/>
    <m/>
    <m/>
    <n v="25"/>
    <n v="69"/>
    <m/>
    <m/>
    <n v="15"/>
  </r>
  <r>
    <x v="12"/>
    <x v="0"/>
    <m/>
    <x v="20"/>
    <m/>
    <m/>
    <m/>
    <n v="11"/>
    <n v="16"/>
    <m/>
    <m/>
    <n v="15"/>
  </r>
  <r>
    <x v="12"/>
    <x v="0"/>
    <m/>
    <x v="26"/>
    <m/>
    <m/>
    <m/>
    <n v="5"/>
    <n v="15"/>
    <m/>
    <n v="1"/>
    <n v="5"/>
  </r>
  <r>
    <x v="12"/>
    <x v="0"/>
    <m/>
    <x v="21"/>
    <m/>
    <m/>
    <m/>
    <n v="10"/>
    <n v="31"/>
    <m/>
    <m/>
    <n v="11"/>
  </r>
  <r>
    <x v="12"/>
    <x v="0"/>
    <m/>
    <x v="22"/>
    <m/>
    <m/>
    <m/>
    <n v="60"/>
    <n v="191"/>
    <m/>
    <m/>
    <n v="51"/>
  </r>
  <r>
    <x v="12"/>
    <x v="0"/>
    <m/>
    <x v="0"/>
    <m/>
    <m/>
    <m/>
    <n v="5"/>
    <n v="17"/>
    <m/>
    <m/>
    <n v="5"/>
  </r>
  <r>
    <x v="12"/>
    <x v="0"/>
    <m/>
    <x v="1"/>
    <m/>
    <m/>
    <m/>
    <n v="15"/>
    <n v="35.83"/>
    <m/>
    <m/>
    <n v="13"/>
  </r>
  <r>
    <x v="12"/>
    <x v="0"/>
    <m/>
    <x v="27"/>
    <m/>
    <m/>
    <m/>
    <n v="31"/>
    <n v="106"/>
    <n v="1"/>
    <m/>
    <n v="20"/>
  </r>
  <r>
    <x v="12"/>
    <x v="0"/>
    <m/>
    <x v="2"/>
    <m/>
    <m/>
    <m/>
    <n v="11"/>
    <n v="37"/>
    <m/>
    <m/>
    <n v="5"/>
  </r>
  <r>
    <x v="12"/>
    <x v="0"/>
    <m/>
    <x v="29"/>
    <m/>
    <m/>
    <m/>
    <n v="17"/>
    <n v="49"/>
    <m/>
    <m/>
    <n v="15"/>
  </r>
  <r>
    <x v="12"/>
    <x v="0"/>
    <m/>
    <x v="3"/>
    <m/>
    <m/>
    <m/>
    <n v="5"/>
    <n v="15"/>
    <m/>
    <m/>
    <n v="5"/>
  </r>
  <r>
    <x v="12"/>
    <x v="0"/>
    <m/>
    <x v="4"/>
    <m/>
    <m/>
    <m/>
    <n v="10"/>
    <n v="30"/>
    <m/>
    <m/>
    <n v="10"/>
  </r>
  <r>
    <x v="12"/>
    <x v="0"/>
    <m/>
    <x v="6"/>
    <m/>
    <m/>
    <m/>
    <n v="20"/>
    <n v="49"/>
    <m/>
    <m/>
    <n v="15"/>
  </r>
  <r>
    <x v="12"/>
    <x v="0"/>
    <m/>
    <x v="31"/>
    <m/>
    <m/>
    <m/>
    <n v="42"/>
    <n v="137"/>
    <m/>
    <m/>
    <n v="25"/>
  </r>
  <r>
    <x v="12"/>
    <x v="0"/>
    <m/>
    <x v="30"/>
    <m/>
    <m/>
    <m/>
    <n v="94"/>
    <n v="291"/>
    <m/>
    <m/>
    <n v="67"/>
  </r>
  <r>
    <x v="12"/>
    <x v="0"/>
    <m/>
    <x v="7"/>
    <m/>
    <m/>
    <m/>
    <n v="5"/>
    <m/>
    <m/>
    <m/>
    <n v="6"/>
  </r>
  <r>
    <x v="12"/>
    <x v="0"/>
    <m/>
    <x v="7"/>
    <m/>
    <m/>
    <m/>
    <n v="16"/>
    <n v="50"/>
    <m/>
    <m/>
    <n v="6"/>
  </r>
  <r>
    <x v="12"/>
    <x v="0"/>
    <m/>
    <x v="8"/>
    <m/>
    <m/>
    <m/>
    <n v="15"/>
    <n v="41"/>
    <m/>
    <m/>
    <n v="10"/>
  </r>
  <r>
    <x v="12"/>
    <x v="0"/>
    <m/>
    <x v="9"/>
    <m/>
    <m/>
    <m/>
    <n v="6"/>
    <n v="18"/>
    <m/>
    <m/>
    <n v="7"/>
  </r>
  <r>
    <x v="12"/>
    <x v="0"/>
    <m/>
    <x v="10"/>
    <m/>
    <m/>
    <m/>
    <n v="5"/>
    <n v="19"/>
    <m/>
    <m/>
    <n v="5"/>
  </r>
  <r>
    <x v="12"/>
    <x v="0"/>
    <m/>
    <x v="5"/>
    <m/>
    <m/>
    <m/>
    <m/>
    <m/>
    <m/>
    <m/>
    <n v="3"/>
  </r>
  <r>
    <x v="12"/>
    <x v="0"/>
    <m/>
    <x v="11"/>
    <m/>
    <m/>
    <m/>
    <n v="15"/>
    <n v="45"/>
    <m/>
    <m/>
    <n v="16"/>
  </r>
  <r>
    <x v="12"/>
    <x v="0"/>
    <m/>
    <x v="28"/>
    <m/>
    <m/>
    <m/>
    <n v="35"/>
    <n v="114"/>
    <m/>
    <m/>
    <n v="21"/>
  </r>
  <r>
    <x v="12"/>
    <x v="0"/>
    <m/>
    <x v="12"/>
    <m/>
    <m/>
    <m/>
    <m/>
    <m/>
    <m/>
    <m/>
    <n v="1"/>
  </r>
  <r>
    <x v="12"/>
    <x v="0"/>
    <m/>
    <x v="13"/>
    <m/>
    <m/>
    <m/>
    <n v="15"/>
    <n v="41"/>
    <m/>
    <n v="1"/>
    <n v="13"/>
  </r>
  <r>
    <x v="12"/>
    <x v="0"/>
    <m/>
    <x v="23"/>
    <m/>
    <m/>
    <m/>
    <n v="20"/>
    <n v="66"/>
    <m/>
    <m/>
    <n v="15"/>
  </r>
  <r>
    <x v="12"/>
    <x v="0"/>
    <m/>
    <x v="14"/>
    <m/>
    <m/>
    <m/>
    <n v="10"/>
    <n v="36"/>
    <m/>
    <m/>
    <n v="12"/>
  </r>
  <r>
    <x v="12"/>
    <x v="0"/>
    <m/>
    <x v="16"/>
    <m/>
    <m/>
    <m/>
    <n v="10"/>
    <n v="35"/>
    <m/>
    <m/>
    <n v="6"/>
  </r>
  <r>
    <x v="12"/>
    <x v="0"/>
    <m/>
    <x v="17"/>
    <m/>
    <m/>
    <m/>
    <n v="29"/>
    <n v="100"/>
    <n v="1"/>
    <m/>
    <n v="20"/>
  </r>
  <r>
    <x v="12"/>
    <x v="0"/>
    <m/>
    <x v="18"/>
    <m/>
    <m/>
    <m/>
    <n v="11"/>
    <n v="33"/>
    <m/>
    <m/>
    <n v="5"/>
  </r>
  <r>
    <x v="12"/>
    <x v="0"/>
    <m/>
    <x v="24"/>
    <m/>
    <m/>
    <m/>
    <n v="15"/>
    <n v="51"/>
    <m/>
    <m/>
    <n v="11"/>
  </r>
  <r>
    <x v="12"/>
    <x v="0"/>
    <m/>
    <x v="25"/>
    <m/>
    <m/>
    <m/>
    <n v="11"/>
    <n v="37.979999999999997"/>
    <m/>
    <m/>
    <n v="14"/>
  </r>
  <r>
    <x v="12"/>
    <x v="1"/>
    <m/>
    <x v="48"/>
    <m/>
    <n v="1"/>
    <m/>
    <n v="12"/>
    <n v="32"/>
    <n v="5"/>
    <n v="10"/>
    <n v="13"/>
  </r>
  <r>
    <x v="12"/>
    <x v="1"/>
    <m/>
    <x v="33"/>
    <m/>
    <n v="1"/>
    <m/>
    <n v="4"/>
    <m/>
    <n v="4"/>
    <n v="9"/>
    <n v="6"/>
  </r>
  <r>
    <x v="12"/>
    <x v="1"/>
    <m/>
    <x v="1"/>
    <m/>
    <n v="1"/>
    <m/>
    <m/>
    <m/>
    <n v="3"/>
    <n v="6"/>
    <n v="1"/>
  </r>
  <r>
    <x v="12"/>
    <x v="1"/>
    <m/>
    <x v="42"/>
    <m/>
    <n v="1"/>
    <m/>
    <n v="1"/>
    <n v="1"/>
    <n v="4"/>
    <n v="6"/>
    <n v="8.77"/>
  </r>
  <r>
    <x v="12"/>
    <x v="1"/>
    <m/>
    <x v="34"/>
    <m/>
    <n v="1"/>
    <m/>
    <n v="3"/>
    <m/>
    <n v="3"/>
    <n v="9"/>
    <n v="9"/>
  </r>
  <r>
    <x v="12"/>
    <x v="1"/>
    <m/>
    <x v="35"/>
    <m/>
    <n v="1"/>
    <m/>
    <n v="4"/>
    <n v="4"/>
    <n v="3"/>
    <n v="6"/>
    <n v="8"/>
  </r>
  <r>
    <x v="12"/>
    <x v="1"/>
    <m/>
    <x v="36"/>
    <m/>
    <n v="1"/>
    <m/>
    <n v="3"/>
    <n v="1"/>
    <n v="3"/>
    <n v="5"/>
    <n v="5"/>
  </r>
  <r>
    <x v="12"/>
    <x v="1"/>
    <m/>
    <x v="37"/>
    <m/>
    <n v="2"/>
    <m/>
    <n v="3"/>
    <n v="3"/>
    <n v="5"/>
    <n v="9"/>
    <n v="9"/>
  </r>
  <r>
    <x v="12"/>
    <x v="1"/>
    <m/>
    <x v="38"/>
    <m/>
    <n v="1"/>
    <m/>
    <n v="3"/>
    <n v="1"/>
    <n v="2"/>
    <n v="6"/>
    <n v="6"/>
  </r>
  <r>
    <x v="12"/>
    <x v="1"/>
    <m/>
    <x v="30"/>
    <m/>
    <n v="2"/>
    <m/>
    <n v="5"/>
    <n v="2"/>
    <n v="4"/>
    <n v="8"/>
    <n v="9"/>
  </r>
  <r>
    <x v="12"/>
    <x v="1"/>
    <m/>
    <x v="39"/>
    <m/>
    <n v="1"/>
    <m/>
    <n v="0.81"/>
    <m/>
    <n v="4"/>
    <n v="13"/>
    <n v="5"/>
  </r>
  <r>
    <x v="12"/>
    <x v="1"/>
    <m/>
    <x v="49"/>
    <m/>
    <n v="1"/>
    <m/>
    <n v="1"/>
    <n v="1"/>
    <n v="1"/>
    <n v="9"/>
    <n v="7"/>
  </r>
  <r>
    <x v="12"/>
    <x v="1"/>
    <m/>
    <x v="47"/>
    <m/>
    <n v="1"/>
    <m/>
    <n v="6"/>
    <n v="2"/>
    <n v="3"/>
    <n v="10"/>
    <n v="10"/>
  </r>
  <r>
    <x v="12"/>
    <x v="1"/>
    <m/>
    <x v="41"/>
    <m/>
    <n v="1"/>
    <m/>
    <m/>
    <m/>
    <n v="3"/>
    <n v="6"/>
    <m/>
  </r>
  <r>
    <x v="12"/>
    <x v="2"/>
    <m/>
    <x v="45"/>
    <m/>
    <n v="1"/>
    <m/>
    <n v="2"/>
    <n v="12"/>
    <n v="2"/>
    <n v="6"/>
    <n v="4"/>
  </r>
  <r>
    <x v="12"/>
    <x v="2"/>
    <m/>
    <x v="43"/>
    <m/>
    <n v="1"/>
    <m/>
    <n v="12"/>
    <n v="36"/>
    <n v="4"/>
    <n v="6"/>
    <n v="35"/>
  </r>
  <r>
    <x v="12"/>
    <x v="2"/>
    <s v="S40000004"/>
    <x v="44"/>
    <m/>
    <m/>
    <m/>
    <n v="1"/>
    <n v="24"/>
    <n v="2"/>
    <n v="8"/>
    <n v="5"/>
  </r>
  <r>
    <x v="12"/>
    <x v="3"/>
    <s v="S92000003"/>
    <x v="46"/>
    <n v="93"/>
    <n v="9"/>
    <n v="5"/>
    <n v="1"/>
    <n v="1"/>
    <n v="15"/>
    <n v="26"/>
    <n v="36"/>
  </r>
</pivotCacheRecords>
</file>

<file path=xl/pivotCache/pivotCacheRecords28.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3">
  <r>
    <x v="0"/>
    <x v="0"/>
    <s v="Scotland"/>
    <s v="S92000003"/>
    <n v="212.96"/>
    <n v="0"/>
    <n v="5"/>
    <n v="11"/>
    <n v="51.56"/>
    <n v="51.01"/>
    <n v="94.39"/>
  </r>
  <r>
    <x v="1"/>
    <x v="0"/>
    <s v="Scotland"/>
    <s v="S92000003"/>
    <n v="220.79"/>
    <n v="0"/>
    <n v="5"/>
    <n v="12.85"/>
    <n v="49.46"/>
    <n v="50.79"/>
    <n v="102.69"/>
  </r>
  <r>
    <x v="2"/>
    <x v="0"/>
    <s v="Scotland"/>
    <s v="S92000003"/>
    <n v="195.16952380952381"/>
    <n v="0"/>
    <n v="6"/>
    <n v="6.8333333333333339"/>
    <n v="50.314285714285717"/>
    <n v="43"/>
    <n v="89.021904761904764"/>
  </r>
  <r>
    <x v="3"/>
    <x v="0"/>
    <s v="Scotland"/>
    <s v="S92000003"/>
    <n v="160"/>
    <n v="0"/>
    <n v="5"/>
    <n v="8"/>
    <n v="40"/>
    <n v="30"/>
    <n v="76"/>
  </r>
  <r>
    <x v="4"/>
    <x v="0"/>
    <s v="Scotland"/>
    <s v="S92000003"/>
    <n v="184"/>
    <n v="0"/>
    <n v="5"/>
    <n v="8"/>
    <n v="43"/>
    <n v="27"/>
    <n v="101"/>
  </r>
  <r>
    <x v="5"/>
    <x v="0"/>
    <s v="Scotland"/>
    <s v="S92000003"/>
    <n v="202.32999999999998"/>
    <n v="1"/>
    <n v="4"/>
    <n v="9"/>
    <n v="42"/>
    <n v="27"/>
    <n v="119.33"/>
  </r>
  <r>
    <x v="6"/>
    <x v="0"/>
    <s v="Scotland"/>
    <s v="S92000003"/>
    <n v="183.82999999999998"/>
    <n v="1"/>
    <n v="4"/>
    <n v="8"/>
    <n v="45"/>
    <n v="26"/>
    <n v="99.83"/>
  </r>
  <r>
    <x v="7"/>
    <x v="0"/>
    <s v="Scotland"/>
    <s v="S92000003"/>
    <n v="176.06"/>
    <n v="1"/>
    <n v="4"/>
    <n v="10"/>
    <n v="41"/>
    <n v="30"/>
    <n v="90.06"/>
  </r>
  <r>
    <x v="8"/>
    <x v="0"/>
    <s v="Scotland"/>
    <s v="S92000003"/>
    <n v="170.46"/>
    <n v="1"/>
    <n v="4"/>
    <n v="10"/>
    <n v="42"/>
    <n v="27"/>
    <n v="86.460000000000008"/>
  </r>
  <r>
    <x v="9"/>
    <x v="0"/>
    <s v="Scotland"/>
    <s v="S92000003"/>
    <n v="168.06"/>
    <n v="1"/>
    <n v="4"/>
    <n v="10"/>
    <n v="36.86"/>
    <n v="28.29"/>
    <n v="87.91"/>
  </r>
  <r>
    <x v="10"/>
    <x v="0"/>
    <s v="Scotland"/>
    <s v="S92000003"/>
    <n v="166.20999999999998"/>
    <n v="1"/>
    <n v="4"/>
    <n v="9"/>
    <n v="39.57"/>
    <n v="25.79"/>
    <n v="86.85"/>
  </r>
  <r>
    <x v="11"/>
    <x v="0"/>
    <s v="Scotland"/>
    <s v="S92000003"/>
    <n v="167.69"/>
    <n v="1"/>
    <n v="2"/>
    <n v="8"/>
    <n v="37"/>
    <n v="28"/>
    <n v="91.69"/>
  </r>
  <r>
    <x v="12"/>
    <x v="0"/>
    <s v="Scotland"/>
    <s v="S92000003"/>
    <m/>
    <m/>
    <n v="3"/>
    <n v="6"/>
    <n v="24"/>
    <n v="40.5"/>
    <n v="96.199999999999989"/>
  </r>
</pivotCacheRecords>
</file>

<file path=xl/pivotCache/pivotCacheRecords29.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3">
  <r>
    <x v="0"/>
    <s v="S92000003"/>
    <x v="0"/>
    <s v="Scotland"/>
    <m/>
    <n v="69.7"/>
    <n v="19.8"/>
    <n v="42.3"/>
    <n v="256.40000000000003"/>
    <n v="199.5"/>
    <n v="223.6"/>
    <n v="811.3"/>
  </r>
  <r>
    <x v="1"/>
    <s v="S92000003"/>
    <x v="0"/>
    <s v="Scotland"/>
    <n v="2"/>
    <n v="43.99"/>
    <n v="35.9"/>
    <n v="55.47"/>
    <n v="327.22999999999996"/>
    <n v="126.98"/>
    <n v="152.39000000000001"/>
    <n v="743.95999999999992"/>
  </r>
  <r>
    <x v="2"/>
    <s v="S92000003"/>
    <x v="0"/>
    <s v="Scotland"/>
    <n v="3"/>
    <n v="40"/>
    <n v="33.309428571428569"/>
    <n v="70.714285714285722"/>
    <n v="303.60857142857139"/>
    <n v="122.20028571428574"/>
    <n v="146"/>
    <n v="718.56228571428574"/>
  </r>
  <r>
    <x v="3"/>
    <s v="S92000003"/>
    <x v="0"/>
    <s v="Scotland"/>
    <n v="3"/>
    <n v="42"/>
    <n v="33"/>
    <n v="74"/>
    <n v="334"/>
    <n v="115"/>
    <n v="140"/>
    <n v="745"/>
  </r>
  <r>
    <x v="4"/>
    <s v="S92000003"/>
    <x v="0"/>
    <s v="Scotland"/>
    <n v="2"/>
    <n v="50"/>
    <n v="31"/>
    <n v="76"/>
    <n v="355"/>
    <n v="110"/>
    <n v="135"/>
    <n v="759"/>
  </r>
  <r>
    <x v="5"/>
    <s v="S92000003"/>
    <x v="0"/>
    <s v="Scotland"/>
    <n v="3"/>
    <n v="49"/>
    <n v="34"/>
    <n v="80.399999999999991"/>
    <n v="375.56000000000012"/>
    <n v="58.610000000000042"/>
    <n v="144.99"/>
    <n v="745.56000000000006"/>
  </r>
  <r>
    <x v="6"/>
    <s v="S92000003"/>
    <x v="0"/>
    <s v="Scotland"/>
    <n v="3"/>
    <n v="47"/>
    <n v="32"/>
    <n v="88.61"/>
    <n v="382.50000000000017"/>
    <n v="56.950000000000038"/>
    <n v="154.34"/>
    <n v="764.4000000000002"/>
  </r>
  <r>
    <x v="7"/>
    <s v="S92000003"/>
    <x v="0"/>
    <s v="Scotland"/>
    <n v="3"/>
    <n v="49.8"/>
    <n v="30"/>
    <n v="88.429999999999993"/>
    <n v="398.88000000000017"/>
    <n v="55.73000000000004"/>
    <n v="160.44999999999996"/>
    <n v="786.29000000000008"/>
  </r>
  <r>
    <x v="8"/>
    <s v="S92000003"/>
    <x v="0"/>
    <s v="Scotland"/>
    <n v="4"/>
    <n v="57"/>
    <n v="32"/>
    <n v="100.35"/>
    <n v="449.55000000000018"/>
    <n v="55.650000000000041"/>
    <n v="163.91000000000003"/>
    <n v="862.46000000000026"/>
  </r>
  <r>
    <x v="9"/>
    <s v="S92000003"/>
    <x v="0"/>
    <s v="Scotland"/>
    <n v="4"/>
    <n v="80.139999999999986"/>
    <n v="36"/>
    <n v="94.669999999999973"/>
    <n v="441.38000000000017"/>
    <n v="53.880000000000038"/>
    <n v="140.27999999999997"/>
    <n v="850.35"/>
  </r>
  <r>
    <x v="10"/>
    <s v="S92000003"/>
    <x v="0"/>
    <s v="Scotland"/>
    <n v="3"/>
    <n v="85.679999999999993"/>
    <n v="35"/>
    <n v="88.1"/>
    <n v="438.38000000000022"/>
    <n v="55.880000000000038"/>
    <n v="123.36"/>
    <n v="829.4000000000002"/>
  </r>
  <r>
    <x v="11"/>
    <s v="S92000003"/>
    <x v="0"/>
    <s v="Scotland"/>
    <n v="4"/>
    <n v="94.089999999999989"/>
    <n v="35"/>
    <n v="89.24"/>
    <n v="447.61000000000024"/>
    <n v="54.53000000000003"/>
    <n v="129.12"/>
    <n v="853.59000000000026"/>
  </r>
  <r>
    <x v="12"/>
    <s v="S92000003"/>
    <x v="0"/>
    <s v="Scotland"/>
    <n v="3"/>
    <n v="99.97"/>
    <n v="44.69"/>
    <n v="82.319999999999979"/>
    <n v="446.82000000000022"/>
    <n v="58.220000000000027"/>
    <n v="116.98999999999998"/>
    <n v="852.01000000000022"/>
  </r>
</pivotCacheRecords>
</file>

<file path=xl/pivotCache/pivotCacheRecords30.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6">
  <r>
    <x v="0"/>
    <n v="146"/>
    <n v="4055"/>
    <n v="160"/>
    <n v="2879"/>
    <m/>
    <m/>
    <n v="199"/>
    <n v="34"/>
    <n v="650"/>
    <n v="464"/>
    <n v="63"/>
    <n v="374"/>
  </r>
  <r>
    <x v="1"/>
    <n v="175"/>
    <n v="3371"/>
    <n v="171"/>
    <n v="2692"/>
    <m/>
    <m/>
    <n v="158"/>
    <n v="31"/>
    <n v="476"/>
    <n v="370"/>
    <n v="55"/>
    <n v="277"/>
  </r>
  <r>
    <x v="2"/>
    <n v="159"/>
    <n v="3842"/>
    <n v="178"/>
    <n v="2762"/>
    <m/>
    <m/>
    <n v="199"/>
    <n v="24"/>
    <n v="545"/>
    <n v="416"/>
    <n v="52"/>
    <n v="307"/>
  </r>
  <r>
    <x v="3"/>
    <n v="164"/>
    <n v="3692"/>
    <n v="172"/>
    <n v="2778"/>
    <m/>
    <m/>
    <n v="192"/>
    <n v="38"/>
    <n v="480"/>
    <n v="387"/>
    <n v="56"/>
    <n v="322"/>
  </r>
  <r>
    <x v="4"/>
    <n v="167"/>
    <n v="3523"/>
    <n v="163"/>
    <n v="2707"/>
    <m/>
    <m/>
    <n v="171"/>
    <n v="32"/>
    <n v="463"/>
    <n v="365"/>
    <n v="56"/>
    <n v="286"/>
  </r>
  <r>
    <x v="5"/>
    <n v="178"/>
    <n v="3467"/>
    <n v="158"/>
    <n v="2712"/>
    <m/>
    <m/>
    <n v="139"/>
    <n v="26"/>
    <n v="466"/>
    <n v="372"/>
    <n v="48"/>
    <n v="268"/>
  </r>
  <r>
    <x v="6"/>
    <n v="220"/>
    <n v="3202"/>
    <n v="191"/>
    <n v="2517"/>
    <n v="8"/>
    <n v="47"/>
    <n v="142"/>
    <n v="29"/>
    <n v="482"/>
    <n v="405"/>
    <n v="42"/>
    <n v="227"/>
  </r>
  <r>
    <x v="7"/>
    <n v="229"/>
    <n v="3202"/>
    <n v="208"/>
    <n v="2539"/>
    <n v="8"/>
    <n v="52"/>
    <n v="136"/>
    <n v="41"/>
    <n v="490"/>
    <n v="432"/>
    <n v="38"/>
    <n v="214"/>
  </r>
  <r>
    <x v="8"/>
    <n v="196"/>
    <n v="3441"/>
    <n v="201"/>
    <n v="2734"/>
    <n v="1"/>
    <n v="17"/>
    <n v="172"/>
    <n v="35"/>
    <n v="427"/>
    <n v="365"/>
    <n v="54"/>
    <n v="263"/>
  </r>
  <r>
    <x v="9"/>
    <n v="222"/>
    <n v="3414"/>
    <n v="208"/>
    <n v="2729"/>
    <n v="7"/>
    <n v="29"/>
    <n v="156"/>
    <n v="32"/>
    <n v="447"/>
    <n v="370"/>
    <n v="54"/>
    <n v="261"/>
  </r>
  <r>
    <x v="10"/>
    <n v="148"/>
    <n v="4011"/>
    <n v="182"/>
    <n v="2870"/>
    <m/>
    <m/>
    <n v="202"/>
    <n v="32"/>
    <n v="649"/>
    <n v="487"/>
    <n v="59"/>
    <n v="400"/>
  </r>
  <r>
    <x v="11"/>
    <n v="219"/>
    <n v="3362"/>
    <n v="197"/>
    <n v="2675"/>
    <n v="11"/>
    <n v="43"/>
    <n v="151"/>
    <n v="31"/>
    <n v="461"/>
    <n v="374"/>
    <n v="52"/>
    <n v="251"/>
  </r>
  <r>
    <x v="12"/>
    <n v="220"/>
    <n v="3210"/>
    <n v="203"/>
    <n v="2502"/>
    <n v="7"/>
    <n v="53"/>
    <n v="139"/>
    <n v="32"/>
    <n v="492"/>
    <n v="425"/>
    <n v="42"/>
    <n v="231"/>
  </r>
  <r>
    <x v="13"/>
    <n v="158"/>
    <n v="3993"/>
    <n v="173"/>
    <n v="2903"/>
    <m/>
    <m/>
    <n v="203"/>
    <n v="31"/>
    <n v="604"/>
    <n v="482"/>
    <n v="52"/>
    <n v="365"/>
  </r>
  <r>
    <x v="14"/>
    <n v="225"/>
    <n v="3305"/>
    <n v="191"/>
    <n v="2567"/>
    <n v="10"/>
    <n v="43"/>
    <n v="146"/>
    <n v="28"/>
    <n v="501"/>
    <n v="419"/>
    <n v="46"/>
    <n v="231"/>
  </r>
  <r>
    <x v="15"/>
    <n v="227"/>
    <n v="3263"/>
    <n v="185"/>
    <n v="2550"/>
    <n v="9"/>
    <n v="46"/>
    <n v="144"/>
    <n v="28"/>
    <n v="484"/>
    <n v="417"/>
    <n v="40"/>
    <n v="226"/>
  </r>
</pivotCacheRecords>
</file>

<file path=xl/pivotCache/pivotCacheRecords3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73">
  <r>
    <x v="0"/>
    <x v="0"/>
    <n v="359"/>
    <n v="52"/>
    <n v="307"/>
  </r>
  <r>
    <x v="1"/>
    <x v="1"/>
    <n v="3856"/>
    <n v="164"/>
    <n v="3692"/>
  </r>
  <r>
    <x v="2"/>
    <x v="2"/>
    <n v="2870"/>
    <n v="158"/>
    <n v="2712"/>
  </r>
  <r>
    <x v="2"/>
    <x v="3"/>
    <n v="838"/>
    <n v="466"/>
    <n v="372"/>
  </r>
  <r>
    <x v="3"/>
    <x v="1"/>
    <n v="3637"/>
    <n v="196"/>
    <n v="3441"/>
  </r>
  <r>
    <x v="4"/>
    <x v="1"/>
    <n v="3530"/>
    <n v="225"/>
    <n v="3305"/>
  </r>
  <r>
    <x v="5"/>
    <x v="1"/>
    <n v="3490"/>
    <n v="227"/>
    <n v="3263"/>
  </r>
  <r>
    <x v="6"/>
    <x v="3"/>
    <n v="917"/>
    <n v="492"/>
    <n v="425"/>
  </r>
  <r>
    <x v="7"/>
    <x v="0"/>
    <n v="252"/>
    <n v="38"/>
    <n v="214"/>
  </r>
  <r>
    <x v="0"/>
    <x v="1"/>
    <n v="4001"/>
    <n v="159"/>
    <n v="3842"/>
  </r>
  <r>
    <x v="8"/>
    <x v="2"/>
    <n v="2870"/>
    <n v="163"/>
    <n v="2707"/>
  </r>
  <r>
    <x v="2"/>
    <x v="1"/>
    <n v="3645"/>
    <n v="178"/>
    <n v="3467"/>
  </r>
  <r>
    <x v="3"/>
    <x v="2"/>
    <n v="2935"/>
    <n v="201"/>
    <n v="2734"/>
  </r>
  <r>
    <x v="3"/>
    <x v="0"/>
    <n v="317"/>
    <n v="54"/>
    <n v="263"/>
  </r>
  <r>
    <x v="9"/>
    <x v="3"/>
    <n v="835"/>
    <n v="461"/>
    <n v="374"/>
  </r>
  <r>
    <x v="4"/>
    <x v="4"/>
    <n v="174"/>
    <n v="146"/>
    <n v="28"/>
  </r>
  <r>
    <x v="4"/>
    <x v="5"/>
    <n v="53"/>
    <n v="10"/>
    <n v="43"/>
  </r>
  <r>
    <x v="4"/>
    <x v="3"/>
    <n v="920"/>
    <n v="501"/>
    <n v="419"/>
  </r>
  <r>
    <x v="5"/>
    <x v="4"/>
    <n v="172"/>
    <n v="144"/>
    <n v="28"/>
  </r>
  <r>
    <x v="6"/>
    <x v="5"/>
    <n v="60"/>
    <n v="7"/>
    <n v="53"/>
  </r>
  <r>
    <x v="6"/>
    <x v="1"/>
    <n v="3430"/>
    <n v="220"/>
    <n v="3210"/>
  </r>
  <r>
    <x v="7"/>
    <x v="4"/>
    <n v="177"/>
    <n v="136"/>
    <n v="41"/>
  </r>
  <r>
    <x v="0"/>
    <x v="3"/>
    <n v="961"/>
    <n v="545"/>
    <n v="416"/>
  </r>
  <r>
    <x v="1"/>
    <x v="4"/>
    <n v="230"/>
    <n v="192"/>
    <n v="38"/>
  </r>
  <r>
    <x v="8"/>
    <x v="3"/>
    <n v="828"/>
    <n v="463"/>
    <n v="365"/>
  </r>
  <r>
    <x v="3"/>
    <x v="4"/>
    <n v="207"/>
    <n v="172"/>
    <n v="35"/>
  </r>
  <r>
    <x v="10"/>
    <x v="0"/>
    <n v="315"/>
    <n v="54"/>
    <n v="261"/>
  </r>
  <r>
    <x v="10"/>
    <x v="1"/>
    <n v="3636"/>
    <n v="222"/>
    <n v="3414"/>
  </r>
  <r>
    <x v="9"/>
    <x v="5"/>
    <n v="54"/>
    <n v="11"/>
    <n v="43"/>
  </r>
  <r>
    <x v="5"/>
    <x v="2"/>
    <n v="2735"/>
    <n v="185"/>
    <n v="2550"/>
  </r>
  <r>
    <x v="11"/>
    <x v="4"/>
    <n v="171"/>
    <n v="142"/>
    <n v="29"/>
  </r>
  <r>
    <x v="11"/>
    <x v="0"/>
    <n v="269"/>
    <n v="42"/>
    <n v="227"/>
  </r>
  <r>
    <x v="6"/>
    <x v="4"/>
    <n v="171"/>
    <n v="139"/>
    <n v="32"/>
  </r>
  <r>
    <x v="0"/>
    <x v="2"/>
    <n v="2940"/>
    <n v="178"/>
    <n v="2762"/>
  </r>
  <r>
    <x v="2"/>
    <x v="0"/>
    <n v="316"/>
    <n v="48"/>
    <n v="268"/>
  </r>
  <r>
    <x v="12"/>
    <x v="4"/>
    <n v="189"/>
    <n v="158"/>
    <n v="31"/>
  </r>
  <r>
    <x v="12"/>
    <x v="2"/>
    <n v="2863"/>
    <n v="171"/>
    <n v="2692"/>
  </r>
  <r>
    <x v="12"/>
    <x v="0"/>
    <n v="332"/>
    <n v="55"/>
    <n v="277"/>
  </r>
  <r>
    <x v="3"/>
    <x v="5"/>
    <n v="18"/>
    <n v="1"/>
    <n v="17"/>
  </r>
  <r>
    <x v="4"/>
    <x v="2"/>
    <n v="2758"/>
    <n v="191"/>
    <n v="2567"/>
  </r>
  <r>
    <x v="11"/>
    <x v="5"/>
    <n v="55"/>
    <n v="8"/>
    <n v="47"/>
  </r>
  <r>
    <x v="6"/>
    <x v="2"/>
    <n v="2705"/>
    <n v="203"/>
    <n v="2502"/>
  </r>
  <r>
    <x v="6"/>
    <x v="0"/>
    <n v="273"/>
    <n v="42"/>
    <n v="231"/>
  </r>
  <r>
    <x v="7"/>
    <x v="3"/>
    <n v="922"/>
    <n v="490"/>
    <n v="432"/>
  </r>
  <r>
    <x v="1"/>
    <x v="0"/>
    <n v="378"/>
    <n v="56"/>
    <n v="322"/>
  </r>
  <r>
    <x v="10"/>
    <x v="2"/>
    <n v="2937"/>
    <n v="208"/>
    <n v="2729"/>
  </r>
  <r>
    <x v="5"/>
    <x v="5"/>
    <n v="55"/>
    <n v="9"/>
    <n v="46"/>
  </r>
  <r>
    <x v="11"/>
    <x v="2"/>
    <n v="2708"/>
    <n v="191"/>
    <n v="2517"/>
  </r>
  <r>
    <x v="11"/>
    <x v="3"/>
    <n v="887"/>
    <n v="482"/>
    <n v="405"/>
  </r>
  <r>
    <x v="8"/>
    <x v="0"/>
    <n v="342"/>
    <n v="56"/>
    <n v="286"/>
  </r>
  <r>
    <x v="12"/>
    <x v="3"/>
    <n v="846"/>
    <n v="476"/>
    <n v="370"/>
  </r>
  <r>
    <x v="3"/>
    <x v="3"/>
    <n v="792"/>
    <n v="427"/>
    <n v="365"/>
  </r>
  <r>
    <x v="10"/>
    <x v="3"/>
    <n v="817"/>
    <n v="447"/>
    <n v="370"/>
  </r>
  <r>
    <x v="9"/>
    <x v="2"/>
    <n v="2872"/>
    <n v="197"/>
    <n v="2675"/>
  </r>
  <r>
    <x v="9"/>
    <x v="0"/>
    <n v="303"/>
    <n v="52"/>
    <n v="251"/>
  </r>
  <r>
    <x v="4"/>
    <x v="0"/>
    <n v="277"/>
    <n v="46"/>
    <n v="231"/>
  </r>
  <r>
    <x v="11"/>
    <x v="1"/>
    <n v="3422"/>
    <n v="220"/>
    <n v="3202"/>
  </r>
  <r>
    <x v="7"/>
    <x v="2"/>
    <n v="2747"/>
    <n v="208"/>
    <n v="2539"/>
  </r>
  <r>
    <x v="7"/>
    <x v="5"/>
    <n v="60"/>
    <n v="8"/>
    <n v="52"/>
  </r>
  <r>
    <x v="0"/>
    <x v="4"/>
    <n v="223"/>
    <n v="199"/>
    <n v="24"/>
  </r>
  <r>
    <x v="1"/>
    <x v="2"/>
    <n v="2950"/>
    <n v="172"/>
    <n v="2778"/>
  </r>
  <r>
    <x v="8"/>
    <x v="1"/>
    <n v="3690"/>
    <n v="167"/>
    <n v="3523"/>
  </r>
  <r>
    <x v="10"/>
    <x v="4"/>
    <n v="188"/>
    <n v="156"/>
    <n v="32"/>
  </r>
  <r>
    <x v="10"/>
    <x v="5"/>
    <n v="36"/>
    <n v="7"/>
    <n v="29"/>
  </r>
  <r>
    <x v="7"/>
    <x v="1"/>
    <n v="3431"/>
    <n v="229"/>
    <n v="3202"/>
  </r>
  <r>
    <x v="1"/>
    <x v="3"/>
    <n v="867"/>
    <n v="480"/>
    <n v="387"/>
  </r>
  <r>
    <x v="8"/>
    <x v="4"/>
    <n v="203"/>
    <n v="171"/>
    <n v="32"/>
  </r>
  <r>
    <x v="2"/>
    <x v="4"/>
    <n v="165"/>
    <n v="139"/>
    <n v="26"/>
  </r>
  <r>
    <x v="12"/>
    <x v="1"/>
    <n v="3546"/>
    <n v="175"/>
    <n v="3371"/>
  </r>
  <r>
    <x v="9"/>
    <x v="4"/>
    <n v="182"/>
    <n v="151"/>
    <n v="31"/>
  </r>
  <r>
    <x v="9"/>
    <x v="1"/>
    <n v="3581"/>
    <n v="219"/>
    <n v="3362"/>
  </r>
  <r>
    <x v="5"/>
    <x v="3"/>
    <n v="901"/>
    <n v="484"/>
    <n v="417"/>
  </r>
  <r>
    <x v="5"/>
    <x v="0"/>
    <n v="266"/>
    <n v="40"/>
    <n v="226"/>
  </r>
</pivotCacheRecords>
</file>

<file path=xl/pivotCache/pivotCacheRecords32.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81">
  <r>
    <x v="0"/>
    <x v="0"/>
    <n v="742"/>
    <n v="432"/>
    <n v="10"/>
    <n v="25"/>
    <n v="41"/>
  </r>
  <r>
    <x v="0"/>
    <x v="1"/>
    <n v="330"/>
    <n v="556"/>
    <n v="5"/>
    <n v="26"/>
    <n v="55"/>
  </r>
  <r>
    <x v="0"/>
    <x v="2"/>
    <n v="4"/>
    <n v="28"/>
    <m/>
    <n v="7"/>
    <n v="4"/>
  </r>
  <r>
    <x v="1"/>
    <x v="3"/>
    <n v="82"/>
    <n v="155"/>
    <n v="7"/>
    <n v="21"/>
    <n v="14"/>
  </r>
  <r>
    <x v="1"/>
    <x v="1"/>
    <n v="287"/>
    <n v="532"/>
    <n v="6"/>
    <n v="39"/>
    <n v="60"/>
  </r>
  <r>
    <x v="2"/>
    <x v="3"/>
    <n v="64"/>
    <n v="138"/>
    <n v="6"/>
    <n v="10"/>
    <n v="14"/>
  </r>
  <r>
    <x v="3"/>
    <x v="4"/>
    <n v="593"/>
    <n v="827"/>
    <m/>
    <n v="59"/>
    <n v="58"/>
  </r>
  <r>
    <x v="4"/>
    <x v="4"/>
    <n v="213"/>
    <n v="691"/>
    <m/>
    <n v="56"/>
    <n v="97"/>
  </r>
  <r>
    <x v="5"/>
    <x v="2"/>
    <n v="3"/>
    <n v="23"/>
    <m/>
    <n v="4"/>
    <n v="4"/>
  </r>
  <r>
    <x v="1"/>
    <x v="2"/>
    <n v="2"/>
    <n v="27"/>
    <m/>
    <n v="3"/>
    <n v="5"/>
  </r>
  <r>
    <x v="6"/>
    <x v="5"/>
    <n v="6"/>
    <n v="78"/>
    <n v="8"/>
    <n v="11"/>
    <n v="10"/>
  </r>
  <r>
    <x v="2"/>
    <x v="0"/>
    <n v="329"/>
    <n v="399"/>
    <n v="8"/>
    <n v="19"/>
    <n v="33"/>
  </r>
  <r>
    <x v="7"/>
    <x v="6"/>
    <n v="704"/>
    <n v="262"/>
    <n v="11"/>
    <n v="18"/>
    <n v="35"/>
  </r>
  <r>
    <x v="3"/>
    <x v="6"/>
    <n v="735"/>
    <n v="247"/>
    <n v="12"/>
    <n v="17"/>
    <n v="38"/>
  </r>
  <r>
    <x v="0"/>
    <x v="4"/>
    <n v="536"/>
    <n v="801"/>
    <n v="1"/>
    <n v="54"/>
    <n v="97"/>
  </r>
  <r>
    <x v="1"/>
    <x v="7"/>
    <n v="498"/>
    <n v="212"/>
    <n v="6"/>
    <n v="16"/>
    <n v="23"/>
  </r>
  <r>
    <x v="1"/>
    <x v="5"/>
    <n v="2"/>
    <n v="66"/>
    <n v="4"/>
    <n v="5"/>
    <n v="3"/>
  </r>
  <r>
    <x v="8"/>
    <x v="6"/>
    <n v="703"/>
    <n v="313"/>
    <n v="5"/>
    <n v="11"/>
    <n v="43"/>
  </r>
  <r>
    <x v="6"/>
    <x v="4"/>
    <n v="665"/>
    <n v="703"/>
    <n v="1"/>
    <n v="38"/>
    <n v="43"/>
  </r>
  <r>
    <x v="2"/>
    <x v="6"/>
    <n v="692"/>
    <n v="275"/>
    <n v="10"/>
    <n v="14"/>
    <n v="35"/>
  </r>
  <r>
    <x v="2"/>
    <x v="2"/>
    <n v="4"/>
    <n v="26"/>
    <n v="1"/>
    <m/>
    <n v="3"/>
  </r>
  <r>
    <x v="7"/>
    <x v="1"/>
    <n v="655"/>
    <n v="600"/>
    <n v="5"/>
    <n v="43"/>
    <n v="53"/>
  </r>
  <r>
    <x v="3"/>
    <x v="1"/>
    <n v="745"/>
    <n v="619"/>
    <n v="4"/>
    <n v="40"/>
    <n v="44"/>
  </r>
  <r>
    <x v="4"/>
    <x v="5"/>
    <n v="7"/>
    <n v="47"/>
    <m/>
    <n v="11"/>
    <n v="4"/>
  </r>
  <r>
    <x v="5"/>
    <x v="7"/>
    <n v="551"/>
    <n v="246"/>
    <n v="2"/>
    <n v="19"/>
    <n v="22"/>
  </r>
  <r>
    <x v="5"/>
    <x v="3"/>
    <n v="99"/>
    <n v="155"/>
    <n v="3"/>
    <n v="19"/>
    <n v="15"/>
  </r>
  <r>
    <x v="5"/>
    <x v="5"/>
    <n v="4"/>
    <n v="52"/>
    <n v="1"/>
    <n v="9"/>
    <n v="1"/>
  </r>
  <r>
    <x v="0"/>
    <x v="8"/>
    <n v="784"/>
    <n v="395"/>
    <n v="5"/>
    <n v="23"/>
    <n v="43"/>
  </r>
  <r>
    <x v="1"/>
    <x v="8"/>
    <n v="807"/>
    <n v="376"/>
    <n v="10"/>
    <n v="23"/>
    <n v="49"/>
  </r>
  <r>
    <x v="8"/>
    <x v="0"/>
    <n v="620"/>
    <n v="404"/>
    <n v="8"/>
    <n v="18"/>
    <n v="34"/>
  </r>
  <r>
    <x v="8"/>
    <x v="2"/>
    <n v="2"/>
    <n v="26"/>
    <m/>
    <m/>
    <n v="3"/>
  </r>
  <r>
    <x v="8"/>
    <x v="4"/>
    <n v="617"/>
    <n v="698"/>
    <n v="2"/>
    <n v="37"/>
    <n v="54"/>
  </r>
  <r>
    <x v="6"/>
    <x v="3"/>
    <n v="64"/>
    <n v="155"/>
    <n v="6"/>
    <n v="10"/>
    <n v="15"/>
  </r>
  <r>
    <x v="2"/>
    <x v="5"/>
    <n v="8"/>
    <n v="81"/>
    <n v="8"/>
    <n v="11"/>
    <n v="13"/>
  </r>
  <r>
    <x v="7"/>
    <x v="3"/>
    <n v="50"/>
    <n v="115"/>
    <n v="7"/>
    <n v="8"/>
    <n v="14"/>
  </r>
  <r>
    <x v="7"/>
    <x v="2"/>
    <n v="4"/>
    <n v="28"/>
    <n v="3"/>
    <m/>
    <n v="2"/>
  </r>
  <r>
    <x v="7"/>
    <x v="4"/>
    <n v="625"/>
    <n v="765"/>
    <n v="1"/>
    <n v="49"/>
    <n v="66"/>
  </r>
  <r>
    <x v="3"/>
    <x v="5"/>
    <n v="17"/>
    <n v="80"/>
    <n v="8"/>
    <n v="6"/>
    <n v="13"/>
  </r>
  <r>
    <x v="4"/>
    <x v="1"/>
    <n v="447"/>
    <n v="572"/>
    <m/>
    <n v="17"/>
    <n v="64"/>
  </r>
  <r>
    <x v="5"/>
    <x v="0"/>
    <n v="879"/>
    <n v="439"/>
    <n v="3"/>
    <n v="30"/>
    <n v="47"/>
  </r>
  <r>
    <x v="0"/>
    <x v="6"/>
    <n v="641"/>
    <n v="289"/>
    <n v="5"/>
    <n v="15"/>
    <n v="36"/>
  </r>
  <r>
    <x v="1"/>
    <x v="4"/>
    <n v="595"/>
    <n v="791"/>
    <n v="3"/>
    <n v="44"/>
    <n v="78"/>
  </r>
  <r>
    <x v="8"/>
    <x v="7"/>
    <n v="456"/>
    <n v="188"/>
    <n v="6"/>
    <n v="12"/>
    <n v="14"/>
  </r>
  <r>
    <x v="6"/>
    <x v="6"/>
    <n v="714"/>
    <n v="299"/>
    <n v="8"/>
    <n v="14"/>
    <n v="40"/>
  </r>
  <r>
    <x v="6"/>
    <x v="7"/>
    <n v="323"/>
    <n v="172"/>
    <n v="7"/>
    <n v="9"/>
    <n v="19"/>
  </r>
  <r>
    <x v="6"/>
    <x v="1"/>
    <n v="482"/>
    <n v="584"/>
    <n v="3"/>
    <n v="50"/>
    <n v="60"/>
  </r>
  <r>
    <x v="2"/>
    <x v="8"/>
    <n v="812"/>
    <n v="299"/>
    <n v="12"/>
    <n v="25"/>
    <n v="35"/>
  </r>
  <r>
    <x v="7"/>
    <x v="7"/>
    <n v="380"/>
    <n v="175"/>
    <n v="6"/>
    <n v="7"/>
    <n v="26"/>
  </r>
  <r>
    <x v="3"/>
    <x v="3"/>
    <n v="74"/>
    <n v="104"/>
    <n v="6"/>
    <n v="8"/>
    <n v="19"/>
  </r>
  <r>
    <x v="4"/>
    <x v="0"/>
    <n v="814"/>
    <n v="434"/>
    <m/>
    <n v="26"/>
    <n v="51"/>
  </r>
  <r>
    <x v="5"/>
    <x v="6"/>
    <n v="589"/>
    <n v="291"/>
    <n v="3"/>
    <n v="18"/>
    <n v="25"/>
  </r>
  <r>
    <x v="5"/>
    <x v="1"/>
    <n v="325"/>
    <n v="580"/>
    <n v="1"/>
    <n v="27"/>
    <n v="53"/>
  </r>
  <r>
    <x v="0"/>
    <x v="5"/>
    <n v="5"/>
    <n v="57"/>
    <n v="3"/>
    <n v="3"/>
    <n v="2"/>
  </r>
  <r>
    <x v="8"/>
    <x v="3"/>
    <n v="84"/>
    <n v="159"/>
    <n v="8"/>
    <n v="19"/>
    <n v="17"/>
  </r>
  <r>
    <x v="7"/>
    <x v="0"/>
    <n v="319"/>
    <n v="361"/>
    <n v="5"/>
    <n v="18"/>
    <n v="32"/>
  </r>
  <r>
    <x v="4"/>
    <x v="8"/>
    <n v="789"/>
    <n v="429"/>
    <m/>
    <n v="22"/>
    <n v="54"/>
  </r>
  <r>
    <x v="4"/>
    <x v="6"/>
    <n v="581"/>
    <n v="272"/>
    <m/>
    <n v="15"/>
    <n v="23"/>
  </r>
  <r>
    <x v="4"/>
    <x v="3"/>
    <n v="109"/>
    <n v="134"/>
    <m/>
    <n v="16"/>
    <n v="12"/>
  </r>
  <r>
    <x v="4"/>
    <x v="2"/>
    <n v="1"/>
    <n v="22"/>
    <m/>
    <n v="5"/>
    <n v="2"/>
  </r>
  <r>
    <x v="0"/>
    <x v="7"/>
    <n v="516"/>
    <n v="223"/>
    <n v="3"/>
    <n v="15"/>
    <n v="21"/>
  </r>
  <r>
    <x v="6"/>
    <x v="0"/>
    <n v="457"/>
    <n v="404"/>
    <n v="9"/>
    <n v="17"/>
    <n v="39"/>
  </r>
  <r>
    <x v="2"/>
    <x v="7"/>
    <n v="342"/>
    <n v="170"/>
    <n v="6"/>
    <n v="9"/>
    <n v="22"/>
  </r>
  <r>
    <x v="2"/>
    <x v="1"/>
    <n v="574"/>
    <n v="604"/>
    <n v="3"/>
    <n v="46"/>
    <n v="67"/>
  </r>
  <r>
    <x v="2"/>
    <x v="4"/>
    <n v="597"/>
    <n v="716"/>
    <n v="1"/>
    <n v="37"/>
    <n v="47"/>
  </r>
  <r>
    <x v="7"/>
    <x v="5"/>
    <n v="11"/>
    <n v="84"/>
    <n v="6"/>
    <n v="9"/>
    <n v="15"/>
  </r>
  <r>
    <x v="3"/>
    <x v="0"/>
    <n v="284"/>
    <n v="331"/>
    <n v="5"/>
    <n v="25"/>
    <n v="36"/>
  </r>
  <r>
    <x v="3"/>
    <x v="8"/>
    <n v="571"/>
    <n v="306"/>
    <n v="16"/>
    <n v="16"/>
    <n v="19"/>
  </r>
  <r>
    <x v="3"/>
    <x v="7"/>
    <n v="408"/>
    <n v="198"/>
    <n v="6"/>
    <n v="6"/>
    <n v="22"/>
  </r>
  <r>
    <x v="4"/>
    <x v="7"/>
    <n v="585"/>
    <n v="262"/>
    <m/>
    <n v="21"/>
    <n v="25"/>
  </r>
  <r>
    <x v="5"/>
    <x v="8"/>
    <n v="781"/>
    <n v="401"/>
    <n v="4"/>
    <n v="19"/>
    <n v="54"/>
  </r>
  <r>
    <x v="5"/>
    <x v="4"/>
    <n v="406"/>
    <n v="748"/>
    <n v="1"/>
    <n v="62"/>
    <n v="96"/>
  </r>
  <r>
    <x v="0"/>
    <x v="3"/>
    <n v="78"/>
    <n v="156"/>
    <n v="4"/>
    <n v="20"/>
    <n v="16"/>
  </r>
  <r>
    <x v="1"/>
    <x v="0"/>
    <n v="652"/>
    <n v="413"/>
    <n v="13"/>
    <n v="22"/>
    <n v="35"/>
  </r>
  <r>
    <x v="1"/>
    <x v="6"/>
    <n v="656"/>
    <n v="300"/>
    <n v="5"/>
    <n v="9"/>
    <n v="36"/>
  </r>
  <r>
    <x v="8"/>
    <x v="8"/>
    <n v="752"/>
    <n v="338"/>
    <n v="12"/>
    <n v="26"/>
    <n v="39"/>
  </r>
  <r>
    <x v="8"/>
    <x v="5"/>
    <n v="4"/>
    <n v="62"/>
    <n v="5"/>
    <n v="6"/>
    <n v="9"/>
  </r>
  <r>
    <x v="8"/>
    <x v="1"/>
    <n v="292"/>
    <n v="570"/>
    <n v="7"/>
    <n v="45"/>
    <n v="64"/>
  </r>
  <r>
    <x v="6"/>
    <x v="8"/>
    <n v="775"/>
    <n v="314"/>
    <n v="13"/>
    <n v="23"/>
    <n v="37"/>
  </r>
  <r>
    <x v="6"/>
    <x v="2"/>
    <n v="4"/>
    <n v="26"/>
    <m/>
    <m/>
    <n v="3"/>
  </r>
  <r>
    <x v="7"/>
    <x v="8"/>
    <n v="682"/>
    <n v="315"/>
    <n v="16"/>
    <n v="19"/>
    <n v="30"/>
  </r>
  <r>
    <x v="3"/>
    <x v="2"/>
    <n v="4"/>
    <n v="35"/>
    <n v="3"/>
    <m/>
    <n v="3"/>
  </r>
</pivotCacheRecords>
</file>

<file path=xl/pivotCache/pivotCacheRecords33.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62">
  <r>
    <x v="0"/>
    <x v="0"/>
    <n v="3"/>
    <n v="8"/>
    <n v="0"/>
    <n v="0"/>
    <n v="2"/>
    <n v="0"/>
    <n v="13"/>
  </r>
  <r>
    <x v="0"/>
    <x v="1"/>
    <n v="0"/>
    <n v="0"/>
    <n v="0"/>
    <n v="0"/>
    <n v="4"/>
    <n v="0"/>
    <n v="4"/>
  </r>
  <r>
    <x v="0"/>
    <x v="2"/>
    <n v="4"/>
    <n v="2"/>
    <n v="0"/>
    <n v="0"/>
    <n v="1"/>
    <n v="0"/>
    <n v="7"/>
  </r>
  <r>
    <x v="0"/>
    <x v="3"/>
    <n v="13"/>
    <n v="144"/>
    <n v="0"/>
    <n v="9"/>
    <n v="49"/>
    <n v="32"/>
    <n v="247"/>
  </r>
  <r>
    <x v="0"/>
    <x v="4"/>
    <n v="46"/>
    <n v="12"/>
    <n v="0"/>
    <n v="1"/>
    <n v="3"/>
    <n v="3"/>
    <n v="65"/>
  </r>
  <r>
    <x v="0"/>
    <x v="5"/>
    <n v="110"/>
    <n v="18"/>
    <n v="0"/>
    <n v="4"/>
    <n v="12"/>
    <n v="3"/>
    <n v="147"/>
  </r>
  <r>
    <x v="0"/>
    <x v="6"/>
    <n v="0"/>
    <n v="0"/>
    <n v="0"/>
    <n v="0"/>
    <n v="12"/>
    <n v="0"/>
    <n v="12"/>
  </r>
  <r>
    <x v="0"/>
    <x v="7"/>
    <n v="8"/>
    <n v="4"/>
    <n v="0"/>
    <n v="0"/>
    <n v="1"/>
    <n v="0"/>
    <n v="13"/>
  </r>
  <r>
    <x v="0"/>
    <x v="8"/>
    <n v="2"/>
    <n v="0"/>
    <n v="0"/>
    <n v="0"/>
    <n v="0"/>
    <n v="0"/>
    <n v="2"/>
  </r>
  <r>
    <x v="0"/>
    <x v="9"/>
    <n v="0"/>
    <n v="0"/>
    <n v="0"/>
    <n v="0"/>
    <n v="47"/>
    <n v="0"/>
    <n v="47"/>
  </r>
  <r>
    <x v="0"/>
    <x v="10"/>
    <n v="0"/>
    <n v="0"/>
    <n v="0"/>
    <n v="0"/>
    <n v="17"/>
    <n v="0"/>
    <n v="17"/>
  </r>
  <r>
    <x v="1"/>
    <x v="0"/>
    <n v="4"/>
    <n v="2"/>
    <n v="0"/>
    <n v="0"/>
    <n v="1"/>
    <n v="0"/>
    <n v="7"/>
  </r>
  <r>
    <x v="1"/>
    <x v="1"/>
    <n v="0"/>
    <n v="0"/>
    <n v="0"/>
    <n v="0"/>
    <n v="7"/>
    <n v="0"/>
    <n v="7"/>
  </r>
  <r>
    <x v="1"/>
    <x v="2"/>
    <n v="2"/>
    <n v="4"/>
    <n v="0"/>
    <n v="1"/>
    <n v="0"/>
    <n v="2"/>
    <n v="9"/>
  </r>
  <r>
    <x v="1"/>
    <x v="3"/>
    <n v="21"/>
    <n v="163"/>
    <n v="0"/>
    <n v="5"/>
    <n v="29"/>
    <n v="18"/>
    <n v="236"/>
  </r>
  <r>
    <x v="1"/>
    <x v="4"/>
    <n v="16"/>
    <n v="3"/>
    <n v="0"/>
    <n v="0"/>
    <n v="1"/>
    <n v="1"/>
    <n v="21"/>
  </r>
  <r>
    <x v="1"/>
    <x v="5"/>
    <n v="152"/>
    <n v="41"/>
    <n v="0"/>
    <n v="6"/>
    <n v="14"/>
    <n v="4"/>
    <n v="217"/>
  </r>
  <r>
    <x v="1"/>
    <x v="7"/>
    <n v="7"/>
    <n v="5"/>
    <n v="0"/>
    <n v="1"/>
    <n v="1"/>
    <n v="0"/>
    <n v="14"/>
  </r>
  <r>
    <x v="2"/>
    <x v="0"/>
    <n v="3"/>
    <n v="6"/>
    <n v="0"/>
    <n v="2"/>
    <n v="1"/>
    <n v="0"/>
    <n v="12"/>
  </r>
  <r>
    <x v="2"/>
    <x v="1"/>
    <n v="0"/>
    <n v="0"/>
    <n v="0"/>
    <n v="2"/>
    <n v="7"/>
    <n v="0"/>
    <n v="9"/>
  </r>
  <r>
    <x v="2"/>
    <x v="2"/>
    <n v="2"/>
    <n v="3"/>
    <n v="0"/>
    <n v="0"/>
    <n v="2"/>
    <n v="0"/>
    <n v="7"/>
  </r>
  <r>
    <x v="2"/>
    <x v="3"/>
    <n v="8"/>
    <n v="130"/>
    <n v="0"/>
    <n v="0"/>
    <n v="20"/>
    <n v="17"/>
    <n v="175"/>
  </r>
  <r>
    <x v="2"/>
    <x v="5"/>
    <n v="175"/>
    <n v="44"/>
    <n v="0"/>
    <n v="5"/>
    <n v="13"/>
    <n v="2"/>
    <n v="239"/>
  </r>
  <r>
    <x v="2"/>
    <x v="6"/>
    <n v="0"/>
    <n v="1"/>
    <n v="0"/>
    <n v="0"/>
    <n v="0"/>
    <n v="1"/>
    <n v="2"/>
  </r>
  <r>
    <x v="2"/>
    <x v="7"/>
    <n v="5"/>
    <n v="5"/>
    <n v="0"/>
    <n v="1"/>
    <n v="1"/>
    <n v="0"/>
    <n v="12"/>
  </r>
  <r>
    <x v="3"/>
    <x v="0"/>
    <n v="1"/>
    <n v="9"/>
    <n v="0"/>
    <n v="0"/>
    <n v="1"/>
    <n v="0"/>
    <n v="11"/>
  </r>
  <r>
    <x v="3"/>
    <x v="1"/>
    <n v="1"/>
    <n v="0"/>
    <n v="0"/>
    <n v="1"/>
    <n v="12"/>
    <n v="0"/>
    <n v="14"/>
  </r>
  <r>
    <x v="3"/>
    <x v="2"/>
    <n v="2"/>
    <n v="2"/>
    <n v="0"/>
    <n v="0"/>
    <n v="2"/>
    <n v="0"/>
    <n v="6"/>
  </r>
  <r>
    <x v="3"/>
    <x v="3"/>
    <n v="19"/>
    <n v="174"/>
    <n v="0"/>
    <n v="10"/>
    <n v="42"/>
    <n v="26"/>
    <n v="271"/>
  </r>
  <r>
    <x v="3"/>
    <x v="5"/>
    <n v="173"/>
    <n v="61"/>
    <n v="0"/>
    <n v="8"/>
    <n v="15"/>
    <n v="6"/>
    <n v="263"/>
  </r>
  <r>
    <x v="3"/>
    <x v="7"/>
    <n v="3"/>
    <n v="2"/>
    <n v="0"/>
    <n v="1"/>
    <n v="4"/>
    <n v="0"/>
    <n v="10"/>
  </r>
  <r>
    <x v="3"/>
    <x v="8"/>
    <n v="2"/>
    <n v="0"/>
    <n v="0"/>
    <n v="0"/>
    <n v="0"/>
    <n v="0"/>
    <n v="2"/>
  </r>
  <r>
    <x v="4"/>
    <x v="0"/>
    <n v="2"/>
    <n v="5"/>
    <n v="0"/>
    <n v="1"/>
    <n v="3"/>
    <n v="0"/>
    <n v="11"/>
  </r>
  <r>
    <x v="4"/>
    <x v="1"/>
    <n v="0"/>
    <n v="0"/>
    <n v="0"/>
    <n v="1"/>
    <n v="3"/>
    <n v="0"/>
    <n v="4"/>
  </r>
  <r>
    <x v="4"/>
    <x v="2"/>
    <n v="3"/>
    <n v="3"/>
    <n v="0"/>
    <n v="1"/>
    <n v="2"/>
    <n v="0"/>
    <n v="9"/>
  </r>
  <r>
    <x v="4"/>
    <x v="3"/>
    <n v="39"/>
    <n v="145"/>
    <n v="2"/>
    <n v="18"/>
    <n v="67"/>
    <n v="25"/>
    <n v="296"/>
  </r>
  <r>
    <x v="4"/>
    <x v="5"/>
    <n v="289"/>
    <n v="56"/>
    <n v="0"/>
    <n v="7"/>
    <n v="17"/>
    <n v="3"/>
    <n v="372"/>
  </r>
  <r>
    <x v="4"/>
    <x v="6"/>
    <n v="0"/>
    <n v="0"/>
    <n v="0"/>
    <n v="0"/>
    <n v="1"/>
    <n v="0"/>
    <n v="1"/>
  </r>
  <r>
    <x v="4"/>
    <x v="7"/>
    <n v="2"/>
    <n v="7"/>
    <n v="0"/>
    <n v="0"/>
    <n v="0"/>
    <n v="0"/>
    <n v="9"/>
  </r>
  <r>
    <x v="4"/>
    <x v="8"/>
    <n v="1"/>
    <n v="0"/>
    <n v="0"/>
    <n v="0"/>
    <n v="0"/>
    <n v="0"/>
    <n v="1"/>
  </r>
  <r>
    <x v="5"/>
    <x v="0"/>
    <n v="4"/>
    <n v="5"/>
    <n v="1"/>
    <n v="0"/>
    <n v="1"/>
    <n v="0"/>
    <n v="11"/>
  </r>
  <r>
    <x v="5"/>
    <x v="1"/>
    <n v="0"/>
    <n v="0"/>
    <n v="0"/>
    <n v="0"/>
    <n v="16"/>
    <n v="0"/>
    <n v="16"/>
  </r>
  <r>
    <x v="5"/>
    <x v="2"/>
    <n v="3"/>
    <n v="2"/>
    <n v="0"/>
    <n v="0"/>
    <n v="0"/>
    <n v="0"/>
    <n v="5"/>
  </r>
  <r>
    <x v="5"/>
    <x v="11"/>
    <n v="0"/>
    <n v="0"/>
    <n v="0"/>
    <n v="0"/>
    <n v="0"/>
    <n v="2"/>
    <n v="2"/>
  </r>
  <r>
    <x v="5"/>
    <x v="3"/>
    <n v="28"/>
    <n v="175"/>
    <n v="1"/>
    <n v="13"/>
    <n v="39"/>
    <n v="13"/>
    <n v="269"/>
  </r>
  <r>
    <x v="5"/>
    <x v="4"/>
    <n v="0"/>
    <n v="1"/>
    <n v="0"/>
    <n v="0"/>
    <n v="0"/>
    <n v="0"/>
    <n v="1"/>
  </r>
  <r>
    <x v="5"/>
    <x v="5"/>
    <n v="117"/>
    <n v="57"/>
    <n v="0"/>
    <n v="1"/>
    <n v="20"/>
    <n v="2"/>
    <n v="197"/>
  </r>
  <r>
    <x v="5"/>
    <x v="7"/>
    <n v="4"/>
    <n v="3"/>
    <n v="0"/>
    <n v="0"/>
    <n v="0"/>
    <n v="0"/>
    <n v="7"/>
  </r>
  <r>
    <x v="5"/>
    <x v="8"/>
    <n v="2"/>
    <n v="0"/>
    <n v="0"/>
    <n v="0"/>
    <n v="0"/>
    <n v="0"/>
    <n v="2"/>
  </r>
  <r>
    <x v="6"/>
    <x v="0"/>
    <n v="6"/>
    <n v="2"/>
    <n v="0"/>
    <n v="1"/>
    <n v="2"/>
    <n v="0"/>
    <n v="11"/>
  </r>
  <r>
    <x v="6"/>
    <x v="1"/>
    <n v="0"/>
    <n v="1"/>
    <n v="0"/>
    <n v="0"/>
    <n v="8"/>
    <n v="0"/>
    <n v="9"/>
  </r>
  <r>
    <x v="6"/>
    <x v="2"/>
    <n v="2"/>
    <n v="2"/>
    <n v="0"/>
    <n v="0"/>
    <n v="0"/>
    <n v="0"/>
    <n v="4"/>
  </r>
  <r>
    <x v="6"/>
    <x v="3"/>
    <n v="37"/>
    <n v="154"/>
    <n v="1"/>
    <n v="7"/>
    <n v="31"/>
    <n v="15"/>
    <n v="245"/>
  </r>
  <r>
    <x v="6"/>
    <x v="4"/>
    <n v="1"/>
    <n v="0"/>
    <n v="0"/>
    <n v="0"/>
    <n v="0"/>
    <n v="0"/>
    <n v="1"/>
  </r>
  <r>
    <x v="6"/>
    <x v="5"/>
    <n v="132"/>
    <n v="62"/>
    <n v="0"/>
    <n v="7"/>
    <n v="22"/>
    <n v="3"/>
    <n v="226"/>
  </r>
  <r>
    <x v="6"/>
    <x v="7"/>
    <n v="1"/>
    <n v="4"/>
    <n v="1"/>
    <n v="0"/>
    <n v="1"/>
    <n v="0"/>
    <n v="7"/>
  </r>
  <r>
    <x v="7"/>
    <x v="0"/>
    <n v="3"/>
    <n v="8"/>
    <n v="0"/>
    <n v="0"/>
    <n v="1"/>
    <n v="0"/>
    <n v="12"/>
  </r>
  <r>
    <x v="7"/>
    <x v="1"/>
    <n v="0"/>
    <n v="0"/>
    <n v="0"/>
    <n v="0"/>
    <n v="11"/>
    <n v="0"/>
    <n v="11"/>
  </r>
  <r>
    <x v="7"/>
    <x v="2"/>
    <n v="5"/>
    <n v="1"/>
    <n v="0"/>
    <n v="0"/>
    <n v="3"/>
    <n v="1"/>
    <n v="10"/>
  </r>
  <r>
    <x v="7"/>
    <x v="3"/>
    <n v="27"/>
    <n v="134"/>
    <n v="0"/>
    <n v="10"/>
    <n v="21"/>
    <n v="16"/>
    <n v="208"/>
  </r>
  <r>
    <x v="7"/>
    <x v="5"/>
    <n v="94"/>
    <n v="46"/>
    <n v="1"/>
    <n v="6"/>
    <n v="31"/>
    <n v="7"/>
    <n v="185"/>
  </r>
  <r>
    <x v="7"/>
    <x v="7"/>
    <n v="4"/>
    <n v="1"/>
    <n v="0"/>
    <n v="1"/>
    <n v="1"/>
    <n v="0"/>
    <n v="7"/>
  </r>
</pivotCacheRecords>
</file>

<file path=xl/pivotCache/pivotCacheRecords34.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6">
  <r>
    <x v="0"/>
    <x v="0"/>
    <n v="14"/>
    <n v="38"/>
    <n v="24"/>
    <n v="38"/>
    <n v="8"/>
    <n v="122"/>
  </r>
  <r>
    <x v="0"/>
    <x v="1"/>
    <n v="180"/>
    <n v="209"/>
    <n v="5"/>
    <n v="54"/>
    <n v="16"/>
    <n v="464"/>
  </r>
  <r>
    <x v="1"/>
    <x v="0"/>
    <n v="21"/>
    <n v="23"/>
    <n v="0"/>
    <n v="38"/>
    <n v="6"/>
    <n v="88"/>
  </r>
  <r>
    <x v="1"/>
    <x v="1"/>
    <n v="98"/>
    <n v="200"/>
    <n v="0"/>
    <n v="29"/>
    <n v="15"/>
    <n v="342"/>
  </r>
  <r>
    <x v="2"/>
    <x v="0"/>
    <n v="3"/>
    <n v="7"/>
    <n v="4"/>
    <n v="33"/>
    <n v="1"/>
    <n v="48"/>
  </r>
  <r>
    <x v="2"/>
    <x v="1"/>
    <n v="106"/>
    <n v="126"/>
    <n v="0"/>
    <n v="23"/>
    <n v="7"/>
    <n v="262"/>
  </r>
  <r>
    <x v="3"/>
    <x v="0"/>
    <n v="10"/>
    <n v="21"/>
    <n v="7"/>
    <n v="69"/>
    <n v="2"/>
    <n v="109"/>
  </r>
  <r>
    <x v="3"/>
    <x v="1"/>
    <n v="124"/>
    <n v="140"/>
    <n v="2"/>
    <n v="66"/>
    <n v="8"/>
    <n v="340"/>
  </r>
  <r>
    <x v="4"/>
    <x v="0"/>
    <n v="14"/>
    <n v="16"/>
    <n v="12"/>
    <n v="29"/>
    <n v="0"/>
    <n v="71"/>
  </r>
  <r>
    <x v="4"/>
    <x v="1"/>
    <n v="212"/>
    <n v="183"/>
    <n v="6"/>
    <n v="35"/>
    <n v="15"/>
    <n v="451"/>
  </r>
  <r>
    <x v="5"/>
    <x v="0"/>
    <n v="13"/>
    <n v="26"/>
    <n v="1"/>
    <n v="32"/>
    <n v="3"/>
    <n v="75"/>
  </r>
  <r>
    <x v="5"/>
    <x v="1"/>
    <n v="79"/>
    <n v="222"/>
    <n v="0"/>
    <n v="41"/>
    <n v="15"/>
    <n v="357"/>
  </r>
  <r>
    <x v="6"/>
    <x v="0"/>
    <n v="10"/>
    <n v="27"/>
    <n v="8"/>
    <n v="22"/>
    <n v="5"/>
    <n v="72"/>
  </r>
  <r>
    <x v="6"/>
    <x v="1"/>
    <n v="122"/>
    <n v="179"/>
    <n v="2"/>
    <n v="33"/>
    <n v="17"/>
    <n v="353"/>
  </r>
  <r>
    <x v="7"/>
    <x v="0"/>
    <n v="11"/>
    <n v="25"/>
    <n v="10"/>
    <n v="25"/>
    <n v="0"/>
    <n v="71"/>
  </r>
  <r>
    <x v="7"/>
    <x v="1"/>
    <n v="69"/>
    <n v="204"/>
    <n v="8"/>
    <n v="43"/>
    <n v="5"/>
    <n v="329"/>
  </r>
</pivotCacheRecords>
</file>

<file path=xl/pivotCache/pivotCacheRecords35.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86">
  <r>
    <x v="0"/>
    <x v="0"/>
    <n v="26"/>
    <n v="56"/>
    <n v="8"/>
    <n v="11"/>
    <n v="4"/>
    <n v="105"/>
  </r>
  <r>
    <x v="0"/>
    <x v="1"/>
    <n v="61"/>
    <n v="50"/>
    <n v="9"/>
    <n v="12"/>
    <n v="5"/>
    <n v="137"/>
  </r>
  <r>
    <x v="0"/>
    <x v="2"/>
    <n v="61"/>
    <n v="50"/>
    <n v="7"/>
    <n v="8"/>
    <n v="3"/>
    <n v="129"/>
  </r>
  <r>
    <x v="0"/>
    <x v="3"/>
    <n v="25"/>
    <n v="30"/>
    <n v="5"/>
    <n v="7"/>
    <n v="3"/>
    <n v="70"/>
  </r>
  <r>
    <x v="0"/>
    <x v="4"/>
    <n v="13"/>
    <n v="28"/>
    <n v="0"/>
    <n v="12"/>
    <n v="2"/>
    <n v="55"/>
  </r>
  <r>
    <x v="0"/>
    <x v="5"/>
    <n v="7"/>
    <n v="16"/>
    <n v="0"/>
    <n v="13"/>
    <n v="3"/>
    <n v="39"/>
  </r>
  <r>
    <x v="0"/>
    <x v="6"/>
    <n v="1"/>
    <n v="11"/>
    <n v="0"/>
    <n v="9"/>
    <n v="3"/>
    <n v="24"/>
  </r>
  <r>
    <x v="0"/>
    <x v="7"/>
    <n v="0"/>
    <n v="2"/>
    <n v="0"/>
    <n v="11"/>
    <n v="0"/>
    <n v="13"/>
  </r>
  <r>
    <x v="0"/>
    <x v="8"/>
    <n v="0"/>
    <n v="0"/>
    <n v="0"/>
    <n v="6"/>
    <n v="0"/>
    <n v="6"/>
  </r>
  <r>
    <x v="0"/>
    <x v="9"/>
    <n v="0"/>
    <n v="0"/>
    <n v="0"/>
    <n v="1"/>
    <n v="1"/>
    <n v="2"/>
  </r>
  <r>
    <x v="0"/>
    <x v="10"/>
    <n v="0"/>
    <n v="4"/>
    <n v="0"/>
    <n v="2"/>
    <n v="0"/>
    <n v="6"/>
  </r>
  <r>
    <x v="1"/>
    <x v="0"/>
    <n v="7"/>
    <n v="52"/>
    <n v="0"/>
    <n v="6"/>
    <n v="4"/>
    <n v="69"/>
  </r>
  <r>
    <x v="1"/>
    <x v="1"/>
    <n v="41"/>
    <n v="43"/>
    <n v="0"/>
    <n v="14"/>
    <n v="2"/>
    <n v="100"/>
  </r>
  <r>
    <x v="1"/>
    <x v="2"/>
    <n v="43"/>
    <n v="42"/>
    <n v="0"/>
    <n v="5"/>
    <n v="6"/>
    <n v="96"/>
  </r>
  <r>
    <x v="1"/>
    <x v="3"/>
    <n v="14"/>
    <n v="40"/>
    <n v="0"/>
    <n v="10"/>
    <n v="2"/>
    <n v="66"/>
  </r>
  <r>
    <x v="1"/>
    <x v="4"/>
    <n v="9"/>
    <n v="11"/>
    <n v="0"/>
    <n v="10"/>
    <n v="1"/>
    <n v="31"/>
  </r>
  <r>
    <x v="1"/>
    <x v="5"/>
    <n v="3"/>
    <n v="16"/>
    <n v="0"/>
    <n v="5"/>
    <n v="3"/>
    <n v="27"/>
  </r>
  <r>
    <x v="1"/>
    <x v="6"/>
    <n v="1"/>
    <n v="8"/>
    <n v="0"/>
    <n v="7"/>
    <n v="3"/>
    <n v="19"/>
  </r>
  <r>
    <x v="1"/>
    <x v="7"/>
    <n v="1"/>
    <n v="3"/>
    <n v="0"/>
    <n v="6"/>
    <n v="0"/>
    <n v="10"/>
  </r>
  <r>
    <x v="1"/>
    <x v="8"/>
    <n v="0"/>
    <n v="0"/>
    <n v="0"/>
    <n v="1"/>
    <n v="0"/>
    <n v="1"/>
  </r>
  <r>
    <x v="1"/>
    <x v="10"/>
    <n v="0"/>
    <n v="8"/>
    <n v="0"/>
    <n v="3"/>
    <n v="0"/>
    <n v="11"/>
  </r>
  <r>
    <x v="2"/>
    <x v="0"/>
    <n v="11"/>
    <n v="26"/>
    <n v="1"/>
    <n v="4"/>
    <n v="0"/>
    <n v="42"/>
  </r>
  <r>
    <x v="2"/>
    <x v="1"/>
    <n v="37"/>
    <n v="33"/>
    <n v="0"/>
    <n v="8"/>
    <n v="2"/>
    <n v="80"/>
  </r>
  <r>
    <x v="2"/>
    <x v="2"/>
    <n v="35"/>
    <n v="31"/>
    <n v="1"/>
    <n v="13"/>
    <n v="2"/>
    <n v="82"/>
  </r>
  <r>
    <x v="2"/>
    <x v="3"/>
    <n v="17"/>
    <n v="22"/>
    <n v="0"/>
    <n v="6"/>
    <n v="1"/>
    <n v="46"/>
  </r>
  <r>
    <x v="2"/>
    <x v="4"/>
    <n v="6"/>
    <n v="5"/>
    <n v="1"/>
    <n v="3"/>
    <n v="0"/>
    <n v="15"/>
  </r>
  <r>
    <x v="2"/>
    <x v="5"/>
    <n v="2"/>
    <n v="6"/>
    <n v="0"/>
    <n v="3"/>
    <n v="2"/>
    <n v="13"/>
  </r>
  <r>
    <x v="2"/>
    <x v="6"/>
    <n v="0"/>
    <n v="6"/>
    <n v="0"/>
    <n v="8"/>
    <n v="0"/>
    <n v="14"/>
  </r>
  <r>
    <x v="2"/>
    <x v="7"/>
    <n v="1"/>
    <n v="3"/>
    <n v="0"/>
    <n v="6"/>
    <n v="1"/>
    <n v="11"/>
  </r>
  <r>
    <x v="2"/>
    <x v="8"/>
    <n v="0"/>
    <n v="0"/>
    <n v="1"/>
    <n v="4"/>
    <n v="0"/>
    <n v="5"/>
  </r>
  <r>
    <x v="2"/>
    <x v="10"/>
    <n v="0"/>
    <n v="1"/>
    <n v="0"/>
    <n v="1"/>
    <n v="0"/>
    <n v="2"/>
  </r>
  <r>
    <x v="3"/>
    <x v="0"/>
    <n v="17"/>
    <n v="39"/>
    <n v="3"/>
    <n v="14"/>
    <n v="0"/>
    <n v="73"/>
  </r>
  <r>
    <x v="3"/>
    <x v="1"/>
    <n v="44"/>
    <n v="38"/>
    <n v="2"/>
    <n v="18"/>
    <n v="1"/>
    <n v="103"/>
  </r>
  <r>
    <x v="3"/>
    <x v="2"/>
    <n v="44"/>
    <n v="35"/>
    <n v="2"/>
    <n v="16"/>
    <n v="2"/>
    <n v="99"/>
  </r>
  <r>
    <x v="3"/>
    <x v="3"/>
    <n v="17"/>
    <n v="16"/>
    <n v="2"/>
    <n v="9"/>
    <n v="2"/>
    <n v="46"/>
  </r>
  <r>
    <x v="3"/>
    <x v="4"/>
    <n v="8"/>
    <n v="14"/>
    <n v="0"/>
    <n v="15"/>
    <n v="3"/>
    <n v="40"/>
  </r>
  <r>
    <x v="3"/>
    <x v="5"/>
    <n v="3"/>
    <n v="9"/>
    <n v="0"/>
    <n v="12"/>
    <n v="0"/>
    <n v="24"/>
  </r>
  <r>
    <x v="3"/>
    <x v="6"/>
    <n v="1"/>
    <n v="5"/>
    <n v="0"/>
    <n v="14"/>
    <n v="2"/>
    <n v="22"/>
  </r>
  <r>
    <x v="3"/>
    <x v="7"/>
    <n v="0"/>
    <n v="1"/>
    <n v="0"/>
    <n v="21"/>
    <n v="0"/>
    <n v="22"/>
  </r>
  <r>
    <x v="3"/>
    <x v="8"/>
    <n v="0"/>
    <n v="1"/>
    <n v="0"/>
    <n v="14"/>
    <n v="0"/>
    <n v="15"/>
  </r>
  <r>
    <x v="3"/>
    <x v="9"/>
    <n v="0"/>
    <n v="0"/>
    <n v="0"/>
    <n v="2"/>
    <n v="0"/>
    <n v="2"/>
  </r>
  <r>
    <x v="3"/>
    <x v="10"/>
    <n v="0"/>
    <n v="3"/>
    <n v="0"/>
    <n v="0"/>
    <n v="0"/>
    <n v="3"/>
  </r>
  <r>
    <x v="4"/>
    <x v="0"/>
    <n v="27"/>
    <n v="39"/>
    <n v="1"/>
    <n v="3"/>
    <n v="3"/>
    <n v="73"/>
  </r>
  <r>
    <x v="4"/>
    <x v="1"/>
    <n v="67"/>
    <n v="39"/>
    <n v="6"/>
    <n v="8"/>
    <n v="1"/>
    <n v="121"/>
  </r>
  <r>
    <x v="4"/>
    <x v="2"/>
    <n v="68"/>
    <n v="44"/>
    <n v="5"/>
    <n v="16"/>
    <n v="2"/>
    <n v="135"/>
  </r>
  <r>
    <x v="4"/>
    <x v="3"/>
    <n v="41"/>
    <n v="29"/>
    <n v="2"/>
    <n v="7"/>
    <n v="2"/>
    <n v="81"/>
  </r>
  <r>
    <x v="4"/>
    <x v="4"/>
    <n v="16"/>
    <n v="21"/>
    <n v="2"/>
    <n v="4"/>
    <n v="2"/>
    <n v="45"/>
  </r>
  <r>
    <x v="4"/>
    <x v="5"/>
    <n v="3"/>
    <n v="5"/>
    <n v="1"/>
    <n v="3"/>
    <n v="1"/>
    <n v="13"/>
  </r>
  <r>
    <x v="4"/>
    <x v="6"/>
    <n v="3"/>
    <n v="6"/>
    <n v="1"/>
    <n v="11"/>
    <n v="1"/>
    <n v="22"/>
  </r>
  <r>
    <x v="4"/>
    <x v="7"/>
    <n v="1"/>
    <n v="11"/>
    <n v="0"/>
    <n v="10"/>
    <n v="3"/>
    <n v="25"/>
  </r>
  <r>
    <x v="4"/>
    <x v="8"/>
    <n v="0"/>
    <n v="2"/>
    <n v="0"/>
    <n v="1"/>
    <n v="0"/>
    <n v="3"/>
  </r>
  <r>
    <x v="4"/>
    <x v="9"/>
    <n v="0"/>
    <n v="0"/>
    <n v="0"/>
    <n v="1"/>
    <n v="0"/>
    <n v="1"/>
  </r>
  <r>
    <x v="4"/>
    <x v="10"/>
    <n v="0"/>
    <n v="3"/>
    <n v="0"/>
    <n v="0"/>
    <n v="0"/>
    <n v="3"/>
  </r>
  <r>
    <x v="5"/>
    <x v="0"/>
    <n v="10"/>
    <n v="58"/>
    <n v="1"/>
    <n v="2"/>
    <n v="1"/>
    <n v="72"/>
  </r>
  <r>
    <x v="5"/>
    <x v="1"/>
    <n v="34"/>
    <n v="51"/>
    <n v="0"/>
    <n v="8"/>
    <n v="4"/>
    <n v="97"/>
  </r>
  <r>
    <x v="5"/>
    <x v="2"/>
    <n v="20"/>
    <n v="44"/>
    <n v="0"/>
    <n v="10"/>
    <n v="1"/>
    <n v="75"/>
  </r>
  <r>
    <x v="5"/>
    <x v="3"/>
    <n v="17"/>
    <n v="34"/>
    <n v="0"/>
    <n v="6"/>
    <n v="2"/>
    <n v="59"/>
  </r>
  <r>
    <x v="5"/>
    <x v="4"/>
    <n v="4"/>
    <n v="23"/>
    <n v="0"/>
    <n v="6"/>
    <n v="2"/>
    <n v="35"/>
  </r>
  <r>
    <x v="5"/>
    <x v="5"/>
    <n v="2"/>
    <n v="16"/>
    <n v="0"/>
    <n v="11"/>
    <n v="4"/>
    <n v="33"/>
  </r>
  <r>
    <x v="5"/>
    <x v="6"/>
    <n v="4"/>
    <n v="6"/>
    <n v="0"/>
    <n v="10"/>
    <n v="2"/>
    <n v="22"/>
  </r>
  <r>
    <x v="5"/>
    <x v="7"/>
    <n v="1"/>
    <n v="4"/>
    <n v="0"/>
    <n v="15"/>
    <n v="2"/>
    <n v="22"/>
  </r>
  <r>
    <x v="5"/>
    <x v="8"/>
    <n v="0"/>
    <n v="1"/>
    <n v="0"/>
    <n v="2"/>
    <n v="0"/>
    <n v="3"/>
  </r>
  <r>
    <x v="5"/>
    <x v="9"/>
    <n v="0"/>
    <n v="1"/>
    <n v="0"/>
    <n v="0"/>
    <n v="0"/>
    <n v="1"/>
  </r>
  <r>
    <x v="5"/>
    <x v="11"/>
    <n v="0"/>
    <n v="1"/>
    <n v="0"/>
    <n v="0"/>
    <n v="0"/>
    <n v="1"/>
  </r>
  <r>
    <x v="5"/>
    <x v="10"/>
    <n v="0"/>
    <n v="9"/>
    <n v="0"/>
    <n v="3"/>
    <n v="0"/>
    <n v="12"/>
  </r>
  <r>
    <x v="6"/>
    <x v="0"/>
    <n v="12"/>
    <n v="56"/>
    <n v="3"/>
    <n v="5"/>
    <n v="3"/>
    <n v="79"/>
  </r>
  <r>
    <x v="6"/>
    <x v="1"/>
    <n v="45"/>
    <n v="36"/>
    <n v="1"/>
    <n v="10"/>
    <n v="1"/>
    <n v="93"/>
  </r>
  <r>
    <x v="6"/>
    <x v="2"/>
    <n v="34"/>
    <n v="29"/>
    <n v="1"/>
    <n v="5"/>
    <n v="1"/>
    <n v="70"/>
  </r>
  <r>
    <x v="6"/>
    <x v="3"/>
    <n v="26"/>
    <n v="41"/>
    <n v="2"/>
    <n v="5"/>
    <n v="5"/>
    <n v="79"/>
  </r>
  <r>
    <x v="6"/>
    <x v="4"/>
    <n v="15"/>
    <n v="12"/>
    <n v="0"/>
    <n v="6"/>
    <n v="4"/>
    <n v="37"/>
  </r>
  <r>
    <x v="6"/>
    <x v="5"/>
    <n v="0"/>
    <n v="12"/>
    <n v="1"/>
    <n v="5"/>
    <n v="1"/>
    <n v="19"/>
  </r>
  <r>
    <x v="6"/>
    <x v="6"/>
    <n v="0"/>
    <n v="5"/>
    <n v="0"/>
    <n v="7"/>
    <n v="4"/>
    <n v="16"/>
  </r>
  <r>
    <x v="6"/>
    <x v="7"/>
    <n v="0"/>
    <n v="7"/>
    <n v="1"/>
    <n v="8"/>
    <n v="2"/>
    <n v="18"/>
  </r>
  <r>
    <x v="6"/>
    <x v="8"/>
    <n v="0"/>
    <n v="3"/>
    <n v="0"/>
    <n v="2"/>
    <n v="1"/>
    <n v="6"/>
  </r>
  <r>
    <x v="6"/>
    <x v="10"/>
    <n v="0"/>
    <n v="5"/>
    <n v="1"/>
    <n v="2"/>
    <n v="0"/>
    <n v="8"/>
  </r>
  <r>
    <x v="7"/>
    <x v="0"/>
    <n v="13"/>
    <n v="42"/>
    <n v="1"/>
    <n v="5"/>
    <n v="1"/>
    <n v="62"/>
  </r>
  <r>
    <x v="7"/>
    <x v="1"/>
    <n v="31"/>
    <n v="43"/>
    <n v="9"/>
    <n v="5"/>
    <n v="0"/>
    <n v="88"/>
  </r>
  <r>
    <x v="7"/>
    <x v="2"/>
    <n v="17"/>
    <n v="44"/>
    <n v="3"/>
    <n v="5"/>
    <n v="0"/>
    <n v="69"/>
  </r>
  <r>
    <x v="7"/>
    <x v="3"/>
    <n v="14"/>
    <n v="29"/>
    <n v="4"/>
    <n v="7"/>
    <n v="1"/>
    <n v="55"/>
  </r>
  <r>
    <x v="7"/>
    <x v="4"/>
    <n v="4"/>
    <n v="37"/>
    <n v="0"/>
    <n v="8"/>
    <n v="1"/>
    <n v="50"/>
  </r>
  <r>
    <x v="7"/>
    <x v="5"/>
    <n v="0"/>
    <n v="12"/>
    <n v="0"/>
    <n v="5"/>
    <n v="1"/>
    <n v="18"/>
  </r>
  <r>
    <x v="7"/>
    <x v="6"/>
    <n v="0"/>
    <n v="12"/>
    <n v="1"/>
    <n v="10"/>
    <n v="1"/>
    <n v="24"/>
  </r>
  <r>
    <x v="7"/>
    <x v="7"/>
    <n v="1"/>
    <n v="0"/>
    <n v="0"/>
    <n v="16"/>
    <n v="0"/>
    <n v="17"/>
  </r>
  <r>
    <x v="7"/>
    <x v="8"/>
    <n v="0"/>
    <n v="1"/>
    <n v="0"/>
    <n v="3"/>
    <n v="0"/>
    <n v="4"/>
  </r>
  <r>
    <x v="7"/>
    <x v="11"/>
    <n v="0"/>
    <n v="0"/>
    <n v="0"/>
    <n v="1"/>
    <n v="0"/>
    <n v="1"/>
  </r>
  <r>
    <x v="7"/>
    <x v="10"/>
    <n v="0"/>
    <n v="9"/>
    <n v="0"/>
    <n v="3"/>
    <n v="0"/>
    <n v="12"/>
  </r>
</pivotCacheRecords>
</file>

<file path=xl/pivotCache/pivotCacheRecords36.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21">
  <r>
    <x v="0"/>
    <x v="0"/>
    <m/>
    <n v="1.6194331983805668"/>
    <m/>
    <n v="2.1739130434782608"/>
    <m/>
  </r>
  <r>
    <x v="1"/>
    <x v="0"/>
    <m/>
    <n v="0.89686098654708524"/>
    <m/>
    <m/>
    <m/>
  </r>
  <r>
    <x v="2"/>
    <x v="0"/>
    <n v="0.92592592592592582"/>
    <n v="0.75187969924812026"/>
    <m/>
    <n v="5.3571428571428568"/>
    <m/>
  </r>
  <r>
    <x v="3"/>
    <x v="0"/>
    <n v="1.4705882352941175"/>
    <n v="0.6211180124223602"/>
    <m/>
    <n v="6.0150375939849621"/>
    <m/>
  </r>
  <r>
    <x v="4"/>
    <x v="0"/>
    <m/>
    <m/>
    <m/>
    <n v="2.7397260273972601"/>
    <m/>
  </r>
  <r>
    <x v="5"/>
    <x v="0"/>
    <m/>
    <n v="0.43668122270742354"/>
    <m/>
    <n v="4.4117647058823533"/>
    <m/>
  </r>
  <r>
    <x v="0"/>
    <x v="1"/>
    <n v="59.27835051546392"/>
    <n v="44.534412955465584"/>
    <n v="62.068965517241381"/>
    <n v="43.478260869565219"/>
    <n v="100"/>
  </r>
  <r>
    <x v="1"/>
    <x v="1"/>
    <n v="85.714285714285708"/>
    <n v="88.340807174887885"/>
    <m/>
    <n v="62.68656716417911"/>
    <n v="95.238095238095227"/>
  </r>
  <r>
    <x v="2"/>
    <x v="1"/>
    <n v="77.777777777777786"/>
    <n v="90.977443609022558"/>
    <n v="40"/>
    <n v="55.357142857142854"/>
    <n v="100"/>
  </r>
  <r>
    <x v="3"/>
    <x v="1"/>
    <n v="81.617647058823522"/>
    <n v="94.409937888198755"/>
    <n v="77.777777777777786"/>
    <n v="58.646616541353382"/>
    <n v="100"/>
  </r>
  <r>
    <x v="6"/>
    <x v="1"/>
    <n v="82.222222222222214"/>
    <n v="92.964824120603012"/>
    <n v="90"/>
    <n v="73.015873015873012"/>
    <n v="93.333333333333329"/>
  </r>
  <r>
    <x v="4"/>
    <x v="1"/>
    <n v="95.061728395061735"/>
    <n v="94.354838709677423"/>
    <n v="100"/>
    <n v="69.863013698630141"/>
    <n v="100"/>
  </r>
  <r>
    <x v="7"/>
    <x v="1"/>
    <n v="100"/>
    <n v="100"/>
    <n v="100"/>
    <n v="100"/>
    <n v="100"/>
  </r>
  <r>
    <x v="5"/>
    <x v="1"/>
    <n v="93.589743589743591"/>
    <n v="94.32314410480349"/>
    <n v="100"/>
    <n v="75"/>
    <n v="100"/>
  </r>
  <r>
    <x v="0"/>
    <x v="2"/>
    <n v="40.72164948453608"/>
    <n v="53.846153846153847"/>
    <n v="37.931034482758619"/>
    <n v="54.347826086956516"/>
    <m/>
  </r>
  <r>
    <x v="1"/>
    <x v="2"/>
    <n v="14.285714285714285"/>
    <n v="10.762331838565023"/>
    <m/>
    <n v="37.313432835820898"/>
    <n v="4.7619047619047619"/>
  </r>
  <r>
    <x v="2"/>
    <x v="2"/>
    <n v="21.296296296296298"/>
    <n v="8.2706766917293226"/>
    <n v="60"/>
    <n v="39.285714285714285"/>
    <m/>
  </r>
  <r>
    <x v="3"/>
    <x v="2"/>
    <n v="16.911764705882355"/>
    <n v="4.9689440993788816"/>
    <n v="22.222222222222221"/>
    <n v="35.338345864661655"/>
    <m/>
  </r>
  <r>
    <x v="6"/>
    <x v="2"/>
    <n v="17.777777777777779"/>
    <n v="7.0351758793969852"/>
    <n v="10"/>
    <n v="26.984126984126984"/>
    <n v="6.666666666666667"/>
  </r>
  <r>
    <x v="4"/>
    <x v="2"/>
    <n v="4.9382716049382713"/>
    <n v="5.6451612903225801"/>
    <m/>
    <n v="27.397260273972602"/>
    <m/>
  </r>
  <r>
    <x v="5"/>
    <x v="2"/>
    <n v="6.4102564102564097"/>
    <n v="5.2401746724890828"/>
    <m/>
    <n v="20.588235294117645"/>
    <m/>
  </r>
</pivotCacheRecords>
</file>

<file path=xl/pivotCache/pivotCacheRecords37.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20">
  <r>
    <x v="0"/>
    <x v="0"/>
    <n v="3.608247422680412"/>
    <n v="1.214574898785425"/>
    <m/>
    <n v="2.1739130434782608"/>
    <m/>
  </r>
  <r>
    <x v="1"/>
    <x v="0"/>
    <n v="0.84033613445378152"/>
    <n v="0.44843049327354262"/>
    <m/>
    <n v="4.4776119402985071"/>
    <m/>
  </r>
  <r>
    <x v="2"/>
    <x v="0"/>
    <m/>
    <m/>
    <m/>
    <n v="3.5714285714285712"/>
    <m/>
  </r>
  <r>
    <x v="3"/>
    <x v="0"/>
    <n v="1.3333333333333335"/>
    <m/>
    <m/>
    <m/>
    <m/>
  </r>
  <r>
    <x v="4"/>
    <x v="0"/>
    <m/>
    <m/>
    <m/>
    <n v="2.7397260273972601"/>
    <m/>
  </r>
  <r>
    <x v="0"/>
    <x v="1"/>
    <n v="38.144329896907216"/>
    <n v="54.251012145748987"/>
    <n v="34.482758620689658"/>
    <n v="48.913043478260867"/>
    <m/>
  </r>
  <r>
    <x v="1"/>
    <x v="1"/>
    <n v="9.2436974789915975"/>
    <n v="8.5201793721973083"/>
    <m/>
    <n v="23.880597014925371"/>
    <m/>
  </r>
  <r>
    <x v="2"/>
    <x v="1"/>
    <n v="15.74074074074074"/>
    <n v="7.518796992481203"/>
    <n v="60"/>
    <n v="30.357142857142854"/>
    <m/>
  </r>
  <r>
    <x v="5"/>
    <x v="1"/>
    <n v="16.911764705882355"/>
    <n v="3.7267080745341614"/>
    <n v="22.222222222222221"/>
    <n v="31.578947368421051"/>
    <m/>
  </r>
  <r>
    <x v="3"/>
    <x v="1"/>
    <n v="16"/>
    <n v="4.5226130653266337"/>
    <n v="10"/>
    <n v="20.634920634920633"/>
    <m/>
  </r>
  <r>
    <x v="4"/>
    <x v="1"/>
    <n v="4.9382716049382713"/>
    <n v="3.225806451612903"/>
    <m/>
    <n v="16.43835616438356"/>
    <m/>
  </r>
  <r>
    <x v="6"/>
    <x v="1"/>
    <n v="6.4102564102564097"/>
    <n v="4.3668122270742353"/>
    <m/>
    <n v="16.176470588235293"/>
    <m/>
  </r>
  <r>
    <x v="0"/>
    <x v="2"/>
    <n v="58.247422680412377"/>
    <n v="44.534412955465584"/>
    <n v="65.517241379310349"/>
    <n v="48.913043478260867"/>
    <n v="100"/>
  </r>
  <r>
    <x v="1"/>
    <x v="2"/>
    <n v="89.915966386554629"/>
    <n v="91.031390134529147"/>
    <m/>
    <n v="71.641791044776113"/>
    <n v="100"/>
  </r>
  <r>
    <x v="2"/>
    <x v="2"/>
    <n v="84.259259259259252"/>
    <n v="92.481203007518801"/>
    <n v="40"/>
    <n v="66.071428571428569"/>
    <n v="100"/>
  </r>
  <r>
    <x v="5"/>
    <x v="2"/>
    <n v="83.088235294117652"/>
    <n v="96.273291925465841"/>
    <n v="77.777777777777786"/>
    <n v="68.421052631578945"/>
    <n v="100"/>
  </r>
  <r>
    <x v="3"/>
    <x v="2"/>
    <n v="82.666666666666671"/>
    <n v="95.477386934673376"/>
    <n v="90"/>
    <n v="79.365079365079367"/>
    <n v="100"/>
  </r>
  <r>
    <x v="4"/>
    <x v="2"/>
    <n v="95.061728395061735"/>
    <n v="96.774193548387103"/>
    <n v="100"/>
    <n v="80.821917808219183"/>
    <n v="100"/>
  </r>
  <r>
    <x v="7"/>
    <x v="2"/>
    <n v="100"/>
    <n v="100"/>
    <n v="100"/>
    <n v="100"/>
    <n v="100"/>
  </r>
  <r>
    <x v="6"/>
    <x v="2"/>
    <n v="93.589743589743591"/>
    <n v="95.633187772925766"/>
    <n v="100"/>
    <n v="83.82352941176471"/>
    <n v="100"/>
  </r>
</pivotCacheRecords>
</file>

<file path=xl/pivotCache/pivotCacheRecords38.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58">
  <r>
    <x v="0"/>
    <x v="0"/>
    <m/>
    <m/>
    <m/>
    <m/>
    <n v="15"/>
    <n v="2"/>
  </r>
  <r>
    <x v="1"/>
    <x v="1"/>
    <n v="822"/>
    <n v="510"/>
    <m/>
    <n v="35"/>
    <n v="118"/>
    <n v="65"/>
  </r>
  <r>
    <x v="2"/>
    <x v="2"/>
    <n v="667"/>
    <n v="352"/>
    <m/>
    <n v="23"/>
    <n v="73"/>
    <n v="30"/>
  </r>
  <r>
    <x v="2"/>
    <x v="3"/>
    <n v="51"/>
    <n v="181"/>
    <m/>
    <n v="34"/>
    <n v="124"/>
    <n v="36"/>
  </r>
  <r>
    <x v="3"/>
    <x v="4"/>
    <n v="144"/>
    <n v="295"/>
    <m/>
    <n v="16"/>
    <n v="41"/>
    <n v="20"/>
  </r>
  <r>
    <x v="4"/>
    <x v="5"/>
    <n v="775"/>
    <n v="499"/>
    <m/>
    <n v="33"/>
    <n v="140"/>
    <n v="80"/>
  </r>
  <r>
    <x v="5"/>
    <x v="4"/>
    <n v="246"/>
    <n v="313"/>
    <n v="3"/>
    <n v="21"/>
    <n v="51"/>
    <n v="15"/>
  </r>
  <r>
    <x v="6"/>
    <x v="6"/>
    <n v="727"/>
    <n v="383"/>
    <n v="3"/>
    <n v="20"/>
    <n v="114"/>
    <n v="44"/>
  </r>
  <r>
    <x v="7"/>
    <x v="7"/>
    <n v="22"/>
    <n v="115"/>
    <n v="3"/>
    <n v="4"/>
    <n v="111"/>
    <n v="23"/>
  </r>
  <r>
    <x v="8"/>
    <x v="8"/>
    <n v="60"/>
    <n v="125"/>
    <m/>
    <n v="1"/>
    <n v="23"/>
    <n v="4"/>
  </r>
  <r>
    <x v="8"/>
    <x v="5"/>
    <n v="598"/>
    <n v="362"/>
    <n v="12"/>
    <n v="24"/>
    <n v="150"/>
    <n v="60"/>
  </r>
  <r>
    <x v="8"/>
    <x v="9"/>
    <n v="1"/>
    <n v="23"/>
    <m/>
    <m/>
    <n v="40"/>
    <n v="8"/>
  </r>
  <r>
    <x v="9"/>
    <x v="4"/>
    <n v="253"/>
    <n v="257"/>
    <m/>
    <n v="18"/>
    <n v="43"/>
    <n v="13"/>
  </r>
  <r>
    <x v="9"/>
    <x v="1"/>
    <n v="632"/>
    <n v="387"/>
    <n v="14"/>
    <n v="20"/>
    <n v="97"/>
    <n v="30"/>
  </r>
  <r>
    <x v="0"/>
    <x v="1"/>
    <n v="888"/>
    <n v="540"/>
    <m/>
    <n v="34"/>
    <n v="142"/>
    <n v="63"/>
  </r>
  <r>
    <x v="0"/>
    <x v="10"/>
    <m/>
    <n v="13"/>
    <m/>
    <m/>
    <m/>
    <n v="29"/>
  </r>
  <r>
    <x v="1"/>
    <x v="11"/>
    <n v="529"/>
    <n v="337"/>
    <m/>
    <n v="18"/>
    <n v="52"/>
    <n v="34"/>
  </r>
  <r>
    <x v="1"/>
    <x v="6"/>
    <n v="1006"/>
    <n v="627"/>
    <m/>
    <n v="41"/>
    <n v="149"/>
    <n v="89"/>
  </r>
  <r>
    <x v="1"/>
    <x v="5"/>
    <n v="554"/>
    <n v="398"/>
    <m/>
    <n v="48"/>
    <n v="148"/>
    <n v="53"/>
  </r>
  <r>
    <x v="2"/>
    <x v="8"/>
    <n v="38"/>
    <n v="180"/>
    <m/>
    <n v="5"/>
    <n v="20"/>
    <n v="15"/>
  </r>
  <r>
    <x v="3"/>
    <x v="11"/>
    <n v="398"/>
    <n v="337"/>
    <m/>
    <n v="13"/>
    <n v="71"/>
    <n v="26"/>
  </r>
  <r>
    <x v="3"/>
    <x v="2"/>
    <n v="661"/>
    <n v="387"/>
    <m/>
    <n v="21"/>
    <n v="73"/>
    <n v="35"/>
  </r>
  <r>
    <x v="3"/>
    <x v="3"/>
    <n v="73"/>
    <n v="178"/>
    <m/>
    <n v="25"/>
    <n v="133"/>
    <n v="35"/>
  </r>
  <r>
    <x v="4"/>
    <x v="4"/>
    <n v="149"/>
    <n v="298"/>
    <m/>
    <n v="23"/>
    <n v="35"/>
    <n v="19"/>
  </r>
  <r>
    <x v="4"/>
    <x v="3"/>
    <n v="124"/>
    <n v="237"/>
    <m/>
    <n v="29"/>
    <n v="141"/>
    <n v="31"/>
  </r>
  <r>
    <x v="10"/>
    <x v="4"/>
    <n v="214"/>
    <n v="308"/>
    <n v="1"/>
    <n v="25"/>
    <n v="40"/>
    <n v="19"/>
  </r>
  <r>
    <x v="10"/>
    <x v="2"/>
    <n v="595"/>
    <n v="383"/>
    <n v="2"/>
    <n v="24"/>
    <n v="71"/>
    <n v="29"/>
  </r>
  <r>
    <x v="10"/>
    <x v="6"/>
    <n v="828"/>
    <n v="466"/>
    <n v="2"/>
    <n v="27"/>
    <n v="134"/>
    <n v="57"/>
  </r>
  <r>
    <x v="5"/>
    <x v="5"/>
    <n v="740"/>
    <n v="495"/>
    <n v="10"/>
    <n v="27"/>
    <n v="151"/>
    <n v="72"/>
  </r>
  <r>
    <x v="6"/>
    <x v="9"/>
    <n v="1"/>
    <n v="28"/>
    <m/>
    <n v="1"/>
    <n v="38"/>
    <n v="11"/>
  </r>
  <r>
    <x v="7"/>
    <x v="11"/>
    <n v="404"/>
    <n v="360"/>
    <n v="4"/>
    <n v="26"/>
    <n v="75"/>
    <n v="15"/>
  </r>
  <r>
    <x v="7"/>
    <x v="1"/>
    <n v="714"/>
    <n v="382"/>
    <n v="5"/>
    <n v="23"/>
    <n v="95"/>
    <n v="29"/>
  </r>
  <r>
    <x v="7"/>
    <x v="3"/>
    <n v="187"/>
    <n v="326"/>
    <n v="15"/>
    <n v="24"/>
    <n v="164"/>
    <n v="49"/>
  </r>
  <r>
    <x v="11"/>
    <x v="4"/>
    <n v="239"/>
    <n v="264"/>
    <m/>
    <n v="23"/>
    <n v="45"/>
    <n v="15"/>
  </r>
  <r>
    <x v="11"/>
    <x v="6"/>
    <n v="691"/>
    <n v="314"/>
    <n v="3"/>
    <n v="14"/>
    <n v="104"/>
    <n v="27"/>
  </r>
  <r>
    <x v="11"/>
    <x v="5"/>
    <n v="579"/>
    <n v="319"/>
    <n v="8"/>
    <n v="25"/>
    <n v="145"/>
    <n v="56"/>
  </r>
  <r>
    <x v="11"/>
    <x v="9"/>
    <n v="2"/>
    <n v="29"/>
    <m/>
    <m/>
    <n v="45"/>
    <n v="11"/>
  </r>
  <r>
    <x v="11"/>
    <x v="10"/>
    <m/>
    <n v="9"/>
    <m/>
    <m/>
    <n v="3"/>
    <m/>
  </r>
  <r>
    <x v="12"/>
    <x v="6"/>
    <n v="703"/>
    <n v="327"/>
    <n v="7"/>
    <n v="21"/>
    <n v="100"/>
    <n v="24"/>
  </r>
  <r>
    <x v="1"/>
    <x v="8"/>
    <n v="47"/>
    <n v="159"/>
    <m/>
    <n v="9"/>
    <n v="17"/>
    <n v="20"/>
  </r>
  <r>
    <x v="1"/>
    <x v="4"/>
    <n v="179"/>
    <n v="287"/>
    <m/>
    <n v="17"/>
    <n v="41"/>
    <n v="23"/>
  </r>
  <r>
    <x v="1"/>
    <x v="9"/>
    <m/>
    <n v="2"/>
    <m/>
    <m/>
    <n v="17"/>
    <n v="1"/>
  </r>
  <r>
    <x v="2"/>
    <x v="9"/>
    <m/>
    <n v="5"/>
    <m/>
    <m/>
    <n v="12"/>
    <n v="2"/>
  </r>
  <r>
    <x v="3"/>
    <x v="9"/>
    <m/>
    <n v="3"/>
    <m/>
    <m/>
    <n v="16"/>
    <n v="1"/>
  </r>
  <r>
    <x v="4"/>
    <x v="2"/>
    <n v="605"/>
    <n v="375"/>
    <m/>
    <n v="22"/>
    <n v="70"/>
    <n v="35"/>
  </r>
  <r>
    <x v="4"/>
    <x v="6"/>
    <n v="880"/>
    <n v="494"/>
    <m/>
    <n v="27"/>
    <n v="139"/>
    <n v="62"/>
  </r>
  <r>
    <x v="10"/>
    <x v="5"/>
    <n v="749"/>
    <n v="508"/>
    <n v="6"/>
    <n v="28"/>
    <n v="132"/>
    <n v="73"/>
  </r>
  <r>
    <x v="10"/>
    <x v="3"/>
    <n v="168"/>
    <n v="264"/>
    <n v="4"/>
    <n v="30"/>
    <n v="126"/>
    <n v="39"/>
  </r>
  <r>
    <x v="10"/>
    <x v="7"/>
    <n v="9"/>
    <n v="95"/>
    <m/>
    <n v="5"/>
    <n v="89"/>
    <n v="20"/>
  </r>
  <r>
    <x v="5"/>
    <x v="6"/>
    <n v="775"/>
    <n v="421"/>
    <n v="3"/>
    <n v="22"/>
    <n v="114"/>
    <n v="53"/>
  </r>
  <r>
    <x v="6"/>
    <x v="2"/>
    <n v="529"/>
    <n v="402"/>
    <n v="8"/>
    <n v="19"/>
    <n v="80"/>
    <n v="36"/>
  </r>
  <r>
    <x v="7"/>
    <x v="12"/>
    <n v="1"/>
    <n v="4"/>
    <m/>
    <m/>
    <n v="3"/>
    <n v="1"/>
  </r>
  <r>
    <x v="8"/>
    <x v="11"/>
    <n v="498"/>
    <n v="383"/>
    <n v="6"/>
    <n v="26"/>
    <n v="69"/>
    <n v="17"/>
  </r>
  <r>
    <x v="8"/>
    <x v="1"/>
    <n v="675"/>
    <n v="390"/>
    <n v="8"/>
    <n v="24"/>
    <n v="90"/>
    <n v="32"/>
  </r>
  <r>
    <x v="11"/>
    <x v="11"/>
    <n v="493"/>
    <n v="391"/>
    <n v="3"/>
    <n v="25"/>
    <n v="73"/>
    <n v="16"/>
  </r>
  <r>
    <x v="11"/>
    <x v="7"/>
    <n v="24"/>
    <n v="127"/>
    <n v="8"/>
    <n v="7"/>
    <n v="108"/>
    <n v="23"/>
  </r>
  <r>
    <x v="11"/>
    <x v="12"/>
    <m/>
    <n v="6"/>
    <m/>
    <m/>
    <n v="6"/>
    <n v="4"/>
  </r>
  <r>
    <x v="9"/>
    <x v="6"/>
    <n v="705"/>
    <n v="305"/>
    <n v="4"/>
    <n v="17"/>
    <n v="100"/>
    <n v="23"/>
  </r>
  <r>
    <x v="9"/>
    <x v="13"/>
    <m/>
    <m/>
    <m/>
    <m/>
    <n v="1"/>
    <m/>
  </r>
  <r>
    <x v="9"/>
    <x v="10"/>
    <m/>
    <n v="5"/>
    <m/>
    <n v="1"/>
    <n v="5"/>
    <m/>
  </r>
  <r>
    <x v="1"/>
    <x v="7"/>
    <n v="1"/>
    <n v="71"/>
    <m/>
    <n v="4"/>
    <n v="93"/>
    <n v="9"/>
  </r>
  <r>
    <x v="2"/>
    <x v="5"/>
    <n v="618"/>
    <n v="432"/>
    <m/>
    <n v="42"/>
    <n v="139"/>
    <n v="56"/>
  </r>
  <r>
    <x v="3"/>
    <x v="5"/>
    <n v="658"/>
    <n v="460"/>
    <m/>
    <n v="36"/>
    <n v="135"/>
    <n v="65"/>
  </r>
  <r>
    <x v="3"/>
    <x v="10"/>
    <m/>
    <n v="16"/>
    <m/>
    <m/>
    <n v="1"/>
    <n v="1"/>
  </r>
  <r>
    <x v="10"/>
    <x v="8"/>
    <n v="47"/>
    <n v="140"/>
    <m/>
    <n v="12"/>
    <n v="18"/>
    <n v="13"/>
  </r>
  <r>
    <x v="10"/>
    <x v="1"/>
    <n v="687"/>
    <n v="374"/>
    <n v="2"/>
    <n v="20"/>
    <n v="91"/>
    <n v="33"/>
  </r>
  <r>
    <x v="5"/>
    <x v="11"/>
    <n v="360"/>
    <n v="366"/>
    <n v="4"/>
    <n v="38"/>
    <n v="61"/>
    <n v="26"/>
  </r>
  <r>
    <x v="7"/>
    <x v="8"/>
    <n v="35"/>
    <n v="123"/>
    <m/>
    <n v="4"/>
    <n v="27"/>
    <n v="5"/>
  </r>
  <r>
    <x v="7"/>
    <x v="5"/>
    <n v="720"/>
    <n v="405"/>
    <n v="14"/>
    <n v="28"/>
    <n v="158"/>
    <n v="67"/>
  </r>
  <r>
    <x v="7"/>
    <x v="9"/>
    <m/>
    <n v="23"/>
    <m/>
    <n v="1"/>
    <n v="33"/>
    <n v="9"/>
  </r>
  <r>
    <x v="8"/>
    <x v="4"/>
    <n v="260"/>
    <n v="268"/>
    <n v="1"/>
    <n v="24"/>
    <n v="50"/>
    <n v="11"/>
  </r>
  <r>
    <x v="8"/>
    <x v="2"/>
    <n v="540"/>
    <n v="417"/>
    <n v="4"/>
    <n v="31"/>
    <n v="96"/>
    <n v="29"/>
  </r>
  <r>
    <x v="11"/>
    <x v="1"/>
    <n v="649"/>
    <n v="373"/>
    <n v="10"/>
    <n v="22"/>
    <n v="88"/>
    <n v="29"/>
  </r>
  <r>
    <x v="11"/>
    <x v="3"/>
    <n v="182"/>
    <n v="316"/>
    <n v="18"/>
    <n v="18"/>
    <n v="164"/>
    <n v="56"/>
  </r>
  <r>
    <x v="9"/>
    <x v="11"/>
    <n v="501"/>
    <n v="382"/>
    <n v="3"/>
    <n v="24"/>
    <n v="78"/>
    <n v="14"/>
  </r>
  <r>
    <x v="12"/>
    <x v="11"/>
    <n v="478"/>
    <n v="361"/>
    <n v="2"/>
    <n v="32"/>
    <n v="68"/>
    <n v="13"/>
  </r>
  <r>
    <x v="12"/>
    <x v="1"/>
    <n v="586"/>
    <n v="410"/>
    <n v="11"/>
    <n v="17"/>
    <n v="106"/>
    <n v="35"/>
  </r>
  <r>
    <x v="12"/>
    <x v="3"/>
    <n v="217"/>
    <n v="288"/>
    <n v="20"/>
    <n v="17"/>
    <n v="181"/>
    <n v="56"/>
  </r>
  <r>
    <x v="12"/>
    <x v="9"/>
    <n v="5"/>
    <n v="35"/>
    <n v="1"/>
    <m/>
    <n v="35"/>
    <n v="13"/>
  </r>
  <r>
    <x v="1"/>
    <x v="2"/>
    <n v="668"/>
    <n v="350"/>
    <m/>
    <n v="27"/>
    <n v="94"/>
    <n v="30"/>
  </r>
  <r>
    <x v="1"/>
    <x v="3"/>
    <n v="50"/>
    <n v="202"/>
    <m/>
    <n v="31"/>
    <n v="132"/>
    <n v="33"/>
  </r>
  <r>
    <x v="1"/>
    <x v="10"/>
    <m/>
    <n v="7"/>
    <m/>
    <m/>
    <m/>
    <n v="21"/>
  </r>
  <r>
    <x v="2"/>
    <x v="11"/>
    <n v="438"/>
    <n v="335"/>
    <m/>
    <n v="15"/>
    <n v="64"/>
    <n v="27"/>
  </r>
  <r>
    <x v="2"/>
    <x v="6"/>
    <n v="978"/>
    <n v="576"/>
    <m/>
    <n v="39"/>
    <n v="144"/>
    <n v="76"/>
  </r>
  <r>
    <x v="2"/>
    <x v="12"/>
    <m/>
    <m/>
    <m/>
    <m/>
    <n v="6"/>
    <m/>
  </r>
  <r>
    <x v="3"/>
    <x v="8"/>
    <n v="51"/>
    <n v="174"/>
    <m/>
    <n v="1"/>
    <n v="17"/>
    <n v="10"/>
  </r>
  <r>
    <x v="3"/>
    <x v="1"/>
    <n v="689"/>
    <n v="392"/>
    <m/>
    <n v="20"/>
    <n v="111"/>
    <n v="35"/>
  </r>
  <r>
    <x v="4"/>
    <x v="8"/>
    <n v="24"/>
    <n v="135"/>
    <m/>
    <n v="5"/>
    <n v="14"/>
    <n v="10"/>
  </r>
  <r>
    <x v="4"/>
    <x v="1"/>
    <n v="661"/>
    <n v="359"/>
    <m/>
    <n v="21"/>
    <n v="103"/>
    <n v="36"/>
  </r>
  <r>
    <x v="4"/>
    <x v="9"/>
    <n v="1"/>
    <n v="12"/>
    <m/>
    <m/>
    <n v="32"/>
    <n v="5"/>
  </r>
  <r>
    <x v="4"/>
    <x v="12"/>
    <m/>
    <n v="1"/>
    <m/>
    <m/>
    <n v="8"/>
    <m/>
  </r>
  <r>
    <x v="5"/>
    <x v="9"/>
    <n v="1"/>
    <n v="26"/>
    <m/>
    <n v="1"/>
    <n v="36"/>
    <n v="8"/>
  </r>
  <r>
    <x v="6"/>
    <x v="8"/>
    <n v="37"/>
    <n v="134"/>
    <m/>
    <n v="6"/>
    <n v="20"/>
    <n v="13"/>
  </r>
  <r>
    <x v="6"/>
    <x v="12"/>
    <m/>
    <n v="1"/>
    <m/>
    <m/>
    <n v="2"/>
    <n v="1"/>
  </r>
  <r>
    <x v="7"/>
    <x v="2"/>
    <n v="517"/>
    <n v="408"/>
    <n v="7"/>
    <n v="32"/>
    <n v="85"/>
    <n v="32"/>
  </r>
  <r>
    <x v="8"/>
    <x v="12"/>
    <n v="1"/>
    <n v="5"/>
    <m/>
    <m/>
    <n v="4"/>
    <n v="4"/>
  </r>
  <r>
    <x v="11"/>
    <x v="2"/>
    <n v="520"/>
    <n v="425"/>
    <n v="5"/>
    <n v="32"/>
    <n v="92"/>
    <n v="27"/>
  </r>
  <r>
    <x v="9"/>
    <x v="2"/>
    <n v="532"/>
    <n v="421"/>
    <n v="3"/>
    <n v="37"/>
    <n v="95"/>
    <n v="30"/>
  </r>
  <r>
    <x v="9"/>
    <x v="9"/>
    <n v="4"/>
    <n v="31"/>
    <m/>
    <m/>
    <n v="45"/>
    <n v="14"/>
  </r>
  <r>
    <x v="12"/>
    <x v="2"/>
    <n v="566"/>
    <n v="440"/>
    <n v="6"/>
    <n v="35"/>
    <n v="98"/>
    <n v="20"/>
  </r>
  <r>
    <x v="12"/>
    <x v="13"/>
    <m/>
    <m/>
    <m/>
    <m/>
    <m/>
    <n v="1"/>
  </r>
  <r>
    <x v="12"/>
    <x v="10"/>
    <m/>
    <n v="9"/>
    <m/>
    <m/>
    <n v="5"/>
    <m/>
  </r>
  <r>
    <x v="0"/>
    <x v="14"/>
    <n v="302"/>
    <n v="438"/>
    <m/>
    <n v="12"/>
    <n v="69"/>
    <n v="32"/>
  </r>
  <r>
    <x v="0"/>
    <x v="6"/>
    <n v="1024"/>
    <n v="635"/>
    <m/>
    <n v="42"/>
    <n v="153"/>
    <n v="89"/>
  </r>
  <r>
    <x v="0"/>
    <x v="15"/>
    <n v="47"/>
    <n v="253"/>
    <m/>
    <n v="37"/>
    <n v="248"/>
    <n v="38"/>
  </r>
  <r>
    <x v="1"/>
    <x v="12"/>
    <m/>
    <m/>
    <m/>
    <m/>
    <n v="6"/>
    <m/>
  </r>
  <r>
    <x v="2"/>
    <x v="7"/>
    <n v="2"/>
    <n v="62"/>
    <m/>
    <n v="2"/>
    <n v="99"/>
    <n v="14"/>
  </r>
  <r>
    <x v="2"/>
    <x v="16"/>
    <m/>
    <m/>
    <m/>
    <m/>
    <m/>
    <n v="12"/>
  </r>
  <r>
    <x v="3"/>
    <x v="6"/>
    <n v="968"/>
    <n v="555"/>
    <m/>
    <n v="29"/>
    <n v="144"/>
    <n v="70"/>
  </r>
  <r>
    <x v="3"/>
    <x v="12"/>
    <m/>
    <m/>
    <m/>
    <m/>
    <n v="5"/>
    <n v="1"/>
  </r>
  <r>
    <x v="4"/>
    <x v="11"/>
    <n v="320"/>
    <n v="366"/>
    <m/>
    <n v="26"/>
    <n v="71"/>
    <n v="32"/>
  </r>
  <r>
    <x v="10"/>
    <x v="9"/>
    <n v="1"/>
    <n v="20"/>
    <m/>
    <m/>
    <n v="26"/>
    <n v="6"/>
  </r>
  <r>
    <x v="10"/>
    <x v="12"/>
    <m/>
    <m/>
    <m/>
    <m/>
    <n v="2"/>
    <m/>
  </r>
  <r>
    <x v="10"/>
    <x v="10"/>
    <m/>
    <n v="4"/>
    <m/>
    <m/>
    <n v="2"/>
    <m/>
  </r>
  <r>
    <x v="5"/>
    <x v="3"/>
    <n v="188"/>
    <n v="298"/>
    <n v="7"/>
    <n v="27"/>
    <n v="128"/>
    <n v="40"/>
  </r>
  <r>
    <x v="5"/>
    <x v="7"/>
    <n v="12"/>
    <n v="96"/>
    <m/>
    <n v="6"/>
    <n v="92"/>
    <n v="23"/>
  </r>
  <r>
    <x v="5"/>
    <x v="10"/>
    <m/>
    <n v="8"/>
    <m/>
    <m/>
    <n v="5"/>
    <m/>
  </r>
  <r>
    <x v="6"/>
    <x v="4"/>
    <n v="243"/>
    <n v="308"/>
    <n v="3"/>
    <n v="20"/>
    <n v="47"/>
    <n v="16"/>
  </r>
  <r>
    <x v="6"/>
    <x v="11"/>
    <n v="388"/>
    <n v="371"/>
    <n v="4"/>
    <n v="35"/>
    <n v="67"/>
    <n v="20"/>
  </r>
  <r>
    <x v="6"/>
    <x v="7"/>
    <n v="20"/>
    <n v="90"/>
    <n v="1"/>
    <n v="4"/>
    <n v="96"/>
    <n v="23"/>
  </r>
  <r>
    <x v="6"/>
    <x v="10"/>
    <m/>
    <n v="1"/>
    <m/>
    <m/>
    <n v="4"/>
    <m/>
  </r>
  <r>
    <x v="7"/>
    <x v="6"/>
    <n v="682"/>
    <n v="332"/>
    <n v="3"/>
    <n v="15"/>
    <n v="116"/>
    <n v="30"/>
  </r>
  <r>
    <x v="8"/>
    <x v="10"/>
    <m/>
    <n v="3"/>
    <m/>
    <m/>
    <m/>
    <m/>
  </r>
  <r>
    <x v="11"/>
    <x v="13"/>
    <m/>
    <m/>
    <m/>
    <m/>
    <n v="1"/>
    <m/>
  </r>
  <r>
    <x v="9"/>
    <x v="8"/>
    <n v="31"/>
    <n v="161"/>
    <m/>
    <n v="10"/>
    <n v="17"/>
    <n v="8"/>
  </r>
  <r>
    <x v="12"/>
    <x v="4"/>
    <n v="238"/>
    <n v="252"/>
    <m/>
    <n v="22"/>
    <n v="40"/>
    <n v="12"/>
  </r>
  <r>
    <x v="12"/>
    <x v="5"/>
    <n v="562"/>
    <n v="287"/>
    <n v="4"/>
    <n v="19"/>
    <n v="135"/>
    <n v="40"/>
  </r>
  <r>
    <x v="12"/>
    <x v="12"/>
    <m/>
    <n v="7"/>
    <m/>
    <m/>
    <n v="7"/>
    <n v="4"/>
  </r>
  <r>
    <x v="0"/>
    <x v="17"/>
    <n v="1254"/>
    <n v="691"/>
    <m/>
    <n v="46"/>
    <n v="174"/>
    <n v="58"/>
  </r>
  <r>
    <x v="0"/>
    <x v="5"/>
    <n v="486"/>
    <n v="370"/>
    <m/>
    <n v="52"/>
    <n v="160"/>
    <n v="48"/>
  </r>
  <r>
    <x v="2"/>
    <x v="10"/>
    <n v="1"/>
    <n v="8"/>
    <m/>
    <m/>
    <m/>
    <n v="6"/>
  </r>
  <r>
    <x v="10"/>
    <x v="11"/>
    <n v="339"/>
    <n v="373"/>
    <n v="1"/>
    <n v="36"/>
    <n v="61"/>
    <n v="28"/>
  </r>
  <r>
    <x v="5"/>
    <x v="8"/>
    <n v="46"/>
    <n v="152"/>
    <m/>
    <n v="7"/>
    <n v="18"/>
    <n v="18"/>
  </r>
  <r>
    <x v="5"/>
    <x v="2"/>
    <n v="567"/>
    <n v="405"/>
    <n v="5"/>
    <n v="20"/>
    <n v="72"/>
    <n v="32"/>
  </r>
  <r>
    <x v="5"/>
    <x v="12"/>
    <m/>
    <m/>
    <m/>
    <m/>
    <n v="2"/>
    <m/>
  </r>
  <r>
    <x v="6"/>
    <x v="1"/>
    <n v="703"/>
    <n v="367"/>
    <n v="5"/>
    <n v="22"/>
    <n v="79"/>
    <n v="29"/>
  </r>
  <r>
    <x v="7"/>
    <x v="10"/>
    <m/>
    <n v="3"/>
    <m/>
    <m/>
    <m/>
    <m/>
  </r>
  <r>
    <x v="8"/>
    <x v="3"/>
    <n v="163"/>
    <n v="323"/>
    <n v="14"/>
    <n v="22"/>
    <n v="161"/>
    <n v="58"/>
  </r>
  <r>
    <x v="8"/>
    <x v="7"/>
    <n v="18"/>
    <n v="121"/>
    <n v="6"/>
    <n v="3"/>
    <n v="117"/>
    <n v="21"/>
  </r>
  <r>
    <x v="11"/>
    <x v="8"/>
    <n v="43"/>
    <n v="135"/>
    <m/>
    <n v="5"/>
    <n v="13"/>
    <n v="5"/>
  </r>
  <r>
    <x v="9"/>
    <x v="7"/>
    <n v="26"/>
    <n v="140"/>
    <n v="9"/>
    <n v="7"/>
    <n v="114"/>
    <n v="29"/>
  </r>
  <r>
    <x v="9"/>
    <x v="12"/>
    <m/>
    <n v="7"/>
    <m/>
    <m/>
    <n v="7"/>
    <n v="5"/>
  </r>
  <r>
    <x v="2"/>
    <x v="4"/>
    <n v="145"/>
    <n v="283"/>
    <m/>
    <n v="14"/>
    <n v="45"/>
    <n v="20"/>
  </r>
  <r>
    <x v="2"/>
    <x v="1"/>
    <n v="752"/>
    <n v="456"/>
    <m/>
    <n v="29"/>
    <n v="102"/>
    <n v="48"/>
  </r>
  <r>
    <x v="3"/>
    <x v="7"/>
    <n v="3"/>
    <n v="73"/>
    <m/>
    <n v="4"/>
    <n v="91"/>
    <n v="17"/>
  </r>
  <r>
    <x v="4"/>
    <x v="7"/>
    <n v="7"/>
    <n v="84"/>
    <m/>
    <n v="3"/>
    <n v="93"/>
    <n v="20"/>
  </r>
  <r>
    <x v="4"/>
    <x v="10"/>
    <m/>
    <n v="3"/>
    <m/>
    <m/>
    <m/>
    <n v="2"/>
  </r>
  <r>
    <x v="5"/>
    <x v="1"/>
    <n v="701"/>
    <n v="357"/>
    <n v="4"/>
    <n v="19"/>
    <n v="87"/>
    <n v="28"/>
  </r>
  <r>
    <x v="6"/>
    <x v="5"/>
    <n v="748"/>
    <n v="457"/>
    <n v="19"/>
    <n v="27"/>
    <n v="151"/>
    <n v="65"/>
  </r>
  <r>
    <x v="6"/>
    <x v="3"/>
    <n v="185"/>
    <n v="330"/>
    <n v="11"/>
    <n v="28"/>
    <n v="137"/>
    <n v="45"/>
  </r>
  <r>
    <x v="7"/>
    <x v="4"/>
    <n v="248"/>
    <n v="277"/>
    <n v="2"/>
    <n v="17"/>
    <n v="52"/>
    <n v="17"/>
  </r>
  <r>
    <x v="7"/>
    <x v="13"/>
    <m/>
    <m/>
    <m/>
    <m/>
    <n v="1"/>
    <m/>
  </r>
  <r>
    <x v="8"/>
    <x v="6"/>
    <n v="676"/>
    <n v="315"/>
    <n v="4"/>
    <n v="17"/>
    <n v="99"/>
    <n v="22"/>
  </r>
  <r>
    <x v="8"/>
    <x v="13"/>
    <m/>
    <m/>
    <m/>
    <m/>
    <n v="2"/>
    <m/>
  </r>
  <r>
    <x v="9"/>
    <x v="5"/>
    <n v="548"/>
    <n v="309"/>
    <n v="8"/>
    <n v="20"/>
    <n v="136"/>
    <n v="51"/>
  </r>
  <r>
    <x v="9"/>
    <x v="3"/>
    <n v="198"/>
    <n v="300"/>
    <n v="19"/>
    <n v="17"/>
    <n v="179"/>
    <n v="56"/>
  </r>
  <r>
    <x v="12"/>
    <x v="8"/>
    <n v="41"/>
    <n v="166"/>
    <m/>
    <n v="9"/>
    <n v="22"/>
    <n v="6"/>
  </r>
  <r>
    <x v="12"/>
    <x v="7"/>
    <n v="35"/>
    <n v="165"/>
    <n v="9"/>
    <n v="5"/>
    <n v="125"/>
    <n v="28"/>
  </r>
</pivotCacheRecords>
</file>

<file path=xl/pivotCache/pivotCacheRecords39.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396">
  <r>
    <x v="0"/>
    <s v="1:LA"/>
    <x v="0"/>
    <s v="S12000033"/>
    <n v="2"/>
    <n v="1"/>
    <n v="5"/>
  </r>
  <r>
    <x v="0"/>
    <s v="1:LA"/>
    <x v="1"/>
    <s v="S12000034"/>
    <n v="65"/>
    <n v="29"/>
    <n v="203"/>
  </r>
  <r>
    <x v="0"/>
    <s v="1:LA"/>
    <x v="2"/>
    <s v="S12000041"/>
    <n v="19"/>
    <n v="7"/>
    <n v="73"/>
  </r>
  <r>
    <x v="0"/>
    <s v="1:LA"/>
    <x v="3"/>
    <s v="S12000035"/>
    <n v="24"/>
    <n v="17"/>
    <n v="146"/>
  </r>
  <r>
    <x v="0"/>
    <s v="1:LA"/>
    <x v="4"/>
    <s v="S12000036"/>
    <n v="2"/>
    <n v="1"/>
    <n v="9"/>
  </r>
  <r>
    <x v="0"/>
    <s v="1:LA"/>
    <x v="5"/>
    <s v="S12000005"/>
    <n v="4"/>
    <n v="2"/>
    <n v="15"/>
  </r>
  <r>
    <x v="0"/>
    <s v="1:LA"/>
    <x v="6"/>
    <s v="S12000006"/>
    <n v="34"/>
    <n v="17"/>
    <n v="147"/>
  </r>
  <r>
    <x v="0"/>
    <s v="1:LA"/>
    <x v="7"/>
    <s v="S12000042"/>
    <n v="3"/>
    <n v="1"/>
    <n v="10"/>
  </r>
  <r>
    <x v="0"/>
    <s v="1:LA"/>
    <x v="8"/>
    <s v="S12000008"/>
    <n v="10"/>
    <n v="9"/>
    <n v="58"/>
  </r>
  <r>
    <x v="0"/>
    <s v="1:LA"/>
    <x v="9"/>
    <s v="S12000045"/>
    <n v="0"/>
    <n v="0"/>
    <n v="0"/>
  </r>
  <r>
    <x v="0"/>
    <s v="1:LA"/>
    <x v="10"/>
    <s v="S12000010"/>
    <n v="9"/>
    <n v="5"/>
    <n v="38"/>
  </r>
  <r>
    <x v="0"/>
    <s v="1:LA"/>
    <x v="11"/>
    <s v="S12000011"/>
    <n v="0"/>
    <n v="0"/>
    <n v="0"/>
  </r>
  <r>
    <x v="0"/>
    <s v="1:LA"/>
    <x v="12"/>
    <s v="S12000014"/>
    <n v="10"/>
    <n v="5"/>
    <n v="50"/>
  </r>
  <r>
    <x v="0"/>
    <s v="1:LA"/>
    <x v="13"/>
    <s v="S12000047"/>
    <n v="19"/>
    <n v="11"/>
    <n v="81"/>
  </r>
  <r>
    <x v="0"/>
    <s v="1:LA"/>
    <x v="14"/>
    <s v="S12000046"/>
    <n v="1"/>
    <n v="0"/>
    <n v="1"/>
  </r>
  <r>
    <x v="0"/>
    <s v="1:LA"/>
    <x v="15"/>
    <s v="S12000017"/>
    <n v="115"/>
    <n v="55"/>
    <n v="394"/>
  </r>
  <r>
    <x v="0"/>
    <s v="1:LA"/>
    <x v="16"/>
    <s v="S12000018"/>
    <n v="4"/>
    <n v="3"/>
    <n v="35"/>
  </r>
  <r>
    <x v="0"/>
    <s v="1:LA"/>
    <x v="17"/>
    <s v="S12000019"/>
    <n v="2"/>
    <n v="1"/>
    <n v="7"/>
  </r>
  <r>
    <x v="0"/>
    <s v="1:LA"/>
    <x v="18"/>
    <s v="S12000020"/>
    <n v="22"/>
    <n v="9"/>
    <n v="73"/>
  </r>
  <r>
    <x v="0"/>
    <s v="1:LA"/>
    <x v="19"/>
    <s v="S12000013"/>
    <n v="25"/>
    <n v="13"/>
    <n v="94"/>
  </r>
  <r>
    <x v="0"/>
    <s v="1:LA"/>
    <x v="20"/>
    <s v="S12000021"/>
    <n v="15"/>
    <n v="9"/>
    <n v="70"/>
  </r>
  <r>
    <x v="0"/>
    <s v="1:LA"/>
    <x v="21"/>
    <s v="S12000044"/>
    <n v="3"/>
    <n v="3"/>
    <n v="22"/>
  </r>
  <r>
    <x v="0"/>
    <s v="1:LA"/>
    <x v="22"/>
    <s v="S12000023"/>
    <n v="22"/>
    <n v="12"/>
    <n v="79"/>
  </r>
  <r>
    <x v="0"/>
    <s v="1:LA"/>
    <x v="23"/>
    <s v="S12000024"/>
    <n v="25"/>
    <n v="10"/>
    <n v="105"/>
  </r>
  <r>
    <x v="0"/>
    <s v="1:LA"/>
    <x v="24"/>
    <s v="S12000038"/>
    <n v="2"/>
    <n v="1"/>
    <n v="11"/>
  </r>
  <r>
    <x v="0"/>
    <s v="1:LA"/>
    <x v="25"/>
    <s v="S12000026"/>
    <n v="25"/>
    <n v="13"/>
    <n v="96"/>
  </r>
  <r>
    <x v="0"/>
    <s v="1:LA"/>
    <x v="26"/>
    <s v="S12000027"/>
    <n v="29"/>
    <n v="13"/>
    <n v="92"/>
  </r>
  <r>
    <x v="0"/>
    <s v="1:LA"/>
    <x v="27"/>
    <s v="S12000028"/>
    <n v="9"/>
    <n v="5"/>
    <n v="40"/>
  </r>
  <r>
    <x v="0"/>
    <s v="1:LA"/>
    <x v="28"/>
    <s v="S12000029"/>
    <n v="8"/>
    <n v="9"/>
    <n v="67"/>
  </r>
  <r>
    <x v="0"/>
    <s v="1:LA"/>
    <x v="29"/>
    <s v="S12000030"/>
    <n v="15"/>
    <n v="9"/>
    <n v="50"/>
  </r>
  <r>
    <x v="0"/>
    <s v="1:LA"/>
    <x v="30"/>
    <s v="S12000039"/>
    <n v="1"/>
    <n v="2"/>
    <n v="15"/>
  </r>
  <r>
    <x v="0"/>
    <s v="1:LA"/>
    <x v="31"/>
    <s v="S12000040"/>
    <n v="11"/>
    <n v="6"/>
    <n v="41"/>
  </r>
  <r>
    <x v="1"/>
    <s v="1:LA"/>
    <x v="0"/>
    <s v="S12000033"/>
    <n v="2"/>
    <n v="1"/>
    <n v="5"/>
  </r>
  <r>
    <x v="1"/>
    <s v="1:LA"/>
    <x v="1"/>
    <s v="S12000034"/>
    <n v="63"/>
    <n v="27"/>
    <n v="190"/>
  </r>
  <r>
    <x v="1"/>
    <s v="1:LA"/>
    <x v="2"/>
    <s v="S12000041"/>
    <n v="20"/>
    <n v="7"/>
    <n v="68"/>
  </r>
  <r>
    <x v="1"/>
    <s v="1:LA"/>
    <x v="3"/>
    <s v="S12000035"/>
    <n v="24"/>
    <n v="15"/>
    <n v="136"/>
  </r>
  <r>
    <x v="1"/>
    <s v="1:LA"/>
    <x v="4"/>
    <s v="S12000036"/>
    <n v="2"/>
    <n v="1"/>
    <n v="10"/>
  </r>
  <r>
    <x v="1"/>
    <s v="1:LA"/>
    <x v="5"/>
    <s v="S12000005"/>
    <n v="5"/>
    <n v="2"/>
    <n v="16"/>
  </r>
  <r>
    <x v="1"/>
    <s v="1:LA"/>
    <x v="6"/>
    <s v="S12000006"/>
    <n v="36"/>
    <n v="17"/>
    <n v="153"/>
  </r>
  <r>
    <x v="1"/>
    <s v="1:LA"/>
    <x v="7"/>
    <s v="S12000042"/>
    <n v="3"/>
    <n v="1"/>
    <n v="10"/>
  </r>
  <r>
    <x v="1"/>
    <s v="1:LA"/>
    <x v="8"/>
    <s v="S12000008"/>
    <n v="9"/>
    <n v="8"/>
    <n v="63"/>
  </r>
  <r>
    <x v="1"/>
    <s v="1:LA"/>
    <x v="9"/>
    <s v="S12000045"/>
    <n v="0"/>
    <n v="0"/>
    <n v="0"/>
  </r>
  <r>
    <x v="1"/>
    <s v="1:LA"/>
    <x v="10"/>
    <s v="S12000010"/>
    <n v="12"/>
    <n v="5"/>
    <n v="43"/>
  </r>
  <r>
    <x v="1"/>
    <s v="1:LA"/>
    <x v="11"/>
    <s v="S12000011"/>
    <n v="0"/>
    <n v="0"/>
    <n v="0"/>
  </r>
  <r>
    <x v="1"/>
    <s v="1:LA"/>
    <x v="12"/>
    <s v="S12000014"/>
    <n v="9"/>
    <n v="6"/>
    <n v="53"/>
  </r>
  <r>
    <x v="1"/>
    <s v="1:LA"/>
    <x v="13"/>
    <s v="S12000047"/>
    <n v="23"/>
    <n v="10"/>
    <n v="79"/>
  </r>
  <r>
    <x v="1"/>
    <s v="1:LA"/>
    <x v="14"/>
    <s v="S12000046"/>
    <n v="0"/>
    <n v="0"/>
    <n v="0"/>
  </r>
  <r>
    <x v="1"/>
    <s v="1:LA"/>
    <x v="15"/>
    <s v="S12000017"/>
    <n v="106"/>
    <n v="54"/>
    <n v="388"/>
  </r>
  <r>
    <x v="1"/>
    <s v="1:LA"/>
    <x v="16"/>
    <s v="S12000018"/>
    <n v="4"/>
    <n v="3"/>
    <n v="33"/>
  </r>
  <r>
    <x v="1"/>
    <s v="1:LA"/>
    <x v="17"/>
    <s v="S12000019"/>
    <n v="2"/>
    <n v="1"/>
    <n v="11"/>
  </r>
  <r>
    <x v="1"/>
    <s v="1:LA"/>
    <x v="18"/>
    <s v="S12000020"/>
    <n v="26"/>
    <n v="11"/>
    <n v="84"/>
  </r>
  <r>
    <x v="1"/>
    <s v="1:LA"/>
    <x v="19"/>
    <s v="S12000013"/>
    <n v="27"/>
    <n v="16"/>
    <n v="104"/>
  </r>
  <r>
    <x v="1"/>
    <s v="1:LA"/>
    <x v="20"/>
    <s v="S12000021"/>
    <n v="17"/>
    <n v="9"/>
    <n v="64"/>
  </r>
  <r>
    <x v="1"/>
    <s v="1:LA"/>
    <x v="21"/>
    <s v="S12000044"/>
    <n v="3"/>
    <n v="3"/>
    <n v="24"/>
  </r>
  <r>
    <x v="1"/>
    <s v="1:LA"/>
    <x v="22"/>
    <s v="S12000023"/>
    <n v="26"/>
    <n v="12"/>
    <n v="71"/>
  </r>
  <r>
    <x v="1"/>
    <s v="1:LA"/>
    <x v="23"/>
    <s v="S12000024"/>
    <n v="26"/>
    <n v="13"/>
    <n v="89"/>
  </r>
  <r>
    <x v="1"/>
    <s v="1:LA"/>
    <x v="24"/>
    <s v="S12000038"/>
    <n v="2"/>
    <n v="1"/>
    <n v="11"/>
  </r>
  <r>
    <x v="1"/>
    <s v="1:LA"/>
    <x v="25"/>
    <s v="S12000026"/>
    <n v="26"/>
    <n v="14"/>
    <n v="111"/>
  </r>
  <r>
    <x v="1"/>
    <s v="1:LA"/>
    <x v="26"/>
    <s v="S12000027"/>
    <n v="29"/>
    <n v="12"/>
    <n v="86"/>
  </r>
  <r>
    <x v="1"/>
    <s v="1:LA"/>
    <x v="27"/>
    <s v="S12000028"/>
    <n v="9"/>
    <n v="5"/>
    <n v="40"/>
  </r>
  <r>
    <x v="1"/>
    <s v="1:LA"/>
    <x v="28"/>
    <s v="S12000029"/>
    <n v="8"/>
    <n v="9"/>
    <n v="65"/>
  </r>
  <r>
    <x v="1"/>
    <s v="1:LA"/>
    <x v="29"/>
    <s v="S12000030"/>
    <n v="14"/>
    <n v="9"/>
    <n v="52"/>
  </r>
  <r>
    <x v="1"/>
    <s v="1:LA"/>
    <x v="30"/>
    <s v="S12000039"/>
    <n v="1"/>
    <n v="2"/>
    <n v="18"/>
  </r>
  <r>
    <x v="1"/>
    <s v="1:LA"/>
    <x v="31"/>
    <s v="S12000040"/>
    <n v="12"/>
    <n v="6"/>
    <n v="47"/>
  </r>
  <r>
    <x v="2"/>
    <s v="1:LA"/>
    <x v="0"/>
    <s v="S12000033"/>
    <n v="8"/>
    <n v="2"/>
    <n v="13"/>
  </r>
  <r>
    <x v="2"/>
    <s v="1:LA"/>
    <x v="1"/>
    <s v="S12000034"/>
    <n v="66"/>
    <n v="25"/>
    <n v="180"/>
  </r>
  <r>
    <x v="2"/>
    <s v="1:LA"/>
    <x v="2"/>
    <s v="S12000041"/>
    <n v="16"/>
    <n v="6"/>
    <n v="76"/>
  </r>
  <r>
    <x v="2"/>
    <s v="1:LA"/>
    <x v="3"/>
    <s v="S12000035"/>
    <n v="26"/>
    <n v="12"/>
    <n v="144"/>
  </r>
  <r>
    <x v="2"/>
    <s v="1:LA"/>
    <x v="4"/>
    <s v="S12000036"/>
    <n v="2"/>
    <n v="1"/>
    <n v="9"/>
  </r>
  <r>
    <x v="2"/>
    <s v="1:LA"/>
    <x v="5"/>
    <s v="S12000005"/>
    <n v="4"/>
    <n v="2"/>
    <n v="15"/>
  </r>
  <r>
    <x v="2"/>
    <s v="1:LA"/>
    <x v="6"/>
    <s v="S12000006"/>
    <n v="34"/>
    <n v="16"/>
    <n v="140"/>
  </r>
  <r>
    <x v="2"/>
    <s v="1:LA"/>
    <x v="7"/>
    <s v="S12000042"/>
    <n v="3"/>
    <n v="1"/>
    <n v="7"/>
  </r>
  <r>
    <x v="2"/>
    <s v="1:LA"/>
    <x v="8"/>
    <s v="S12000008"/>
    <n v="11"/>
    <n v="7"/>
    <n v="65"/>
  </r>
  <r>
    <x v="2"/>
    <s v="1:LA"/>
    <x v="9"/>
    <s v="S12000045"/>
    <n v="0"/>
    <n v="0"/>
    <n v="1"/>
  </r>
  <r>
    <x v="2"/>
    <s v="1:LA"/>
    <x v="10"/>
    <s v="S12000010"/>
    <n v="11"/>
    <n v="4"/>
    <n v="40"/>
  </r>
  <r>
    <x v="2"/>
    <s v="1:LA"/>
    <x v="11"/>
    <s v="S12000011"/>
    <n v="0"/>
    <n v="0"/>
    <n v="2"/>
  </r>
  <r>
    <x v="2"/>
    <s v="1:LA"/>
    <x v="12"/>
    <s v="S12000014"/>
    <n v="9"/>
    <n v="5"/>
    <n v="39"/>
  </r>
  <r>
    <x v="2"/>
    <s v="1:LA"/>
    <x v="13"/>
    <s v="S12000047"/>
    <n v="23"/>
    <n v="9"/>
    <n v="80"/>
  </r>
  <r>
    <x v="2"/>
    <s v="1:LA"/>
    <x v="14"/>
    <s v="S12000046"/>
    <n v="0"/>
    <n v="0"/>
    <n v="6"/>
  </r>
  <r>
    <x v="2"/>
    <s v="1:LA"/>
    <x v="15"/>
    <s v="S12000017"/>
    <n v="107"/>
    <n v="53"/>
    <n v="365"/>
  </r>
  <r>
    <x v="2"/>
    <s v="1:LA"/>
    <x v="16"/>
    <s v="S12000018"/>
    <n v="6"/>
    <n v="4"/>
    <n v="31"/>
  </r>
  <r>
    <x v="2"/>
    <s v="1:LA"/>
    <x v="17"/>
    <s v="S12000019"/>
    <n v="2"/>
    <n v="1"/>
    <n v="8"/>
  </r>
  <r>
    <x v="2"/>
    <s v="1:LA"/>
    <x v="18"/>
    <s v="S12000020"/>
    <n v="26"/>
    <n v="12"/>
    <n v="72"/>
  </r>
  <r>
    <x v="2"/>
    <s v="1:LA"/>
    <x v="19"/>
    <s v="S12000013"/>
    <n v="34"/>
    <n v="12"/>
    <n v="94"/>
  </r>
  <r>
    <x v="2"/>
    <s v="1:LA"/>
    <x v="20"/>
    <s v="S12000021"/>
    <n v="12"/>
    <n v="9"/>
    <n v="87"/>
  </r>
  <r>
    <x v="2"/>
    <s v="1:LA"/>
    <x v="21"/>
    <s v="S12000044"/>
    <n v="3"/>
    <n v="3"/>
    <n v="28"/>
  </r>
  <r>
    <x v="2"/>
    <s v="1:LA"/>
    <x v="22"/>
    <s v="S12000023"/>
    <n v="19"/>
    <n v="12"/>
    <n v="67"/>
  </r>
  <r>
    <x v="2"/>
    <s v="1:LA"/>
    <x v="23"/>
    <s v="S12000024"/>
    <n v="24"/>
    <n v="9"/>
    <n v="93"/>
  </r>
  <r>
    <x v="2"/>
    <s v="1:LA"/>
    <x v="24"/>
    <s v="S12000038"/>
    <n v="1"/>
    <n v="1"/>
    <n v="11"/>
  </r>
  <r>
    <x v="2"/>
    <s v="1:LA"/>
    <x v="25"/>
    <s v="S12000026"/>
    <n v="26"/>
    <n v="13"/>
    <n v="108"/>
  </r>
  <r>
    <x v="2"/>
    <s v="1:LA"/>
    <x v="26"/>
    <s v="S12000027"/>
    <n v="25"/>
    <n v="14"/>
    <n v="87"/>
  </r>
  <r>
    <x v="2"/>
    <s v="1:LA"/>
    <x v="27"/>
    <s v="S12000028"/>
    <n v="7"/>
    <n v="5"/>
    <n v="41"/>
  </r>
  <r>
    <x v="2"/>
    <s v="1:LA"/>
    <x v="28"/>
    <s v="S12000029"/>
    <n v="9"/>
    <n v="8"/>
    <n v="54"/>
  </r>
  <r>
    <x v="2"/>
    <s v="1:LA"/>
    <x v="29"/>
    <s v="S12000030"/>
    <n v="17"/>
    <n v="9"/>
    <n v="47"/>
  </r>
  <r>
    <x v="2"/>
    <s v="1:LA"/>
    <x v="30"/>
    <s v="S12000039"/>
    <n v="2"/>
    <n v="2"/>
    <n v="15"/>
  </r>
  <r>
    <x v="2"/>
    <s v="1:LA"/>
    <x v="31"/>
    <s v="S12000040"/>
    <n v="10"/>
    <n v="5"/>
    <n v="40"/>
  </r>
  <r>
    <x v="3"/>
    <s v="1:LA"/>
    <x v="0"/>
    <s v="S12000033"/>
    <n v="2"/>
    <n v="1"/>
    <n v="5"/>
  </r>
  <r>
    <x v="3"/>
    <s v="1:LA"/>
    <x v="1"/>
    <s v="S12000034"/>
    <n v="68"/>
    <n v="26"/>
    <n v="188"/>
  </r>
  <r>
    <x v="3"/>
    <s v="1:LA"/>
    <x v="2"/>
    <s v="S12000041"/>
    <n v="17"/>
    <n v="6"/>
    <n v="71"/>
  </r>
  <r>
    <x v="3"/>
    <s v="1:LA"/>
    <x v="3"/>
    <s v="S12000035"/>
    <n v="27"/>
    <n v="14"/>
    <n v="144"/>
  </r>
  <r>
    <x v="3"/>
    <s v="1:LA"/>
    <x v="4"/>
    <s v="S12000036"/>
    <n v="1"/>
    <n v="1"/>
    <n v="10"/>
  </r>
  <r>
    <x v="3"/>
    <s v="1:LA"/>
    <x v="5"/>
    <s v="S12000005"/>
    <n v="4"/>
    <n v="2"/>
    <n v="18"/>
  </r>
  <r>
    <x v="3"/>
    <s v="1:LA"/>
    <x v="6"/>
    <s v="S12000006"/>
    <n v="37"/>
    <n v="16"/>
    <n v="149"/>
  </r>
  <r>
    <x v="3"/>
    <s v="1:LA"/>
    <x v="7"/>
    <s v="S12000042"/>
    <n v="3"/>
    <n v="1"/>
    <n v="9"/>
  </r>
  <r>
    <x v="3"/>
    <s v="1:LA"/>
    <x v="8"/>
    <s v="S12000008"/>
    <n v="11"/>
    <n v="7"/>
    <n v="63"/>
  </r>
  <r>
    <x v="3"/>
    <s v="1:LA"/>
    <x v="9"/>
    <s v="S12000045"/>
    <n v="0"/>
    <n v="0"/>
    <n v="0"/>
  </r>
  <r>
    <x v="3"/>
    <s v="1:LA"/>
    <x v="10"/>
    <s v="S12000010"/>
    <n v="12"/>
    <n v="5"/>
    <n v="38"/>
  </r>
  <r>
    <x v="3"/>
    <s v="1:LA"/>
    <x v="11"/>
    <s v="S12000011"/>
    <n v="0"/>
    <n v="0"/>
    <n v="0"/>
  </r>
  <r>
    <x v="3"/>
    <s v="1:LA"/>
    <x v="12"/>
    <s v="S12000014"/>
    <n v="10"/>
    <n v="5"/>
    <n v="41"/>
  </r>
  <r>
    <x v="3"/>
    <s v="1:LA"/>
    <x v="13"/>
    <s v="S12000047"/>
    <n v="22"/>
    <n v="9"/>
    <n v="78"/>
  </r>
  <r>
    <x v="3"/>
    <s v="1:LA"/>
    <x v="14"/>
    <s v="S12000046"/>
    <n v="0"/>
    <n v="0"/>
    <n v="0"/>
  </r>
  <r>
    <x v="3"/>
    <s v="1:LA"/>
    <x v="15"/>
    <s v="S12000017"/>
    <n v="102"/>
    <n v="52"/>
    <n v="371"/>
  </r>
  <r>
    <x v="3"/>
    <s v="1:LA"/>
    <x v="16"/>
    <s v="S12000018"/>
    <n v="6"/>
    <n v="3"/>
    <n v="30"/>
  </r>
  <r>
    <x v="3"/>
    <s v="1:LA"/>
    <x v="17"/>
    <s v="S12000019"/>
    <n v="2"/>
    <n v="1"/>
    <n v="8"/>
  </r>
  <r>
    <x v="3"/>
    <s v="1:LA"/>
    <x v="18"/>
    <s v="S12000020"/>
    <n v="26"/>
    <n v="13"/>
    <n v="86"/>
  </r>
  <r>
    <x v="3"/>
    <s v="1:LA"/>
    <x v="19"/>
    <s v="S12000013"/>
    <n v="33"/>
    <n v="12"/>
    <n v="92"/>
  </r>
  <r>
    <x v="3"/>
    <s v="1:LA"/>
    <x v="20"/>
    <s v="S12000021"/>
    <n v="12"/>
    <n v="10"/>
    <n v="84"/>
  </r>
  <r>
    <x v="3"/>
    <s v="1:LA"/>
    <x v="21"/>
    <s v="S12000044"/>
    <n v="6"/>
    <n v="3"/>
    <n v="26"/>
  </r>
  <r>
    <x v="3"/>
    <s v="1:LA"/>
    <x v="22"/>
    <s v="S12000023"/>
    <n v="21"/>
    <n v="11"/>
    <n v="63"/>
  </r>
  <r>
    <x v="3"/>
    <s v="1:LA"/>
    <x v="23"/>
    <s v="S12000024"/>
    <n v="23"/>
    <n v="9"/>
    <n v="90"/>
  </r>
  <r>
    <x v="3"/>
    <s v="1:LA"/>
    <x v="24"/>
    <s v="S12000038"/>
    <n v="2"/>
    <n v="1"/>
    <n v="10"/>
  </r>
  <r>
    <x v="3"/>
    <s v="1:LA"/>
    <x v="25"/>
    <s v="S12000026"/>
    <n v="27"/>
    <n v="13"/>
    <n v="103"/>
  </r>
  <r>
    <x v="3"/>
    <s v="1:LA"/>
    <x v="26"/>
    <s v="S12000027"/>
    <n v="27"/>
    <n v="12"/>
    <n v="83"/>
  </r>
  <r>
    <x v="3"/>
    <s v="1:LA"/>
    <x v="27"/>
    <s v="S12000028"/>
    <n v="8"/>
    <n v="5"/>
    <n v="35"/>
  </r>
  <r>
    <x v="3"/>
    <s v="1:LA"/>
    <x v="28"/>
    <s v="S12000029"/>
    <n v="9"/>
    <n v="8"/>
    <n v="57"/>
  </r>
  <r>
    <x v="3"/>
    <s v="1:LA"/>
    <x v="29"/>
    <s v="S12000030"/>
    <n v="17"/>
    <n v="8"/>
    <n v="48"/>
  </r>
  <r>
    <x v="3"/>
    <s v="1:LA"/>
    <x v="30"/>
    <s v="S12000039"/>
    <n v="2"/>
    <n v="1"/>
    <n v="14"/>
  </r>
  <r>
    <x v="3"/>
    <s v="1:LA"/>
    <x v="31"/>
    <s v="S12000040"/>
    <n v="12"/>
    <n v="5"/>
    <n v="47"/>
  </r>
  <r>
    <x v="4"/>
    <s v="1:LA"/>
    <x v="0"/>
    <s v="S12000033"/>
    <n v="1"/>
    <n v="1"/>
    <n v="6"/>
  </r>
  <r>
    <x v="4"/>
    <s v="1:LA"/>
    <x v="1"/>
    <s v="S12000034"/>
    <n v="69"/>
    <n v="24"/>
    <n v="182"/>
  </r>
  <r>
    <x v="4"/>
    <s v="1:LA"/>
    <x v="2"/>
    <s v="S12000041"/>
    <n v="16"/>
    <n v="6"/>
    <n v="71"/>
  </r>
  <r>
    <x v="4"/>
    <s v="1:LA"/>
    <x v="3"/>
    <s v="S12000035"/>
    <n v="26"/>
    <n v="14"/>
    <n v="137"/>
  </r>
  <r>
    <x v="4"/>
    <s v="1:LA"/>
    <x v="4"/>
    <s v="S12000036"/>
    <n v="1"/>
    <n v="1"/>
    <n v="9"/>
  </r>
  <r>
    <x v="4"/>
    <s v="1:LA"/>
    <x v="5"/>
    <s v="S12000005"/>
    <n v="3"/>
    <n v="2"/>
    <n v="17"/>
  </r>
  <r>
    <x v="4"/>
    <s v="1:LA"/>
    <x v="6"/>
    <s v="S12000006"/>
    <n v="34"/>
    <n v="16"/>
    <n v="139"/>
  </r>
  <r>
    <x v="4"/>
    <s v="1:LA"/>
    <x v="7"/>
    <s v="S12000042"/>
    <n v="2"/>
    <n v="1"/>
    <n v="10"/>
  </r>
  <r>
    <x v="4"/>
    <s v="1:LA"/>
    <x v="8"/>
    <s v="S12000008"/>
    <n v="9"/>
    <n v="7"/>
    <n v="66"/>
  </r>
  <r>
    <x v="4"/>
    <s v="1:LA"/>
    <x v="10"/>
    <s v="S12000010"/>
    <n v="10"/>
    <n v="5"/>
    <n v="41"/>
  </r>
  <r>
    <x v="4"/>
    <s v="1:LA"/>
    <x v="12"/>
    <s v="S12000014"/>
    <n v="11"/>
    <n v="5"/>
    <n v="38"/>
  </r>
  <r>
    <x v="4"/>
    <s v="1:LA"/>
    <x v="13"/>
    <s v="S12000047"/>
    <n v="21"/>
    <n v="9"/>
    <n v="85"/>
  </r>
  <r>
    <x v="4"/>
    <s v="1:LA"/>
    <x v="15"/>
    <s v="S12000017"/>
    <n v="106"/>
    <n v="55"/>
    <n v="377"/>
  </r>
  <r>
    <x v="4"/>
    <s v="1:LA"/>
    <x v="16"/>
    <s v="S12000018"/>
    <n v="6"/>
    <n v="3"/>
    <n v="33"/>
  </r>
  <r>
    <x v="4"/>
    <s v="1:LA"/>
    <x v="17"/>
    <s v="S12000019"/>
    <n v="2"/>
    <n v="1"/>
    <n v="9"/>
  </r>
  <r>
    <x v="4"/>
    <s v="1:LA"/>
    <x v="18"/>
    <s v="S12000020"/>
    <n v="27"/>
    <n v="12"/>
    <n v="81"/>
  </r>
  <r>
    <x v="4"/>
    <s v="1:LA"/>
    <x v="19"/>
    <s v="S12000013"/>
    <n v="25"/>
    <n v="13"/>
    <n v="93"/>
  </r>
  <r>
    <x v="4"/>
    <s v="1:LA"/>
    <x v="20"/>
    <s v="S12000021"/>
    <n v="10"/>
    <n v="10"/>
    <n v="86"/>
  </r>
  <r>
    <x v="4"/>
    <s v="1:LA"/>
    <x v="21"/>
    <s v="S12000044"/>
    <n v="6"/>
    <n v="3"/>
    <n v="28"/>
  </r>
  <r>
    <x v="4"/>
    <s v="1:LA"/>
    <x v="22"/>
    <s v="S12000023"/>
    <n v="22"/>
    <n v="9"/>
    <n v="69"/>
  </r>
  <r>
    <x v="4"/>
    <s v="1:LA"/>
    <x v="23"/>
    <s v="S12000024"/>
    <n v="23"/>
    <n v="9"/>
    <n v="94"/>
  </r>
  <r>
    <x v="4"/>
    <s v="1:LA"/>
    <x v="24"/>
    <s v="S12000038"/>
    <n v="2"/>
    <n v="1"/>
    <n v="13"/>
  </r>
  <r>
    <x v="4"/>
    <s v="1:LA"/>
    <x v="25"/>
    <s v="S12000026"/>
    <n v="27"/>
    <n v="13"/>
    <n v="103"/>
  </r>
  <r>
    <x v="4"/>
    <s v="1:LA"/>
    <x v="26"/>
    <s v="S12000027"/>
    <n v="24"/>
    <n v="12"/>
    <n v="82"/>
  </r>
  <r>
    <x v="4"/>
    <s v="1:LA"/>
    <x v="27"/>
    <s v="S12000028"/>
    <n v="6"/>
    <n v="5"/>
    <n v="38"/>
  </r>
  <r>
    <x v="4"/>
    <s v="1:LA"/>
    <x v="28"/>
    <s v="S12000029"/>
    <n v="8"/>
    <n v="9"/>
    <n v="56"/>
  </r>
  <r>
    <x v="4"/>
    <s v="1:LA"/>
    <x v="29"/>
    <s v="S12000030"/>
    <n v="15"/>
    <n v="8"/>
    <n v="51"/>
  </r>
  <r>
    <x v="4"/>
    <s v="1:LA"/>
    <x v="30"/>
    <s v="S12000039"/>
    <n v="2"/>
    <n v="2"/>
    <n v="14"/>
  </r>
  <r>
    <x v="4"/>
    <s v="1:LA"/>
    <x v="31"/>
    <s v="S12000040"/>
    <n v="11"/>
    <n v="5"/>
    <n v="49"/>
  </r>
  <r>
    <x v="5"/>
    <s v="1:LA"/>
    <x v="0"/>
    <s v="S12000033"/>
    <n v="1"/>
    <n v="3"/>
    <n v="5"/>
  </r>
  <r>
    <x v="5"/>
    <s v="1:LA"/>
    <x v="1"/>
    <s v="S12000034"/>
    <n v="24"/>
    <n v="69"/>
    <n v="191"/>
  </r>
  <r>
    <x v="5"/>
    <s v="1:LA"/>
    <x v="2"/>
    <s v="S12000041"/>
    <n v="6"/>
    <n v="14"/>
    <n v="78"/>
  </r>
  <r>
    <x v="5"/>
    <s v="1:LA"/>
    <x v="3"/>
    <s v="S12000035"/>
    <n v="14"/>
    <n v="25"/>
    <n v="137"/>
  </r>
  <r>
    <x v="5"/>
    <s v="1:LA"/>
    <x v="4"/>
    <s v="S12000036"/>
    <n v="0"/>
    <n v="2"/>
    <n v="7"/>
  </r>
  <r>
    <x v="5"/>
    <s v="1:LA"/>
    <x v="5"/>
    <s v="S12000005"/>
    <n v="2"/>
    <n v="4"/>
    <n v="14"/>
  </r>
  <r>
    <x v="5"/>
    <s v="1:LA"/>
    <x v="6"/>
    <s v="S12000006"/>
    <n v="17"/>
    <n v="34"/>
    <n v="147"/>
  </r>
  <r>
    <x v="5"/>
    <s v="1:LA"/>
    <x v="7"/>
    <s v="S12000042"/>
    <n v="1"/>
    <n v="2"/>
    <n v="9"/>
  </r>
  <r>
    <x v="5"/>
    <s v="1:LA"/>
    <x v="8"/>
    <s v="S12000008"/>
    <n v="5"/>
    <n v="10"/>
    <n v="62"/>
  </r>
  <r>
    <x v="5"/>
    <s v="1:LA"/>
    <x v="10"/>
    <s v="S12000010"/>
    <n v="5"/>
    <n v="12"/>
    <n v="45"/>
  </r>
  <r>
    <x v="5"/>
    <s v="1:LA"/>
    <x v="12"/>
    <s v="S12000014"/>
    <n v="5"/>
    <n v="10"/>
    <n v="40"/>
  </r>
  <r>
    <x v="5"/>
    <s v="1:LA"/>
    <x v="13"/>
    <s v="S12000047"/>
    <n v="9"/>
    <n v="21"/>
    <n v="86"/>
  </r>
  <r>
    <x v="5"/>
    <s v="1:LA"/>
    <x v="15"/>
    <s v="S12000017"/>
    <n v="56"/>
    <n v="103"/>
    <n v="393"/>
  </r>
  <r>
    <x v="5"/>
    <s v="1:LA"/>
    <x v="16"/>
    <s v="S12000018"/>
    <n v="3"/>
    <n v="6"/>
    <n v="35"/>
  </r>
  <r>
    <x v="5"/>
    <s v="1:LA"/>
    <x v="17"/>
    <s v="S12000019"/>
    <n v="1"/>
    <n v="3"/>
    <n v="9"/>
  </r>
  <r>
    <x v="5"/>
    <s v="1:LA"/>
    <x v="18"/>
    <s v="S12000020"/>
    <n v="11"/>
    <n v="28"/>
    <n v="81"/>
  </r>
  <r>
    <x v="5"/>
    <s v="1:LA"/>
    <x v="19"/>
    <s v="S12000013"/>
    <n v="13"/>
    <n v="25"/>
    <n v="94"/>
  </r>
  <r>
    <x v="5"/>
    <s v="1:LA"/>
    <x v="20"/>
    <s v="S12000021"/>
    <n v="11"/>
    <n v="11"/>
    <n v="85"/>
  </r>
  <r>
    <x v="5"/>
    <s v="1:LA"/>
    <x v="21"/>
    <s v="S12000044"/>
    <n v="3"/>
    <n v="6"/>
    <n v="26"/>
  </r>
  <r>
    <x v="5"/>
    <s v="1:LA"/>
    <x v="22"/>
    <s v="S12000023"/>
    <n v="9"/>
    <n v="23"/>
    <n v="77"/>
  </r>
  <r>
    <x v="5"/>
    <s v="1:LA"/>
    <x v="23"/>
    <s v="S12000048"/>
    <n v="10"/>
    <n v="23"/>
    <n v="98"/>
  </r>
  <r>
    <x v="5"/>
    <s v="1:LA"/>
    <x v="24"/>
    <s v="S12000038"/>
    <n v="1"/>
    <n v="2"/>
    <n v="14"/>
  </r>
  <r>
    <x v="5"/>
    <s v="1:LA"/>
    <x v="25"/>
    <s v="S12000026"/>
    <n v="13"/>
    <n v="28"/>
    <n v="102"/>
  </r>
  <r>
    <x v="5"/>
    <s v="1:LA"/>
    <x v="26"/>
    <s v="S12000027"/>
    <n v="13"/>
    <n v="25"/>
    <n v="89"/>
  </r>
  <r>
    <x v="5"/>
    <s v="1:LA"/>
    <x v="27"/>
    <s v="S12000028"/>
    <n v="5"/>
    <n v="7"/>
    <n v="46"/>
  </r>
  <r>
    <x v="5"/>
    <s v="1:LA"/>
    <x v="28"/>
    <s v="S12000029"/>
    <n v="8"/>
    <n v="8"/>
    <n v="61"/>
  </r>
  <r>
    <x v="5"/>
    <s v="1:LA"/>
    <x v="29"/>
    <s v="S12000030"/>
    <n v="8"/>
    <n v="16"/>
    <n v="51"/>
  </r>
  <r>
    <x v="5"/>
    <s v="1:LA"/>
    <x v="30"/>
    <s v="S12000039"/>
    <n v="2"/>
    <n v="2"/>
    <n v="16"/>
  </r>
  <r>
    <x v="5"/>
    <s v="1:LA"/>
    <x v="31"/>
    <s v="S12000040"/>
    <n v="5"/>
    <n v="11"/>
    <n v="43"/>
  </r>
  <r>
    <x v="6"/>
    <s v="1:LA"/>
    <x v="0"/>
    <s v="S40000005"/>
    <n v="1"/>
    <n v="3"/>
    <n v="4"/>
  </r>
  <r>
    <x v="6"/>
    <s v="1:LA"/>
    <x v="1"/>
    <s v="S40000005"/>
    <n v="25"/>
    <n v="65"/>
    <n v="195"/>
  </r>
  <r>
    <x v="6"/>
    <s v="1:LA"/>
    <x v="2"/>
    <s v="S40000005"/>
    <n v="6"/>
    <n v="16"/>
    <n v="81"/>
  </r>
  <r>
    <x v="6"/>
    <s v="1:LA"/>
    <x v="3"/>
    <s v="S40000003"/>
    <n v="13"/>
    <n v="25"/>
    <n v="136"/>
  </r>
  <r>
    <x v="6"/>
    <s v="1:LA"/>
    <x v="4"/>
    <s v="S40000004"/>
    <n v="1"/>
    <n v="2"/>
    <n v="5"/>
  </r>
  <r>
    <x v="6"/>
    <s v="1:LA"/>
    <x v="5"/>
    <s v="S40000004"/>
    <n v="3"/>
    <n v="5"/>
    <n v="17"/>
  </r>
  <r>
    <x v="6"/>
    <s v="1:LA"/>
    <x v="6"/>
    <s v="S40000003"/>
    <n v="16"/>
    <n v="34"/>
    <n v="142"/>
  </r>
  <r>
    <x v="6"/>
    <s v="1:LA"/>
    <x v="7"/>
    <s v="S40000005"/>
    <n v="1"/>
    <n v="2"/>
    <n v="9"/>
  </r>
  <r>
    <x v="6"/>
    <s v="1:LA"/>
    <x v="8"/>
    <s v="S40000003"/>
    <n v="7"/>
    <n v="8"/>
    <n v="65"/>
  </r>
  <r>
    <x v="6"/>
    <s v="1:LA"/>
    <x v="10"/>
    <s v="S40000004"/>
    <n v="5"/>
    <n v="12"/>
    <n v="48"/>
  </r>
  <r>
    <x v="6"/>
    <s v="1:LA"/>
    <x v="12"/>
    <s v="S40000004"/>
    <n v="4"/>
    <n v="10"/>
    <n v="43"/>
  </r>
  <r>
    <x v="6"/>
    <s v="1:LA"/>
    <x v="13"/>
    <s v="S40000004"/>
    <n v="9"/>
    <n v="21"/>
    <n v="83"/>
  </r>
  <r>
    <x v="6"/>
    <s v="1:LA"/>
    <x v="15"/>
    <s v="S40000005"/>
    <n v="53"/>
    <n v="94"/>
    <n v="378"/>
  </r>
  <r>
    <x v="6"/>
    <s v="1:LA"/>
    <x v="16"/>
    <s v="S40000003"/>
    <n v="3"/>
    <n v="6"/>
    <n v="33"/>
  </r>
  <r>
    <x v="6"/>
    <s v="1:LA"/>
    <x v="17"/>
    <s v="S40000004"/>
    <n v="1"/>
    <n v="2"/>
    <n v="10"/>
  </r>
  <r>
    <x v="6"/>
    <s v="1:LA"/>
    <x v="18"/>
    <s v="S40000005"/>
    <n v="11"/>
    <n v="27"/>
    <n v="83"/>
  </r>
  <r>
    <x v="6"/>
    <s v="1:LA"/>
    <x v="19"/>
    <s v="S40000005"/>
    <n v="14"/>
    <n v="30"/>
    <n v="91"/>
  </r>
  <r>
    <x v="6"/>
    <s v="1:LA"/>
    <x v="20"/>
    <s v="S40000003"/>
    <n v="11"/>
    <n v="11"/>
    <n v="82"/>
  </r>
  <r>
    <x v="6"/>
    <s v="1:LA"/>
    <x v="21"/>
    <s v="S40000003"/>
    <n v="3"/>
    <n v="5"/>
    <n v="29"/>
  </r>
  <r>
    <x v="6"/>
    <s v="1:LA"/>
    <x v="22"/>
    <s v="S40000005"/>
    <n v="9"/>
    <n v="22"/>
    <n v="78"/>
  </r>
  <r>
    <x v="6"/>
    <s v="1:LA"/>
    <x v="23"/>
    <s v="S40000005"/>
    <n v="10"/>
    <n v="22"/>
    <n v="99"/>
  </r>
  <r>
    <x v="6"/>
    <s v="1:LA"/>
    <x v="24"/>
    <s v="S40000003"/>
    <n v="1"/>
    <n v="2"/>
    <n v="12"/>
  </r>
  <r>
    <x v="6"/>
    <s v="1:LA"/>
    <x v="25"/>
    <s v="S40000004"/>
    <n v="13"/>
    <n v="28"/>
    <n v="107"/>
  </r>
  <r>
    <x v="6"/>
    <s v="1:LA"/>
    <x v="26"/>
    <s v="S40000005"/>
    <n v="12"/>
    <n v="24"/>
    <n v="98"/>
  </r>
  <r>
    <x v="6"/>
    <s v="1:LA"/>
    <x v="27"/>
    <s v="S40000003"/>
    <n v="5"/>
    <n v="8"/>
    <n v="42"/>
  </r>
  <r>
    <x v="6"/>
    <s v="1:LA"/>
    <x v="28"/>
    <s v="S40000003"/>
    <n v="8"/>
    <n v="8"/>
    <n v="70"/>
  </r>
  <r>
    <x v="6"/>
    <s v="1:LA"/>
    <x v="29"/>
    <s v="S40000004"/>
    <n v="9"/>
    <n v="15"/>
    <n v="51"/>
  </r>
  <r>
    <x v="6"/>
    <s v="1:LA"/>
    <x v="30"/>
    <s v="S40000003"/>
    <n v="2"/>
    <n v="2"/>
    <n v="16"/>
  </r>
  <r>
    <x v="6"/>
    <s v="1:LA"/>
    <x v="31"/>
    <s v="S40000004"/>
    <n v="6"/>
    <n v="11"/>
    <n v="48"/>
  </r>
  <r>
    <x v="7"/>
    <s v="1:LA"/>
    <x v="0"/>
    <s v="S40000005"/>
    <n v="1"/>
    <n v="3"/>
    <n v="6"/>
  </r>
  <r>
    <x v="7"/>
    <s v="1:LA"/>
    <x v="1"/>
    <s v="S40000005"/>
    <n v="26"/>
    <n v="68"/>
    <n v="192"/>
  </r>
  <r>
    <x v="7"/>
    <s v="1:LA"/>
    <x v="2"/>
    <s v="S40000005"/>
    <n v="7"/>
    <n v="17"/>
    <n v="80"/>
  </r>
  <r>
    <x v="7"/>
    <s v="1:LA"/>
    <x v="3"/>
    <s v="S40000003"/>
    <n v="14"/>
    <n v="26"/>
    <n v="128"/>
  </r>
  <r>
    <x v="7"/>
    <s v="1:LA"/>
    <x v="4"/>
    <s v="S40000004"/>
    <n v="1"/>
    <n v="1"/>
    <n v="6"/>
  </r>
  <r>
    <x v="7"/>
    <s v="1:LA"/>
    <x v="5"/>
    <s v="S40000002"/>
    <n v="2"/>
    <n v="4"/>
    <n v="21"/>
  </r>
  <r>
    <x v="7"/>
    <s v="1:LA"/>
    <x v="6"/>
    <s v="S40000003"/>
    <n v="16"/>
    <n v="35"/>
    <n v="135"/>
  </r>
  <r>
    <x v="7"/>
    <s v="1:LA"/>
    <x v="7"/>
    <s v="S40000005"/>
    <n v="1"/>
    <n v="2"/>
    <n v="8"/>
  </r>
  <r>
    <x v="7"/>
    <s v="1:LA"/>
    <x v="8"/>
    <s v="S40000003"/>
    <n v="7"/>
    <n v="8"/>
    <n v="63"/>
  </r>
  <r>
    <x v="7"/>
    <s v="1:LA"/>
    <x v="10"/>
    <s v="S40000004"/>
    <n v="5"/>
    <n v="12"/>
    <n v="47"/>
  </r>
  <r>
    <x v="7"/>
    <s v="1:LA"/>
    <x v="12"/>
    <s v="S40000004"/>
    <n v="5"/>
    <n v="9"/>
    <n v="42"/>
  </r>
  <r>
    <x v="7"/>
    <s v="1:LA"/>
    <x v="13"/>
    <s v="S40000002"/>
    <n v="8"/>
    <n v="23"/>
    <n v="78"/>
  </r>
  <r>
    <x v="7"/>
    <s v="1:LA"/>
    <x v="15"/>
    <s v="S40000005"/>
    <n v="52"/>
    <n v="97"/>
    <n v="351"/>
  </r>
  <r>
    <x v="7"/>
    <s v="1:LA"/>
    <x v="16"/>
    <s v="S40000003"/>
    <n v="3"/>
    <n v="6"/>
    <n v="35"/>
  </r>
  <r>
    <x v="7"/>
    <s v="1:LA"/>
    <x v="17"/>
    <s v="S40000004"/>
    <n v="1"/>
    <n v="2"/>
    <n v="8"/>
  </r>
  <r>
    <x v="7"/>
    <s v="1:LA"/>
    <x v="18"/>
    <s v="S40000005"/>
    <n v="11"/>
    <n v="27"/>
    <n v="76"/>
  </r>
  <r>
    <x v="7"/>
    <s v="1:LA"/>
    <x v="19"/>
    <s v="S40000005"/>
    <n v="15"/>
    <n v="27"/>
    <n v="89"/>
  </r>
  <r>
    <x v="7"/>
    <s v="1:LA"/>
    <x v="20"/>
    <s v="S40000003"/>
    <n v="11"/>
    <n v="11"/>
    <n v="78"/>
  </r>
  <r>
    <x v="7"/>
    <s v="1:LA"/>
    <x v="21"/>
    <s v="S40000003"/>
    <n v="3"/>
    <n v="6"/>
    <n v="29"/>
  </r>
  <r>
    <x v="7"/>
    <s v="1:LA"/>
    <x v="22"/>
    <s v="S40000005"/>
    <n v="8"/>
    <n v="21"/>
    <n v="83"/>
  </r>
  <r>
    <x v="7"/>
    <s v="1:LA"/>
    <x v="23"/>
    <s v="S40000005"/>
    <n v="10"/>
    <n v="21"/>
    <n v="99"/>
  </r>
  <r>
    <x v="7"/>
    <s v="1:LA"/>
    <x v="24"/>
    <s v="S40000003"/>
    <n v="2"/>
    <n v="1"/>
    <n v="10"/>
  </r>
  <r>
    <x v="7"/>
    <s v="1:LA"/>
    <x v="25"/>
    <s v="S40000004"/>
    <n v="13"/>
    <n v="30"/>
    <n v="106"/>
  </r>
  <r>
    <x v="7"/>
    <s v="1:LA"/>
    <x v="26"/>
    <s v="S40000005"/>
    <n v="13"/>
    <n v="25"/>
    <n v="94"/>
  </r>
  <r>
    <x v="7"/>
    <s v="1:LA"/>
    <x v="27"/>
    <s v="S40000003"/>
    <n v="4"/>
    <n v="7"/>
    <n v="41"/>
  </r>
  <r>
    <x v="7"/>
    <s v="1:LA"/>
    <x v="28"/>
    <s v="S40000003"/>
    <n v="10"/>
    <n v="7"/>
    <n v="67"/>
  </r>
  <r>
    <x v="7"/>
    <s v="1:LA"/>
    <x v="29"/>
    <s v="S40000002"/>
    <n v="9"/>
    <n v="15"/>
    <n v="51"/>
  </r>
  <r>
    <x v="7"/>
    <s v="1:LA"/>
    <x v="30"/>
    <s v="S40000003"/>
    <n v="2"/>
    <n v="2"/>
    <n v="18"/>
  </r>
  <r>
    <x v="7"/>
    <s v="1:LA"/>
    <x v="31"/>
    <s v="S40000004"/>
    <n v="7"/>
    <n v="9"/>
    <n v="42"/>
  </r>
  <r>
    <x v="8"/>
    <s v="1:LA"/>
    <x v="0"/>
    <m/>
    <n v="1"/>
    <n v="3"/>
    <n v="7"/>
  </r>
  <r>
    <x v="8"/>
    <s v="1:LA"/>
    <x v="1"/>
    <m/>
    <n v="26"/>
    <n v="66"/>
    <n v="193"/>
  </r>
  <r>
    <x v="8"/>
    <s v="1:LA"/>
    <x v="2"/>
    <m/>
    <n v="7"/>
    <n v="17"/>
    <n v="72"/>
  </r>
  <r>
    <x v="8"/>
    <s v="1:LA"/>
    <x v="3"/>
    <m/>
    <n v="14"/>
    <n v="26"/>
    <n v="132"/>
  </r>
  <r>
    <x v="8"/>
    <s v="1:LA"/>
    <x v="4"/>
    <m/>
    <n v="1"/>
    <n v="1"/>
    <n v="5"/>
  </r>
  <r>
    <x v="8"/>
    <s v="1:LA"/>
    <x v="5"/>
    <m/>
    <n v="2"/>
    <n v="4"/>
    <n v="19"/>
  </r>
  <r>
    <x v="8"/>
    <s v="1:LA"/>
    <x v="6"/>
    <m/>
    <n v="17"/>
    <n v="33"/>
    <n v="142"/>
  </r>
  <r>
    <x v="8"/>
    <s v="1:LA"/>
    <x v="7"/>
    <m/>
    <n v="1"/>
    <n v="2"/>
    <n v="10"/>
  </r>
  <r>
    <x v="8"/>
    <s v="1:LA"/>
    <x v="8"/>
    <m/>
    <n v="7"/>
    <n v="8"/>
    <n v="62"/>
  </r>
  <r>
    <x v="8"/>
    <s v="1:LA"/>
    <x v="10"/>
    <m/>
    <n v="5"/>
    <n v="12"/>
    <n v="39"/>
  </r>
  <r>
    <x v="8"/>
    <s v="1:LA"/>
    <x v="12"/>
    <m/>
    <n v="5"/>
    <n v="9"/>
    <n v="36"/>
  </r>
  <r>
    <x v="8"/>
    <s v="1:LA"/>
    <x v="13"/>
    <m/>
    <n v="8"/>
    <n v="22"/>
    <n v="73"/>
  </r>
  <r>
    <x v="8"/>
    <s v="1:LA"/>
    <x v="15"/>
    <m/>
    <n v="51"/>
    <n v="96"/>
    <n v="331"/>
  </r>
  <r>
    <x v="8"/>
    <s v="1:LA"/>
    <x v="16"/>
    <m/>
    <n v="3"/>
    <n v="7"/>
    <n v="28"/>
  </r>
  <r>
    <x v="8"/>
    <s v="1:LA"/>
    <x v="17"/>
    <m/>
    <n v="1"/>
    <n v="2"/>
    <n v="8"/>
  </r>
  <r>
    <x v="8"/>
    <s v="1:LA"/>
    <x v="18"/>
    <m/>
    <n v="11"/>
    <n v="26"/>
    <n v="77"/>
  </r>
  <r>
    <x v="8"/>
    <s v="1:LA"/>
    <x v="19"/>
    <m/>
    <n v="14"/>
    <n v="29"/>
    <n v="78"/>
  </r>
  <r>
    <x v="8"/>
    <s v="1:LA"/>
    <x v="20"/>
    <m/>
    <n v="11"/>
    <n v="12"/>
    <n v="72"/>
  </r>
  <r>
    <x v="8"/>
    <s v="1:LA"/>
    <x v="21"/>
    <m/>
    <n v="3"/>
    <n v="6"/>
    <n v="21"/>
  </r>
  <r>
    <x v="8"/>
    <s v="1:LA"/>
    <x v="22"/>
    <m/>
    <n v="12"/>
    <n v="19"/>
    <n v="84"/>
  </r>
  <r>
    <x v="8"/>
    <s v="1:LA"/>
    <x v="23"/>
    <m/>
    <n v="9"/>
    <n v="21"/>
    <n v="86"/>
  </r>
  <r>
    <x v="8"/>
    <s v="1:LA"/>
    <x v="24"/>
    <m/>
    <n v="1"/>
    <n v="2"/>
    <n v="10"/>
  </r>
  <r>
    <x v="8"/>
    <s v="1:LA"/>
    <x v="25"/>
    <m/>
    <n v="13"/>
    <n v="28"/>
    <n v="99"/>
  </r>
  <r>
    <x v="8"/>
    <s v="1:LA"/>
    <x v="26"/>
    <m/>
    <n v="12"/>
    <n v="27"/>
    <n v="94"/>
  </r>
  <r>
    <x v="8"/>
    <s v="1:LA"/>
    <x v="27"/>
    <m/>
    <n v="6"/>
    <n v="7"/>
    <n v="35"/>
  </r>
  <r>
    <x v="8"/>
    <s v="1:LA"/>
    <x v="28"/>
    <m/>
    <n v="8"/>
    <n v="13"/>
    <n v="50"/>
  </r>
  <r>
    <x v="8"/>
    <s v="1:LA"/>
    <x v="29"/>
    <m/>
    <n v="8"/>
    <n v="15"/>
    <n v="46"/>
  </r>
  <r>
    <x v="8"/>
    <s v="1:LA"/>
    <x v="30"/>
    <m/>
    <n v="2"/>
    <n v="2"/>
    <n v="17"/>
  </r>
  <r>
    <x v="8"/>
    <s v="1:LA"/>
    <x v="31"/>
    <m/>
    <n v="6"/>
    <n v="11"/>
    <n v="41"/>
  </r>
  <r>
    <x v="9"/>
    <s v="1:LA"/>
    <x v="0"/>
    <m/>
    <n v="1"/>
    <n v="2"/>
    <n v="7"/>
  </r>
  <r>
    <x v="9"/>
    <s v="1:LA"/>
    <x v="1"/>
    <m/>
    <n v="23"/>
    <n v="67"/>
    <n v="188"/>
  </r>
  <r>
    <x v="9"/>
    <s v="1:LA"/>
    <x v="2"/>
    <m/>
    <n v="7"/>
    <n v="17"/>
    <n v="72"/>
  </r>
  <r>
    <x v="9"/>
    <s v="1:LA"/>
    <x v="3"/>
    <m/>
    <n v="14"/>
    <n v="25"/>
    <n v="128"/>
  </r>
  <r>
    <x v="9"/>
    <s v="1:LA"/>
    <x v="4"/>
    <m/>
    <n v="1"/>
    <n v="1"/>
    <n v="7"/>
  </r>
  <r>
    <x v="9"/>
    <s v="1:LA"/>
    <x v="5"/>
    <m/>
    <n v="2"/>
    <n v="5"/>
    <n v="18"/>
  </r>
  <r>
    <x v="9"/>
    <s v="1:LA"/>
    <x v="6"/>
    <m/>
    <n v="16"/>
    <n v="32"/>
    <n v="146"/>
  </r>
  <r>
    <x v="9"/>
    <s v="1:LA"/>
    <x v="7"/>
    <m/>
    <n v="1"/>
    <n v="2"/>
    <n v="9"/>
  </r>
  <r>
    <x v="9"/>
    <s v="1:LA"/>
    <x v="8"/>
    <m/>
    <n v="7"/>
    <n v="10"/>
    <n v="54"/>
  </r>
  <r>
    <x v="9"/>
    <s v="1:LA"/>
    <x v="10"/>
    <m/>
    <n v="5"/>
    <n v="11"/>
    <n v="35"/>
  </r>
  <r>
    <x v="9"/>
    <s v="1:LA"/>
    <x v="12"/>
    <m/>
    <n v="5"/>
    <n v="10"/>
    <n v="38"/>
  </r>
  <r>
    <x v="9"/>
    <s v="1:LA"/>
    <x v="13"/>
    <m/>
    <n v="9"/>
    <n v="22"/>
    <n v="74"/>
  </r>
  <r>
    <x v="9"/>
    <s v="1:LA"/>
    <x v="15"/>
    <m/>
    <n v="1"/>
    <n v="0"/>
    <n v="0"/>
  </r>
  <r>
    <x v="9"/>
    <s v="1:LA"/>
    <x v="15"/>
    <m/>
    <n v="49"/>
    <n v="93"/>
    <n v="321"/>
  </r>
  <r>
    <x v="9"/>
    <s v="1:LA"/>
    <x v="16"/>
    <m/>
    <n v="3"/>
    <n v="7"/>
    <n v="26"/>
  </r>
  <r>
    <x v="9"/>
    <s v="1:LA"/>
    <x v="17"/>
    <m/>
    <n v="1"/>
    <n v="2"/>
    <n v="8"/>
  </r>
  <r>
    <x v="9"/>
    <s v="1:LA"/>
    <x v="18"/>
    <m/>
    <n v="11"/>
    <n v="28"/>
    <n v="70"/>
  </r>
  <r>
    <x v="9"/>
    <s v="1:LA"/>
    <x v="19"/>
    <m/>
    <n v="14"/>
    <n v="26"/>
    <n v="95"/>
  </r>
  <r>
    <x v="9"/>
    <s v="1:LA"/>
    <x v="20"/>
    <m/>
    <n v="10"/>
    <n v="13"/>
    <n v="73"/>
  </r>
  <r>
    <x v="9"/>
    <s v="1:LA"/>
    <x v="21"/>
    <m/>
    <n v="3"/>
    <n v="7"/>
    <n v="21"/>
  </r>
  <r>
    <x v="9"/>
    <s v="1:LA"/>
    <x v="22"/>
    <m/>
    <n v="12"/>
    <n v="21"/>
    <n v="82"/>
  </r>
  <r>
    <x v="9"/>
    <s v="1:LA"/>
    <x v="23"/>
    <m/>
    <n v="9"/>
    <n v="21"/>
    <n v="89"/>
  </r>
  <r>
    <x v="9"/>
    <s v="1:LA"/>
    <x v="24"/>
    <m/>
    <n v="1"/>
    <n v="2"/>
    <n v="11"/>
  </r>
  <r>
    <x v="9"/>
    <s v="1:LA"/>
    <x v="25"/>
    <m/>
    <n v="13"/>
    <n v="28"/>
    <n v="113"/>
  </r>
  <r>
    <x v="9"/>
    <s v="1:LA"/>
    <x v="26"/>
    <m/>
    <n v="14"/>
    <n v="25"/>
    <n v="83"/>
  </r>
  <r>
    <x v="9"/>
    <s v="1:LA"/>
    <x v="27"/>
    <m/>
    <n v="5"/>
    <n v="7"/>
    <n v="36"/>
  </r>
  <r>
    <x v="9"/>
    <s v="1:LA"/>
    <x v="28"/>
    <m/>
    <n v="9"/>
    <n v="13"/>
    <n v="46"/>
  </r>
  <r>
    <x v="9"/>
    <s v="1:LA"/>
    <x v="29"/>
    <m/>
    <n v="7"/>
    <n v="13"/>
    <n v="49"/>
  </r>
  <r>
    <x v="9"/>
    <s v="1:LA"/>
    <x v="30"/>
    <m/>
    <n v="2"/>
    <n v="2"/>
    <n v="15"/>
  </r>
  <r>
    <x v="9"/>
    <s v="1:LA"/>
    <x v="31"/>
    <m/>
    <n v="7"/>
    <n v="9"/>
    <n v="38"/>
  </r>
  <r>
    <x v="10"/>
    <s v="1:LA"/>
    <x v="0"/>
    <m/>
    <n v="1"/>
    <n v="4"/>
    <n v="5"/>
  </r>
  <r>
    <x v="10"/>
    <s v="1:LA"/>
    <x v="1"/>
    <m/>
    <n v="22"/>
    <n v="66"/>
    <n v="178"/>
  </r>
  <r>
    <x v="10"/>
    <s v="1:LA"/>
    <x v="2"/>
    <m/>
    <n v="6"/>
    <n v="18"/>
    <n v="76"/>
  </r>
  <r>
    <x v="10"/>
    <s v="1:LA"/>
    <x v="3"/>
    <m/>
    <n v="15"/>
    <n v="23"/>
    <n v="135"/>
  </r>
  <r>
    <x v="10"/>
    <s v="1:LA"/>
    <x v="4"/>
    <m/>
    <n v="1"/>
    <n v="2"/>
    <n v="6"/>
  </r>
  <r>
    <x v="10"/>
    <s v="1:LA"/>
    <x v="5"/>
    <m/>
    <n v="2"/>
    <n v="4"/>
    <n v="17"/>
  </r>
  <r>
    <x v="10"/>
    <s v="1:LA"/>
    <x v="6"/>
    <m/>
    <n v="15"/>
    <n v="32"/>
    <n v="132"/>
  </r>
  <r>
    <x v="10"/>
    <s v="1:LA"/>
    <x v="7"/>
    <m/>
    <n v="1"/>
    <n v="2"/>
    <n v="11"/>
  </r>
  <r>
    <x v="10"/>
    <s v="1:LA"/>
    <x v="8"/>
    <m/>
    <n v="6"/>
    <n v="12"/>
    <n v="53"/>
  </r>
  <r>
    <x v="10"/>
    <s v="1:LA"/>
    <x v="10"/>
    <m/>
    <n v="5"/>
    <n v="12"/>
    <n v="39"/>
  </r>
  <r>
    <x v="10"/>
    <s v="1:LA"/>
    <x v="12"/>
    <m/>
    <n v="5"/>
    <n v="10"/>
    <n v="46"/>
  </r>
  <r>
    <x v="10"/>
    <s v="1:LA"/>
    <x v="13"/>
    <m/>
    <n v="8"/>
    <n v="22"/>
    <n v="74"/>
  </r>
  <r>
    <x v="10"/>
    <s v="1:LA"/>
    <x v="15"/>
    <m/>
    <n v="45"/>
    <n v="91"/>
    <n v="328"/>
  </r>
  <r>
    <x v="10"/>
    <s v="1:LA"/>
    <x v="16"/>
    <m/>
    <n v="3"/>
    <n v="7"/>
    <n v="25"/>
  </r>
  <r>
    <x v="10"/>
    <s v="1:LA"/>
    <x v="17"/>
    <m/>
    <n v="1"/>
    <n v="2"/>
    <n v="10"/>
  </r>
  <r>
    <x v="10"/>
    <s v="1:LA"/>
    <x v="18"/>
    <m/>
    <n v="12"/>
    <n v="28"/>
    <n v="76"/>
  </r>
  <r>
    <x v="10"/>
    <s v="1:LA"/>
    <x v="19"/>
    <m/>
    <n v="1"/>
    <n v="2"/>
    <n v="7"/>
  </r>
  <r>
    <x v="10"/>
    <s v="1:LA"/>
    <x v="19"/>
    <m/>
    <n v="13"/>
    <n v="26"/>
    <n v="83"/>
  </r>
  <r>
    <x v="10"/>
    <s v="1:LA"/>
    <x v="20"/>
    <m/>
    <n v="9"/>
    <n v="12"/>
    <n v="77"/>
  </r>
  <r>
    <x v="10"/>
    <s v="1:LA"/>
    <x v="21"/>
    <m/>
    <n v="3"/>
    <n v="6"/>
    <n v="20"/>
  </r>
  <r>
    <x v="10"/>
    <s v="1:LA"/>
    <x v="22"/>
    <m/>
    <n v="1"/>
    <n v="2"/>
    <n v="5"/>
  </r>
  <r>
    <x v="10"/>
    <s v="1:LA"/>
    <x v="22"/>
    <m/>
    <n v="11"/>
    <n v="21"/>
    <n v="72"/>
  </r>
  <r>
    <x v="10"/>
    <s v="1:LA"/>
    <x v="23"/>
    <m/>
    <n v="11"/>
    <n v="20"/>
    <n v="86"/>
  </r>
  <r>
    <x v="10"/>
    <s v="1:LA"/>
    <x v="24"/>
    <m/>
    <n v="1"/>
    <n v="2"/>
    <n v="8"/>
  </r>
  <r>
    <x v="10"/>
    <s v="1:LA"/>
    <x v="25"/>
    <m/>
    <n v="12"/>
    <n v="28"/>
    <n v="97"/>
  </r>
  <r>
    <x v="10"/>
    <s v="1:LA"/>
    <x v="26"/>
    <m/>
    <n v="14"/>
    <n v="23"/>
    <n v="77"/>
  </r>
  <r>
    <x v="10"/>
    <s v="1:LA"/>
    <x v="27"/>
    <m/>
    <n v="4"/>
    <n v="8"/>
    <n v="34"/>
  </r>
  <r>
    <x v="10"/>
    <s v="1:LA"/>
    <x v="28"/>
    <m/>
    <n v="8"/>
    <n v="13"/>
    <n v="52"/>
  </r>
  <r>
    <x v="10"/>
    <s v="1:LA"/>
    <x v="29"/>
    <m/>
    <n v="7"/>
    <n v="15"/>
    <n v="46"/>
  </r>
  <r>
    <x v="10"/>
    <s v="1:LA"/>
    <x v="30"/>
    <m/>
    <n v="2"/>
    <n v="2"/>
    <n v="17"/>
  </r>
  <r>
    <x v="10"/>
    <s v="1:LA"/>
    <x v="31"/>
    <m/>
    <n v="6"/>
    <n v="10"/>
    <n v="40"/>
  </r>
  <r>
    <x v="11"/>
    <s v="1:LA"/>
    <x v="0"/>
    <m/>
    <n v="1"/>
    <n v="3"/>
    <n v="4"/>
  </r>
  <r>
    <x v="11"/>
    <s v="1:LA"/>
    <x v="1"/>
    <m/>
    <n v="23"/>
    <n v="63"/>
    <n v="182"/>
  </r>
  <r>
    <x v="11"/>
    <s v="1:LA"/>
    <x v="2"/>
    <m/>
    <n v="6"/>
    <n v="19"/>
    <n v="74"/>
  </r>
  <r>
    <x v="11"/>
    <s v="1:LA"/>
    <x v="3"/>
    <m/>
    <n v="14"/>
    <n v="25"/>
    <n v="143"/>
  </r>
  <r>
    <x v="11"/>
    <s v="1:LA"/>
    <x v="4"/>
    <m/>
    <n v="1"/>
    <n v="2"/>
    <n v="5"/>
  </r>
  <r>
    <x v="11"/>
    <s v="1:LA"/>
    <x v="5"/>
    <m/>
    <n v="2"/>
    <n v="3"/>
    <n v="18"/>
  </r>
  <r>
    <x v="11"/>
    <s v="1:LA"/>
    <x v="6"/>
    <m/>
    <n v="17"/>
    <n v="31"/>
    <n v="139"/>
  </r>
  <r>
    <x v="11"/>
    <s v="1:LA"/>
    <x v="7"/>
    <m/>
    <n v="1"/>
    <n v="2"/>
    <n v="12"/>
  </r>
  <r>
    <x v="11"/>
    <s v="1:LA"/>
    <x v="8"/>
    <m/>
    <n v="5"/>
    <n v="10"/>
    <n v="54"/>
  </r>
  <r>
    <x v="11"/>
    <s v="1:LA"/>
    <x v="10"/>
    <m/>
    <n v="5"/>
    <n v="12"/>
    <n v="38"/>
  </r>
  <r>
    <x v="11"/>
    <s v="1:LA"/>
    <x v="12"/>
    <m/>
    <n v="5"/>
    <n v="10"/>
    <n v="44"/>
  </r>
  <r>
    <x v="11"/>
    <s v="1:LA"/>
    <x v="13"/>
    <m/>
    <n v="8"/>
    <n v="20"/>
    <n v="74"/>
  </r>
  <r>
    <x v="11"/>
    <s v="1:LA"/>
    <x v="15"/>
    <m/>
    <n v="46"/>
    <n v="94"/>
    <n v="301"/>
  </r>
  <r>
    <x v="11"/>
    <s v="1:LA"/>
    <x v="16"/>
    <m/>
    <n v="3"/>
    <n v="7"/>
    <n v="28"/>
  </r>
  <r>
    <x v="11"/>
    <s v="1:LA"/>
    <x v="17"/>
    <m/>
    <n v="1"/>
    <n v="2"/>
    <n v="11"/>
  </r>
  <r>
    <x v="11"/>
    <s v="1:LA"/>
    <x v="18"/>
    <m/>
    <n v="10"/>
    <n v="25"/>
    <n v="70"/>
  </r>
  <r>
    <x v="11"/>
    <s v="1:LA"/>
    <x v="19"/>
    <m/>
    <n v="1"/>
    <n v="2"/>
    <n v="8"/>
  </r>
  <r>
    <x v="11"/>
    <s v="1:LA"/>
    <x v="19"/>
    <m/>
    <n v="12"/>
    <n v="25"/>
    <n v="83"/>
  </r>
  <r>
    <x v="11"/>
    <s v="1:LA"/>
    <x v="20"/>
    <m/>
    <n v="10"/>
    <n v="12"/>
    <n v="78"/>
  </r>
  <r>
    <x v="11"/>
    <s v="1:LA"/>
    <x v="21"/>
    <m/>
    <n v="3"/>
    <n v="6"/>
    <n v="17"/>
  </r>
  <r>
    <x v="11"/>
    <s v="1:LA"/>
    <x v="22"/>
    <m/>
    <n v="1"/>
    <n v="2"/>
    <n v="5"/>
  </r>
  <r>
    <x v="11"/>
    <s v="1:LA"/>
    <x v="22"/>
    <m/>
    <n v="11"/>
    <n v="19"/>
    <n v="64"/>
  </r>
  <r>
    <x v="11"/>
    <s v="1:LA"/>
    <x v="23"/>
    <m/>
    <n v="8"/>
    <n v="20"/>
    <n v="89"/>
  </r>
  <r>
    <x v="11"/>
    <s v="1:LA"/>
    <x v="24"/>
    <m/>
    <n v="1"/>
    <n v="2"/>
    <n v="11"/>
  </r>
  <r>
    <x v="11"/>
    <s v="1:LA"/>
    <x v="25"/>
    <m/>
    <n v="13"/>
    <n v="28"/>
    <n v="104"/>
  </r>
  <r>
    <x v="11"/>
    <s v="1:LA"/>
    <x v="26"/>
    <m/>
    <n v="14"/>
    <n v="25"/>
    <n v="84"/>
  </r>
  <r>
    <x v="11"/>
    <s v="1:LA"/>
    <x v="27"/>
    <m/>
    <n v="4"/>
    <n v="8"/>
    <n v="31"/>
  </r>
  <r>
    <x v="11"/>
    <s v="1:LA"/>
    <x v="28"/>
    <m/>
    <n v="8"/>
    <n v="12"/>
    <n v="54"/>
  </r>
  <r>
    <x v="11"/>
    <s v="1:LA"/>
    <x v="29"/>
    <m/>
    <n v="6"/>
    <n v="14"/>
    <n v="52"/>
  </r>
  <r>
    <x v="11"/>
    <s v="1:LA"/>
    <x v="30"/>
    <m/>
    <n v="2"/>
    <n v="2"/>
    <n v="20"/>
  </r>
  <r>
    <x v="11"/>
    <s v="1:LA"/>
    <x v="31"/>
    <m/>
    <n v="6"/>
    <n v="9"/>
    <n v="46"/>
  </r>
  <r>
    <x v="12"/>
    <s v="1:LA"/>
    <x v="0"/>
    <m/>
    <n v="1"/>
    <n v="3"/>
    <n v="5"/>
  </r>
  <r>
    <x v="12"/>
    <s v="1:LA"/>
    <x v="1"/>
    <m/>
    <n v="23"/>
    <n v="68"/>
    <n v="186"/>
  </r>
  <r>
    <x v="12"/>
    <s v="1:LA"/>
    <x v="2"/>
    <m/>
    <n v="6"/>
    <n v="17"/>
    <n v="72"/>
  </r>
  <r>
    <x v="12"/>
    <s v="1:LA"/>
    <x v="3"/>
    <m/>
    <n v="14"/>
    <n v="26"/>
    <n v="134"/>
  </r>
  <r>
    <x v="12"/>
    <s v="1:LA"/>
    <x v="4"/>
    <m/>
    <n v="2"/>
    <n v="1"/>
    <n v="7"/>
  </r>
  <r>
    <x v="12"/>
    <s v="1:LA"/>
    <x v="5"/>
    <m/>
    <n v="2"/>
    <n v="4"/>
    <n v="18"/>
  </r>
  <r>
    <x v="12"/>
    <s v="1:LA"/>
    <x v="6"/>
    <m/>
    <n v="18"/>
    <n v="32"/>
    <n v="141"/>
  </r>
  <r>
    <x v="12"/>
    <s v="1:LA"/>
    <x v="7"/>
    <m/>
    <n v="1"/>
    <n v="2"/>
    <n v="11"/>
  </r>
  <r>
    <x v="12"/>
    <s v="1:LA"/>
    <x v="8"/>
    <m/>
    <n v="6"/>
    <n v="11"/>
    <n v="57"/>
  </r>
  <r>
    <x v="12"/>
    <s v="1:LA"/>
    <x v="10"/>
    <m/>
    <n v="6"/>
    <n v="13"/>
    <n v="37"/>
  </r>
  <r>
    <x v="12"/>
    <s v="1:LA"/>
    <x v="12"/>
    <m/>
    <n v="6"/>
    <n v="8"/>
    <n v="46"/>
  </r>
  <r>
    <x v="12"/>
    <s v="1:LA"/>
    <x v="13"/>
    <m/>
    <n v="8"/>
    <n v="22"/>
    <n v="66"/>
  </r>
  <r>
    <x v="12"/>
    <s v="1:LA"/>
    <x v="15"/>
    <m/>
    <n v="48"/>
    <n v="98"/>
    <n v="311"/>
  </r>
  <r>
    <x v="12"/>
    <s v="1:LA"/>
    <x v="16"/>
    <m/>
    <n v="4"/>
    <n v="7"/>
    <n v="29"/>
  </r>
  <r>
    <x v="12"/>
    <s v="1:LA"/>
    <x v="17"/>
    <m/>
    <n v="1"/>
    <n v="3"/>
    <n v="9"/>
  </r>
  <r>
    <x v="12"/>
    <s v="1:LA"/>
    <x v="18"/>
    <m/>
    <n v="9"/>
    <n v="26"/>
    <n v="70"/>
  </r>
  <r>
    <x v="12"/>
    <s v="1:LA"/>
    <x v="19"/>
    <m/>
    <n v="1"/>
    <n v="1"/>
    <n v="8"/>
  </r>
  <r>
    <x v="12"/>
    <s v="1:LA"/>
    <x v="19"/>
    <m/>
    <n v="13"/>
    <n v="23"/>
    <n v="86"/>
  </r>
  <r>
    <x v="12"/>
    <s v="1:LA"/>
    <x v="20"/>
    <m/>
    <n v="10"/>
    <n v="14"/>
    <n v="80"/>
  </r>
  <r>
    <x v="12"/>
    <s v="1:LA"/>
    <x v="21"/>
    <m/>
    <n v="3"/>
    <n v="5"/>
    <n v="23"/>
  </r>
  <r>
    <x v="12"/>
    <s v="1:LA"/>
    <x v="22"/>
    <m/>
    <n v="1"/>
    <n v="2"/>
    <n v="7"/>
  </r>
  <r>
    <x v="12"/>
    <s v="1:LA"/>
    <x v="22"/>
    <m/>
    <n v="10"/>
    <n v="16"/>
    <n v="68"/>
  </r>
  <r>
    <x v="12"/>
    <s v="1:LA"/>
    <x v="23"/>
    <m/>
    <n v="9"/>
    <n v="23"/>
    <n v="82"/>
  </r>
  <r>
    <x v="12"/>
    <s v="1:LA"/>
    <x v="24"/>
    <m/>
    <n v="1"/>
    <n v="2"/>
    <n v="11"/>
  </r>
  <r>
    <x v="12"/>
    <s v="1:LA"/>
    <x v="25"/>
    <m/>
    <n v="14"/>
    <n v="29"/>
    <n v="110"/>
  </r>
  <r>
    <x v="12"/>
    <s v="1:LA"/>
    <x v="26"/>
    <m/>
    <n v="13"/>
    <n v="23"/>
    <n v="81"/>
  </r>
  <r>
    <x v="12"/>
    <s v="1:LA"/>
    <x v="27"/>
    <m/>
    <n v="5"/>
    <n v="6"/>
    <n v="36"/>
  </r>
  <r>
    <x v="12"/>
    <s v="1:LA"/>
    <x v="28"/>
    <m/>
    <n v="7"/>
    <n v="14"/>
    <n v="61"/>
  </r>
  <r>
    <x v="12"/>
    <s v="1:LA"/>
    <x v="29"/>
    <m/>
    <n v="7"/>
    <n v="14"/>
    <n v="53"/>
  </r>
  <r>
    <x v="12"/>
    <s v="1:LA"/>
    <x v="30"/>
    <m/>
    <n v="2"/>
    <n v="3"/>
    <n v="17"/>
  </r>
  <r>
    <x v="12"/>
    <s v="1:LA"/>
    <x v="31"/>
    <m/>
    <n v="6"/>
    <n v="10"/>
    <n v="42"/>
  </r>
</pivotCacheRecords>
</file>

<file path=xl/pivotCache/pivotCacheRecords40.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5">
  <r>
    <x v="0"/>
    <n v="0.4"/>
    <n v="0.3"/>
    <m/>
    <n v="2.1"/>
    <n v="1.4"/>
    <n v="0.4"/>
    <n v="0.6"/>
    <n v="0.6"/>
  </r>
  <r>
    <x v="1"/>
    <n v="0.5"/>
    <n v="0.3"/>
    <m/>
    <n v="2.1"/>
    <n v="1.5"/>
    <n v="0.5"/>
    <n v="0.6"/>
    <n v="0.6"/>
  </r>
  <r>
    <x v="2"/>
    <n v="0.2"/>
    <n v="0.2"/>
    <m/>
    <n v="1.8"/>
    <n v="0.7"/>
    <m/>
    <n v="0.3"/>
    <n v="0.3"/>
  </r>
  <r>
    <x v="3"/>
    <n v="0.2"/>
    <n v="0.2"/>
    <m/>
    <n v="2.2000000000000002"/>
    <n v="0.8"/>
    <m/>
    <n v="0.3"/>
    <n v="0.3"/>
  </r>
  <r>
    <x v="4"/>
    <n v="0"/>
    <n v="0.1"/>
    <m/>
    <n v="0"/>
    <n v="0.5"/>
    <n v="0.3"/>
    <n v="0.1"/>
    <n v="0.1"/>
  </r>
  <r>
    <x v="5"/>
    <n v="0"/>
    <n v="0.1"/>
    <m/>
    <n v="0"/>
    <n v="0.4"/>
    <n v="0.3"/>
    <n v="0.1"/>
    <n v="0.1"/>
  </r>
  <r>
    <x v="6"/>
    <n v="0.3"/>
    <n v="0.3"/>
    <m/>
    <n v="0"/>
    <n v="1.2"/>
    <n v="0.3"/>
    <n v="0.4"/>
    <n v="0.4"/>
  </r>
  <r>
    <x v="7"/>
    <n v="0.68737970855100361"/>
    <n v="0.44023027429732475"/>
    <n v="0"/>
    <n v="0.48309178743961351"/>
    <n v="2.1464646464646462"/>
    <n v="0.31545741324921134"/>
    <n v="0.7209714141158613"/>
    <n v="0.73791013308736331"/>
  </r>
  <r>
    <x v="8"/>
    <n v="0.74257425742574257"/>
    <n v="0.40858018386108275"/>
    <n v="0"/>
    <n v="0.53191489361702127"/>
    <n v="2.3227383863080684"/>
    <n v="0.31746031746031744"/>
    <n v="0.75662042875157631"/>
    <n v="0.77478660538411037"/>
  </r>
  <r>
    <x v="9"/>
    <n v="0.78125"/>
    <n v="0.45264623955431754"/>
    <n v="0"/>
    <n v="1.098901098901099"/>
    <n v="3.1100478468899522"/>
    <n v="0.33003300330033003"/>
    <n v="0.89388328438258202"/>
    <n v="0.91657810839532416"/>
  </r>
  <r>
    <x v="10"/>
    <n v="0.76120665351000849"/>
    <n v="0.43462513582035489"/>
    <n v="0"/>
    <n v="0.56497175141242939"/>
    <n v="2.7600849256900215"/>
    <n v="0.36101083032490977"/>
    <n v="0.85491897409723094"/>
    <n v="0.88235294117647056"/>
  </r>
  <r>
    <x v="11"/>
    <n v="0.96728307254623047"/>
    <n v="0.40204678362573099"/>
    <n v="0"/>
    <n v="1.1494252873563218"/>
    <n v="2.5917926565874732"/>
    <n v="0.37593984962406013"/>
    <n v="0.92366901860166761"/>
    <n v="0.95881161377447677"/>
  </r>
  <r>
    <x v="12"/>
    <n v="0.92969203951191159"/>
    <n v="0.33136966126656847"/>
    <n v="0"/>
    <n v="1.1560693641618496"/>
    <n v="2.7472527472527473"/>
    <n v="0.37037037037037041"/>
    <n v="0.89459354336833918"/>
    <n v="0.93214530500342707"/>
  </r>
  <r>
    <x v="13"/>
    <n v="0.98693759071117571"/>
    <n v="0.33222591362126247"/>
    <n v="0"/>
    <n v="1.1560693641618496"/>
    <n v="2.7484143763213531"/>
    <n v="0.36630036630036628"/>
    <n v="0.92819388939022818"/>
    <n v="0.96809380965366776"/>
  </r>
  <r>
    <x v="14"/>
    <n v="1.0765202211230724"/>
    <n v="0.32751091703056767"/>
    <n v="0"/>
    <n v="1.6759776536312849"/>
    <n v="2.6427061310782243"/>
    <m/>
    <n v="0.9496919917864477"/>
    <n v="1.0040705563093621"/>
  </r>
</pivotCacheRecords>
</file>

<file path=xl/pivotCache/pivotCacheRecords4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2">
  <r>
    <x v="0"/>
    <n v="80.8"/>
    <n v="96.9"/>
    <m/>
    <n v="60.4"/>
    <n v="77.900000000000006"/>
    <n v="47.4"/>
    <n v="84.1"/>
    <n v="85.9"/>
  </r>
  <r>
    <x v="1"/>
    <n v="100"/>
    <n v="98"/>
    <m/>
    <n v="100"/>
    <n v="95"/>
    <n v="94"/>
    <n v="99"/>
    <n v="99"/>
  </r>
  <r>
    <x v="2"/>
    <n v="99.5"/>
    <n v="95.2"/>
    <m/>
    <n v="99.4"/>
    <n v="90.9"/>
    <n v="96.2"/>
    <n v="96.8"/>
    <n v="96.9"/>
  </r>
  <r>
    <x v="3"/>
    <n v="91.4"/>
    <n v="80.599999999999994"/>
    <m/>
    <n v="87.3"/>
    <n v="75.099999999999994"/>
    <n v="96.4"/>
    <n v="85.8"/>
    <n v="85.3"/>
  </r>
  <r>
    <x v="4"/>
    <n v="78.828704976629098"/>
    <n v="73.789366745682358"/>
    <m/>
    <n v="78.260869565217391"/>
    <n v="60.101010101010097"/>
    <n v="95.899053627760253"/>
    <n v="75.739944346066281"/>
    <n v="74.89787850836737"/>
  </r>
  <r>
    <x v="5"/>
    <n v="75.880088008800882"/>
    <n v="74.08920667347634"/>
    <n v="55.555555555555557"/>
    <n v="78.723404255319153"/>
    <n v="59.29095354523227"/>
    <n v="94.92063492063491"/>
    <n v="74.237074401008826"/>
    <n v="73.381483913328964"/>
  </r>
  <r>
    <x v="6"/>
    <n v="74.469866071428569"/>
    <n v="73.850974930362113"/>
    <n v="59.259259259259252"/>
    <n v="71.428571428571431"/>
    <n v="57.41626794258373"/>
    <n v="94.38943894389439"/>
    <n v="73.017494572851476"/>
    <n v="72.157279489904354"/>
  </r>
  <r>
    <x v="7"/>
    <n v="72.963067380885263"/>
    <n v="74.139804418688882"/>
    <n v="60.377358490566039"/>
    <n v="67.2316384180791"/>
    <n v="59.023354564755834"/>
    <n v="93.501805054151617"/>
    <n v="71.468674237590918"/>
    <n v="71.417112299465231"/>
  </r>
  <r>
    <x v="8"/>
    <n v="70.981507823613086"/>
    <n v="74.232456140350877"/>
    <n v="62.962962962962962"/>
    <n v="68.965517241379317"/>
    <n v="60.151187904967607"/>
    <n v="93.609022556390968"/>
    <n v="70.378447722899296"/>
    <n v="70.722484807562452"/>
  </r>
  <r>
    <x v="9"/>
    <n v="70.976176641487513"/>
    <n v="75.662739322533128"/>
    <n v="64.81481481481481"/>
    <n v="70.520231213872833"/>
    <n v="61.208791208791212"/>
    <n v="93.333333333333329"/>
    <n v="70.841436535718913"/>
    <n v="71.446196024674435"/>
  </r>
  <r>
    <x v="10"/>
    <n v="71.756168359941938"/>
    <n v="76.559616094499816"/>
    <n v="67.213114754098356"/>
    <n v="70.520231213872833"/>
    <n v="61.627906976744185"/>
    <n v="93.040293040293037"/>
    <n v="71.496712646641754"/>
    <n v="72.157076629397338"/>
  </r>
  <r>
    <x v="11"/>
    <n v="71.632237416351472"/>
    <n v="77.001455604075687"/>
    <n v="68.333333333333329"/>
    <n v="70.391061452513966"/>
    <n v="61.310782241014792"/>
    <n v="94.047619047619051"/>
    <n v="71.380903490759749"/>
    <n v="72.252374491180461"/>
  </r>
</pivotCacheRecords>
</file>

<file path=xl/pivotCache/pivotCacheRecords42.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346">
  <r>
    <x v="0"/>
    <x v="0"/>
    <x v="0"/>
    <n v="278"/>
    <n v="248"/>
    <n v="30"/>
  </r>
  <r>
    <x v="0"/>
    <x v="1"/>
    <x v="1"/>
    <n v="277"/>
    <n v="44"/>
    <n v="233"/>
  </r>
  <r>
    <x v="0"/>
    <x v="2"/>
    <x v="2"/>
    <n v="28"/>
    <n v="0"/>
    <n v="28"/>
  </r>
  <r>
    <x v="1"/>
    <x v="2"/>
    <x v="3"/>
    <n v="634"/>
    <n v="24"/>
    <n v="610"/>
  </r>
  <r>
    <x v="2"/>
    <x v="0"/>
    <x v="0"/>
    <n v="194"/>
    <n v="176"/>
    <n v="18"/>
  </r>
  <r>
    <x v="2"/>
    <x v="0"/>
    <x v="4"/>
    <n v="3"/>
    <n v="2"/>
    <n v="1"/>
  </r>
  <r>
    <x v="2"/>
    <x v="0"/>
    <x v="5"/>
    <n v="34"/>
    <n v="18"/>
    <n v="16"/>
  </r>
  <r>
    <x v="3"/>
    <x v="3"/>
    <x v="6"/>
    <n v="41"/>
    <n v="35"/>
    <n v="6"/>
  </r>
  <r>
    <x v="3"/>
    <x v="0"/>
    <x v="7"/>
    <n v="165"/>
    <n v="98"/>
    <n v="67"/>
  </r>
  <r>
    <x v="3"/>
    <x v="1"/>
    <x v="3"/>
    <n v="46"/>
    <n v="4"/>
    <n v="38"/>
  </r>
  <r>
    <x v="3"/>
    <x v="1"/>
    <x v="1"/>
    <n v="260"/>
    <n v="40"/>
    <n v="198"/>
  </r>
  <r>
    <x v="4"/>
    <x v="3"/>
    <x v="3"/>
    <n v="27"/>
    <n v="23"/>
    <n v="4"/>
  </r>
  <r>
    <x v="4"/>
    <x v="0"/>
    <x v="4"/>
    <n v="2"/>
    <n v="1"/>
    <n v="1"/>
  </r>
  <r>
    <x v="4"/>
    <x v="0"/>
    <x v="8"/>
    <n v="50"/>
    <n v="17"/>
    <n v="33"/>
  </r>
  <r>
    <x v="4"/>
    <x v="1"/>
    <x v="3"/>
    <n v="39"/>
    <n v="3"/>
    <n v="36"/>
  </r>
  <r>
    <x v="5"/>
    <x v="4"/>
    <x v="6"/>
    <n v="261"/>
    <n v="13"/>
    <n v="248"/>
  </r>
  <r>
    <x v="5"/>
    <x v="0"/>
    <x v="4"/>
    <n v="3"/>
    <n v="2"/>
    <n v="1"/>
  </r>
  <r>
    <x v="5"/>
    <x v="2"/>
    <x v="6"/>
    <n v="611"/>
    <n v="33"/>
    <n v="578"/>
  </r>
  <r>
    <x v="6"/>
    <x v="3"/>
    <x v="2"/>
    <n v="1"/>
    <n v="1"/>
    <n v="0"/>
  </r>
  <r>
    <x v="6"/>
    <x v="1"/>
    <x v="1"/>
    <n v="237"/>
    <n v="48"/>
    <n v="189"/>
  </r>
  <r>
    <x v="7"/>
    <x v="3"/>
    <x v="9"/>
    <n v="10"/>
    <n v="9"/>
    <n v="1"/>
  </r>
  <r>
    <x v="7"/>
    <x v="3"/>
    <x v="6"/>
    <n v="41"/>
    <n v="35"/>
    <n v="6"/>
  </r>
  <r>
    <x v="7"/>
    <x v="0"/>
    <x v="7"/>
    <n v="61"/>
    <n v="23"/>
    <n v="38"/>
  </r>
  <r>
    <x v="8"/>
    <x v="3"/>
    <x v="6"/>
    <n v="42"/>
    <n v="37"/>
    <n v="5"/>
  </r>
  <r>
    <x v="8"/>
    <x v="0"/>
    <x v="7"/>
    <n v="60"/>
    <n v="20"/>
    <n v="40"/>
  </r>
  <r>
    <x v="8"/>
    <x v="1"/>
    <x v="3"/>
    <n v="40"/>
    <n v="2"/>
    <n v="38"/>
  </r>
  <r>
    <x v="9"/>
    <x v="3"/>
    <x v="3"/>
    <n v="29"/>
    <n v="25"/>
    <n v="4"/>
  </r>
  <r>
    <x v="9"/>
    <x v="3"/>
    <x v="10"/>
    <n v="4"/>
    <n v="3"/>
    <n v="1"/>
  </r>
  <r>
    <x v="9"/>
    <x v="0"/>
    <x v="0"/>
    <n v="159"/>
    <n v="143"/>
    <n v="16"/>
  </r>
  <r>
    <x v="9"/>
    <x v="0"/>
    <x v="8"/>
    <n v="81"/>
    <n v="37"/>
    <n v="44"/>
  </r>
  <r>
    <x v="10"/>
    <x v="3"/>
    <x v="3"/>
    <n v="26"/>
    <n v="21"/>
    <n v="5"/>
  </r>
  <r>
    <x v="10"/>
    <x v="3"/>
    <x v="9"/>
    <n v="9"/>
    <n v="8"/>
    <n v="1"/>
  </r>
  <r>
    <x v="10"/>
    <x v="4"/>
    <x v="3"/>
    <n v="525"/>
    <n v="28"/>
    <n v="497"/>
  </r>
  <r>
    <x v="11"/>
    <x v="0"/>
    <x v="8"/>
    <n v="95"/>
    <n v="44"/>
    <n v="51"/>
  </r>
  <r>
    <x v="11"/>
    <x v="1"/>
    <x v="1"/>
    <n v="196"/>
    <n v="30"/>
    <n v="166"/>
  </r>
  <r>
    <x v="11"/>
    <x v="2"/>
    <x v="1"/>
    <n v="1936"/>
    <n v="139"/>
    <n v="1797"/>
  </r>
  <r>
    <x v="12"/>
    <x v="3"/>
    <x v="6"/>
    <n v="24"/>
    <n v="21"/>
    <n v="3"/>
  </r>
  <r>
    <x v="12"/>
    <x v="2"/>
    <x v="10"/>
    <n v="72"/>
    <n v="8"/>
    <n v="64"/>
  </r>
  <r>
    <x v="0"/>
    <x v="3"/>
    <x v="3"/>
    <n v="52"/>
    <n v="46"/>
    <n v="6"/>
  </r>
  <r>
    <x v="0"/>
    <x v="0"/>
    <x v="11"/>
    <n v="314"/>
    <n v="91"/>
    <n v="223"/>
  </r>
  <r>
    <x v="0"/>
    <x v="0"/>
    <x v="7"/>
    <n v="234"/>
    <n v="139"/>
    <n v="95"/>
  </r>
  <r>
    <x v="0"/>
    <x v="2"/>
    <x v="3"/>
    <n v="660"/>
    <n v="26"/>
    <n v="634"/>
  </r>
  <r>
    <x v="1"/>
    <x v="3"/>
    <x v="9"/>
    <n v="13"/>
    <n v="11"/>
    <n v="2"/>
  </r>
  <r>
    <x v="1"/>
    <x v="3"/>
    <x v="6"/>
    <n v="50"/>
    <n v="44"/>
    <n v="6"/>
  </r>
  <r>
    <x v="1"/>
    <x v="4"/>
    <x v="6"/>
    <n v="280"/>
    <n v="12"/>
    <n v="268"/>
  </r>
  <r>
    <x v="1"/>
    <x v="0"/>
    <x v="7"/>
    <n v="195"/>
    <n v="122"/>
    <n v="73"/>
  </r>
  <r>
    <x v="1"/>
    <x v="1"/>
    <x v="1"/>
    <n v="296"/>
    <n v="48"/>
    <n v="248"/>
  </r>
  <r>
    <x v="2"/>
    <x v="3"/>
    <x v="10"/>
    <n v="6"/>
    <n v="4"/>
    <n v="2"/>
  </r>
  <r>
    <x v="2"/>
    <x v="4"/>
    <x v="1"/>
    <n v="2065"/>
    <n v="132"/>
    <n v="1933"/>
  </r>
  <r>
    <x v="2"/>
    <x v="0"/>
    <x v="12"/>
    <n v="74"/>
    <n v="57"/>
    <n v="17"/>
  </r>
  <r>
    <x v="2"/>
    <x v="2"/>
    <x v="6"/>
    <n v="577"/>
    <n v="22"/>
    <n v="555"/>
  </r>
  <r>
    <x v="3"/>
    <x v="3"/>
    <x v="9"/>
    <n v="8"/>
    <n v="7"/>
    <n v="1"/>
  </r>
  <r>
    <x v="3"/>
    <x v="0"/>
    <x v="12"/>
    <n v="78"/>
    <n v="58"/>
    <n v="20"/>
  </r>
  <r>
    <x v="3"/>
    <x v="1"/>
    <x v="6"/>
    <n v="36"/>
    <n v="4"/>
    <n v="32"/>
  </r>
  <r>
    <x v="4"/>
    <x v="3"/>
    <x v="10"/>
    <n v="5"/>
    <n v="4"/>
    <n v="1"/>
  </r>
  <r>
    <x v="4"/>
    <x v="3"/>
    <x v="9"/>
    <n v="8"/>
    <n v="7"/>
    <n v="1"/>
  </r>
  <r>
    <x v="4"/>
    <x v="3"/>
    <x v="6"/>
    <n v="43"/>
    <n v="36"/>
    <n v="7"/>
  </r>
  <r>
    <x v="4"/>
    <x v="1"/>
    <x v="6"/>
    <n v="37"/>
    <n v="5"/>
    <n v="32"/>
  </r>
  <r>
    <x v="4"/>
    <x v="2"/>
    <x v="13"/>
    <n v="4"/>
    <m/>
    <n v="4"/>
  </r>
  <r>
    <x v="4"/>
    <x v="2"/>
    <x v="10"/>
    <n v="74"/>
    <n v="2"/>
    <n v="72"/>
  </r>
  <r>
    <x v="5"/>
    <x v="3"/>
    <x v="2"/>
    <n v="1"/>
    <n v="1"/>
    <n v="0"/>
  </r>
  <r>
    <x v="5"/>
    <x v="3"/>
    <x v="3"/>
    <n v="27"/>
    <n v="21"/>
    <n v="6"/>
  </r>
  <r>
    <x v="5"/>
    <x v="3"/>
    <x v="6"/>
    <n v="42"/>
    <n v="36"/>
    <n v="6"/>
  </r>
  <r>
    <x v="5"/>
    <x v="0"/>
    <x v="12"/>
    <n v="84"/>
    <n v="58"/>
    <n v="26"/>
  </r>
  <r>
    <x v="6"/>
    <x v="4"/>
    <x v="3"/>
    <n v="520"/>
    <n v="20"/>
    <n v="500"/>
  </r>
  <r>
    <x v="6"/>
    <x v="0"/>
    <x v="8"/>
    <n v="47"/>
    <n v="14"/>
    <n v="33"/>
  </r>
  <r>
    <x v="6"/>
    <x v="0"/>
    <x v="5"/>
    <n v="32"/>
    <n v="20"/>
    <n v="12"/>
  </r>
  <r>
    <x v="6"/>
    <x v="0"/>
    <x v="7"/>
    <n v="63"/>
    <n v="26"/>
    <n v="37"/>
  </r>
  <r>
    <x v="6"/>
    <x v="1"/>
    <x v="6"/>
    <n v="37"/>
    <n v="5"/>
    <n v="32"/>
  </r>
  <r>
    <x v="7"/>
    <x v="3"/>
    <x v="3"/>
    <n v="31"/>
    <n v="24"/>
    <n v="7"/>
  </r>
  <r>
    <x v="7"/>
    <x v="5"/>
    <x v="6"/>
    <n v="54"/>
    <n v="11"/>
    <n v="43"/>
  </r>
  <r>
    <x v="7"/>
    <x v="0"/>
    <x v="8"/>
    <n v="50"/>
    <n v="17"/>
    <n v="33"/>
  </r>
  <r>
    <x v="7"/>
    <x v="0"/>
    <x v="5"/>
    <n v="30"/>
    <n v="19"/>
    <n v="11"/>
  </r>
  <r>
    <x v="7"/>
    <x v="2"/>
    <x v="1"/>
    <n v="2020"/>
    <n v="150"/>
    <n v="1870"/>
  </r>
  <r>
    <x v="7"/>
    <x v="2"/>
    <x v="9"/>
    <n v="152"/>
    <n v="7"/>
    <n v="145"/>
  </r>
  <r>
    <x v="8"/>
    <x v="4"/>
    <x v="1"/>
    <n v="1967"/>
    <n v="158"/>
    <n v="1809"/>
  </r>
  <r>
    <x v="8"/>
    <x v="0"/>
    <x v="11"/>
    <n v="469"/>
    <n v="180"/>
    <n v="289"/>
  </r>
  <r>
    <x v="9"/>
    <x v="1"/>
    <x v="1"/>
    <n v="189"/>
    <n v="31"/>
    <n v="158"/>
  </r>
  <r>
    <x v="9"/>
    <x v="2"/>
    <x v="2"/>
    <n v="31"/>
    <n v="1"/>
    <n v="30"/>
  </r>
  <r>
    <x v="10"/>
    <x v="2"/>
    <x v="1"/>
    <n v="1912"/>
    <n v="138"/>
    <n v="1774"/>
  </r>
  <r>
    <x v="11"/>
    <x v="4"/>
    <x v="6"/>
    <n v="248"/>
    <n v="11"/>
    <n v="237"/>
  </r>
  <r>
    <x v="11"/>
    <x v="5"/>
    <x v="6"/>
    <n v="56"/>
    <n v="7"/>
    <n v="49"/>
  </r>
  <r>
    <x v="11"/>
    <x v="0"/>
    <x v="7"/>
    <n v="58"/>
    <n v="19"/>
    <n v="39"/>
  </r>
  <r>
    <x v="11"/>
    <x v="2"/>
    <x v="9"/>
    <n v="160"/>
    <n v="5"/>
    <n v="155"/>
  </r>
  <r>
    <x v="11"/>
    <x v="2"/>
    <x v="6"/>
    <n v="605"/>
    <n v="32"/>
    <n v="573"/>
  </r>
  <r>
    <x v="12"/>
    <x v="3"/>
    <x v="14"/>
    <n v="2"/>
    <n v="2"/>
    <n v="0"/>
  </r>
  <r>
    <x v="12"/>
    <x v="4"/>
    <x v="1"/>
    <n v="1964"/>
    <n v="162"/>
    <n v="1802"/>
  </r>
  <r>
    <x v="12"/>
    <x v="4"/>
    <x v="6"/>
    <n v="257"/>
    <n v="13"/>
    <n v="244"/>
  </r>
  <r>
    <x v="12"/>
    <x v="1"/>
    <x v="3"/>
    <n v="39"/>
    <n v="7"/>
    <n v="32"/>
  </r>
  <r>
    <x v="12"/>
    <x v="2"/>
    <x v="14"/>
    <n v="2"/>
    <n v="0"/>
    <n v="2"/>
  </r>
  <r>
    <x v="12"/>
    <x v="2"/>
    <x v="6"/>
    <n v="625"/>
    <n v="35"/>
    <n v="590"/>
  </r>
  <r>
    <x v="0"/>
    <x v="3"/>
    <x v="1"/>
    <n v="103"/>
    <n v="94"/>
    <n v="9"/>
  </r>
  <r>
    <x v="0"/>
    <x v="0"/>
    <x v="4"/>
    <n v="0"/>
    <n v="0"/>
    <n v="0"/>
  </r>
  <r>
    <x v="0"/>
    <x v="2"/>
    <x v="9"/>
    <n v="136"/>
    <n v="2"/>
    <n v="134"/>
  </r>
  <r>
    <x v="1"/>
    <x v="4"/>
    <x v="3"/>
    <n v="546"/>
    <n v="17"/>
    <n v="529"/>
  </r>
  <r>
    <x v="3"/>
    <x v="3"/>
    <x v="1"/>
    <n v="80"/>
    <n v="67"/>
    <n v="13"/>
  </r>
  <r>
    <x v="3"/>
    <x v="0"/>
    <x v="4"/>
    <n v="3"/>
    <n v="2"/>
    <n v="1"/>
  </r>
  <r>
    <x v="3"/>
    <x v="0"/>
    <x v="5"/>
    <n v="34"/>
    <n v="19"/>
    <n v="15"/>
  </r>
  <r>
    <x v="3"/>
    <x v="2"/>
    <x v="13"/>
    <n v="4"/>
    <n v="0"/>
    <n v="4"/>
  </r>
  <r>
    <x v="4"/>
    <x v="3"/>
    <x v="1"/>
    <n v="106"/>
    <n v="88"/>
    <n v="18"/>
  </r>
  <r>
    <x v="4"/>
    <x v="2"/>
    <x v="2"/>
    <n v="34"/>
    <m/>
    <n v="34"/>
  </r>
  <r>
    <x v="5"/>
    <x v="0"/>
    <x v="5"/>
    <n v="34"/>
    <n v="21"/>
    <n v="13"/>
  </r>
  <r>
    <x v="5"/>
    <x v="2"/>
    <x v="2"/>
    <n v="33"/>
    <n v="0"/>
    <n v="33"/>
  </r>
  <r>
    <x v="6"/>
    <x v="4"/>
    <x v="6"/>
    <n v="262"/>
    <n v="13"/>
    <n v="249"/>
  </r>
  <r>
    <x v="6"/>
    <x v="1"/>
    <x v="3"/>
    <n v="41"/>
    <n v="1"/>
    <n v="40"/>
  </r>
  <r>
    <x v="6"/>
    <x v="2"/>
    <x v="10"/>
    <n v="80"/>
    <n v="2"/>
    <n v="78"/>
  </r>
  <r>
    <x v="6"/>
    <x v="2"/>
    <x v="9"/>
    <n v="153"/>
    <n v="5"/>
    <n v="148"/>
  </r>
  <r>
    <x v="7"/>
    <x v="2"/>
    <x v="6"/>
    <n v="603"/>
    <n v="31"/>
    <n v="572"/>
  </r>
  <r>
    <x v="8"/>
    <x v="3"/>
    <x v="1"/>
    <n v="90"/>
    <n v="76"/>
    <n v="14"/>
  </r>
  <r>
    <x v="8"/>
    <x v="2"/>
    <x v="1"/>
    <n v="1990"/>
    <n v="148"/>
    <n v="1842"/>
  </r>
  <r>
    <x v="8"/>
    <x v="2"/>
    <x v="6"/>
    <n v="607"/>
    <n v="30"/>
    <n v="577"/>
  </r>
  <r>
    <x v="9"/>
    <x v="0"/>
    <x v="4"/>
    <n v="4"/>
    <n v="1"/>
    <n v="3"/>
  </r>
  <r>
    <x v="9"/>
    <x v="2"/>
    <x v="13"/>
    <n v="5"/>
    <n v="0"/>
    <n v="5"/>
  </r>
  <r>
    <x v="10"/>
    <x v="3"/>
    <x v="10"/>
    <n v="4"/>
    <n v="4"/>
    <n v="0"/>
  </r>
  <r>
    <x v="10"/>
    <x v="4"/>
    <x v="1"/>
    <n v="1932"/>
    <n v="151"/>
    <n v="1781"/>
  </r>
  <r>
    <x v="10"/>
    <x v="5"/>
    <x v="3"/>
    <n v="2"/>
    <n v="0"/>
    <n v="2"/>
  </r>
  <r>
    <x v="10"/>
    <x v="0"/>
    <x v="5"/>
    <n v="35"/>
    <n v="24"/>
    <n v="11"/>
  </r>
  <r>
    <x v="10"/>
    <x v="2"/>
    <x v="10"/>
    <n v="71"/>
    <n v="2"/>
    <n v="69"/>
  </r>
  <r>
    <x v="11"/>
    <x v="3"/>
    <x v="1"/>
    <n v="95"/>
    <n v="76"/>
    <n v="19"/>
  </r>
  <r>
    <x v="11"/>
    <x v="3"/>
    <x v="6"/>
    <n v="37"/>
    <n v="29"/>
    <n v="8"/>
  </r>
  <r>
    <x v="11"/>
    <x v="5"/>
    <x v="3"/>
    <n v="4"/>
    <n v="0"/>
    <n v="4"/>
  </r>
  <r>
    <x v="12"/>
    <x v="3"/>
    <x v="3"/>
    <n v="42"/>
    <n v="33"/>
    <n v="9"/>
  </r>
  <r>
    <x v="12"/>
    <x v="3"/>
    <x v="10"/>
    <n v="3"/>
    <n v="3"/>
    <n v="0"/>
  </r>
  <r>
    <x v="12"/>
    <x v="3"/>
    <x v="9"/>
    <n v="6"/>
    <n v="5"/>
    <n v="1"/>
  </r>
  <r>
    <x v="12"/>
    <x v="4"/>
    <x v="3"/>
    <n v="526"/>
    <n v="33"/>
    <n v="493"/>
  </r>
  <r>
    <x v="12"/>
    <x v="5"/>
    <x v="3"/>
    <n v="3"/>
    <n v="0"/>
    <n v="3"/>
  </r>
  <r>
    <x v="12"/>
    <x v="0"/>
    <x v="0"/>
    <n v="139"/>
    <n v="127"/>
    <n v="12"/>
  </r>
  <r>
    <x v="12"/>
    <x v="0"/>
    <x v="12"/>
    <n v="87"/>
    <n v="52"/>
    <n v="35"/>
  </r>
  <r>
    <x v="12"/>
    <x v="0"/>
    <x v="11"/>
    <n v="484"/>
    <n v="214"/>
    <n v="270"/>
  </r>
  <r>
    <x v="0"/>
    <x v="4"/>
    <x v="6"/>
    <n v="278"/>
    <n v="10"/>
    <n v="268"/>
  </r>
  <r>
    <x v="0"/>
    <x v="2"/>
    <x v="13"/>
    <n v="9"/>
    <n v="0"/>
    <n v="9"/>
  </r>
  <r>
    <x v="0"/>
    <x v="2"/>
    <x v="1"/>
    <n v="2374"/>
    <n v="106"/>
    <n v="2268"/>
  </r>
  <r>
    <x v="1"/>
    <x v="3"/>
    <x v="3"/>
    <n v="52"/>
    <n v="44"/>
    <n v="8"/>
  </r>
  <r>
    <x v="1"/>
    <x v="4"/>
    <x v="1"/>
    <n v="2124"/>
    <n v="143"/>
    <n v="1981"/>
  </r>
  <r>
    <x v="1"/>
    <x v="2"/>
    <x v="6"/>
    <n v="664"/>
    <n v="27"/>
    <n v="637"/>
  </r>
  <r>
    <x v="2"/>
    <x v="3"/>
    <x v="3"/>
    <n v="44"/>
    <n v="39"/>
    <n v="5"/>
  </r>
  <r>
    <x v="2"/>
    <x v="3"/>
    <x v="1"/>
    <n v="95"/>
    <n v="77"/>
    <n v="18"/>
  </r>
  <r>
    <x v="2"/>
    <x v="3"/>
    <x v="9"/>
    <n v="7"/>
    <n v="7"/>
    <n v="0"/>
  </r>
  <r>
    <x v="2"/>
    <x v="3"/>
    <x v="6"/>
    <n v="51"/>
    <n v="44"/>
    <n v="7"/>
  </r>
  <r>
    <x v="2"/>
    <x v="4"/>
    <x v="6"/>
    <n v="262"/>
    <n v="14"/>
    <n v="248"/>
  </r>
  <r>
    <x v="2"/>
    <x v="1"/>
    <x v="6"/>
    <n v="36"/>
    <n v="2"/>
    <n v="34"/>
  </r>
  <r>
    <x v="2"/>
    <x v="2"/>
    <x v="9"/>
    <n v="126"/>
    <n v="2"/>
    <n v="124"/>
  </r>
  <r>
    <x v="3"/>
    <x v="4"/>
    <x v="3"/>
    <n v="549"/>
    <n v="15"/>
    <n v="534"/>
  </r>
  <r>
    <x v="3"/>
    <x v="2"/>
    <x v="10"/>
    <n v="70"/>
    <n v="2"/>
    <n v="68"/>
  </r>
  <r>
    <x v="3"/>
    <x v="2"/>
    <x v="9"/>
    <n v="151"/>
    <n v="2"/>
    <n v="149"/>
  </r>
  <r>
    <x v="4"/>
    <x v="4"/>
    <x v="1"/>
    <n v="2077"/>
    <n v="138"/>
    <n v="1939"/>
  </r>
  <r>
    <x v="5"/>
    <x v="4"/>
    <x v="3"/>
    <n v="533"/>
    <n v="20"/>
    <n v="513"/>
  </r>
  <r>
    <x v="5"/>
    <x v="4"/>
    <x v="1"/>
    <n v="2141"/>
    <n v="168"/>
    <n v="1973"/>
  </r>
  <r>
    <x v="5"/>
    <x v="0"/>
    <x v="8"/>
    <n v="49"/>
    <n v="15"/>
    <n v="34"/>
  </r>
  <r>
    <x v="5"/>
    <x v="0"/>
    <x v="7"/>
    <n v="64"/>
    <n v="26"/>
    <n v="38"/>
  </r>
  <r>
    <x v="5"/>
    <x v="2"/>
    <x v="3"/>
    <n v="687"/>
    <n v="27"/>
    <n v="660"/>
  </r>
  <r>
    <x v="5"/>
    <x v="2"/>
    <x v="1"/>
    <n v="2075"/>
    <n v="132"/>
    <n v="1943"/>
  </r>
  <r>
    <x v="6"/>
    <x v="3"/>
    <x v="3"/>
    <n v="26"/>
    <n v="21"/>
    <n v="5"/>
  </r>
  <r>
    <x v="6"/>
    <x v="3"/>
    <x v="10"/>
    <n v="4"/>
    <n v="3"/>
    <n v="1"/>
  </r>
  <r>
    <x v="6"/>
    <x v="4"/>
    <x v="1"/>
    <n v="2155"/>
    <n v="175"/>
    <n v="1980"/>
  </r>
  <r>
    <x v="6"/>
    <x v="0"/>
    <x v="0"/>
    <n v="182"/>
    <n v="172"/>
    <n v="10"/>
  </r>
  <r>
    <x v="7"/>
    <x v="1"/>
    <x v="6"/>
    <n v="37"/>
    <n v="5"/>
    <n v="32"/>
  </r>
  <r>
    <x v="8"/>
    <x v="4"/>
    <x v="6"/>
    <n v="265"/>
    <n v="15"/>
    <n v="250"/>
  </r>
  <r>
    <x v="8"/>
    <x v="0"/>
    <x v="0"/>
    <n v="193"/>
    <n v="179"/>
    <n v="14"/>
  </r>
  <r>
    <x v="8"/>
    <x v="0"/>
    <x v="4"/>
    <n v="4"/>
    <n v="1"/>
    <n v="3"/>
  </r>
  <r>
    <x v="8"/>
    <x v="0"/>
    <x v="12"/>
    <n v="104"/>
    <n v="76"/>
    <n v="28"/>
  </r>
  <r>
    <x v="8"/>
    <x v="2"/>
    <x v="3"/>
    <n v="660"/>
    <n v="39"/>
    <n v="621"/>
  </r>
  <r>
    <x v="9"/>
    <x v="3"/>
    <x v="2"/>
    <n v="1"/>
    <n v="1"/>
    <n v="0"/>
  </r>
  <r>
    <x v="9"/>
    <x v="2"/>
    <x v="1"/>
    <n v="1972"/>
    <n v="145"/>
    <n v="1827"/>
  </r>
  <r>
    <x v="9"/>
    <x v="2"/>
    <x v="6"/>
    <n v="601"/>
    <n v="31"/>
    <n v="570"/>
  </r>
  <r>
    <x v="10"/>
    <x v="0"/>
    <x v="12"/>
    <n v="90"/>
    <n v="49"/>
    <n v="41"/>
  </r>
  <r>
    <x v="10"/>
    <x v="2"/>
    <x v="6"/>
    <n v="607"/>
    <n v="31"/>
    <n v="576"/>
  </r>
  <r>
    <x v="11"/>
    <x v="4"/>
    <x v="1"/>
    <n v="1943"/>
    <n v="162"/>
    <n v="1781"/>
  </r>
  <r>
    <x v="11"/>
    <x v="0"/>
    <x v="5"/>
    <n v="35"/>
    <n v="24"/>
    <n v="11"/>
  </r>
  <r>
    <x v="11"/>
    <x v="2"/>
    <x v="3"/>
    <n v="622"/>
    <n v="35"/>
    <n v="587"/>
  </r>
  <r>
    <x v="11"/>
    <x v="2"/>
    <x v="10"/>
    <n v="72"/>
    <n v="9"/>
    <n v="63"/>
  </r>
  <r>
    <x v="12"/>
    <x v="2"/>
    <x v="3"/>
    <n v="641"/>
    <n v="35"/>
    <n v="606"/>
  </r>
  <r>
    <x v="12"/>
    <x v="2"/>
    <x v="1"/>
    <n v="1899"/>
    <n v="144"/>
    <n v="1755"/>
  </r>
  <r>
    <x v="0"/>
    <x v="3"/>
    <x v="10"/>
    <n v="5"/>
    <n v="4"/>
    <n v="1"/>
  </r>
  <r>
    <x v="1"/>
    <x v="0"/>
    <x v="11"/>
    <n v="335"/>
    <n v="99"/>
    <n v="236"/>
  </r>
  <r>
    <x v="1"/>
    <x v="1"/>
    <x v="3"/>
    <n v="44"/>
    <n v="4"/>
    <n v="40"/>
  </r>
  <r>
    <x v="2"/>
    <x v="0"/>
    <x v="11"/>
    <n v="316"/>
    <n v="101"/>
    <n v="215"/>
  </r>
  <r>
    <x v="2"/>
    <x v="0"/>
    <x v="7"/>
    <n v="167"/>
    <n v="94"/>
    <n v="73"/>
  </r>
  <r>
    <x v="2"/>
    <x v="2"/>
    <x v="2"/>
    <n v="35"/>
    <n v="0"/>
    <n v="35"/>
  </r>
  <r>
    <x v="3"/>
    <x v="0"/>
    <x v="0"/>
    <n v="170"/>
    <n v="159"/>
    <n v="11"/>
  </r>
  <r>
    <x v="3"/>
    <x v="0"/>
    <x v="11"/>
    <n v="346"/>
    <n v="113"/>
    <n v="233"/>
  </r>
  <r>
    <x v="4"/>
    <x v="4"/>
    <x v="3"/>
    <n v="525"/>
    <n v="19"/>
    <n v="506"/>
  </r>
  <r>
    <x v="4"/>
    <x v="2"/>
    <x v="1"/>
    <n v="1989"/>
    <n v="114"/>
    <n v="1875"/>
  </r>
  <r>
    <x v="6"/>
    <x v="3"/>
    <x v="1"/>
    <n v="104"/>
    <n v="86"/>
    <n v="18"/>
  </r>
  <r>
    <x v="6"/>
    <x v="5"/>
    <x v="6"/>
    <n v="36"/>
    <n v="7"/>
    <n v="29"/>
  </r>
  <r>
    <x v="6"/>
    <x v="0"/>
    <x v="4"/>
    <n v="3"/>
    <n v="2"/>
    <n v="1"/>
  </r>
  <r>
    <x v="7"/>
    <x v="4"/>
    <x v="3"/>
    <n v="522"/>
    <n v="16"/>
    <n v="506"/>
  </r>
  <r>
    <x v="7"/>
    <x v="1"/>
    <x v="3"/>
    <n v="43"/>
    <n v="3"/>
    <n v="40"/>
  </r>
  <r>
    <x v="7"/>
    <x v="2"/>
    <x v="2"/>
    <n v="35"/>
    <n v="0"/>
    <n v="35"/>
  </r>
  <r>
    <x v="7"/>
    <x v="2"/>
    <x v="13"/>
    <n v="5"/>
    <n v="0"/>
    <n v="5"/>
  </r>
  <r>
    <x v="8"/>
    <x v="2"/>
    <x v="10"/>
    <n v="76"/>
    <n v="2"/>
    <n v="74"/>
  </r>
  <r>
    <x v="9"/>
    <x v="3"/>
    <x v="9"/>
    <n v="10"/>
    <n v="9"/>
    <n v="1"/>
  </r>
  <r>
    <x v="9"/>
    <x v="4"/>
    <x v="1"/>
    <n v="1952"/>
    <n v="147"/>
    <n v="1805"/>
  </r>
  <r>
    <x v="9"/>
    <x v="4"/>
    <x v="6"/>
    <n v="262"/>
    <n v="16"/>
    <n v="246"/>
  </r>
  <r>
    <x v="9"/>
    <x v="5"/>
    <x v="3"/>
    <n v="1"/>
    <n v="0"/>
    <n v="1"/>
  </r>
  <r>
    <x v="9"/>
    <x v="1"/>
    <x v="3"/>
    <n v="40"/>
    <n v="3"/>
    <n v="37"/>
  </r>
  <r>
    <x v="9"/>
    <x v="2"/>
    <x v="3"/>
    <n v="655"/>
    <n v="39"/>
    <n v="616"/>
  </r>
  <r>
    <x v="9"/>
    <x v="2"/>
    <x v="10"/>
    <n v="78"/>
    <n v="2"/>
    <n v="76"/>
  </r>
  <r>
    <x v="9"/>
    <x v="2"/>
    <x v="9"/>
    <n v="148"/>
    <n v="9"/>
    <n v="139"/>
  </r>
  <r>
    <x v="10"/>
    <x v="3"/>
    <x v="1"/>
    <n v="91"/>
    <n v="73"/>
    <n v="18"/>
  </r>
  <r>
    <x v="10"/>
    <x v="4"/>
    <x v="6"/>
    <n v="251"/>
    <n v="12"/>
    <n v="239"/>
  </r>
  <r>
    <x v="10"/>
    <x v="0"/>
    <x v="11"/>
    <n v="470"/>
    <n v="218"/>
    <n v="252"/>
  </r>
  <r>
    <x v="10"/>
    <x v="0"/>
    <x v="7"/>
    <n v="60"/>
    <n v="19"/>
    <n v="41"/>
  </r>
  <r>
    <x v="10"/>
    <x v="1"/>
    <x v="1"/>
    <n v="193"/>
    <n v="31"/>
    <n v="162"/>
  </r>
  <r>
    <x v="10"/>
    <x v="1"/>
    <x v="6"/>
    <n v="35"/>
    <n v="5"/>
    <n v="30"/>
  </r>
  <r>
    <x v="10"/>
    <x v="2"/>
    <x v="13"/>
    <n v="5"/>
    <n v="0"/>
    <n v="5"/>
  </r>
  <r>
    <x v="11"/>
    <x v="4"/>
    <x v="3"/>
    <n v="514"/>
    <n v="30"/>
    <n v="484"/>
  </r>
  <r>
    <x v="11"/>
    <x v="2"/>
    <x v="13"/>
    <n v="5"/>
    <n v="0"/>
    <n v="5"/>
  </r>
  <r>
    <x v="12"/>
    <x v="3"/>
    <x v="1"/>
    <n v="100"/>
    <n v="72"/>
    <n v="28"/>
  </r>
  <r>
    <x v="12"/>
    <x v="0"/>
    <x v="5"/>
    <n v="45"/>
    <n v="30"/>
    <n v="15"/>
  </r>
  <r>
    <x v="12"/>
    <x v="0"/>
    <x v="7"/>
    <n v="63"/>
    <n v="18"/>
    <n v="45"/>
  </r>
  <r>
    <x v="12"/>
    <x v="1"/>
    <x v="6"/>
    <n v="35"/>
    <n v="6"/>
    <n v="29"/>
  </r>
  <r>
    <x v="0"/>
    <x v="1"/>
    <x v="3"/>
    <n v="73"/>
    <n v="8"/>
    <n v="65"/>
  </r>
  <r>
    <x v="0"/>
    <x v="2"/>
    <x v="10"/>
    <n v="115"/>
    <n v="3"/>
    <n v="112"/>
  </r>
  <r>
    <x v="0"/>
    <x v="2"/>
    <x v="6"/>
    <n v="679"/>
    <n v="22"/>
    <n v="657"/>
  </r>
  <r>
    <x v="1"/>
    <x v="3"/>
    <x v="1"/>
    <n v="110"/>
    <n v="89"/>
    <n v="21"/>
  </r>
  <r>
    <x v="1"/>
    <x v="0"/>
    <x v="0"/>
    <n v="195"/>
    <n v="176"/>
    <n v="19"/>
  </r>
  <r>
    <x v="1"/>
    <x v="0"/>
    <x v="4"/>
    <n v="2"/>
    <n v="2"/>
    <n v="0"/>
  </r>
  <r>
    <x v="1"/>
    <x v="0"/>
    <x v="12"/>
    <n v="59"/>
    <n v="40"/>
    <n v="19"/>
  </r>
  <r>
    <x v="1"/>
    <x v="0"/>
    <x v="8"/>
    <n v="44"/>
    <n v="21"/>
    <n v="23"/>
  </r>
  <r>
    <x v="1"/>
    <x v="2"/>
    <x v="13"/>
    <n v="7"/>
    <n v="0"/>
    <n v="7"/>
  </r>
  <r>
    <x v="1"/>
    <x v="2"/>
    <x v="1"/>
    <n v="2285"/>
    <n v="109"/>
    <n v="2176"/>
  </r>
  <r>
    <x v="1"/>
    <x v="2"/>
    <x v="9"/>
    <n v="130"/>
    <n v="1"/>
    <n v="129"/>
  </r>
  <r>
    <x v="2"/>
    <x v="4"/>
    <x v="3"/>
    <n v="543"/>
    <n v="17"/>
    <n v="526"/>
  </r>
  <r>
    <x v="2"/>
    <x v="0"/>
    <x v="8"/>
    <n v="40"/>
    <n v="15"/>
    <n v="25"/>
  </r>
  <r>
    <x v="2"/>
    <x v="2"/>
    <x v="13"/>
    <n v="4"/>
    <n v="0"/>
    <n v="4"/>
  </r>
  <r>
    <x v="2"/>
    <x v="2"/>
    <x v="3"/>
    <n v="600"/>
    <n v="27"/>
    <n v="573"/>
  </r>
  <r>
    <x v="3"/>
    <x v="3"/>
    <x v="10"/>
    <n v="5"/>
    <n v="4"/>
    <n v="1"/>
  </r>
  <r>
    <x v="3"/>
    <x v="4"/>
    <x v="6"/>
    <n v="260"/>
    <n v="16"/>
    <n v="244"/>
  </r>
  <r>
    <x v="4"/>
    <x v="0"/>
    <x v="5"/>
    <n v="32"/>
    <n v="19"/>
    <n v="13"/>
  </r>
  <r>
    <x v="4"/>
    <x v="2"/>
    <x v="3"/>
    <n v="689"/>
    <n v="26"/>
    <n v="663"/>
  </r>
  <r>
    <x v="4"/>
    <x v="2"/>
    <x v="9"/>
    <n v="153"/>
    <n v="2"/>
    <n v="151"/>
  </r>
  <r>
    <x v="4"/>
    <x v="2"/>
    <x v="6"/>
    <n v="603"/>
    <n v="31"/>
    <n v="572"/>
  </r>
  <r>
    <x v="5"/>
    <x v="3"/>
    <x v="1"/>
    <n v="124"/>
    <n v="103"/>
    <n v="21"/>
  </r>
  <r>
    <x v="5"/>
    <x v="3"/>
    <x v="9"/>
    <n v="9"/>
    <n v="8"/>
    <n v="1"/>
  </r>
  <r>
    <x v="5"/>
    <x v="5"/>
    <x v="15"/>
    <n v="18"/>
    <n v="1"/>
    <n v="17"/>
  </r>
  <r>
    <x v="5"/>
    <x v="1"/>
    <x v="3"/>
    <n v="40"/>
    <n v="3"/>
    <n v="37"/>
  </r>
  <r>
    <x v="5"/>
    <x v="2"/>
    <x v="13"/>
    <n v="4"/>
    <n v="0"/>
    <n v="4"/>
  </r>
  <r>
    <x v="6"/>
    <x v="0"/>
    <x v="11"/>
    <n v="400"/>
    <n v="152"/>
    <n v="248"/>
  </r>
  <r>
    <x v="6"/>
    <x v="2"/>
    <x v="2"/>
    <n v="31"/>
    <n v="0"/>
    <n v="31"/>
  </r>
  <r>
    <x v="6"/>
    <x v="2"/>
    <x v="3"/>
    <n v="688"/>
    <n v="31"/>
    <n v="657"/>
  </r>
  <r>
    <x v="7"/>
    <x v="3"/>
    <x v="1"/>
    <n v="95"/>
    <n v="79"/>
    <n v="16"/>
  </r>
  <r>
    <x v="7"/>
    <x v="4"/>
    <x v="6"/>
    <n v="267"/>
    <n v="14"/>
    <n v="253"/>
  </r>
  <r>
    <x v="7"/>
    <x v="0"/>
    <x v="0"/>
    <n v="187"/>
    <n v="178"/>
    <n v="9"/>
  </r>
  <r>
    <x v="7"/>
    <x v="0"/>
    <x v="4"/>
    <n v="3"/>
    <n v="2"/>
    <n v="1"/>
  </r>
  <r>
    <x v="7"/>
    <x v="0"/>
    <x v="11"/>
    <n v="413"/>
    <n v="161"/>
    <n v="252"/>
  </r>
  <r>
    <x v="7"/>
    <x v="1"/>
    <x v="1"/>
    <n v="223"/>
    <n v="44"/>
    <n v="179"/>
  </r>
  <r>
    <x v="7"/>
    <x v="2"/>
    <x v="10"/>
    <n v="79"/>
    <n v="2"/>
    <n v="77"/>
  </r>
  <r>
    <x v="8"/>
    <x v="3"/>
    <x v="2"/>
    <n v="1"/>
    <n v="1"/>
    <n v="0"/>
  </r>
  <r>
    <x v="8"/>
    <x v="4"/>
    <x v="3"/>
    <n v="526"/>
    <n v="18"/>
    <n v="508"/>
  </r>
  <r>
    <x v="8"/>
    <x v="0"/>
    <x v="8"/>
    <n v="57"/>
    <n v="25"/>
    <n v="32"/>
  </r>
  <r>
    <x v="8"/>
    <x v="0"/>
    <x v="5"/>
    <n v="33"/>
    <n v="20"/>
    <n v="13"/>
  </r>
  <r>
    <x v="8"/>
    <x v="1"/>
    <x v="6"/>
    <n v="36"/>
    <n v="6"/>
    <n v="30"/>
  </r>
  <r>
    <x v="9"/>
    <x v="0"/>
    <x v="7"/>
    <n v="58"/>
    <n v="18"/>
    <n v="40"/>
  </r>
  <r>
    <x v="10"/>
    <x v="3"/>
    <x v="6"/>
    <n v="40"/>
    <n v="35"/>
    <n v="5"/>
  </r>
  <r>
    <x v="10"/>
    <x v="5"/>
    <x v="6"/>
    <n v="53"/>
    <n v="8"/>
    <n v="45"/>
  </r>
  <r>
    <x v="10"/>
    <x v="0"/>
    <x v="4"/>
    <n v="3"/>
    <n v="2"/>
    <n v="1"/>
  </r>
  <r>
    <x v="10"/>
    <x v="1"/>
    <x v="3"/>
    <n v="41"/>
    <n v="6"/>
    <n v="35"/>
  </r>
  <r>
    <x v="11"/>
    <x v="0"/>
    <x v="12"/>
    <n v="94"/>
    <n v="48"/>
    <n v="46"/>
  </r>
  <r>
    <x v="11"/>
    <x v="0"/>
    <x v="11"/>
    <n v="479"/>
    <n v="216"/>
    <n v="263"/>
  </r>
  <r>
    <x v="11"/>
    <x v="1"/>
    <x v="3"/>
    <n v="41"/>
    <n v="6"/>
    <n v="35"/>
  </r>
  <r>
    <x v="12"/>
    <x v="0"/>
    <x v="8"/>
    <n v="101"/>
    <n v="47"/>
    <n v="54"/>
  </r>
  <r>
    <x v="12"/>
    <x v="2"/>
    <x v="13"/>
    <n v="5"/>
    <n v="0"/>
    <n v="5"/>
  </r>
  <r>
    <x v="12"/>
    <x v="2"/>
    <x v="9"/>
    <n v="160"/>
    <n v="6"/>
    <n v="154"/>
  </r>
  <r>
    <x v="0"/>
    <x v="4"/>
    <x v="3"/>
    <n v="535"/>
    <n v="19"/>
    <n v="516"/>
  </r>
  <r>
    <x v="0"/>
    <x v="4"/>
    <x v="1"/>
    <n v="2127"/>
    <n v="149"/>
    <n v="1978"/>
  </r>
  <r>
    <x v="0"/>
    <x v="0"/>
    <x v="12"/>
    <n v="45"/>
    <n v="28"/>
    <n v="17"/>
  </r>
  <r>
    <x v="0"/>
    <x v="0"/>
    <x v="5"/>
    <n v="20"/>
    <n v="7"/>
    <n v="13"/>
  </r>
  <r>
    <x v="0"/>
    <x v="1"/>
    <x v="6"/>
    <n v="9"/>
    <n v="0"/>
    <n v="9"/>
  </r>
  <r>
    <x v="1"/>
    <x v="3"/>
    <x v="10"/>
    <n v="5"/>
    <n v="4"/>
    <n v="1"/>
  </r>
  <r>
    <x v="1"/>
    <x v="2"/>
    <x v="2"/>
    <n v="33"/>
    <n v="0"/>
    <n v="33"/>
  </r>
  <r>
    <x v="2"/>
    <x v="1"/>
    <x v="3"/>
    <n v="46"/>
    <n v="6"/>
    <n v="40"/>
  </r>
  <r>
    <x v="2"/>
    <x v="1"/>
    <x v="1"/>
    <n v="260"/>
    <n v="48"/>
    <n v="212"/>
  </r>
  <r>
    <x v="2"/>
    <x v="2"/>
    <x v="1"/>
    <n v="2258"/>
    <n v="113"/>
    <n v="2145"/>
  </r>
  <r>
    <x v="2"/>
    <x v="2"/>
    <x v="10"/>
    <n v="90"/>
    <n v="3"/>
    <n v="87"/>
  </r>
  <r>
    <x v="3"/>
    <x v="2"/>
    <x v="2"/>
    <n v="34"/>
    <n v="0"/>
    <n v="34"/>
  </r>
  <r>
    <x v="3"/>
    <x v="2"/>
    <x v="3"/>
    <n v="635"/>
    <n v="29"/>
    <n v="606"/>
  </r>
  <r>
    <x v="3"/>
    <x v="2"/>
    <x v="1"/>
    <n v="2161"/>
    <n v="122"/>
    <n v="2039"/>
  </r>
  <r>
    <x v="3"/>
    <x v="2"/>
    <x v="6"/>
    <n v="590"/>
    <n v="23"/>
    <n v="567"/>
  </r>
  <r>
    <x v="4"/>
    <x v="0"/>
    <x v="11"/>
    <n v="366"/>
    <n v="139"/>
    <n v="227"/>
  </r>
  <r>
    <x v="4"/>
    <x v="0"/>
    <x v="7"/>
    <n v="153"/>
    <n v="88"/>
    <n v="65"/>
  </r>
  <r>
    <x v="5"/>
    <x v="3"/>
    <x v="10"/>
    <n v="4"/>
    <n v="3"/>
    <n v="1"/>
  </r>
  <r>
    <x v="7"/>
    <x v="4"/>
    <x v="1"/>
    <n v="2083"/>
    <n v="167"/>
    <n v="1916"/>
  </r>
  <r>
    <x v="8"/>
    <x v="3"/>
    <x v="9"/>
    <n v="10"/>
    <n v="9"/>
    <n v="1"/>
  </r>
  <r>
    <x v="8"/>
    <x v="5"/>
    <x v="6"/>
    <n v="53"/>
    <n v="10"/>
    <n v="43"/>
  </r>
  <r>
    <x v="8"/>
    <x v="1"/>
    <x v="1"/>
    <n v="201"/>
    <n v="38"/>
    <n v="163"/>
  </r>
  <r>
    <x v="8"/>
    <x v="2"/>
    <x v="13"/>
    <n v="5"/>
    <n v="0"/>
    <n v="5"/>
  </r>
  <r>
    <x v="9"/>
    <x v="0"/>
    <x v="5"/>
    <n v="36"/>
    <n v="24"/>
    <n v="12"/>
  </r>
  <r>
    <x v="10"/>
    <x v="0"/>
    <x v="0"/>
    <n v="142"/>
    <n v="129"/>
    <n v="13"/>
  </r>
  <r>
    <x v="10"/>
    <x v="0"/>
    <x v="8"/>
    <n v="87"/>
    <n v="41"/>
    <n v="46"/>
  </r>
  <r>
    <x v="10"/>
    <x v="2"/>
    <x v="2"/>
    <n v="31"/>
    <n v="1"/>
    <n v="30"/>
  </r>
  <r>
    <x v="10"/>
    <x v="2"/>
    <x v="3"/>
    <n v="640"/>
    <n v="39"/>
    <n v="601"/>
  </r>
  <r>
    <x v="10"/>
    <x v="2"/>
    <x v="9"/>
    <n v="156"/>
    <n v="9"/>
    <n v="147"/>
  </r>
  <r>
    <x v="11"/>
    <x v="3"/>
    <x v="3"/>
    <n v="28"/>
    <n v="24"/>
    <n v="4"/>
  </r>
  <r>
    <x v="11"/>
    <x v="3"/>
    <x v="9"/>
    <n v="8"/>
    <n v="7"/>
    <n v="1"/>
  </r>
  <r>
    <x v="11"/>
    <x v="0"/>
    <x v="4"/>
    <n v="4"/>
    <n v="3"/>
    <n v="1"/>
  </r>
  <r>
    <x v="11"/>
    <x v="2"/>
    <x v="2"/>
    <n v="30"/>
    <n v="0"/>
    <n v="30"/>
  </r>
  <r>
    <x v="12"/>
    <x v="5"/>
    <x v="6"/>
    <n v="57"/>
    <n v="8"/>
    <n v="49"/>
  </r>
  <r>
    <x v="12"/>
    <x v="0"/>
    <x v="4"/>
    <n v="3"/>
    <n v="2"/>
    <n v="1"/>
  </r>
  <r>
    <x v="12"/>
    <x v="1"/>
    <x v="1"/>
    <n v="178"/>
    <n v="25"/>
    <n v="153"/>
  </r>
  <r>
    <x v="12"/>
    <x v="2"/>
    <x v="2"/>
    <n v="27"/>
    <n v="1"/>
    <n v="26"/>
  </r>
  <r>
    <x v="0"/>
    <x v="3"/>
    <x v="9"/>
    <n v="11"/>
    <n v="9"/>
    <n v="2"/>
  </r>
  <r>
    <x v="0"/>
    <x v="3"/>
    <x v="6"/>
    <n v="52"/>
    <n v="46"/>
    <n v="6"/>
  </r>
  <r>
    <x v="0"/>
    <x v="0"/>
    <x v="8"/>
    <n v="70"/>
    <n v="32"/>
    <n v="38"/>
  </r>
  <r>
    <x v="1"/>
    <x v="0"/>
    <x v="5"/>
    <n v="37"/>
    <n v="20"/>
    <n v="17"/>
  </r>
  <r>
    <x v="1"/>
    <x v="1"/>
    <x v="6"/>
    <n v="38"/>
    <n v="4"/>
    <n v="34"/>
  </r>
  <r>
    <x v="1"/>
    <x v="2"/>
    <x v="10"/>
    <n v="103"/>
    <n v="3"/>
    <n v="100"/>
  </r>
  <r>
    <x v="3"/>
    <x v="3"/>
    <x v="3"/>
    <n v="31"/>
    <n v="26"/>
    <n v="5"/>
  </r>
  <r>
    <x v="3"/>
    <x v="4"/>
    <x v="1"/>
    <n v="2061"/>
    <n v="127"/>
    <n v="1934"/>
  </r>
  <r>
    <x v="3"/>
    <x v="0"/>
    <x v="8"/>
    <n v="42"/>
    <n v="17"/>
    <n v="25"/>
  </r>
  <r>
    <x v="4"/>
    <x v="4"/>
    <x v="6"/>
    <n v="261"/>
    <n v="14"/>
    <n v="247"/>
  </r>
  <r>
    <x v="4"/>
    <x v="0"/>
    <x v="0"/>
    <n v="164"/>
    <n v="155"/>
    <n v="9"/>
  </r>
  <r>
    <x v="4"/>
    <x v="0"/>
    <x v="12"/>
    <n v="79"/>
    <n v="57"/>
    <n v="22"/>
  </r>
  <r>
    <x v="4"/>
    <x v="1"/>
    <x v="1"/>
    <n v="256"/>
    <n v="47"/>
    <n v="209"/>
  </r>
  <r>
    <x v="5"/>
    <x v="0"/>
    <x v="0"/>
    <n v="170"/>
    <n v="159"/>
    <n v="11"/>
  </r>
  <r>
    <x v="5"/>
    <x v="0"/>
    <x v="11"/>
    <n v="388"/>
    <n v="146"/>
    <n v="242"/>
  </r>
  <r>
    <x v="5"/>
    <x v="1"/>
    <x v="1"/>
    <n v="240"/>
    <n v="46"/>
    <n v="194"/>
  </r>
  <r>
    <x v="5"/>
    <x v="1"/>
    <x v="6"/>
    <n v="37"/>
    <n v="5"/>
    <n v="32"/>
  </r>
  <r>
    <x v="5"/>
    <x v="2"/>
    <x v="10"/>
    <n v="80"/>
    <n v="2"/>
    <n v="78"/>
  </r>
  <r>
    <x v="5"/>
    <x v="2"/>
    <x v="9"/>
    <n v="147"/>
    <n v="2"/>
    <n v="145"/>
  </r>
  <r>
    <x v="6"/>
    <x v="3"/>
    <x v="9"/>
    <n v="8"/>
    <n v="7"/>
    <n v="1"/>
  </r>
  <r>
    <x v="6"/>
    <x v="3"/>
    <x v="6"/>
    <n v="45"/>
    <n v="38"/>
    <n v="7"/>
  </r>
  <r>
    <x v="6"/>
    <x v="0"/>
    <x v="12"/>
    <n v="90"/>
    <n v="61"/>
    <n v="29"/>
  </r>
  <r>
    <x v="6"/>
    <x v="2"/>
    <x v="13"/>
    <n v="6"/>
    <n v="0"/>
    <n v="6"/>
  </r>
  <r>
    <x v="6"/>
    <x v="2"/>
    <x v="1"/>
    <n v="2070"/>
    <n v="154"/>
    <n v="1916"/>
  </r>
  <r>
    <x v="6"/>
    <x v="2"/>
    <x v="6"/>
    <n v="608"/>
    <n v="30"/>
    <n v="578"/>
  </r>
  <r>
    <x v="7"/>
    <x v="3"/>
    <x v="2"/>
    <n v="1"/>
    <n v="1"/>
    <n v="0"/>
  </r>
  <r>
    <x v="7"/>
    <x v="3"/>
    <x v="10"/>
    <n v="4"/>
    <n v="3"/>
    <n v="1"/>
  </r>
  <r>
    <x v="7"/>
    <x v="0"/>
    <x v="12"/>
    <n v="91"/>
    <n v="61"/>
    <n v="30"/>
  </r>
  <r>
    <x v="7"/>
    <x v="2"/>
    <x v="3"/>
    <n v="687"/>
    <n v="29"/>
    <n v="658"/>
  </r>
  <r>
    <x v="8"/>
    <x v="3"/>
    <x v="3"/>
    <n v="27"/>
    <n v="20"/>
    <n v="7"/>
  </r>
  <r>
    <x v="8"/>
    <x v="3"/>
    <x v="10"/>
    <n v="4"/>
    <n v="3"/>
    <n v="1"/>
  </r>
  <r>
    <x v="8"/>
    <x v="2"/>
    <x v="2"/>
    <n v="35"/>
    <n v="1"/>
    <n v="34"/>
  </r>
  <r>
    <x v="8"/>
    <x v="2"/>
    <x v="9"/>
    <n v="157"/>
    <n v="5"/>
    <n v="152"/>
  </r>
  <r>
    <x v="9"/>
    <x v="3"/>
    <x v="1"/>
    <n v="91"/>
    <n v="74"/>
    <n v="17"/>
  </r>
  <r>
    <x v="9"/>
    <x v="3"/>
    <x v="6"/>
    <n v="37"/>
    <n v="32"/>
    <n v="5"/>
  </r>
  <r>
    <x v="9"/>
    <x v="4"/>
    <x v="3"/>
    <n v="521"/>
    <n v="22"/>
    <n v="499"/>
  </r>
  <r>
    <x v="9"/>
    <x v="5"/>
    <x v="6"/>
    <n v="54"/>
    <n v="9"/>
    <n v="45"/>
  </r>
  <r>
    <x v="9"/>
    <x v="0"/>
    <x v="12"/>
    <n v="98"/>
    <n v="58"/>
    <n v="40"/>
  </r>
  <r>
    <x v="9"/>
    <x v="0"/>
    <x v="11"/>
    <n v="465"/>
    <n v="203"/>
    <n v="262"/>
  </r>
  <r>
    <x v="9"/>
    <x v="1"/>
    <x v="6"/>
    <n v="37"/>
    <n v="6"/>
    <n v="31"/>
  </r>
  <r>
    <x v="10"/>
    <x v="3"/>
    <x v="2"/>
    <n v="1"/>
    <n v="1"/>
    <n v="0"/>
  </r>
  <r>
    <x v="11"/>
    <x v="3"/>
    <x v="2"/>
    <n v="1"/>
    <n v="1"/>
    <n v="0"/>
  </r>
  <r>
    <x v="11"/>
    <x v="3"/>
    <x v="10"/>
    <n v="2"/>
    <n v="2"/>
    <n v="0"/>
  </r>
  <r>
    <x v="11"/>
    <x v="0"/>
    <x v="0"/>
    <n v="152"/>
    <n v="138"/>
    <n v="14"/>
  </r>
  <r>
    <x v="11"/>
    <x v="1"/>
    <x v="6"/>
    <n v="36"/>
    <n v="6"/>
    <n v="30"/>
  </r>
</pivotCacheRecords>
</file>

<file path=xl/pivotCache/pivotCacheRecords43.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307">
  <r>
    <x v="0"/>
    <x v="0"/>
    <x v="0"/>
    <n v="94.39"/>
    <n v="85.39"/>
    <n v="9"/>
  </r>
  <r>
    <x v="0"/>
    <x v="1"/>
    <x v="1"/>
    <n v="489.46"/>
    <n v="17.760000000000002"/>
    <n v="471.7"/>
  </r>
  <r>
    <x v="0"/>
    <x v="2"/>
    <x v="2"/>
    <n v="115"/>
    <n v="3"/>
    <n v="112"/>
  </r>
  <r>
    <x v="0"/>
    <x v="2"/>
    <x v="3"/>
    <n v="679"/>
    <n v="22"/>
    <n v="657"/>
  </r>
  <r>
    <x v="1"/>
    <x v="3"/>
    <x v="4"/>
    <n v="2"/>
    <n v="2"/>
    <n v="0"/>
  </r>
  <r>
    <x v="1"/>
    <x v="2"/>
    <x v="0"/>
    <n v="2285"/>
    <n v="109"/>
    <n v="2176"/>
  </r>
  <r>
    <x v="1"/>
    <x v="2"/>
    <x v="5"/>
    <n v="130"/>
    <n v="1"/>
    <n v="129"/>
  </r>
  <r>
    <x v="2"/>
    <x v="0"/>
    <x v="5"/>
    <n v="6.8333333333333339"/>
    <n v="6.8333333333333339"/>
    <m/>
  </r>
  <r>
    <x v="2"/>
    <x v="1"/>
    <x v="0"/>
    <n v="1792.8328571428574"/>
    <n v="116.4"/>
    <n v="1676.4328571428573"/>
  </r>
  <r>
    <x v="2"/>
    <x v="3"/>
    <x v="6"/>
    <n v="40"/>
    <n v="15"/>
    <n v="25"/>
  </r>
  <r>
    <x v="2"/>
    <x v="3"/>
    <x v="7"/>
    <n v="303.60857142857139"/>
    <n v="95.918571428571425"/>
    <n v="207.69"/>
  </r>
  <r>
    <x v="2"/>
    <x v="3"/>
    <x v="8"/>
    <n v="122.20028571428573"/>
    <n v="57.195428571428593"/>
    <n v="65.004857142857134"/>
  </r>
  <r>
    <x v="2"/>
    <x v="2"/>
    <x v="9"/>
    <n v="4"/>
    <n v="0"/>
    <n v="4"/>
  </r>
  <r>
    <x v="3"/>
    <x v="0"/>
    <x v="2"/>
    <n v="5"/>
    <n v="4"/>
    <n v="1"/>
  </r>
  <r>
    <x v="3"/>
    <x v="0"/>
    <x v="3"/>
    <n v="40.85"/>
    <n v="34.85"/>
    <n v="6"/>
  </r>
  <r>
    <x v="3"/>
    <x v="1"/>
    <x v="1"/>
    <n v="502.68"/>
    <n v="15.5"/>
    <n v="487.18"/>
  </r>
  <r>
    <x v="3"/>
    <x v="3"/>
    <x v="10"/>
    <n v="75.62"/>
    <n v="55"/>
    <n v="20.62"/>
  </r>
  <r>
    <x v="4"/>
    <x v="3"/>
    <x v="8"/>
    <n v="110.41"/>
    <n v="52.13"/>
    <n v="58.28"/>
  </r>
  <r>
    <x v="4"/>
    <x v="2"/>
    <x v="1"/>
    <n v="689"/>
    <n v="26"/>
    <n v="663"/>
  </r>
  <r>
    <x v="4"/>
    <x v="2"/>
    <x v="5"/>
    <n v="153"/>
    <n v="2"/>
    <n v="151"/>
  </r>
  <r>
    <x v="5"/>
    <x v="0"/>
    <x v="5"/>
    <n v="9"/>
    <n v="8"/>
    <n v="1"/>
  </r>
  <r>
    <x v="5"/>
    <x v="4"/>
    <x v="11"/>
    <n v="18"/>
    <n v="1"/>
    <n v="17"/>
  </r>
  <r>
    <x v="6"/>
    <x v="2"/>
    <x v="1"/>
    <n v="688"/>
    <n v="31"/>
    <n v="657"/>
  </r>
  <r>
    <x v="6"/>
    <x v="2"/>
    <x v="0"/>
    <n v="2067.9299999999998"/>
    <n v="152.93"/>
    <n v="1915"/>
  </r>
  <r>
    <x v="7"/>
    <x v="1"/>
    <x v="1"/>
    <n v="461.93"/>
    <n v="14"/>
    <n v="447.93"/>
  </r>
  <r>
    <x v="7"/>
    <x v="1"/>
    <x v="0"/>
    <n v="1784.5500000000002"/>
    <n v="143.4"/>
    <n v="1641.15"/>
  </r>
  <r>
    <x v="7"/>
    <x v="3"/>
    <x v="4"/>
    <n v="3"/>
    <n v="2"/>
    <n v="1"/>
  </r>
  <r>
    <x v="7"/>
    <x v="2"/>
    <x v="2"/>
    <n v="79"/>
    <n v="2"/>
    <n v="77"/>
  </r>
  <r>
    <x v="8"/>
    <x v="0"/>
    <x v="0"/>
    <n v="86.460000000000008"/>
    <n v="72.460000000000008"/>
    <n v="14"/>
  </r>
  <r>
    <x v="8"/>
    <x v="3"/>
    <x v="6"/>
    <n v="57"/>
    <n v="25"/>
    <n v="32"/>
  </r>
  <r>
    <x v="9"/>
    <x v="2"/>
    <x v="0"/>
    <n v="1969.43"/>
    <n v="143.93"/>
    <n v="1825.5"/>
  </r>
  <r>
    <x v="10"/>
    <x v="4"/>
    <x v="3"/>
    <n v="53"/>
    <n v="8"/>
    <n v="45"/>
  </r>
  <r>
    <x v="10"/>
    <x v="3"/>
    <x v="4"/>
    <n v="3"/>
    <n v="2"/>
    <n v="1"/>
  </r>
  <r>
    <x v="11"/>
    <x v="0"/>
    <x v="12"/>
    <m/>
    <n v="1"/>
    <m/>
  </r>
  <r>
    <x v="11"/>
    <x v="3"/>
    <x v="13"/>
    <n v="129.11999999999998"/>
    <n v="116.24999999999999"/>
    <n v="12.870000000000001"/>
  </r>
  <r>
    <x v="12"/>
    <x v="1"/>
    <x v="0"/>
    <n v="1630.2399999999996"/>
    <n v="137.84"/>
    <n v="1492.3999999999996"/>
  </r>
  <r>
    <x v="12"/>
    <x v="2"/>
    <x v="5"/>
    <n v="160"/>
    <n v="6"/>
    <n v="154"/>
  </r>
  <r>
    <x v="0"/>
    <x v="2"/>
    <x v="9"/>
    <n v="9"/>
    <m/>
    <n v="9"/>
  </r>
  <r>
    <x v="0"/>
    <x v="2"/>
    <x v="1"/>
    <n v="660"/>
    <n v="26"/>
    <n v="634"/>
  </r>
  <r>
    <x v="1"/>
    <x v="0"/>
    <x v="1"/>
    <n v="50.79"/>
    <n v="42.79"/>
    <n v="8"/>
  </r>
  <r>
    <x v="1"/>
    <x v="3"/>
    <x v="7"/>
    <n v="325.23"/>
    <n v="94.63"/>
    <n v="230.60000000000002"/>
  </r>
  <r>
    <x v="2"/>
    <x v="0"/>
    <x v="1"/>
    <n v="43"/>
    <n v="38"/>
    <n v="5"/>
  </r>
  <r>
    <x v="2"/>
    <x v="0"/>
    <x v="2"/>
    <n v="6"/>
    <n v="4"/>
    <n v="2"/>
  </r>
  <r>
    <x v="3"/>
    <x v="0"/>
    <x v="5"/>
    <n v="8"/>
    <n v="7"/>
    <n v="1"/>
  </r>
  <r>
    <x v="3"/>
    <x v="1"/>
    <x v="3"/>
    <n v="247.25"/>
    <n v="15.75"/>
    <n v="231.5"/>
  </r>
  <r>
    <x v="3"/>
    <x v="2"/>
    <x v="12"/>
    <m/>
    <m/>
    <n v="34"/>
  </r>
  <r>
    <x v="4"/>
    <x v="0"/>
    <x v="2"/>
    <n v="5"/>
    <n v="4"/>
    <n v="1"/>
  </r>
  <r>
    <x v="4"/>
    <x v="0"/>
    <x v="5"/>
    <n v="8"/>
    <n v="7"/>
    <n v="1"/>
  </r>
  <r>
    <x v="4"/>
    <x v="0"/>
    <x v="3"/>
    <n v="43"/>
    <n v="36"/>
    <n v="7"/>
  </r>
  <r>
    <x v="4"/>
    <x v="1"/>
    <x v="1"/>
    <n v="477.18"/>
    <n v="18.25"/>
    <n v="458.93"/>
  </r>
  <r>
    <x v="4"/>
    <x v="2"/>
    <x v="9"/>
    <n v="4"/>
    <m/>
    <n v="4"/>
  </r>
  <r>
    <x v="4"/>
    <x v="2"/>
    <x v="2"/>
    <n v="74"/>
    <n v="2"/>
    <n v="72"/>
  </r>
  <r>
    <x v="4"/>
    <x v="2"/>
    <x v="3"/>
    <n v="602"/>
    <n v="31"/>
    <n v="571"/>
  </r>
  <r>
    <x v="5"/>
    <x v="0"/>
    <x v="1"/>
    <n v="27"/>
    <n v="21"/>
    <n v="6"/>
  </r>
  <r>
    <x v="5"/>
    <x v="0"/>
    <x v="3"/>
    <n v="42"/>
    <n v="36"/>
    <n v="6"/>
  </r>
  <r>
    <x v="5"/>
    <x v="1"/>
    <x v="1"/>
    <n v="478.93"/>
    <n v="19"/>
    <n v="459.93"/>
  </r>
  <r>
    <x v="5"/>
    <x v="1"/>
    <x v="3"/>
    <n v="241.25"/>
    <n v="12.5"/>
    <n v="228.75"/>
  </r>
  <r>
    <x v="5"/>
    <x v="2"/>
    <x v="0"/>
    <n v="2073.9299999999998"/>
    <n v="130.93"/>
    <n v="1943"/>
  </r>
  <r>
    <x v="6"/>
    <x v="3"/>
    <x v="6"/>
    <n v="47"/>
    <n v="14"/>
    <n v="33"/>
  </r>
  <r>
    <x v="6"/>
    <x v="3"/>
    <x v="7"/>
    <n v="382.5"/>
    <n v="142.84000000000003"/>
    <n v="239.65999999999997"/>
  </r>
  <r>
    <x v="6"/>
    <x v="3"/>
    <x v="14"/>
    <n v="32"/>
    <n v="20"/>
    <n v="12"/>
  </r>
  <r>
    <x v="6"/>
    <x v="2"/>
    <x v="9"/>
    <m/>
    <m/>
    <n v="6"/>
  </r>
  <r>
    <x v="7"/>
    <x v="4"/>
    <x v="3"/>
    <n v="54"/>
    <n v="11"/>
    <n v="43"/>
  </r>
  <r>
    <x v="7"/>
    <x v="3"/>
    <x v="14"/>
    <n v="30"/>
    <n v="19"/>
    <n v="11"/>
  </r>
  <r>
    <x v="7"/>
    <x v="2"/>
    <x v="5"/>
    <n v="152"/>
    <n v="7"/>
    <n v="145"/>
  </r>
  <r>
    <x v="8"/>
    <x v="1"/>
    <x v="1"/>
    <n v="461.28999999999996"/>
    <n v="14.5"/>
    <n v="446.78999999999996"/>
  </r>
  <r>
    <x v="8"/>
    <x v="1"/>
    <x v="3"/>
    <n v="235.85"/>
    <n v="12.25"/>
    <n v="223.6"/>
  </r>
  <r>
    <x v="8"/>
    <x v="3"/>
    <x v="8"/>
    <n v="55.65"/>
    <n v="16.299999999999997"/>
    <n v="39.35"/>
  </r>
  <r>
    <x v="9"/>
    <x v="2"/>
    <x v="12"/>
    <n v="31"/>
    <n v="1"/>
    <n v="30"/>
  </r>
  <r>
    <x v="10"/>
    <x v="0"/>
    <x v="2"/>
    <m/>
    <n v="4"/>
    <m/>
  </r>
  <r>
    <x v="10"/>
    <x v="1"/>
    <x v="1"/>
    <n v="452.13"/>
    <n v="23.25"/>
    <n v="428.88"/>
  </r>
  <r>
    <x v="10"/>
    <x v="1"/>
    <x v="3"/>
    <n v="222.29999999999998"/>
    <n v="9.75"/>
    <n v="212.54999999999998"/>
  </r>
  <r>
    <x v="10"/>
    <x v="3"/>
    <x v="7"/>
    <n v="438.38"/>
    <n v="204.51"/>
    <n v="233.87000000000003"/>
  </r>
  <r>
    <x v="11"/>
    <x v="1"/>
    <x v="1"/>
    <n v="431.42000000000007"/>
    <n v="24.700000000000003"/>
    <n v="406.72000000000008"/>
  </r>
  <r>
    <x v="11"/>
    <x v="4"/>
    <x v="1"/>
    <m/>
    <m/>
    <n v="4"/>
  </r>
  <r>
    <x v="11"/>
    <x v="4"/>
    <x v="3"/>
    <n v="53"/>
    <n v="7"/>
    <n v="46"/>
  </r>
  <r>
    <x v="11"/>
    <x v="2"/>
    <x v="0"/>
    <n v="1933.31"/>
    <n v="138.32999999999998"/>
    <n v="1794.98"/>
  </r>
  <r>
    <x v="11"/>
    <x v="2"/>
    <x v="5"/>
    <n v="160"/>
    <n v="5"/>
    <n v="155"/>
  </r>
  <r>
    <x v="12"/>
    <x v="0"/>
    <x v="15"/>
    <m/>
    <n v="2"/>
    <m/>
  </r>
  <r>
    <x v="12"/>
    <x v="3"/>
    <x v="13"/>
    <n v="116.99"/>
    <n v="105.58"/>
    <n v="11.41"/>
  </r>
  <r>
    <x v="12"/>
    <x v="2"/>
    <x v="15"/>
    <m/>
    <m/>
    <n v="2"/>
  </r>
  <r>
    <x v="0"/>
    <x v="1"/>
    <x v="0"/>
    <n v="1913.5500000000002"/>
    <n v="132.88999999999999"/>
    <n v="1780.66"/>
  </r>
  <r>
    <x v="0"/>
    <x v="3"/>
    <x v="8"/>
    <n v="199.5"/>
    <n v="119.8"/>
    <n v="79.7"/>
  </r>
  <r>
    <x v="1"/>
    <x v="0"/>
    <x v="0"/>
    <n v="102.69"/>
    <n v="81.69"/>
    <n v="21"/>
  </r>
  <r>
    <x v="1"/>
    <x v="1"/>
    <x v="1"/>
    <n v="498"/>
    <n v="16.5"/>
    <n v="481.5"/>
  </r>
  <r>
    <x v="1"/>
    <x v="3"/>
    <x v="13"/>
    <n v="151.38999999999999"/>
    <n v="135.17999999999998"/>
    <n v="16.21"/>
  </r>
  <r>
    <x v="1"/>
    <x v="2"/>
    <x v="1"/>
    <n v="634"/>
    <n v="24"/>
    <n v="610"/>
  </r>
  <r>
    <x v="2"/>
    <x v="3"/>
    <x v="4"/>
    <n v="3"/>
    <n v="2"/>
    <n v="1"/>
  </r>
  <r>
    <x v="2"/>
    <x v="3"/>
    <x v="14"/>
    <n v="33.309428571428569"/>
    <n v="17.309428571428572"/>
    <n v="16"/>
  </r>
  <r>
    <x v="3"/>
    <x v="0"/>
    <x v="0"/>
    <n v="76.33"/>
    <n v="63.83"/>
    <n v="12.5"/>
  </r>
  <r>
    <x v="3"/>
    <x v="1"/>
    <x v="0"/>
    <n v="1807.55"/>
    <n v="112.65"/>
    <n v="1694.9"/>
  </r>
  <r>
    <x v="3"/>
    <x v="3"/>
    <x v="14"/>
    <n v="33.86"/>
    <n v="18.86"/>
    <n v="15"/>
  </r>
  <r>
    <x v="3"/>
    <x v="2"/>
    <x v="0"/>
    <n v="2158.58"/>
    <n v="122.58"/>
    <n v="2036"/>
  </r>
  <r>
    <x v="4"/>
    <x v="3"/>
    <x v="13"/>
    <n v="135.37"/>
    <n v="126.82"/>
    <n v="8.5500000000000007"/>
  </r>
  <r>
    <x v="4"/>
    <x v="3"/>
    <x v="4"/>
    <n v="2"/>
    <n v="1"/>
    <n v="1"/>
  </r>
  <r>
    <x v="5"/>
    <x v="3"/>
    <x v="4"/>
    <n v="3"/>
    <n v="2"/>
    <n v="1"/>
  </r>
  <r>
    <x v="5"/>
    <x v="2"/>
    <x v="3"/>
    <n v="611"/>
    <n v="33"/>
    <n v="578"/>
  </r>
  <r>
    <x v="6"/>
    <x v="1"/>
    <x v="1"/>
    <n v="459.93"/>
    <n v="17"/>
    <n v="442.93"/>
  </r>
  <r>
    <x v="6"/>
    <x v="2"/>
    <x v="12"/>
    <m/>
    <m/>
    <n v="31"/>
  </r>
  <r>
    <x v="7"/>
    <x v="0"/>
    <x v="5"/>
    <n v="10"/>
    <n v="9"/>
    <n v="1"/>
  </r>
  <r>
    <x v="7"/>
    <x v="0"/>
    <x v="3"/>
    <n v="41"/>
    <n v="35"/>
    <n v="6"/>
  </r>
  <r>
    <x v="7"/>
    <x v="1"/>
    <x v="3"/>
    <n v="236"/>
    <n v="11.25"/>
    <n v="224.75"/>
  </r>
  <r>
    <x v="7"/>
    <x v="2"/>
    <x v="9"/>
    <m/>
    <m/>
    <n v="5"/>
  </r>
  <r>
    <x v="8"/>
    <x v="0"/>
    <x v="3"/>
    <n v="42"/>
    <n v="37"/>
    <n v="5"/>
  </r>
  <r>
    <x v="8"/>
    <x v="3"/>
    <x v="10"/>
    <n v="100.35"/>
    <n v="72.849999999999994"/>
    <n v="27.5"/>
  </r>
  <r>
    <x v="8"/>
    <x v="2"/>
    <x v="9"/>
    <m/>
    <m/>
    <n v="5"/>
  </r>
  <r>
    <x v="9"/>
    <x v="0"/>
    <x v="2"/>
    <n v="4"/>
    <n v="3"/>
    <n v="1"/>
  </r>
  <r>
    <x v="9"/>
    <x v="3"/>
    <x v="13"/>
    <n v="140.28"/>
    <n v="124.76"/>
    <n v="15.52"/>
  </r>
  <r>
    <x v="9"/>
    <x v="3"/>
    <x v="10"/>
    <n v="94.669999999999987"/>
    <n v="54.669999999999995"/>
    <n v="40"/>
  </r>
  <r>
    <x v="10"/>
    <x v="0"/>
    <x v="12"/>
    <m/>
    <n v="1"/>
    <m/>
  </r>
  <r>
    <x v="10"/>
    <x v="0"/>
    <x v="5"/>
    <n v="9"/>
    <n v="8"/>
    <n v="1"/>
  </r>
  <r>
    <x v="10"/>
    <x v="0"/>
    <x v="3"/>
    <n v="39.57"/>
    <n v="34.57"/>
    <n v="5"/>
  </r>
  <r>
    <x v="11"/>
    <x v="2"/>
    <x v="3"/>
    <n v="604.77"/>
    <n v="32"/>
    <n v="572.77"/>
  </r>
  <r>
    <x v="12"/>
    <x v="0"/>
    <x v="3"/>
    <n v="24"/>
    <n v="21"/>
    <n v="3"/>
  </r>
  <r>
    <x v="12"/>
    <x v="1"/>
    <x v="3"/>
    <n v="217.06000000000003"/>
    <n v="10.69"/>
    <n v="206.37000000000003"/>
  </r>
  <r>
    <x v="12"/>
    <x v="3"/>
    <x v="10"/>
    <n v="82.32"/>
    <n v="48.32"/>
    <n v="34"/>
  </r>
  <r>
    <x v="12"/>
    <x v="3"/>
    <x v="14"/>
    <n v="44.69"/>
    <n v="29.689999999999998"/>
    <n v="15"/>
  </r>
  <r>
    <x v="12"/>
    <x v="2"/>
    <x v="2"/>
    <n v="72"/>
    <n v="8"/>
    <n v="64"/>
  </r>
  <r>
    <x v="0"/>
    <x v="3"/>
    <x v="4"/>
    <m/>
    <m/>
    <m/>
  </r>
  <r>
    <x v="0"/>
    <x v="3"/>
    <x v="6"/>
    <n v="69.7"/>
    <n v="31.7"/>
    <n v="38"/>
  </r>
  <r>
    <x v="0"/>
    <x v="3"/>
    <x v="14"/>
    <n v="19.8"/>
    <n v="6.8"/>
    <n v="13"/>
  </r>
  <r>
    <x v="0"/>
    <x v="2"/>
    <x v="0"/>
    <n v="2373.7600000000002"/>
    <n v="106"/>
    <n v="2267.7600000000002"/>
  </r>
  <r>
    <x v="0"/>
    <x v="2"/>
    <x v="5"/>
    <n v="136"/>
    <n v="2"/>
    <n v="134"/>
  </r>
  <r>
    <x v="1"/>
    <x v="1"/>
    <x v="0"/>
    <n v="1906.75"/>
    <n v="128.25"/>
    <n v="1778.5"/>
  </r>
  <r>
    <x v="1"/>
    <x v="3"/>
    <x v="14"/>
    <n v="36.9"/>
    <n v="19.899999999999999"/>
    <n v="17"/>
  </r>
  <r>
    <x v="1"/>
    <x v="2"/>
    <x v="9"/>
    <n v="7"/>
    <m/>
    <n v="7"/>
  </r>
  <r>
    <x v="2"/>
    <x v="0"/>
    <x v="3"/>
    <n v="50.314285714285717"/>
    <n v="43.314285714285717"/>
    <n v="7"/>
  </r>
  <r>
    <x v="2"/>
    <x v="1"/>
    <x v="1"/>
    <n v="486.17999999999995"/>
    <n v="16.75"/>
    <n v="469.42999999999995"/>
  </r>
  <r>
    <x v="2"/>
    <x v="1"/>
    <x v="3"/>
    <n v="247.75"/>
    <n v="14"/>
    <n v="233.75"/>
  </r>
  <r>
    <x v="3"/>
    <x v="3"/>
    <x v="4"/>
    <n v="3"/>
    <n v="2"/>
    <n v="1"/>
  </r>
  <r>
    <x v="3"/>
    <x v="3"/>
    <x v="7"/>
    <n v="332.41"/>
    <n v="106.79"/>
    <n v="225.62"/>
  </r>
  <r>
    <x v="3"/>
    <x v="3"/>
    <x v="8"/>
    <n v="115.06"/>
    <n v="56.58"/>
    <n v="58.48"/>
  </r>
  <r>
    <x v="4"/>
    <x v="1"/>
    <x v="0"/>
    <n v="1821.55"/>
    <n v="121.65"/>
    <n v="1699.9"/>
  </r>
  <r>
    <x v="4"/>
    <x v="2"/>
    <x v="12"/>
    <n v="34"/>
    <m/>
    <n v="34"/>
  </r>
  <r>
    <x v="4"/>
    <x v="2"/>
    <x v="0"/>
    <n v="1988.43"/>
    <n v="113.43"/>
    <n v="1875"/>
  </r>
  <r>
    <x v="5"/>
    <x v="3"/>
    <x v="10"/>
    <n v="80.400000000000006"/>
    <n v="55.400000000000006"/>
    <n v="25"/>
  </r>
  <r>
    <x v="5"/>
    <x v="3"/>
    <x v="14"/>
    <n v="34"/>
    <n v="21"/>
    <n v="13"/>
  </r>
  <r>
    <x v="5"/>
    <x v="2"/>
    <x v="12"/>
    <m/>
    <m/>
    <n v="33"/>
  </r>
  <r>
    <x v="6"/>
    <x v="3"/>
    <x v="8"/>
    <n v="56.95"/>
    <n v="20.6"/>
    <n v="36.35"/>
  </r>
  <r>
    <x v="6"/>
    <x v="2"/>
    <x v="2"/>
    <n v="80"/>
    <n v="2"/>
    <n v="78"/>
  </r>
  <r>
    <x v="6"/>
    <x v="2"/>
    <x v="5"/>
    <n v="153"/>
    <n v="5"/>
    <n v="148"/>
  </r>
  <r>
    <x v="7"/>
    <x v="2"/>
    <x v="12"/>
    <m/>
    <m/>
    <n v="35"/>
  </r>
  <r>
    <x v="7"/>
    <x v="2"/>
    <x v="3"/>
    <n v="603"/>
    <n v="31"/>
    <n v="572"/>
  </r>
  <r>
    <x v="8"/>
    <x v="1"/>
    <x v="0"/>
    <n v="1678.3400000000001"/>
    <n v="135.9"/>
    <n v="1542.44"/>
  </r>
  <r>
    <x v="8"/>
    <x v="3"/>
    <x v="14"/>
    <n v="32"/>
    <n v="19"/>
    <n v="13"/>
  </r>
  <r>
    <x v="8"/>
    <x v="2"/>
    <x v="3"/>
    <n v="607"/>
    <n v="30"/>
    <n v="577"/>
  </r>
  <r>
    <x v="9"/>
    <x v="1"/>
    <x v="1"/>
    <n v="453.13"/>
    <n v="18"/>
    <n v="435.13"/>
  </r>
  <r>
    <x v="9"/>
    <x v="3"/>
    <x v="4"/>
    <n v="4"/>
    <n v="1"/>
    <n v="3"/>
  </r>
  <r>
    <x v="10"/>
    <x v="4"/>
    <x v="1"/>
    <m/>
    <m/>
    <n v="2"/>
  </r>
  <r>
    <x v="10"/>
    <x v="3"/>
    <x v="10"/>
    <n v="88.1"/>
    <n v="47.099999999999994"/>
    <n v="41"/>
  </r>
  <r>
    <x v="10"/>
    <x v="3"/>
    <x v="14"/>
    <n v="35"/>
    <n v="24"/>
    <n v="11"/>
  </r>
  <r>
    <x v="10"/>
    <x v="2"/>
    <x v="9"/>
    <m/>
    <m/>
    <n v="5"/>
  </r>
  <r>
    <x v="10"/>
    <x v="2"/>
    <x v="2"/>
    <n v="71"/>
    <n v="2"/>
    <n v="69"/>
  </r>
  <r>
    <x v="11"/>
    <x v="0"/>
    <x v="3"/>
    <n v="37"/>
    <n v="29"/>
    <n v="8"/>
  </r>
  <r>
    <x v="11"/>
    <x v="3"/>
    <x v="8"/>
    <n v="54.53"/>
    <n v="15.819999999999997"/>
    <n v="38.71"/>
  </r>
  <r>
    <x v="11"/>
    <x v="2"/>
    <x v="12"/>
    <m/>
    <m/>
    <n v="30"/>
  </r>
  <r>
    <x v="11"/>
    <x v="2"/>
    <x v="9"/>
    <m/>
    <m/>
    <n v="5"/>
  </r>
  <r>
    <x v="12"/>
    <x v="0"/>
    <x v="2"/>
    <m/>
    <n v="3"/>
    <m/>
  </r>
  <r>
    <x v="12"/>
    <x v="0"/>
    <x v="5"/>
    <n v="6"/>
    <n v="5"/>
    <n v="1"/>
  </r>
  <r>
    <x v="12"/>
    <x v="4"/>
    <x v="3"/>
    <n v="55"/>
    <n v="8"/>
    <n v="47"/>
  </r>
  <r>
    <x v="12"/>
    <x v="3"/>
    <x v="8"/>
    <n v="58.22"/>
    <n v="14.419999999999998"/>
    <n v="43.800000000000004"/>
  </r>
  <r>
    <x v="0"/>
    <x v="0"/>
    <x v="2"/>
    <n v="5"/>
    <n v="4"/>
    <n v="1"/>
  </r>
  <r>
    <x v="0"/>
    <x v="0"/>
    <x v="3"/>
    <n v="51.56"/>
    <n v="45.56"/>
    <n v="6"/>
  </r>
  <r>
    <x v="1"/>
    <x v="3"/>
    <x v="6"/>
    <n v="45.99"/>
    <n v="22.990000000000002"/>
    <n v="23"/>
  </r>
  <r>
    <x v="1"/>
    <x v="2"/>
    <x v="12"/>
    <n v="33"/>
    <m/>
    <n v="33"/>
  </r>
  <r>
    <x v="2"/>
    <x v="3"/>
    <x v="10"/>
    <n v="70.714285714285694"/>
    <n v="53.714285714285701"/>
    <n v="17"/>
  </r>
  <r>
    <x v="2"/>
    <x v="2"/>
    <x v="12"/>
    <n v="35"/>
    <n v="0"/>
    <n v="35"/>
  </r>
  <r>
    <x v="2"/>
    <x v="2"/>
    <x v="0"/>
    <n v="2250.7857142857101"/>
    <n v="112.88571428571429"/>
    <n v="2137.9"/>
  </r>
  <r>
    <x v="3"/>
    <x v="0"/>
    <x v="1"/>
    <n v="30.79"/>
    <n v="26"/>
    <n v="4.79"/>
  </r>
  <r>
    <x v="3"/>
    <x v="2"/>
    <x v="1"/>
    <n v="636"/>
    <n v="29"/>
    <n v="607"/>
  </r>
  <r>
    <x v="4"/>
    <x v="0"/>
    <x v="0"/>
    <n v="100.83"/>
    <n v="83.33"/>
    <n v="17.5"/>
  </r>
  <r>
    <x v="4"/>
    <x v="3"/>
    <x v="6"/>
    <n v="49.71"/>
    <n v="16.71"/>
    <n v="33"/>
  </r>
  <r>
    <x v="5"/>
    <x v="0"/>
    <x v="0"/>
    <n v="119.32999999999998"/>
    <n v="98.329999999999984"/>
    <n v="21"/>
  </r>
  <r>
    <x v="5"/>
    <x v="3"/>
    <x v="7"/>
    <n v="375.56"/>
    <n v="139.56"/>
    <n v="236"/>
  </r>
  <r>
    <x v="5"/>
    <x v="2"/>
    <x v="9"/>
    <m/>
    <m/>
    <n v="4"/>
  </r>
  <r>
    <x v="6"/>
    <x v="0"/>
    <x v="0"/>
    <n v="99.83"/>
    <n v="81.83"/>
    <n v="18"/>
  </r>
  <r>
    <x v="6"/>
    <x v="4"/>
    <x v="3"/>
    <n v="36"/>
    <n v="7"/>
    <n v="29"/>
  </r>
  <r>
    <x v="6"/>
    <x v="3"/>
    <x v="4"/>
    <n v="3"/>
    <n v="2"/>
    <n v="1"/>
  </r>
  <r>
    <x v="6"/>
    <x v="3"/>
    <x v="10"/>
    <n v="88.61"/>
    <n v="59.61"/>
    <n v="29"/>
  </r>
  <r>
    <x v="7"/>
    <x v="0"/>
    <x v="1"/>
    <n v="30"/>
    <n v="23"/>
    <n v="7"/>
  </r>
  <r>
    <x v="7"/>
    <x v="0"/>
    <x v="0"/>
    <n v="90.059999999999988"/>
    <n v="74.059999999999988"/>
    <n v="16"/>
  </r>
  <r>
    <x v="7"/>
    <x v="3"/>
    <x v="7"/>
    <n v="398.88"/>
    <n v="154.14000000000001"/>
    <n v="244.74"/>
  </r>
  <r>
    <x v="8"/>
    <x v="2"/>
    <x v="2"/>
    <n v="76"/>
    <n v="2"/>
    <n v="74"/>
  </r>
  <r>
    <x v="9"/>
    <x v="0"/>
    <x v="5"/>
    <n v="10"/>
    <n v="9"/>
    <n v="1"/>
  </r>
  <r>
    <x v="9"/>
    <x v="0"/>
    <x v="3"/>
    <n v="36.86"/>
    <n v="31.86"/>
    <n v="5"/>
  </r>
  <r>
    <x v="9"/>
    <x v="3"/>
    <x v="7"/>
    <n v="441.38"/>
    <n v="188.98"/>
    <n v="252.4"/>
  </r>
  <r>
    <x v="9"/>
    <x v="3"/>
    <x v="8"/>
    <n v="53.879999999999995"/>
    <n v="14.529999999999998"/>
    <n v="39.35"/>
  </r>
  <r>
    <x v="9"/>
    <x v="2"/>
    <x v="9"/>
    <m/>
    <m/>
    <n v="5"/>
  </r>
  <r>
    <x v="9"/>
    <x v="2"/>
    <x v="1"/>
    <n v="655"/>
    <n v="39"/>
    <n v="616"/>
  </r>
  <r>
    <x v="9"/>
    <x v="2"/>
    <x v="2"/>
    <n v="78"/>
    <n v="2"/>
    <n v="76"/>
  </r>
  <r>
    <x v="9"/>
    <x v="2"/>
    <x v="5"/>
    <n v="148"/>
    <n v="9"/>
    <n v="139"/>
  </r>
  <r>
    <x v="10"/>
    <x v="0"/>
    <x v="0"/>
    <n v="86.85"/>
    <n v="68.849999999999994"/>
    <n v="18"/>
  </r>
  <r>
    <x v="10"/>
    <x v="2"/>
    <x v="3"/>
    <n v="606.77"/>
    <n v="31"/>
    <n v="575.77"/>
  </r>
  <r>
    <x v="11"/>
    <x v="1"/>
    <x v="0"/>
    <n v="1650.8000000000006"/>
    <n v="141.16"/>
    <n v="1509.6400000000006"/>
  </r>
  <r>
    <x v="11"/>
    <x v="1"/>
    <x v="3"/>
    <n v="211.70000000000002"/>
    <n v="9.35"/>
    <n v="202.35000000000002"/>
  </r>
  <r>
    <x v="11"/>
    <x v="3"/>
    <x v="6"/>
    <n v="94.09"/>
    <n v="43.489999999999995"/>
    <n v="50.6"/>
  </r>
  <r>
    <x v="12"/>
    <x v="1"/>
    <x v="1"/>
    <n v="439.98"/>
    <n v="27.53"/>
    <n v="412.45"/>
  </r>
  <r>
    <x v="12"/>
    <x v="3"/>
    <x v="6"/>
    <n v="99.97"/>
    <n v="46.37"/>
    <n v="53.6"/>
  </r>
  <r>
    <x v="12"/>
    <x v="2"/>
    <x v="9"/>
    <m/>
    <m/>
    <n v="5"/>
  </r>
  <r>
    <x v="0"/>
    <x v="3"/>
    <x v="13"/>
    <n v="223.6"/>
    <n v="197.5"/>
    <n v="26.1"/>
  </r>
  <r>
    <x v="0"/>
    <x v="3"/>
    <x v="10"/>
    <n v="42.3"/>
    <n v="25.7"/>
    <n v="16.600000000000001"/>
  </r>
  <r>
    <x v="0"/>
    <x v="2"/>
    <x v="12"/>
    <n v="28"/>
    <m/>
    <n v="28"/>
  </r>
  <r>
    <x v="1"/>
    <x v="0"/>
    <x v="2"/>
    <n v="5"/>
    <n v="4"/>
    <n v="1"/>
  </r>
  <r>
    <x v="1"/>
    <x v="0"/>
    <x v="5"/>
    <n v="12.85"/>
    <n v="10.85"/>
    <n v="2"/>
  </r>
  <r>
    <x v="1"/>
    <x v="0"/>
    <x v="3"/>
    <n v="49.46"/>
    <n v="43.46"/>
    <n v="6"/>
  </r>
  <r>
    <x v="1"/>
    <x v="1"/>
    <x v="3"/>
    <n v="263.75"/>
    <n v="12"/>
    <n v="251.75"/>
  </r>
  <r>
    <x v="2"/>
    <x v="3"/>
    <x v="13"/>
    <n v="145.72971428571435"/>
    <n v="128.96057142857148"/>
    <n v="16.769142857142857"/>
  </r>
  <r>
    <x v="2"/>
    <x v="2"/>
    <x v="2"/>
    <n v="90"/>
    <n v="3"/>
    <n v="87"/>
  </r>
  <r>
    <x v="4"/>
    <x v="3"/>
    <x v="14"/>
    <n v="30.86"/>
    <n v="18.36"/>
    <n v="12.5"/>
  </r>
  <r>
    <x v="5"/>
    <x v="0"/>
    <x v="2"/>
    <n v="4"/>
    <n v="3"/>
    <n v="1"/>
  </r>
  <r>
    <x v="5"/>
    <x v="1"/>
    <x v="0"/>
    <n v="1863.8000000000002"/>
    <n v="148.4"/>
    <n v="1715.4"/>
  </r>
  <r>
    <x v="6"/>
    <x v="0"/>
    <x v="12"/>
    <m/>
    <n v="1"/>
    <m/>
  </r>
  <r>
    <x v="7"/>
    <x v="3"/>
    <x v="13"/>
    <n v="160.44999999999999"/>
    <n v="151.59"/>
    <n v="8.86"/>
  </r>
  <r>
    <x v="7"/>
    <x v="3"/>
    <x v="6"/>
    <n v="49.8"/>
    <n v="16.8"/>
    <n v="33"/>
  </r>
  <r>
    <x v="7"/>
    <x v="3"/>
    <x v="8"/>
    <n v="55.730000000000004"/>
    <n v="18.38"/>
    <n v="37.35"/>
  </r>
  <r>
    <x v="7"/>
    <x v="2"/>
    <x v="0"/>
    <n v="2017.43"/>
    <n v="148.43"/>
    <n v="1869"/>
  </r>
  <r>
    <x v="8"/>
    <x v="0"/>
    <x v="5"/>
    <n v="10"/>
    <n v="9"/>
    <n v="1"/>
  </r>
  <r>
    <x v="8"/>
    <x v="4"/>
    <x v="3"/>
    <n v="53"/>
    <n v="10"/>
    <n v="43"/>
  </r>
  <r>
    <x v="8"/>
    <x v="3"/>
    <x v="7"/>
    <n v="449.54999999999995"/>
    <n v="168.88000000000002"/>
    <n v="280.66999999999996"/>
  </r>
  <r>
    <x v="8"/>
    <x v="2"/>
    <x v="0"/>
    <n v="1988.43"/>
    <n v="146.93"/>
    <n v="1841.5"/>
  </r>
  <r>
    <x v="9"/>
    <x v="0"/>
    <x v="1"/>
    <n v="28.29"/>
    <n v="24.29"/>
    <n v="4"/>
  </r>
  <r>
    <x v="9"/>
    <x v="0"/>
    <x v="0"/>
    <n v="87.91"/>
    <n v="70.91"/>
    <n v="17"/>
  </r>
  <r>
    <x v="9"/>
    <x v="3"/>
    <x v="14"/>
    <n v="36"/>
    <n v="24"/>
    <n v="12"/>
  </r>
  <r>
    <x v="10"/>
    <x v="3"/>
    <x v="6"/>
    <n v="85.68"/>
    <n v="40.08"/>
    <n v="45.6"/>
  </r>
  <r>
    <x v="10"/>
    <x v="3"/>
    <x v="8"/>
    <n v="55.879999999999995"/>
    <n v="15.529999999999998"/>
    <n v="40.35"/>
  </r>
  <r>
    <x v="10"/>
    <x v="2"/>
    <x v="12"/>
    <n v="31"/>
    <n v="1"/>
    <n v="30"/>
  </r>
  <r>
    <x v="10"/>
    <x v="2"/>
    <x v="1"/>
    <n v="640"/>
    <n v="39"/>
    <n v="601"/>
  </r>
  <r>
    <x v="10"/>
    <x v="2"/>
    <x v="5"/>
    <n v="156"/>
    <n v="9"/>
    <n v="147"/>
  </r>
  <r>
    <x v="11"/>
    <x v="0"/>
    <x v="1"/>
    <n v="28"/>
    <n v="24"/>
    <n v="4"/>
  </r>
  <r>
    <x v="11"/>
    <x v="0"/>
    <x v="5"/>
    <n v="8"/>
    <n v="7"/>
    <n v="1"/>
  </r>
  <r>
    <x v="11"/>
    <x v="3"/>
    <x v="4"/>
    <n v="4"/>
    <n v="3"/>
    <n v="1"/>
  </r>
  <r>
    <x v="12"/>
    <x v="3"/>
    <x v="4"/>
    <n v="3"/>
    <n v="2"/>
    <n v="1"/>
  </r>
  <r>
    <x v="12"/>
    <x v="2"/>
    <x v="12"/>
    <n v="27"/>
    <n v="1"/>
    <n v="26"/>
  </r>
  <r>
    <x v="12"/>
    <x v="2"/>
    <x v="3"/>
    <n v="624.77"/>
    <n v="35"/>
    <n v="589.77"/>
  </r>
  <r>
    <x v="0"/>
    <x v="0"/>
    <x v="1"/>
    <n v="51.01"/>
    <n v="45.01"/>
    <n v="6"/>
  </r>
  <r>
    <x v="0"/>
    <x v="1"/>
    <x v="3"/>
    <n v="262.12"/>
    <n v="10"/>
    <n v="252.12000000000003"/>
  </r>
  <r>
    <x v="0"/>
    <x v="3"/>
    <x v="7"/>
    <n v="256.39999999999998"/>
    <n v="39.199999999999996"/>
    <n v="217.2"/>
  </r>
  <r>
    <x v="1"/>
    <x v="2"/>
    <x v="3"/>
    <n v="664"/>
    <n v="27"/>
    <n v="637"/>
  </r>
  <r>
    <x v="2"/>
    <x v="2"/>
    <x v="1"/>
    <n v="598.34523809523807"/>
    <n v="27"/>
    <n v="571.34523809523807"/>
  </r>
  <r>
    <x v="2"/>
    <x v="2"/>
    <x v="5"/>
    <n v="126"/>
    <n v="2"/>
    <n v="124"/>
  </r>
  <r>
    <x v="2"/>
    <x v="2"/>
    <x v="3"/>
    <n v="585.31904761904764"/>
    <n v="22"/>
    <n v="563.31904761904764"/>
  </r>
  <r>
    <x v="3"/>
    <x v="3"/>
    <x v="13"/>
    <n v="140.91"/>
    <n v="130.36000000000001"/>
    <n v="10.55"/>
  </r>
  <r>
    <x v="3"/>
    <x v="2"/>
    <x v="9"/>
    <m/>
    <m/>
    <n v="4"/>
  </r>
  <r>
    <x v="3"/>
    <x v="2"/>
    <x v="2"/>
    <n v="70"/>
    <n v="2"/>
    <n v="68"/>
  </r>
  <r>
    <x v="3"/>
    <x v="2"/>
    <x v="5"/>
    <n v="151"/>
    <n v="2"/>
    <n v="149"/>
  </r>
  <r>
    <x v="4"/>
    <x v="0"/>
    <x v="1"/>
    <n v="26.79"/>
    <n v="22.79"/>
    <n v="4"/>
  </r>
  <r>
    <x v="4"/>
    <x v="1"/>
    <x v="3"/>
    <n v="246.25"/>
    <n v="13.75"/>
    <n v="232.5"/>
  </r>
  <r>
    <x v="4"/>
    <x v="3"/>
    <x v="10"/>
    <n v="75.81"/>
    <n v="53.98"/>
    <n v="21.83"/>
  </r>
  <r>
    <x v="5"/>
    <x v="0"/>
    <x v="12"/>
    <m/>
    <n v="1"/>
    <m/>
  </r>
  <r>
    <x v="5"/>
    <x v="3"/>
    <x v="13"/>
    <n v="144.99"/>
    <n v="134.44"/>
    <n v="10.55"/>
  </r>
  <r>
    <x v="5"/>
    <x v="3"/>
    <x v="6"/>
    <n v="49"/>
    <n v="15"/>
    <n v="34"/>
  </r>
  <r>
    <x v="5"/>
    <x v="2"/>
    <x v="1"/>
    <n v="687"/>
    <n v="27"/>
    <n v="660"/>
  </r>
  <r>
    <x v="6"/>
    <x v="0"/>
    <x v="1"/>
    <n v="26"/>
    <n v="21"/>
    <n v="5"/>
  </r>
  <r>
    <x v="6"/>
    <x v="0"/>
    <x v="2"/>
    <n v="4"/>
    <n v="3"/>
    <n v="1"/>
  </r>
  <r>
    <x v="6"/>
    <x v="1"/>
    <x v="0"/>
    <n v="1855.3000000000002"/>
    <n v="153.15"/>
    <n v="1702.15"/>
  </r>
  <r>
    <x v="6"/>
    <x v="3"/>
    <x v="13"/>
    <n v="154.34000000000003"/>
    <n v="144.79000000000002"/>
    <n v="9.5500000000000007"/>
  </r>
  <r>
    <x v="8"/>
    <x v="3"/>
    <x v="13"/>
    <n v="163.91"/>
    <n v="150.60999999999999"/>
    <n v="13.299999999999999"/>
  </r>
  <r>
    <x v="8"/>
    <x v="3"/>
    <x v="4"/>
    <n v="4"/>
    <n v="1"/>
    <n v="3"/>
  </r>
  <r>
    <x v="8"/>
    <x v="2"/>
    <x v="1"/>
    <n v="660"/>
    <n v="39"/>
    <n v="621"/>
  </r>
  <r>
    <x v="9"/>
    <x v="0"/>
    <x v="12"/>
    <m/>
    <n v="1"/>
    <m/>
  </r>
  <r>
    <x v="9"/>
    <x v="1"/>
    <x v="0"/>
    <n v="1648.1899999999998"/>
    <n v="127.25"/>
    <n v="1520.9399999999998"/>
  </r>
  <r>
    <x v="9"/>
    <x v="4"/>
    <x v="1"/>
    <m/>
    <m/>
    <n v="1"/>
  </r>
  <r>
    <x v="9"/>
    <x v="2"/>
    <x v="3"/>
    <n v="601"/>
    <n v="31"/>
    <n v="570"/>
  </r>
  <r>
    <x v="10"/>
    <x v="3"/>
    <x v="13"/>
    <n v="123.35999999999999"/>
    <n v="110.35999999999999"/>
    <n v="13"/>
  </r>
  <r>
    <x v="10"/>
    <x v="2"/>
    <x v="0"/>
    <n v="1909.31"/>
    <n v="137.32999999999998"/>
    <n v="1771.98"/>
  </r>
  <r>
    <x v="11"/>
    <x v="0"/>
    <x v="0"/>
    <n v="91.69"/>
    <n v="72.69"/>
    <n v="19"/>
  </r>
  <r>
    <x v="11"/>
    <x v="3"/>
    <x v="14"/>
    <n v="35"/>
    <n v="24"/>
    <n v="11"/>
  </r>
  <r>
    <x v="11"/>
    <x v="2"/>
    <x v="1"/>
    <n v="622"/>
    <n v="35"/>
    <n v="587"/>
  </r>
  <r>
    <x v="11"/>
    <x v="2"/>
    <x v="2"/>
    <n v="72"/>
    <n v="9"/>
    <n v="63"/>
  </r>
  <r>
    <x v="12"/>
    <x v="4"/>
    <x v="1"/>
    <m/>
    <m/>
    <n v="3"/>
  </r>
  <r>
    <x v="12"/>
    <x v="3"/>
    <x v="7"/>
    <n v="446.82000000000005"/>
    <n v="198.26000000000002"/>
    <n v="248.56000000000003"/>
  </r>
  <r>
    <x v="12"/>
    <x v="2"/>
    <x v="0"/>
    <n v="1895.81"/>
    <n v="143.32999999999998"/>
    <n v="1752.48"/>
  </r>
  <r>
    <x v="0"/>
    <x v="0"/>
    <x v="5"/>
    <n v="11"/>
    <n v="9"/>
    <n v="2"/>
  </r>
  <r>
    <x v="1"/>
    <x v="3"/>
    <x v="10"/>
    <n v="55.470000000000006"/>
    <n v="36.870000000000005"/>
    <n v="18.600000000000001"/>
  </r>
  <r>
    <x v="1"/>
    <x v="3"/>
    <x v="8"/>
    <n v="128.98000000000002"/>
    <n v="65.05000000000004"/>
    <n v="63.929999999999993"/>
  </r>
  <r>
    <x v="1"/>
    <x v="2"/>
    <x v="2"/>
    <n v="103"/>
    <n v="3"/>
    <n v="100"/>
  </r>
  <r>
    <x v="2"/>
    <x v="0"/>
    <x v="0"/>
    <n v="89.021904761904764"/>
    <n v="71.021904761904764"/>
    <n v="18"/>
  </r>
  <r>
    <x v="3"/>
    <x v="3"/>
    <x v="6"/>
    <n v="42"/>
    <n v="17"/>
    <n v="25"/>
  </r>
  <r>
    <x v="3"/>
    <x v="2"/>
    <x v="3"/>
    <n v="587"/>
    <n v="21"/>
    <n v="566"/>
  </r>
  <r>
    <x v="4"/>
    <x v="3"/>
    <x v="7"/>
    <n v="354.57"/>
    <n v="133.04"/>
    <n v="221.53"/>
  </r>
  <r>
    <x v="5"/>
    <x v="3"/>
    <x v="8"/>
    <n v="58.61"/>
    <n v="21.259999999999998"/>
    <n v="37.35"/>
  </r>
  <r>
    <x v="5"/>
    <x v="2"/>
    <x v="2"/>
    <n v="80"/>
    <n v="2"/>
    <n v="78"/>
  </r>
  <r>
    <x v="5"/>
    <x v="2"/>
    <x v="5"/>
    <n v="147"/>
    <n v="2"/>
    <n v="145"/>
  </r>
  <r>
    <x v="6"/>
    <x v="0"/>
    <x v="5"/>
    <n v="8"/>
    <n v="7"/>
    <n v="1"/>
  </r>
  <r>
    <x v="6"/>
    <x v="0"/>
    <x v="3"/>
    <n v="45"/>
    <n v="38"/>
    <n v="7"/>
  </r>
  <r>
    <x v="6"/>
    <x v="1"/>
    <x v="3"/>
    <n v="236.5"/>
    <n v="11.75"/>
    <n v="224.75"/>
  </r>
  <r>
    <x v="6"/>
    <x v="2"/>
    <x v="3"/>
    <n v="608"/>
    <n v="30"/>
    <n v="578"/>
  </r>
  <r>
    <x v="7"/>
    <x v="0"/>
    <x v="12"/>
    <m/>
    <n v="1"/>
    <m/>
  </r>
  <r>
    <x v="7"/>
    <x v="0"/>
    <x v="2"/>
    <n v="4"/>
    <n v="3"/>
    <n v="1"/>
  </r>
  <r>
    <x v="7"/>
    <x v="3"/>
    <x v="10"/>
    <n v="88.43"/>
    <n v="59.430000000000007"/>
    <n v="29"/>
  </r>
  <r>
    <x v="7"/>
    <x v="2"/>
    <x v="1"/>
    <n v="687"/>
    <n v="29"/>
    <n v="658"/>
  </r>
  <r>
    <x v="8"/>
    <x v="0"/>
    <x v="12"/>
    <m/>
    <n v="1"/>
    <m/>
  </r>
  <r>
    <x v="8"/>
    <x v="0"/>
    <x v="1"/>
    <n v="27"/>
    <n v="20"/>
    <n v="7"/>
  </r>
  <r>
    <x v="8"/>
    <x v="0"/>
    <x v="2"/>
    <n v="4"/>
    <n v="3"/>
    <n v="1"/>
  </r>
  <r>
    <x v="8"/>
    <x v="2"/>
    <x v="12"/>
    <n v="35"/>
    <n v="1"/>
    <n v="34"/>
  </r>
  <r>
    <x v="8"/>
    <x v="2"/>
    <x v="5"/>
    <n v="157"/>
    <n v="5"/>
    <n v="152"/>
  </r>
  <r>
    <x v="9"/>
    <x v="1"/>
    <x v="3"/>
    <n v="231.79999999999998"/>
    <n v="12.75"/>
    <n v="219.04999999999998"/>
  </r>
  <r>
    <x v="9"/>
    <x v="4"/>
    <x v="3"/>
    <n v="54"/>
    <n v="9"/>
    <n v="45"/>
  </r>
  <r>
    <x v="9"/>
    <x v="3"/>
    <x v="6"/>
    <n v="80.14"/>
    <n v="36.14"/>
    <n v="44"/>
  </r>
  <r>
    <x v="10"/>
    <x v="0"/>
    <x v="1"/>
    <n v="25.79"/>
    <n v="20.79"/>
    <n v="5"/>
  </r>
  <r>
    <x v="10"/>
    <x v="1"/>
    <x v="0"/>
    <n v="1615.3400000000001"/>
    <n v="128.5"/>
    <n v="1486.8400000000001"/>
  </r>
  <r>
    <x v="11"/>
    <x v="0"/>
    <x v="2"/>
    <m/>
    <n v="2"/>
    <m/>
  </r>
  <r>
    <x v="11"/>
    <x v="3"/>
    <x v="10"/>
    <n v="89.240000000000009"/>
    <n v="44.24"/>
    <n v="45"/>
  </r>
  <r>
    <x v="11"/>
    <x v="3"/>
    <x v="7"/>
    <n v="447.60999999999996"/>
    <n v="203.34999999999997"/>
    <n v="244.26"/>
  </r>
  <r>
    <x v="12"/>
    <x v="0"/>
    <x v="1"/>
    <n v="40.5"/>
    <n v="31.92"/>
    <n v="8.58"/>
  </r>
  <r>
    <x v="12"/>
    <x v="0"/>
    <x v="0"/>
    <n v="96.2"/>
    <n v="68.78"/>
    <n v="27.42"/>
  </r>
  <r>
    <x v="12"/>
    <x v="2"/>
    <x v="1"/>
    <n v="640.80999999999995"/>
    <n v="35"/>
    <n v="605.80999999999995"/>
  </r>
</pivotCacheRecords>
</file>

<file path=xl/pivotCache/pivotCacheRecords44.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23">
  <r>
    <x v="0"/>
    <x v="0"/>
    <n v="95"/>
  </r>
  <r>
    <x v="0"/>
    <x v="1"/>
    <n v="37"/>
  </r>
  <r>
    <x v="0"/>
    <x v="2"/>
    <n v="54"/>
  </r>
  <r>
    <x v="1"/>
    <x v="0"/>
    <n v="95"/>
  </r>
  <r>
    <x v="1"/>
    <x v="1"/>
    <n v="37"/>
  </r>
  <r>
    <x v="1"/>
    <x v="2"/>
    <n v="54"/>
  </r>
  <r>
    <x v="2"/>
    <x v="0"/>
    <n v="101"/>
  </r>
  <r>
    <x v="2"/>
    <x v="1"/>
    <n v="36"/>
  </r>
  <r>
    <x v="2"/>
    <x v="2"/>
    <n v="52"/>
  </r>
  <r>
    <x v="3"/>
    <x v="0"/>
    <n v="104"/>
  </r>
  <r>
    <x v="3"/>
    <x v="1"/>
    <n v="35"/>
  </r>
  <r>
    <x v="3"/>
    <x v="2"/>
    <n v="52"/>
  </r>
  <r>
    <x v="4"/>
    <x v="0"/>
    <n v="105"/>
  </r>
  <r>
    <x v="4"/>
    <x v="1"/>
    <n v="26"/>
  </r>
  <r>
    <x v="4"/>
    <x v="2"/>
    <n v="53"/>
  </r>
  <r>
    <x v="5"/>
    <x v="3"/>
    <n v="1"/>
  </r>
  <r>
    <x v="5"/>
    <x v="4"/>
    <n v="115"/>
  </r>
  <r>
    <x v="5"/>
    <x v="1"/>
    <n v="26"/>
  </r>
  <r>
    <x v="5"/>
    <x v="2"/>
    <n v="68"/>
  </r>
  <r>
    <x v="5"/>
    <x v="5"/>
    <n v="351"/>
  </r>
  <r>
    <x v="6"/>
    <x v="4"/>
    <n v="115"/>
  </r>
  <r>
    <x v="6"/>
    <x v="1"/>
    <n v="26"/>
  </r>
  <r>
    <x v="6"/>
    <x v="2"/>
    <n v="71"/>
  </r>
</pivotCacheRecords>
</file>

<file path=xl/pivotCache/pivotCacheRecords45.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54">
  <r>
    <x v="0"/>
    <m/>
    <x v="0"/>
    <n v="4"/>
  </r>
  <r>
    <x v="0"/>
    <s v="NationalFireResilience"/>
    <x v="1"/>
    <n v="8"/>
  </r>
  <r>
    <x v="0"/>
    <s v="NationalFireResilience"/>
    <x v="2"/>
    <n v="4"/>
  </r>
  <r>
    <x v="0"/>
    <s v="NationalFireResilience"/>
    <x v="3"/>
    <n v="78"/>
  </r>
  <r>
    <x v="0"/>
    <s v="NationalFireResilience"/>
    <x v="4"/>
    <n v="1"/>
  </r>
  <r>
    <x v="0"/>
    <s v="NationalFireResilience"/>
    <x v="5"/>
    <n v="4"/>
  </r>
  <r>
    <x v="0"/>
    <s v="NationalFireResilience"/>
    <x v="6"/>
    <n v="5"/>
  </r>
  <r>
    <x v="0"/>
    <s v="NationalFireResilience"/>
    <x v="7"/>
    <n v="3"/>
  </r>
  <r>
    <x v="0"/>
    <s v="NationalFireResilience"/>
    <x v="8"/>
    <n v="20"/>
  </r>
  <r>
    <x v="0"/>
    <s v="NationalFireResilience"/>
    <x v="9"/>
    <n v="10"/>
  </r>
  <r>
    <x v="0"/>
    <s v="Specialist"/>
    <x v="10"/>
    <n v="5"/>
  </r>
  <r>
    <x v="0"/>
    <s v="Specialist"/>
    <x v="11"/>
    <n v="25"/>
  </r>
  <r>
    <x v="0"/>
    <s v="Specialist"/>
    <x v="12"/>
    <n v="8"/>
  </r>
  <r>
    <x v="0"/>
    <s v="Specialist"/>
    <x v="13"/>
    <n v="17"/>
  </r>
  <r>
    <x v="0"/>
    <s v="Specialist"/>
    <x v="14"/>
    <n v="3"/>
  </r>
  <r>
    <x v="0"/>
    <s v="Specialist"/>
    <x v="15"/>
    <n v="7"/>
  </r>
  <r>
    <x v="0"/>
    <s v="Tactical"/>
    <x v="16"/>
    <n v="6"/>
  </r>
  <r>
    <x v="0"/>
    <s v="Tactical"/>
    <x v="17"/>
    <n v="21"/>
  </r>
  <r>
    <x v="0"/>
    <s v="Tactical"/>
    <x v="18"/>
    <n v="35"/>
  </r>
  <r>
    <x v="0"/>
    <s v="Tactical"/>
    <x v="19"/>
    <n v="5"/>
  </r>
  <r>
    <x v="0"/>
    <s v="Tactical"/>
    <x v="20"/>
    <n v="19"/>
  </r>
  <r>
    <x v="0"/>
    <s v="WaterPumping"/>
    <x v="21"/>
    <n v="244"/>
  </r>
  <r>
    <x v="0"/>
    <s v="WaterPumping"/>
    <x v="22"/>
    <n v="6"/>
  </r>
  <r>
    <x v="0"/>
    <s v="WaterPumping"/>
    <x v="23"/>
    <n v="101"/>
  </r>
  <r>
    <x v="1"/>
    <m/>
    <x v="0"/>
    <n v="4"/>
  </r>
  <r>
    <x v="1"/>
    <s v="NationalFireResilience"/>
    <x v="1"/>
    <n v="8"/>
  </r>
  <r>
    <x v="1"/>
    <s v="NationalFireResilience"/>
    <x v="2"/>
    <n v="4"/>
  </r>
  <r>
    <x v="1"/>
    <s v="NationalFireResilience"/>
    <x v="3"/>
    <n v="78"/>
  </r>
  <r>
    <x v="1"/>
    <s v="NationalFireResilience"/>
    <x v="4"/>
    <n v="1"/>
  </r>
  <r>
    <x v="1"/>
    <s v="NationalFireResilience"/>
    <x v="5"/>
    <n v="4"/>
  </r>
  <r>
    <x v="1"/>
    <s v="NationalFireResilience"/>
    <x v="6"/>
    <n v="5"/>
  </r>
  <r>
    <x v="1"/>
    <s v="NationalFireResilience"/>
    <x v="7"/>
    <n v="3"/>
  </r>
  <r>
    <x v="1"/>
    <s v="NationalFireResilience"/>
    <x v="8"/>
    <n v="20"/>
  </r>
  <r>
    <x v="1"/>
    <s v="NationalFireResilience"/>
    <x v="9"/>
    <n v="10"/>
  </r>
  <r>
    <x v="1"/>
    <s v="Specialist"/>
    <x v="10"/>
    <n v="5"/>
  </r>
  <r>
    <x v="1"/>
    <s v="Specialist"/>
    <x v="11"/>
    <n v="25"/>
  </r>
  <r>
    <x v="1"/>
    <s v="Specialist"/>
    <x v="12"/>
    <n v="8"/>
  </r>
  <r>
    <x v="1"/>
    <s v="Specialist"/>
    <x v="13"/>
    <n v="17"/>
  </r>
  <r>
    <x v="1"/>
    <s v="Specialist"/>
    <x v="14"/>
    <n v="3"/>
  </r>
  <r>
    <x v="1"/>
    <s v="Specialist"/>
    <x v="15"/>
    <n v="7"/>
  </r>
  <r>
    <x v="1"/>
    <s v="Tactical"/>
    <x v="16"/>
    <n v="6"/>
  </r>
  <r>
    <x v="1"/>
    <s v="Tactical"/>
    <x v="17"/>
    <n v="21"/>
  </r>
  <r>
    <x v="1"/>
    <s v="Tactical"/>
    <x v="18"/>
    <n v="35"/>
  </r>
  <r>
    <x v="1"/>
    <s v="Tactical"/>
    <x v="19"/>
    <n v="5"/>
  </r>
  <r>
    <x v="1"/>
    <s v="Tactical"/>
    <x v="20"/>
    <n v="19"/>
  </r>
  <r>
    <x v="1"/>
    <s v="WaterPumping"/>
    <x v="21"/>
    <n v="244"/>
  </r>
  <r>
    <x v="1"/>
    <s v="WaterPumping"/>
    <x v="22"/>
    <n v="6"/>
  </r>
  <r>
    <x v="1"/>
    <s v="WaterPumping"/>
    <x v="23"/>
    <n v="101"/>
  </r>
  <r>
    <x v="2"/>
    <s v="NationalFireResilience"/>
    <x v="1"/>
    <n v="8"/>
  </r>
  <r>
    <x v="2"/>
    <s v="NationalFireResilience"/>
    <x v="2"/>
    <n v="4"/>
  </r>
  <r>
    <x v="2"/>
    <s v="NationalFireResilience"/>
    <x v="3"/>
    <n v="83"/>
  </r>
  <r>
    <x v="2"/>
    <s v="NationalFireResilience"/>
    <x v="4"/>
    <n v="1"/>
  </r>
  <r>
    <x v="2"/>
    <s v="NationalFireResilience"/>
    <x v="5"/>
    <n v="4"/>
  </r>
  <r>
    <x v="2"/>
    <s v="NationalFireResilience"/>
    <x v="6"/>
    <n v="8"/>
  </r>
  <r>
    <x v="2"/>
    <s v="NationalFireResilience"/>
    <x v="7"/>
    <n v="4"/>
  </r>
  <r>
    <x v="2"/>
    <s v="NationalFireResilience"/>
    <x v="8"/>
    <n v="20"/>
  </r>
  <r>
    <x v="2"/>
    <s v="NationalFireResilience"/>
    <x v="9"/>
    <n v="7"/>
  </r>
  <r>
    <x v="2"/>
    <s v="Specialist"/>
    <x v="10"/>
    <n v="5"/>
  </r>
  <r>
    <x v="2"/>
    <s v="Specialist"/>
    <x v="11"/>
    <n v="25"/>
  </r>
  <r>
    <x v="2"/>
    <s v="Specialist"/>
    <x v="12"/>
    <n v="7"/>
  </r>
  <r>
    <x v="2"/>
    <s v="Specialist"/>
    <x v="14"/>
    <n v="4"/>
  </r>
  <r>
    <x v="2"/>
    <s v="Specialist"/>
    <x v="15"/>
    <n v="7"/>
  </r>
  <r>
    <x v="2"/>
    <s v="Tactical"/>
    <x v="18"/>
    <n v="34"/>
  </r>
  <r>
    <x v="2"/>
    <s v="Tactical"/>
    <x v="19"/>
    <n v="5"/>
  </r>
  <r>
    <x v="2"/>
    <s v="Tactical"/>
    <x v="20"/>
    <n v="15"/>
  </r>
  <r>
    <x v="2"/>
    <s v="WaterPumping"/>
    <x v="21"/>
    <n v="243"/>
  </r>
  <r>
    <x v="2"/>
    <s v="WaterPumping"/>
    <x v="24"/>
    <n v="1"/>
  </r>
  <r>
    <x v="2"/>
    <s v="WaterPumping"/>
    <x v="22"/>
    <n v="6"/>
  </r>
  <r>
    <x v="2"/>
    <s v="WaterPumping"/>
    <x v="23"/>
    <n v="102"/>
  </r>
  <r>
    <x v="3"/>
    <s v="NationalFireResilience"/>
    <x v="1"/>
    <n v="8"/>
  </r>
  <r>
    <x v="3"/>
    <s v="NationalFireResilience"/>
    <x v="2"/>
    <n v="4"/>
  </r>
  <r>
    <x v="3"/>
    <s v="NationalFireResilience"/>
    <x v="3"/>
    <n v="91"/>
  </r>
  <r>
    <x v="3"/>
    <s v="NationalFireResilience"/>
    <x v="4"/>
    <n v="1"/>
  </r>
  <r>
    <x v="3"/>
    <s v="NationalFireResilience"/>
    <x v="5"/>
    <n v="4"/>
  </r>
  <r>
    <x v="3"/>
    <s v="NationalFireResilience"/>
    <x v="6"/>
    <n v="7"/>
  </r>
  <r>
    <x v="3"/>
    <s v="NationalFireResilience"/>
    <x v="7"/>
    <n v="3"/>
  </r>
  <r>
    <x v="3"/>
    <s v="NationalFireResilience"/>
    <x v="8"/>
    <n v="20"/>
  </r>
  <r>
    <x v="3"/>
    <s v="NationalFireResilience"/>
    <x v="9"/>
    <n v="6"/>
  </r>
  <r>
    <x v="3"/>
    <s v="Specialist"/>
    <x v="10"/>
    <n v="5"/>
  </r>
  <r>
    <x v="3"/>
    <s v="Specialist"/>
    <x v="11"/>
    <n v="25"/>
  </r>
  <r>
    <x v="3"/>
    <s v="Specialist"/>
    <x v="12"/>
    <n v="7"/>
  </r>
  <r>
    <x v="3"/>
    <s v="Specialist"/>
    <x v="14"/>
    <n v="4"/>
  </r>
  <r>
    <x v="3"/>
    <s v="Specialist"/>
    <x v="15"/>
    <n v="8"/>
  </r>
  <r>
    <x v="3"/>
    <s v="Tactical"/>
    <x v="18"/>
    <n v="33"/>
  </r>
  <r>
    <x v="3"/>
    <s v="Tactical"/>
    <x v="19"/>
    <n v="5"/>
  </r>
  <r>
    <x v="3"/>
    <s v="Tactical"/>
    <x v="20"/>
    <n v="15"/>
  </r>
  <r>
    <x v="3"/>
    <s v="WaterPumping"/>
    <x v="21"/>
    <n v="244"/>
  </r>
  <r>
    <x v="3"/>
    <s v="WaterPumping"/>
    <x v="22"/>
    <n v="6"/>
  </r>
  <r>
    <x v="3"/>
    <s v="WaterPumping"/>
    <x v="23"/>
    <n v="101"/>
  </r>
  <r>
    <x v="4"/>
    <s v="NationalFireResilience"/>
    <x v="1"/>
    <n v="8"/>
  </r>
  <r>
    <x v="4"/>
    <s v="NationalFireResilience"/>
    <x v="2"/>
    <n v="4"/>
  </r>
  <r>
    <x v="4"/>
    <s v="NationalFireResilience"/>
    <x v="3"/>
    <n v="91"/>
  </r>
  <r>
    <x v="4"/>
    <s v="NationalFireResilience"/>
    <x v="4"/>
    <n v="1"/>
  </r>
  <r>
    <x v="4"/>
    <s v="NationalFireResilience"/>
    <x v="5"/>
    <n v="4"/>
  </r>
  <r>
    <x v="4"/>
    <s v="NationalFireResilience"/>
    <x v="6"/>
    <n v="7"/>
  </r>
  <r>
    <x v="4"/>
    <s v="NationalFireResilience"/>
    <x v="7"/>
    <n v="4"/>
  </r>
  <r>
    <x v="4"/>
    <s v="NationalFireResilience"/>
    <x v="8"/>
    <n v="20"/>
  </r>
  <r>
    <x v="4"/>
    <s v="NationalFireResilience"/>
    <x v="9"/>
    <n v="7"/>
  </r>
  <r>
    <x v="4"/>
    <s v="Specialist"/>
    <x v="10"/>
    <n v="5"/>
  </r>
  <r>
    <x v="4"/>
    <s v="Specialist"/>
    <x v="11"/>
    <n v="16"/>
  </r>
  <r>
    <x v="4"/>
    <s v="Specialist"/>
    <x v="12"/>
    <n v="5"/>
  </r>
  <r>
    <x v="4"/>
    <s v="Specialist"/>
    <x v="14"/>
    <n v="4"/>
  </r>
  <r>
    <x v="4"/>
    <s v="Specialist"/>
    <x v="15"/>
    <n v="7"/>
  </r>
  <r>
    <x v="4"/>
    <s v="Tactical"/>
    <x v="18"/>
    <n v="34"/>
  </r>
  <r>
    <x v="4"/>
    <s v="Tactical"/>
    <x v="19"/>
    <n v="5"/>
  </r>
  <r>
    <x v="4"/>
    <s v="Tactical"/>
    <x v="20"/>
    <n v="15"/>
  </r>
  <r>
    <x v="4"/>
    <s v="WaterPumping"/>
    <x v="21"/>
    <n v="251"/>
  </r>
  <r>
    <x v="4"/>
    <s v="WaterPumping"/>
    <x v="22"/>
    <n v="5"/>
  </r>
  <r>
    <x v="4"/>
    <s v="WaterPumping"/>
    <x v="23"/>
    <n v="95"/>
  </r>
  <r>
    <x v="5"/>
    <m/>
    <x v="25"/>
    <n v="1"/>
  </r>
  <r>
    <x v="5"/>
    <s v="NationalFireResilience"/>
    <x v="1"/>
    <n v="8"/>
  </r>
  <r>
    <x v="5"/>
    <s v="NationalFireResilience"/>
    <x v="2"/>
    <n v="4"/>
  </r>
  <r>
    <x v="5"/>
    <s v="NationalFireResilience"/>
    <x v="3"/>
    <n v="81"/>
  </r>
  <r>
    <x v="5"/>
    <s v="NationalFireResilience"/>
    <x v="4"/>
    <n v="1"/>
  </r>
  <r>
    <x v="5"/>
    <s v="NationalFireResilience"/>
    <x v="5"/>
    <n v="4"/>
  </r>
  <r>
    <x v="5"/>
    <s v="NationalFireResilience"/>
    <x v="6"/>
    <n v="8"/>
  </r>
  <r>
    <x v="5"/>
    <s v="NationalFireResilience"/>
    <x v="7"/>
    <n v="4"/>
  </r>
  <r>
    <x v="5"/>
    <s v="NationalFireResilience"/>
    <x v="8"/>
    <n v="20"/>
  </r>
  <r>
    <x v="5"/>
    <s v="NationalFireResilience"/>
    <x v="9"/>
    <n v="6"/>
  </r>
  <r>
    <x v="5"/>
    <s v="Specialist"/>
    <x v="10"/>
    <n v="4"/>
  </r>
  <r>
    <x v="5"/>
    <s v="Specialist"/>
    <x v="11"/>
    <n v="16"/>
  </r>
  <r>
    <x v="5"/>
    <s v="Specialist"/>
    <x v="12"/>
    <n v="1"/>
  </r>
  <r>
    <x v="5"/>
    <s v="Specialist"/>
    <x v="12"/>
    <n v="5"/>
  </r>
  <r>
    <x v="5"/>
    <s v="Specialist"/>
    <x v="14"/>
    <n v="4"/>
  </r>
  <r>
    <x v="5"/>
    <s v="Specialist"/>
    <x v="15"/>
    <n v="7"/>
  </r>
  <r>
    <x v="5"/>
    <s v="Tactical"/>
    <x v="18"/>
    <n v="33"/>
  </r>
  <r>
    <x v="5"/>
    <s v="Tactical"/>
    <x v="19"/>
    <n v="5"/>
  </r>
  <r>
    <x v="5"/>
    <s v="Tactical"/>
    <x v="20"/>
    <n v="31"/>
  </r>
  <r>
    <x v="5"/>
    <s v="WaterPumping"/>
    <x v="21"/>
    <n v="251"/>
  </r>
  <r>
    <x v="5"/>
    <s v="WaterPumping"/>
    <x v="22"/>
    <n v="6"/>
  </r>
  <r>
    <x v="5"/>
    <s v="WaterPumping"/>
    <x v="23"/>
    <n v="94"/>
  </r>
  <r>
    <x v="6"/>
    <s v="NationalFireResilience"/>
    <x v="1"/>
    <n v="8"/>
  </r>
  <r>
    <x v="6"/>
    <s v="NationalFireResilience"/>
    <x v="2"/>
    <n v="4"/>
  </r>
  <r>
    <x v="6"/>
    <s v="NationalFireResilience"/>
    <x v="3"/>
    <n v="81"/>
  </r>
  <r>
    <x v="6"/>
    <s v="NationalFireResilience"/>
    <x v="4"/>
    <n v="1"/>
  </r>
  <r>
    <x v="6"/>
    <s v="NationalFireResilience"/>
    <x v="5"/>
    <n v="4"/>
  </r>
  <r>
    <x v="6"/>
    <s v="NationalFireResilience"/>
    <x v="6"/>
    <n v="8"/>
  </r>
  <r>
    <x v="6"/>
    <s v="NationalFireResilience"/>
    <x v="7"/>
    <n v="4"/>
  </r>
  <r>
    <x v="6"/>
    <s v="NationalFireResilience"/>
    <x v="8"/>
    <n v="20"/>
  </r>
  <r>
    <x v="6"/>
    <s v="NationalFireResilience"/>
    <x v="9"/>
    <n v="6"/>
  </r>
  <r>
    <x v="6"/>
    <s v="Specialist"/>
    <x v="10"/>
    <n v="4"/>
  </r>
  <r>
    <x v="6"/>
    <s v="Specialist"/>
    <x v="11"/>
    <n v="16"/>
  </r>
  <r>
    <x v="6"/>
    <s v="Specialist"/>
    <x v="12"/>
    <n v="6"/>
  </r>
  <r>
    <x v="6"/>
    <s v="Specialist"/>
    <x v="14"/>
    <n v="4"/>
  </r>
  <r>
    <x v="6"/>
    <s v="Specialist"/>
    <x v="15"/>
    <n v="7"/>
  </r>
  <r>
    <x v="6"/>
    <s v="Tactical"/>
    <x v="18"/>
    <n v="33"/>
  </r>
  <r>
    <x v="6"/>
    <s v="Tactical"/>
    <x v="19"/>
    <n v="4"/>
  </r>
  <r>
    <x v="6"/>
    <s v="Tactical"/>
    <x v="20"/>
    <n v="1"/>
  </r>
  <r>
    <x v="6"/>
    <s v="Tactical"/>
    <x v="20"/>
    <n v="10"/>
  </r>
  <r>
    <x v="6"/>
    <s v="Tactical"/>
    <x v="20"/>
    <n v="24"/>
  </r>
  <r>
    <x v="6"/>
    <s v="WaterPumping"/>
    <x v="26"/>
    <n v="4"/>
  </r>
  <r>
    <x v="6"/>
    <s v="WaterPumping"/>
    <x v="21"/>
    <n v="251"/>
  </r>
  <r>
    <x v="6"/>
    <s v="WaterPumping"/>
    <x v="22"/>
    <n v="4"/>
  </r>
  <r>
    <x v="6"/>
    <s v="WaterPumping"/>
    <x v="23"/>
    <n v="96"/>
  </r>
</pivotCacheRecords>
</file>

<file path=xl/pivotCache/pivotCacheRecords46.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384">
  <r>
    <x v="0"/>
    <x v="0"/>
    <n v="3"/>
    <n v="1"/>
    <m/>
    <n v="4"/>
  </r>
  <r>
    <x v="0"/>
    <x v="1"/>
    <n v="1"/>
    <n v="23"/>
    <m/>
    <n v="24"/>
  </r>
  <r>
    <x v="0"/>
    <x v="2"/>
    <n v="1"/>
    <n v="5"/>
    <m/>
    <n v="6"/>
  </r>
  <r>
    <x v="0"/>
    <x v="3"/>
    <n v="2"/>
    <n v="12"/>
    <n v="25"/>
    <n v="39"/>
  </r>
  <r>
    <x v="0"/>
    <x v="4"/>
    <n v="7"/>
    <n v="1"/>
    <m/>
    <n v="8"/>
  </r>
  <r>
    <x v="0"/>
    <x v="5"/>
    <n v="1"/>
    <n v="1"/>
    <m/>
    <n v="2"/>
  </r>
  <r>
    <x v="0"/>
    <x v="6"/>
    <n v="1"/>
    <n v="15"/>
    <n v="1"/>
    <n v="17"/>
  </r>
  <r>
    <x v="0"/>
    <x v="7"/>
    <n v="4"/>
    <m/>
    <m/>
    <n v="4"/>
  </r>
  <r>
    <x v="0"/>
    <x v="8"/>
    <n v="1"/>
    <n v="7"/>
    <m/>
    <n v="8"/>
  </r>
  <r>
    <x v="0"/>
    <x v="9"/>
    <n v="3"/>
    <m/>
    <m/>
    <n v="3"/>
  </r>
  <r>
    <x v="0"/>
    <x v="10"/>
    <n v="1"/>
    <n v="5"/>
    <m/>
    <n v="6"/>
  </r>
  <r>
    <x v="0"/>
    <x v="11"/>
    <n v="2"/>
    <m/>
    <m/>
    <n v="2"/>
  </r>
  <r>
    <x v="0"/>
    <x v="12"/>
    <n v="3"/>
    <n v="2"/>
    <m/>
    <n v="5"/>
  </r>
  <r>
    <x v="0"/>
    <x v="13"/>
    <n v="5"/>
    <n v="8"/>
    <m/>
    <n v="13"/>
  </r>
  <r>
    <x v="0"/>
    <x v="14"/>
    <n v="11"/>
    <m/>
    <m/>
    <n v="11"/>
  </r>
  <r>
    <x v="0"/>
    <x v="15"/>
    <n v="1"/>
    <n v="51"/>
    <n v="9"/>
    <n v="61"/>
  </r>
  <r>
    <x v="0"/>
    <x v="16"/>
    <n v="2"/>
    <n v="1"/>
    <m/>
    <n v="3"/>
  </r>
  <r>
    <x v="0"/>
    <x v="17"/>
    <n v="1"/>
    <n v="1"/>
    <m/>
    <n v="2"/>
  </r>
  <r>
    <x v="0"/>
    <x v="18"/>
    <n v="1"/>
    <n v="10"/>
    <n v="1"/>
    <n v="12"/>
  </r>
  <r>
    <x v="0"/>
    <x v="19"/>
    <m/>
    <n v="14"/>
    <m/>
    <n v="14"/>
  </r>
  <r>
    <x v="0"/>
    <x v="20"/>
    <n v="3"/>
    <n v="8"/>
    <n v="3"/>
    <n v="14"/>
  </r>
  <r>
    <x v="0"/>
    <x v="21"/>
    <n v="4"/>
    <n v="3"/>
    <m/>
    <n v="7"/>
  </r>
  <r>
    <x v="0"/>
    <x v="22"/>
    <m/>
    <n v="12"/>
    <m/>
    <n v="12"/>
  </r>
  <r>
    <x v="0"/>
    <x v="23"/>
    <n v="1"/>
    <n v="10"/>
    <n v="3"/>
    <n v="14"/>
  </r>
  <r>
    <x v="0"/>
    <x v="24"/>
    <n v="3"/>
    <m/>
    <m/>
    <n v="3"/>
  </r>
  <r>
    <x v="0"/>
    <x v="25"/>
    <n v="2"/>
    <n v="11"/>
    <m/>
    <n v="13"/>
  </r>
  <r>
    <x v="0"/>
    <x v="26"/>
    <m/>
    <n v="14"/>
    <m/>
    <n v="14"/>
  </r>
  <r>
    <x v="0"/>
    <x v="27"/>
    <n v="1"/>
    <n v="4"/>
    <m/>
    <n v="5"/>
  </r>
  <r>
    <x v="0"/>
    <x v="28"/>
    <n v="4"/>
    <n v="7"/>
    <n v="1"/>
    <n v="12"/>
  </r>
  <r>
    <x v="0"/>
    <x v="29"/>
    <n v="1"/>
    <n v="9"/>
    <m/>
    <n v="10"/>
  </r>
  <r>
    <x v="0"/>
    <x v="30"/>
    <n v="2"/>
    <n v="1"/>
    <m/>
    <n v="3"/>
  </r>
  <r>
    <x v="0"/>
    <x v="31"/>
    <n v="2"/>
    <n v="4"/>
    <m/>
    <n v="6"/>
  </r>
  <r>
    <x v="1"/>
    <x v="0"/>
    <n v="3"/>
    <n v="1"/>
    <m/>
    <n v="4"/>
  </r>
  <r>
    <x v="1"/>
    <x v="1"/>
    <n v="1"/>
    <n v="23"/>
    <m/>
    <n v="24"/>
  </r>
  <r>
    <x v="1"/>
    <x v="2"/>
    <n v="1"/>
    <n v="5"/>
    <m/>
    <n v="6"/>
  </r>
  <r>
    <x v="1"/>
    <x v="3"/>
    <n v="2"/>
    <n v="12"/>
    <n v="25"/>
    <n v="39"/>
  </r>
  <r>
    <x v="1"/>
    <x v="4"/>
    <n v="7"/>
    <n v="1"/>
    <m/>
    <n v="8"/>
  </r>
  <r>
    <x v="1"/>
    <x v="5"/>
    <n v="1"/>
    <n v="1"/>
    <m/>
    <n v="2"/>
  </r>
  <r>
    <x v="1"/>
    <x v="6"/>
    <n v="1"/>
    <n v="15"/>
    <n v="1"/>
    <n v="17"/>
  </r>
  <r>
    <x v="1"/>
    <x v="7"/>
    <n v="4"/>
    <m/>
    <m/>
    <n v="4"/>
  </r>
  <r>
    <x v="1"/>
    <x v="8"/>
    <n v="1"/>
    <n v="7"/>
    <m/>
    <n v="8"/>
  </r>
  <r>
    <x v="1"/>
    <x v="9"/>
    <n v="3"/>
    <m/>
    <m/>
    <n v="3"/>
  </r>
  <r>
    <x v="1"/>
    <x v="10"/>
    <n v="1"/>
    <n v="5"/>
    <m/>
    <n v="6"/>
  </r>
  <r>
    <x v="1"/>
    <x v="11"/>
    <n v="2"/>
    <m/>
    <m/>
    <n v="2"/>
  </r>
  <r>
    <x v="1"/>
    <x v="12"/>
    <n v="3"/>
    <n v="2"/>
    <m/>
    <n v="5"/>
  </r>
  <r>
    <x v="1"/>
    <x v="13"/>
    <n v="5"/>
    <n v="8"/>
    <m/>
    <n v="13"/>
  </r>
  <r>
    <x v="1"/>
    <x v="14"/>
    <n v="11"/>
    <m/>
    <m/>
    <n v="11"/>
  </r>
  <r>
    <x v="1"/>
    <x v="15"/>
    <n v="1"/>
    <n v="51"/>
    <n v="9"/>
    <n v="61"/>
  </r>
  <r>
    <x v="1"/>
    <x v="16"/>
    <n v="2"/>
    <n v="1"/>
    <m/>
    <n v="3"/>
  </r>
  <r>
    <x v="1"/>
    <x v="17"/>
    <n v="1"/>
    <n v="1"/>
    <m/>
    <n v="2"/>
  </r>
  <r>
    <x v="1"/>
    <x v="18"/>
    <n v="1"/>
    <n v="10"/>
    <n v="1"/>
    <n v="12"/>
  </r>
  <r>
    <x v="1"/>
    <x v="19"/>
    <m/>
    <n v="14"/>
    <m/>
    <n v="14"/>
  </r>
  <r>
    <x v="1"/>
    <x v="20"/>
    <n v="3"/>
    <n v="8"/>
    <n v="3"/>
    <n v="14"/>
  </r>
  <r>
    <x v="1"/>
    <x v="21"/>
    <n v="4"/>
    <n v="3"/>
    <m/>
    <n v="7"/>
  </r>
  <r>
    <x v="1"/>
    <x v="22"/>
    <m/>
    <n v="12"/>
    <m/>
    <n v="12"/>
  </r>
  <r>
    <x v="1"/>
    <x v="23"/>
    <n v="1"/>
    <n v="10"/>
    <n v="3"/>
    <n v="14"/>
  </r>
  <r>
    <x v="1"/>
    <x v="24"/>
    <n v="3"/>
    <m/>
    <m/>
    <n v="3"/>
  </r>
  <r>
    <x v="1"/>
    <x v="25"/>
    <n v="2"/>
    <n v="11"/>
    <m/>
    <n v="13"/>
  </r>
  <r>
    <x v="1"/>
    <x v="26"/>
    <m/>
    <n v="14"/>
    <m/>
    <n v="14"/>
  </r>
  <r>
    <x v="1"/>
    <x v="27"/>
    <n v="1"/>
    <n v="4"/>
    <m/>
    <n v="5"/>
  </r>
  <r>
    <x v="1"/>
    <x v="28"/>
    <n v="4"/>
    <n v="7"/>
    <n v="1"/>
    <n v="12"/>
  </r>
  <r>
    <x v="1"/>
    <x v="29"/>
    <n v="1"/>
    <n v="9"/>
    <m/>
    <n v="10"/>
  </r>
  <r>
    <x v="1"/>
    <x v="30"/>
    <n v="2"/>
    <n v="1"/>
    <m/>
    <n v="3"/>
  </r>
  <r>
    <x v="1"/>
    <x v="31"/>
    <n v="2"/>
    <n v="4"/>
    <m/>
    <n v="6"/>
  </r>
  <r>
    <x v="2"/>
    <x v="0"/>
    <n v="3"/>
    <n v="1"/>
    <m/>
    <n v="4"/>
  </r>
  <r>
    <x v="2"/>
    <x v="1"/>
    <n v="1"/>
    <n v="23"/>
    <m/>
    <n v="24"/>
  </r>
  <r>
    <x v="2"/>
    <x v="2"/>
    <n v="1"/>
    <n v="5"/>
    <m/>
    <n v="6"/>
  </r>
  <r>
    <x v="2"/>
    <x v="3"/>
    <n v="2"/>
    <n v="12"/>
    <n v="25"/>
    <n v="39"/>
  </r>
  <r>
    <x v="2"/>
    <x v="4"/>
    <n v="7"/>
    <n v="1"/>
    <m/>
    <n v="8"/>
  </r>
  <r>
    <x v="2"/>
    <x v="5"/>
    <n v="1"/>
    <n v="1"/>
    <m/>
    <n v="2"/>
  </r>
  <r>
    <x v="2"/>
    <x v="6"/>
    <n v="1"/>
    <n v="15"/>
    <n v="1"/>
    <n v="17"/>
  </r>
  <r>
    <x v="2"/>
    <x v="7"/>
    <n v="4"/>
    <m/>
    <m/>
    <n v="4"/>
  </r>
  <r>
    <x v="2"/>
    <x v="8"/>
    <n v="1"/>
    <n v="7"/>
    <m/>
    <n v="8"/>
  </r>
  <r>
    <x v="2"/>
    <x v="9"/>
    <n v="3"/>
    <m/>
    <m/>
    <n v="3"/>
  </r>
  <r>
    <x v="2"/>
    <x v="10"/>
    <n v="1"/>
    <n v="5"/>
    <m/>
    <n v="6"/>
  </r>
  <r>
    <x v="2"/>
    <x v="11"/>
    <n v="2"/>
    <m/>
    <m/>
    <n v="2"/>
  </r>
  <r>
    <x v="2"/>
    <x v="12"/>
    <n v="3"/>
    <n v="2"/>
    <m/>
    <n v="5"/>
  </r>
  <r>
    <x v="2"/>
    <x v="13"/>
    <n v="5"/>
    <n v="8"/>
    <m/>
    <n v="13"/>
  </r>
  <r>
    <x v="2"/>
    <x v="14"/>
    <n v="11"/>
    <m/>
    <m/>
    <n v="11"/>
  </r>
  <r>
    <x v="2"/>
    <x v="15"/>
    <n v="1"/>
    <n v="51"/>
    <n v="9"/>
    <n v="61"/>
  </r>
  <r>
    <x v="2"/>
    <x v="16"/>
    <n v="2"/>
    <n v="1"/>
    <m/>
    <n v="3"/>
  </r>
  <r>
    <x v="2"/>
    <x v="17"/>
    <n v="1"/>
    <n v="1"/>
    <m/>
    <n v="2"/>
  </r>
  <r>
    <x v="2"/>
    <x v="18"/>
    <n v="1"/>
    <n v="10"/>
    <n v="1"/>
    <n v="12"/>
  </r>
  <r>
    <x v="2"/>
    <x v="19"/>
    <m/>
    <n v="14"/>
    <m/>
    <n v="14"/>
  </r>
  <r>
    <x v="2"/>
    <x v="20"/>
    <n v="3"/>
    <n v="8"/>
    <n v="3"/>
    <n v="14"/>
  </r>
  <r>
    <x v="2"/>
    <x v="21"/>
    <n v="4"/>
    <n v="3"/>
    <m/>
    <n v="7"/>
  </r>
  <r>
    <x v="2"/>
    <x v="22"/>
    <m/>
    <n v="12"/>
    <m/>
    <n v="12"/>
  </r>
  <r>
    <x v="2"/>
    <x v="23"/>
    <n v="1"/>
    <n v="10"/>
    <n v="3"/>
    <n v="14"/>
  </r>
  <r>
    <x v="2"/>
    <x v="24"/>
    <n v="3"/>
    <m/>
    <m/>
    <n v="3"/>
  </r>
  <r>
    <x v="2"/>
    <x v="25"/>
    <n v="2"/>
    <n v="11"/>
    <m/>
    <n v="13"/>
  </r>
  <r>
    <x v="2"/>
    <x v="26"/>
    <m/>
    <n v="14"/>
    <m/>
    <n v="14"/>
  </r>
  <r>
    <x v="2"/>
    <x v="27"/>
    <n v="1"/>
    <n v="4"/>
    <m/>
    <n v="5"/>
  </r>
  <r>
    <x v="2"/>
    <x v="28"/>
    <n v="4"/>
    <n v="7"/>
    <n v="1"/>
    <n v="12"/>
  </r>
  <r>
    <x v="2"/>
    <x v="29"/>
    <n v="1"/>
    <n v="9"/>
    <m/>
    <n v="10"/>
  </r>
  <r>
    <x v="2"/>
    <x v="30"/>
    <n v="2"/>
    <n v="1"/>
    <m/>
    <n v="3"/>
  </r>
  <r>
    <x v="2"/>
    <x v="31"/>
    <n v="2"/>
    <n v="4"/>
    <m/>
    <n v="6"/>
  </r>
  <r>
    <x v="3"/>
    <x v="0"/>
    <n v="3"/>
    <n v="1"/>
    <m/>
    <n v="4"/>
  </r>
  <r>
    <x v="3"/>
    <x v="1"/>
    <n v="1"/>
    <n v="23"/>
    <m/>
    <n v="24"/>
  </r>
  <r>
    <x v="3"/>
    <x v="2"/>
    <n v="1"/>
    <n v="5"/>
    <m/>
    <n v="6"/>
  </r>
  <r>
    <x v="3"/>
    <x v="3"/>
    <n v="2"/>
    <n v="12"/>
    <n v="25"/>
    <n v="39"/>
  </r>
  <r>
    <x v="3"/>
    <x v="4"/>
    <n v="7"/>
    <n v="1"/>
    <m/>
    <n v="8"/>
  </r>
  <r>
    <x v="3"/>
    <x v="5"/>
    <n v="1"/>
    <n v="1"/>
    <m/>
    <n v="2"/>
  </r>
  <r>
    <x v="3"/>
    <x v="6"/>
    <n v="1"/>
    <n v="15"/>
    <n v="1"/>
    <n v="17"/>
  </r>
  <r>
    <x v="3"/>
    <x v="7"/>
    <n v="4"/>
    <m/>
    <m/>
    <n v="4"/>
  </r>
  <r>
    <x v="3"/>
    <x v="8"/>
    <n v="1"/>
    <n v="7"/>
    <m/>
    <n v="8"/>
  </r>
  <r>
    <x v="3"/>
    <x v="9"/>
    <n v="3"/>
    <m/>
    <m/>
    <n v="3"/>
  </r>
  <r>
    <x v="3"/>
    <x v="10"/>
    <n v="1"/>
    <n v="5"/>
    <m/>
    <n v="6"/>
  </r>
  <r>
    <x v="3"/>
    <x v="11"/>
    <n v="2"/>
    <m/>
    <m/>
    <n v="2"/>
  </r>
  <r>
    <x v="3"/>
    <x v="12"/>
    <n v="3"/>
    <n v="2"/>
    <m/>
    <n v="5"/>
  </r>
  <r>
    <x v="3"/>
    <x v="13"/>
    <n v="5"/>
    <n v="8"/>
    <m/>
    <n v="13"/>
  </r>
  <r>
    <x v="3"/>
    <x v="14"/>
    <n v="11"/>
    <m/>
    <m/>
    <n v="11"/>
  </r>
  <r>
    <x v="3"/>
    <x v="15"/>
    <n v="1"/>
    <n v="51"/>
    <n v="9"/>
    <n v="61"/>
  </r>
  <r>
    <x v="3"/>
    <x v="16"/>
    <n v="2"/>
    <n v="1"/>
    <m/>
    <n v="3"/>
  </r>
  <r>
    <x v="3"/>
    <x v="17"/>
    <n v="1"/>
    <n v="1"/>
    <m/>
    <n v="2"/>
  </r>
  <r>
    <x v="3"/>
    <x v="18"/>
    <n v="1"/>
    <n v="10"/>
    <n v="1"/>
    <n v="12"/>
  </r>
  <r>
    <x v="3"/>
    <x v="19"/>
    <m/>
    <n v="14"/>
    <m/>
    <n v="14"/>
  </r>
  <r>
    <x v="3"/>
    <x v="20"/>
    <n v="3"/>
    <n v="8"/>
    <n v="3"/>
    <n v="14"/>
  </r>
  <r>
    <x v="3"/>
    <x v="21"/>
    <n v="4"/>
    <n v="3"/>
    <m/>
    <n v="7"/>
  </r>
  <r>
    <x v="3"/>
    <x v="22"/>
    <m/>
    <n v="12"/>
    <m/>
    <n v="12"/>
  </r>
  <r>
    <x v="3"/>
    <x v="23"/>
    <n v="1"/>
    <n v="10"/>
    <n v="3"/>
    <n v="14"/>
  </r>
  <r>
    <x v="3"/>
    <x v="24"/>
    <n v="3"/>
    <m/>
    <m/>
    <n v="3"/>
  </r>
  <r>
    <x v="3"/>
    <x v="25"/>
    <n v="2"/>
    <n v="11"/>
    <m/>
    <n v="13"/>
  </r>
  <r>
    <x v="3"/>
    <x v="26"/>
    <m/>
    <n v="14"/>
    <m/>
    <n v="14"/>
  </r>
  <r>
    <x v="3"/>
    <x v="27"/>
    <n v="1"/>
    <n v="4"/>
    <m/>
    <n v="5"/>
  </r>
  <r>
    <x v="3"/>
    <x v="28"/>
    <n v="4"/>
    <n v="7"/>
    <n v="1"/>
    <n v="12"/>
  </r>
  <r>
    <x v="3"/>
    <x v="29"/>
    <n v="1"/>
    <n v="9"/>
    <m/>
    <n v="10"/>
  </r>
  <r>
    <x v="3"/>
    <x v="30"/>
    <n v="2"/>
    <n v="1"/>
    <m/>
    <n v="3"/>
  </r>
  <r>
    <x v="3"/>
    <x v="31"/>
    <n v="2"/>
    <n v="4"/>
    <m/>
    <n v="6"/>
  </r>
  <r>
    <x v="4"/>
    <x v="0"/>
    <n v="3"/>
    <n v="1"/>
    <m/>
    <n v="4"/>
  </r>
  <r>
    <x v="4"/>
    <x v="1"/>
    <n v="1"/>
    <n v="23"/>
    <m/>
    <n v="24"/>
  </r>
  <r>
    <x v="4"/>
    <x v="2"/>
    <n v="1"/>
    <n v="5"/>
    <m/>
    <n v="6"/>
  </r>
  <r>
    <x v="4"/>
    <x v="3"/>
    <n v="2"/>
    <n v="12"/>
    <n v="25"/>
    <n v="39"/>
  </r>
  <r>
    <x v="4"/>
    <x v="4"/>
    <n v="7"/>
    <n v="1"/>
    <m/>
    <n v="8"/>
  </r>
  <r>
    <x v="4"/>
    <x v="5"/>
    <n v="1"/>
    <n v="1"/>
    <m/>
    <n v="2"/>
  </r>
  <r>
    <x v="4"/>
    <x v="6"/>
    <n v="1"/>
    <n v="15"/>
    <n v="1"/>
    <n v="17"/>
  </r>
  <r>
    <x v="4"/>
    <x v="7"/>
    <n v="4"/>
    <m/>
    <m/>
    <n v="4"/>
  </r>
  <r>
    <x v="4"/>
    <x v="8"/>
    <n v="1"/>
    <n v="7"/>
    <m/>
    <n v="8"/>
  </r>
  <r>
    <x v="4"/>
    <x v="9"/>
    <n v="3"/>
    <m/>
    <m/>
    <n v="3"/>
  </r>
  <r>
    <x v="4"/>
    <x v="10"/>
    <n v="1"/>
    <n v="5"/>
    <m/>
    <n v="6"/>
  </r>
  <r>
    <x v="4"/>
    <x v="11"/>
    <n v="2"/>
    <m/>
    <m/>
    <n v="2"/>
  </r>
  <r>
    <x v="4"/>
    <x v="12"/>
    <n v="3"/>
    <n v="2"/>
    <m/>
    <n v="5"/>
  </r>
  <r>
    <x v="4"/>
    <x v="13"/>
    <n v="5"/>
    <n v="8"/>
    <m/>
    <n v="13"/>
  </r>
  <r>
    <x v="4"/>
    <x v="14"/>
    <n v="11"/>
    <m/>
    <m/>
    <n v="11"/>
  </r>
  <r>
    <x v="4"/>
    <x v="15"/>
    <n v="1"/>
    <n v="51"/>
    <n v="9"/>
    <n v="61"/>
  </r>
  <r>
    <x v="4"/>
    <x v="16"/>
    <n v="2"/>
    <n v="1"/>
    <m/>
    <n v="3"/>
  </r>
  <r>
    <x v="4"/>
    <x v="17"/>
    <n v="1"/>
    <n v="1"/>
    <m/>
    <n v="2"/>
  </r>
  <r>
    <x v="4"/>
    <x v="18"/>
    <n v="1"/>
    <n v="10"/>
    <n v="1"/>
    <n v="12"/>
  </r>
  <r>
    <x v="4"/>
    <x v="19"/>
    <m/>
    <n v="14"/>
    <m/>
    <n v="14"/>
  </r>
  <r>
    <x v="4"/>
    <x v="20"/>
    <n v="3"/>
    <n v="8"/>
    <n v="3"/>
    <n v="14"/>
  </r>
  <r>
    <x v="4"/>
    <x v="21"/>
    <n v="4"/>
    <n v="3"/>
    <m/>
    <n v="7"/>
  </r>
  <r>
    <x v="4"/>
    <x v="22"/>
    <m/>
    <n v="12"/>
    <m/>
    <n v="12"/>
  </r>
  <r>
    <x v="4"/>
    <x v="23"/>
    <n v="1"/>
    <n v="10"/>
    <n v="3"/>
    <n v="14"/>
  </r>
  <r>
    <x v="4"/>
    <x v="24"/>
    <n v="3"/>
    <m/>
    <m/>
    <n v="3"/>
  </r>
  <r>
    <x v="4"/>
    <x v="25"/>
    <n v="2"/>
    <n v="11"/>
    <m/>
    <n v="13"/>
  </r>
  <r>
    <x v="4"/>
    <x v="26"/>
    <m/>
    <n v="14"/>
    <m/>
    <n v="14"/>
  </r>
  <r>
    <x v="4"/>
    <x v="27"/>
    <n v="1"/>
    <n v="4"/>
    <m/>
    <n v="5"/>
  </r>
  <r>
    <x v="4"/>
    <x v="28"/>
    <n v="4"/>
    <n v="7"/>
    <n v="1"/>
    <n v="12"/>
  </r>
  <r>
    <x v="4"/>
    <x v="29"/>
    <n v="1"/>
    <n v="9"/>
    <m/>
    <n v="10"/>
  </r>
  <r>
    <x v="4"/>
    <x v="30"/>
    <n v="2"/>
    <n v="1"/>
    <m/>
    <n v="3"/>
  </r>
  <r>
    <x v="4"/>
    <x v="31"/>
    <n v="2"/>
    <n v="4"/>
    <m/>
    <n v="6"/>
  </r>
  <r>
    <x v="5"/>
    <x v="0"/>
    <n v="3"/>
    <n v="1"/>
    <m/>
    <n v="4"/>
  </r>
  <r>
    <x v="5"/>
    <x v="1"/>
    <n v="1"/>
    <n v="23"/>
    <m/>
    <n v="24"/>
  </r>
  <r>
    <x v="5"/>
    <x v="2"/>
    <n v="1"/>
    <n v="5"/>
    <m/>
    <n v="6"/>
  </r>
  <r>
    <x v="5"/>
    <x v="3"/>
    <n v="2"/>
    <n v="12"/>
    <n v="25"/>
    <n v="39"/>
  </r>
  <r>
    <x v="5"/>
    <x v="4"/>
    <n v="7"/>
    <n v="1"/>
    <m/>
    <n v="8"/>
  </r>
  <r>
    <x v="5"/>
    <x v="5"/>
    <n v="1"/>
    <n v="1"/>
    <m/>
    <n v="2"/>
  </r>
  <r>
    <x v="5"/>
    <x v="6"/>
    <n v="1"/>
    <n v="15"/>
    <n v="1"/>
    <n v="17"/>
  </r>
  <r>
    <x v="5"/>
    <x v="7"/>
    <n v="4"/>
    <m/>
    <m/>
    <n v="4"/>
  </r>
  <r>
    <x v="5"/>
    <x v="8"/>
    <n v="1"/>
    <n v="7"/>
    <m/>
    <n v="8"/>
  </r>
  <r>
    <x v="5"/>
    <x v="9"/>
    <n v="3"/>
    <m/>
    <m/>
    <n v="3"/>
  </r>
  <r>
    <x v="5"/>
    <x v="10"/>
    <n v="1"/>
    <n v="5"/>
    <m/>
    <n v="6"/>
  </r>
  <r>
    <x v="5"/>
    <x v="11"/>
    <n v="2"/>
    <m/>
    <m/>
    <n v="2"/>
  </r>
  <r>
    <x v="5"/>
    <x v="12"/>
    <n v="3"/>
    <n v="2"/>
    <m/>
    <n v="5"/>
  </r>
  <r>
    <x v="5"/>
    <x v="13"/>
    <n v="5"/>
    <n v="8"/>
    <m/>
    <n v="13"/>
  </r>
  <r>
    <x v="5"/>
    <x v="14"/>
    <n v="11"/>
    <m/>
    <m/>
    <n v="11"/>
  </r>
  <r>
    <x v="5"/>
    <x v="15"/>
    <n v="1"/>
    <n v="51"/>
    <n v="9"/>
    <n v="61"/>
  </r>
  <r>
    <x v="5"/>
    <x v="16"/>
    <n v="2"/>
    <n v="1"/>
    <m/>
    <n v="3"/>
  </r>
  <r>
    <x v="5"/>
    <x v="17"/>
    <n v="1"/>
    <n v="1"/>
    <m/>
    <n v="2"/>
  </r>
  <r>
    <x v="5"/>
    <x v="18"/>
    <n v="1"/>
    <n v="10"/>
    <n v="1"/>
    <n v="12"/>
  </r>
  <r>
    <x v="5"/>
    <x v="19"/>
    <m/>
    <n v="14"/>
    <m/>
    <n v="14"/>
  </r>
  <r>
    <x v="5"/>
    <x v="20"/>
    <n v="3"/>
    <n v="8"/>
    <n v="3"/>
    <n v="14"/>
  </r>
  <r>
    <x v="5"/>
    <x v="21"/>
    <n v="4"/>
    <n v="3"/>
    <m/>
    <n v="7"/>
  </r>
  <r>
    <x v="5"/>
    <x v="22"/>
    <m/>
    <n v="12"/>
    <m/>
    <n v="12"/>
  </r>
  <r>
    <x v="5"/>
    <x v="23"/>
    <n v="1"/>
    <n v="10"/>
    <n v="3"/>
    <n v="14"/>
  </r>
  <r>
    <x v="5"/>
    <x v="24"/>
    <n v="3"/>
    <m/>
    <m/>
    <n v="3"/>
  </r>
  <r>
    <x v="5"/>
    <x v="25"/>
    <n v="2"/>
    <n v="11"/>
    <m/>
    <n v="13"/>
  </r>
  <r>
    <x v="5"/>
    <x v="26"/>
    <m/>
    <n v="14"/>
    <m/>
    <n v="14"/>
  </r>
  <r>
    <x v="5"/>
    <x v="27"/>
    <n v="1"/>
    <n v="4"/>
    <m/>
    <n v="5"/>
  </r>
  <r>
    <x v="5"/>
    <x v="28"/>
    <n v="4"/>
    <n v="7"/>
    <n v="1"/>
    <n v="12"/>
  </r>
  <r>
    <x v="5"/>
    <x v="29"/>
    <n v="1"/>
    <n v="9"/>
    <m/>
    <n v="10"/>
  </r>
  <r>
    <x v="5"/>
    <x v="30"/>
    <n v="2"/>
    <n v="1"/>
    <m/>
    <n v="3"/>
  </r>
  <r>
    <x v="5"/>
    <x v="31"/>
    <n v="2"/>
    <n v="4"/>
    <m/>
    <n v="6"/>
  </r>
  <r>
    <x v="6"/>
    <x v="0"/>
    <n v="3"/>
    <n v="1"/>
    <m/>
    <n v="4"/>
  </r>
  <r>
    <x v="6"/>
    <x v="1"/>
    <n v="1"/>
    <n v="23"/>
    <m/>
    <n v="24"/>
  </r>
  <r>
    <x v="6"/>
    <x v="2"/>
    <n v="1"/>
    <n v="5"/>
    <m/>
    <n v="6"/>
  </r>
  <r>
    <x v="6"/>
    <x v="3"/>
    <n v="2"/>
    <n v="12"/>
    <n v="25"/>
    <n v="39"/>
  </r>
  <r>
    <x v="6"/>
    <x v="4"/>
    <n v="7"/>
    <n v="1"/>
    <m/>
    <n v="8"/>
  </r>
  <r>
    <x v="6"/>
    <x v="5"/>
    <n v="1"/>
    <n v="1"/>
    <m/>
    <n v="2"/>
  </r>
  <r>
    <x v="6"/>
    <x v="6"/>
    <n v="1"/>
    <n v="15"/>
    <n v="1"/>
    <n v="17"/>
  </r>
  <r>
    <x v="6"/>
    <x v="7"/>
    <n v="4"/>
    <m/>
    <m/>
    <n v="4"/>
  </r>
  <r>
    <x v="6"/>
    <x v="8"/>
    <n v="1"/>
    <n v="7"/>
    <m/>
    <n v="8"/>
  </r>
  <r>
    <x v="6"/>
    <x v="9"/>
    <n v="3"/>
    <m/>
    <m/>
    <n v="3"/>
  </r>
  <r>
    <x v="6"/>
    <x v="10"/>
    <n v="1"/>
    <n v="5"/>
    <m/>
    <n v="6"/>
  </r>
  <r>
    <x v="6"/>
    <x v="11"/>
    <n v="2"/>
    <m/>
    <m/>
    <n v="2"/>
  </r>
  <r>
    <x v="6"/>
    <x v="12"/>
    <n v="3"/>
    <n v="2"/>
    <m/>
    <n v="5"/>
  </r>
  <r>
    <x v="6"/>
    <x v="13"/>
    <n v="5"/>
    <n v="8"/>
    <m/>
    <n v="13"/>
  </r>
  <r>
    <x v="6"/>
    <x v="14"/>
    <n v="11"/>
    <m/>
    <m/>
    <n v="11"/>
  </r>
  <r>
    <x v="6"/>
    <x v="15"/>
    <n v="1"/>
    <n v="51"/>
    <n v="9"/>
    <n v="61"/>
  </r>
  <r>
    <x v="6"/>
    <x v="16"/>
    <n v="2"/>
    <n v="1"/>
    <m/>
    <n v="3"/>
  </r>
  <r>
    <x v="6"/>
    <x v="17"/>
    <n v="1"/>
    <n v="1"/>
    <m/>
    <n v="2"/>
  </r>
  <r>
    <x v="6"/>
    <x v="18"/>
    <n v="1"/>
    <n v="10"/>
    <n v="1"/>
    <n v="12"/>
  </r>
  <r>
    <x v="6"/>
    <x v="19"/>
    <m/>
    <n v="14"/>
    <m/>
    <n v="14"/>
  </r>
  <r>
    <x v="6"/>
    <x v="20"/>
    <n v="3"/>
    <n v="8"/>
    <n v="3"/>
    <n v="14"/>
  </r>
  <r>
    <x v="6"/>
    <x v="21"/>
    <n v="4"/>
    <n v="3"/>
    <m/>
    <n v="7"/>
  </r>
  <r>
    <x v="6"/>
    <x v="22"/>
    <m/>
    <n v="12"/>
    <m/>
    <n v="12"/>
  </r>
  <r>
    <x v="6"/>
    <x v="23"/>
    <n v="1"/>
    <n v="10"/>
    <n v="3"/>
    <n v="14"/>
  </r>
  <r>
    <x v="6"/>
    <x v="24"/>
    <n v="3"/>
    <m/>
    <m/>
    <n v="3"/>
  </r>
  <r>
    <x v="6"/>
    <x v="25"/>
    <n v="2"/>
    <n v="11"/>
    <m/>
    <n v="13"/>
  </r>
  <r>
    <x v="6"/>
    <x v="26"/>
    <m/>
    <n v="14"/>
    <m/>
    <n v="14"/>
  </r>
  <r>
    <x v="6"/>
    <x v="27"/>
    <n v="1"/>
    <n v="4"/>
    <m/>
    <n v="5"/>
  </r>
  <r>
    <x v="6"/>
    <x v="28"/>
    <n v="4"/>
    <n v="7"/>
    <n v="1"/>
    <n v="12"/>
  </r>
  <r>
    <x v="6"/>
    <x v="29"/>
    <n v="1"/>
    <n v="9"/>
    <m/>
    <n v="10"/>
  </r>
  <r>
    <x v="6"/>
    <x v="30"/>
    <n v="2"/>
    <n v="1"/>
    <m/>
    <n v="3"/>
  </r>
  <r>
    <x v="6"/>
    <x v="31"/>
    <n v="2"/>
    <n v="4"/>
    <m/>
    <n v="6"/>
  </r>
  <r>
    <x v="7"/>
    <x v="0"/>
    <n v="3"/>
    <n v="1"/>
    <m/>
    <n v="4"/>
  </r>
  <r>
    <x v="7"/>
    <x v="1"/>
    <n v="1"/>
    <n v="23"/>
    <m/>
    <n v="24"/>
  </r>
  <r>
    <x v="7"/>
    <x v="2"/>
    <n v="1"/>
    <n v="5"/>
    <m/>
    <n v="6"/>
  </r>
  <r>
    <x v="7"/>
    <x v="3"/>
    <n v="2"/>
    <n v="12"/>
    <n v="25"/>
    <n v="39"/>
  </r>
  <r>
    <x v="7"/>
    <x v="4"/>
    <n v="7"/>
    <n v="1"/>
    <m/>
    <n v="8"/>
  </r>
  <r>
    <x v="7"/>
    <x v="5"/>
    <n v="1"/>
    <n v="1"/>
    <m/>
    <n v="2"/>
  </r>
  <r>
    <x v="7"/>
    <x v="6"/>
    <n v="1"/>
    <n v="15"/>
    <n v="1"/>
    <n v="17"/>
  </r>
  <r>
    <x v="7"/>
    <x v="7"/>
    <n v="4"/>
    <m/>
    <m/>
    <n v="4"/>
  </r>
  <r>
    <x v="7"/>
    <x v="8"/>
    <n v="1"/>
    <n v="7"/>
    <m/>
    <n v="8"/>
  </r>
  <r>
    <x v="7"/>
    <x v="9"/>
    <n v="3"/>
    <m/>
    <m/>
    <n v="3"/>
  </r>
  <r>
    <x v="7"/>
    <x v="10"/>
    <n v="1"/>
    <n v="5"/>
    <m/>
    <n v="6"/>
  </r>
  <r>
    <x v="7"/>
    <x v="11"/>
    <n v="2"/>
    <m/>
    <m/>
    <n v="2"/>
  </r>
  <r>
    <x v="7"/>
    <x v="12"/>
    <n v="3"/>
    <n v="2"/>
    <m/>
    <n v="5"/>
  </r>
  <r>
    <x v="7"/>
    <x v="13"/>
    <n v="5"/>
    <n v="8"/>
    <m/>
    <n v="13"/>
  </r>
  <r>
    <x v="7"/>
    <x v="14"/>
    <n v="11"/>
    <m/>
    <m/>
    <n v="11"/>
  </r>
  <r>
    <x v="7"/>
    <x v="15"/>
    <n v="1"/>
    <n v="51"/>
    <n v="9"/>
    <n v="61"/>
  </r>
  <r>
    <x v="7"/>
    <x v="16"/>
    <n v="2"/>
    <n v="1"/>
    <m/>
    <n v="3"/>
  </r>
  <r>
    <x v="7"/>
    <x v="17"/>
    <n v="1"/>
    <n v="1"/>
    <m/>
    <n v="2"/>
  </r>
  <r>
    <x v="7"/>
    <x v="18"/>
    <n v="1"/>
    <n v="10"/>
    <n v="1"/>
    <n v="12"/>
  </r>
  <r>
    <x v="7"/>
    <x v="19"/>
    <m/>
    <n v="14"/>
    <m/>
    <n v="14"/>
  </r>
  <r>
    <x v="7"/>
    <x v="20"/>
    <n v="3"/>
    <n v="8"/>
    <n v="3"/>
    <n v="14"/>
  </r>
  <r>
    <x v="7"/>
    <x v="21"/>
    <n v="4"/>
    <n v="3"/>
    <m/>
    <n v="7"/>
  </r>
  <r>
    <x v="7"/>
    <x v="22"/>
    <m/>
    <n v="12"/>
    <m/>
    <n v="12"/>
  </r>
  <r>
    <x v="7"/>
    <x v="23"/>
    <n v="1"/>
    <n v="10"/>
    <n v="3"/>
    <n v="14"/>
  </r>
  <r>
    <x v="7"/>
    <x v="24"/>
    <n v="3"/>
    <m/>
    <m/>
    <n v="3"/>
  </r>
  <r>
    <x v="7"/>
    <x v="25"/>
    <n v="2"/>
    <n v="11"/>
    <m/>
    <n v="13"/>
  </r>
  <r>
    <x v="7"/>
    <x v="26"/>
    <m/>
    <n v="14"/>
    <m/>
    <n v="14"/>
  </r>
  <r>
    <x v="7"/>
    <x v="27"/>
    <n v="1"/>
    <n v="4"/>
    <m/>
    <n v="5"/>
  </r>
  <r>
    <x v="7"/>
    <x v="28"/>
    <n v="4"/>
    <n v="7"/>
    <n v="1"/>
    <n v="12"/>
  </r>
  <r>
    <x v="7"/>
    <x v="29"/>
    <n v="1"/>
    <n v="9"/>
    <m/>
    <n v="10"/>
  </r>
  <r>
    <x v="7"/>
    <x v="30"/>
    <n v="2"/>
    <n v="1"/>
    <m/>
    <n v="3"/>
  </r>
  <r>
    <x v="7"/>
    <x v="31"/>
    <n v="2"/>
    <n v="4"/>
    <m/>
    <n v="6"/>
  </r>
  <r>
    <x v="8"/>
    <x v="0"/>
    <n v="3"/>
    <n v="1"/>
    <m/>
    <n v="4"/>
  </r>
  <r>
    <x v="8"/>
    <x v="1"/>
    <n v="1"/>
    <n v="23"/>
    <m/>
    <n v="24"/>
  </r>
  <r>
    <x v="8"/>
    <x v="2"/>
    <n v="1"/>
    <n v="5"/>
    <m/>
    <n v="6"/>
  </r>
  <r>
    <x v="8"/>
    <x v="3"/>
    <n v="2"/>
    <n v="12"/>
    <n v="25"/>
    <n v="39"/>
  </r>
  <r>
    <x v="8"/>
    <x v="4"/>
    <n v="7"/>
    <n v="1"/>
    <m/>
    <n v="8"/>
  </r>
  <r>
    <x v="8"/>
    <x v="5"/>
    <n v="1"/>
    <n v="1"/>
    <m/>
    <n v="2"/>
  </r>
  <r>
    <x v="8"/>
    <x v="6"/>
    <n v="1"/>
    <n v="15"/>
    <n v="1"/>
    <n v="17"/>
  </r>
  <r>
    <x v="8"/>
    <x v="7"/>
    <n v="4"/>
    <m/>
    <m/>
    <n v="4"/>
  </r>
  <r>
    <x v="8"/>
    <x v="8"/>
    <n v="1"/>
    <n v="7"/>
    <m/>
    <n v="8"/>
  </r>
  <r>
    <x v="8"/>
    <x v="9"/>
    <n v="3"/>
    <m/>
    <m/>
    <n v="3"/>
  </r>
  <r>
    <x v="8"/>
    <x v="10"/>
    <n v="1"/>
    <n v="5"/>
    <m/>
    <n v="6"/>
  </r>
  <r>
    <x v="8"/>
    <x v="11"/>
    <n v="2"/>
    <m/>
    <m/>
    <n v="2"/>
  </r>
  <r>
    <x v="8"/>
    <x v="12"/>
    <n v="3"/>
    <n v="2"/>
    <m/>
    <n v="5"/>
  </r>
  <r>
    <x v="8"/>
    <x v="13"/>
    <n v="5"/>
    <n v="8"/>
    <m/>
    <n v="13"/>
  </r>
  <r>
    <x v="8"/>
    <x v="14"/>
    <n v="11"/>
    <m/>
    <m/>
    <n v="11"/>
  </r>
  <r>
    <x v="8"/>
    <x v="15"/>
    <n v="1"/>
    <n v="51"/>
    <n v="9"/>
    <n v="61"/>
  </r>
  <r>
    <x v="8"/>
    <x v="16"/>
    <n v="2"/>
    <n v="1"/>
    <m/>
    <n v="3"/>
  </r>
  <r>
    <x v="8"/>
    <x v="17"/>
    <n v="1"/>
    <n v="1"/>
    <m/>
    <n v="2"/>
  </r>
  <r>
    <x v="8"/>
    <x v="18"/>
    <n v="1"/>
    <n v="10"/>
    <n v="1"/>
    <n v="12"/>
  </r>
  <r>
    <x v="8"/>
    <x v="19"/>
    <m/>
    <n v="14"/>
    <m/>
    <n v="14"/>
  </r>
  <r>
    <x v="8"/>
    <x v="20"/>
    <n v="3"/>
    <n v="8"/>
    <n v="3"/>
    <n v="14"/>
  </r>
  <r>
    <x v="8"/>
    <x v="21"/>
    <n v="4"/>
    <n v="3"/>
    <m/>
    <n v="7"/>
  </r>
  <r>
    <x v="8"/>
    <x v="22"/>
    <m/>
    <n v="12"/>
    <m/>
    <n v="12"/>
  </r>
  <r>
    <x v="8"/>
    <x v="23"/>
    <n v="1"/>
    <n v="10"/>
    <n v="3"/>
    <n v="14"/>
  </r>
  <r>
    <x v="8"/>
    <x v="24"/>
    <n v="3"/>
    <m/>
    <m/>
    <n v="3"/>
  </r>
  <r>
    <x v="8"/>
    <x v="25"/>
    <n v="2"/>
    <n v="11"/>
    <m/>
    <n v="13"/>
  </r>
  <r>
    <x v="8"/>
    <x v="26"/>
    <m/>
    <n v="14"/>
    <m/>
    <n v="14"/>
  </r>
  <r>
    <x v="8"/>
    <x v="27"/>
    <n v="1"/>
    <n v="4"/>
    <m/>
    <n v="5"/>
  </r>
  <r>
    <x v="8"/>
    <x v="28"/>
    <n v="4"/>
    <n v="7"/>
    <n v="1"/>
    <n v="12"/>
  </r>
  <r>
    <x v="8"/>
    <x v="29"/>
    <n v="1"/>
    <n v="9"/>
    <m/>
    <n v="10"/>
  </r>
  <r>
    <x v="8"/>
    <x v="30"/>
    <n v="2"/>
    <n v="1"/>
    <m/>
    <n v="3"/>
  </r>
  <r>
    <x v="8"/>
    <x v="31"/>
    <n v="2"/>
    <n v="4"/>
    <m/>
    <n v="6"/>
  </r>
  <r>
    <x v="9"/>
    <x v="0"/>
    <n v="3"/>
    <n v="1"/>
    <m/>
    <n v="4"/>
  </r>
  <r>
    <x v="9"/>
    <x v="1"/>
    <n v="1"/>
    <n v="23"/>
    <m/>
    <n v="24"/>
  </r>
  <r>
    <x v="9"/>
    <x v="2"/>
    <n v="1"/>
    <n v="5"/>
    <m/>
    <n v="6"/>
  </r>
  <r>
    <x v="9"/>
    <x v="3"/>
    <n v="2"/>
    <n v="12"/>
    <n v="25"/>
    <n v="39"/>
  </r>
  <r>
    <x v="9"/>
    <x v="4"/>
    <n v="7"/>
    <n v="1"/>
    <m/>
    <n v="8"/>
  </r>
  <r>
    <x v="9"/>
    <x v="5"/>
    <n v="1"/>
    <n v="1"/>
    <m/>
    <n v="2"/>
  </r>
  <r>
    <x v="9"/>
    <x v="6"/>
    <n v="1"/>
    <n v="15"/>
    <n v="1"/>
    <n v="17"/>
  </r>
  <r>
    <x v="9"/>
    <x v="7"/>
    <n v="4"/>
    <m/>
    <m/>
    <n v="4"/>
  </r>
  <r>
    <x v="9"/>
    <x v="8"/>
    <n v="1"/>
    <n v="7"/>
    <m/>
    <n v="8"/>
  </r>
  <r>
    <x v="9"/>
    <x v="9"/>
    <n v="3"/>
    <m/>
    <m/>
    <n v="3"/>
  </r>
  <r>
    <x v="9"/>
    <x v="10"/>
    <n v="1"/>
    <n v="5"/>
    <m/>
    <n v="6"/>
  </r>
  <r>
    <x v="9"/>
    <x v="11"/>
    <n v="2"/>
    <m/>
    <m/>
    <n v="2"/>
  </r>
  <r>
    <x v="9"/>
    <x v="12"/>
    <n v="3"/>
    <n v="2"/>
    <m/>
    <n v="5"/>
  </r>
  <r>
    <x v="9"/>
    <x v="13"/>
    <n v="5"/>
    <n v="8"/>
    <m/>
    <n v="13"/>
  </r>
  <r>
    <x v="9"/>
    <x v="14"/>
    <n v="11"/>
    <m/>
    <m/>
    <n v="11"/>
  </r>
  <r>
    <x v="9"/>
    <x v="15"/>
    <n v="1"/>
    <n v="51"/>
    <n v="9"/>
    <n v="61"/>
  </r>
  <r>
    <x v="9"/>
    <x v="16"/>
    <n v="2"/>
    <n v="1"/>
    <m/>
    <n v="3"/>
  </r>
  <r>
    <x v="9"/>
    <x v="17"/>
    <n v="1"/>
    <n v="1"/>
    <m/>
    <n v="2"/>
  </r>
  <r>
    <x v="9"/>
    <x v="18"/>
    <n v="1"/>
    <n v="10"/>
    <n v="1"/>
    <n v="12"/>
  </r>
  <r>
    <x v="9"/>
    <x v="19"/>
    <m/>
    <n v="14"/>
    <m/>
    <n v="14"/>
  </r>
  <r>
    <x v="9"/>
    <x v="20"/>
    <n v="3"/>
    <n v="8"/>
    <n v="3"/>
    <n v="14"/>
  </r>
  <r>
    <x v="9"/>
    <x v="21"/>
    <n v="4"/>
    <n v="3"/>
    <m/>
    <n v="7"/>
  </r>
  <r>
    <x v="9"/>
    <x v="22"/>
    <m/>
    <n v="12"/>
    <m/>
    <n v="12"/>
  </r>
  <r>
    <x v="9"/>
    <x v="23"/>
    <n v="1"/>
    <n v="10"/>
    <n v="3"/>
    <n v="14"/>
  </r>
  <r>
    <x v="9"/>
    <x v="24"/>
    <n v="3"/>
    <m/>
    <m/>
    <n v="3"/>
  </r>
  <r>
    <x v="9"/>
    <x v="25"/>
    <n v="2"/>
    <n v="11"/>
    <m/>
    <n v="13"/>
  </r>
  <r>
    <x v="9"/>
    <x v="26"/>
    <m/>
    <n v="14"/>
    <m/>
    <n v="14"/>
  </r>
  <r>
    <x v="9"/>
    <x v="27"/>
    <n v="1"/>
    <n v="4"/>
    <m/>
    <n v="5"/>
  </r>
  <r>
    <x v="9"/>
    <x v="28"/>
    <n v="4"/>
    <n v="7"/>
    <m/>
    <n v="12"/>
  </r>
  <r>
    <x v="9"/>
    <x v="29"/>
    <n v="1"/>
    <n v="9"/>
    <m/>
    <n v="10"/>
  </r>
  <r>
    <x v="9"/>
    <x v="30"/>
    <n v="2"/>
    <n v="1"/>
    <m/>
    <n v="3"/>
  </r>
  <r>
    <x v="9"/>
    <x v="31"/>
    <n v="2"/>
    <n v="4"/>
    <m/>
    <n v="6"/>
  </r>
  <r>
    <x v="10"/>
    <x v="0"/>
    <n v="3"/>
    <n v="1"/>
    <m/>
    <n v="4"/>
  </r>
  <r>
    <x v="10"/>
    <x v="1"/>
    <n v="1"/>
    <n v="23"/>
    <m/>
    <n v="24"/>
  </r>
  <r>
    <x v="10"/>
    <x v="2"/>
    <n v="1"/>
    <n v="5"/>
    <m/>
    <n v="6"/>
  </r>
  <r>
    <x v="10"/>
    <x v="3"/>
    <n v="2"/>
    <n v="12"/>
    <n v="25"/>
    <n v="39"/>
  </r>
  <r>
    <x v="10"/>
    <x v="4"/>
    <n v="7"/>
    <n v="1"/>
    <m/>
    <n v="8"/>
  </r>
  <r>
    <x v="10"/>
    <x v="5"/>
    <n v="1"/>
    <n v="1"/>
    <m/>
    <n v="2"/>
  </r>
  <r>
    <x v="10"/>
    <x v="6"/>
    <n v="1"/>
    <n v="15"/>
    <n v="1"/>
    <n v="17"/>
  </r>
  <r>
    <x v="10"/>
    <x v="7"/>
    <n v="4"/>
    <m/>
    <m/>
    <n v="4"/>
  </r>
  <r>
    <x v="10"/>
    <x v="8"/>
    <n v="1"/>
    <n v="7"/>
    <m/>
    <n v="8"/>
  </r>
  <r>
    <x v="10"/>
    <x v="9"/>
    <n v="3"/>
    <m/>
    <m/>
    <n v="3"/>
  </r>
  <r>
    <x v="10"/>
    <x v="10"/>
    <n v="1"/>
    <n v="5"/>
    <m/>
    <n v="6"/>
  </r>
  <r>
    <x v="10"/>
    <x v="11"/>
    <n v="2"/>
    <m/>
    <m/>
    <n v="2"/>
  </r>
  <r>
    <x v="10"/>
    <x v="12"/>
    <n v="3"/>
    <n v="2"/>
    <m/>
    <n v="5"/>
  </r>
  <r>
    <x v="10"/>
    <x v="13"/>
    <n v="5"/>
    <n v="8"/>
    <m/>
    <n v="13"/>
  </r>
  <r>
    <x v="10"/>
    <x v="14"/>
    <n v="11"/>
    <m/>
    <m/>
    <n v="11"/>
  </r>
  <r>
    <x v="10"/>
    <x v="15"/>
    <n v="1"/>
    <n v="51"/>
    <n v="9"/>
    <n v="61"/>
  </r>
  <r>
    <x v="10"/>
    <x v="16"/>
    <n v="2"/>
    <n v="1"/>
    <m/>
    <n v="3"/>
  </r>
  <r>
    <x v="10"/>
    <x v="17"/>
    <n v="1"/>
    <n v="1"/>
    <m/>
    <n v="2"/>
  </r>
  <r>
    <x v="10"/>
    <x v="18"/>
    <n v="1"/>
    <n v="10"/>
    <n v="1"/>
    <n v="12"/>
  </r>
  <r>
    <x v="10"/>
    <x v="19"/>
    <m/>
    <n v="14"/>
    <m/>
    <n v="14"/>
  </r>
  <r>
    <x v="10"/>
    <x v="20"/>
    <n v="3"/>
    <n v="8"/>
    <n v="3"/>
    <n v="14"/>
  </r>
  <r>
    <x v="10"/>
    <x v="21"/>
    <n v="4"/>
    <n v="3"/>
    <m/>
    <n v="7"/>
  </r>
  <r>
    <x v="10"/>
    <x v="22"/>
    <m/>
    <n v="12"/>
    <m/>
    <n v="12"/>
  </r>
  <r>
    <x v="10"/>
    <x v="23"/>
    <n v="1"/>
    <n v="10"/>
    <n v="3"/>
    <n v="14"/>
  </r>
  <r>
    <x v="10"/>
    <x v="24"/>
    <n v="3"/>
    <m/>
    <m/>
    <n v="3"/>
  </r>
  <r>
    <x v="10"/>
    <x v="25"/>
    <n v="2"/>
    <n v="11"/>
    <m/>
    <n v="13"/>
  </r>
  <r>
    <x v="10"/>
    <x v="26"/>
    <m/>
    <n v="14"/>
    <m/>
    <n v="14"/>
  </r>
  <r>
    <x v="10"/>
    <x v="27"/>
    <n v="1"/>
    <n v="4"/>
    <m/>
    <n v="5"/>
  </r>
  <r>
    <x v="10"/>
    <x v="28"/>
    <n v="4"/>
    <n v="7"/>
    <m/>
    <n v="12"/>
  </r>
  <r>
    <x v="10"/>
    <x v="29"/>
    <n v="1"/>
    <n v="9"/>
    <m/>
    <n v="10"/>
  </r>
  <r>
    <x v="10"/>
    <x v="30"/>
    <n v="2"/>
    <n v="1"/>
    <m/>
    <n v="3"/>
  </r>
  <r>
    <x v="10"/>
    <x v="31"/>
    <n v="2"/>
    <n v="4"/>
    <m/>
    <n v="6"/>
  </r>
  <r>
    <x v="11"/>
    <x v="0"/>
    <n v="3"/>
    <n v="1"/>
    <m/>
    <n v="4"/>
  </r>
  <r>
    <x v="11"/>
    <x v="1"/>
    <n v="1"/>
    <n v="23"/>
    <m/>
    <n v="24"/>
  </r>
  <r>
    <x v="11"/>
    <x v="2"/>
    <n v="1"/>
    <n v="5"/>
    <m/>
    <n v="6"/>
  </r>
  <r>
    <x v="11"/>
    <x v="3"/>
    <n v="2"/>
    <n v="12"/>
    <n v="25"/>
    <n v="39"/>
  </r>
  <r>
    <x v="11"/>
    <x v="4"/>
    <n v="7"/>
    <n v="1"/>
    <m/>
    <n v="8"/>
  </r>
  <r>
    <x v="11"/>
    <x v="5"/>
    <n v="1"/>
    <n v="1"/>
    <m/>
    <n v="2"/>
  </r>
  <r>
    <x v="11"/>
    <x v="6"/>
    <n v="1"/>
    <n v="15"/>
    <n v="1"/>
    <n v="17"/>
  </r>
  <r>
    <x v="11"/>
    <x v="7"/>
    <n v="4"/>
    <m/>
    <m/>
    <n v="4"/>
  </r>
  <r>
    <x v="11"/>
    <x v="8"/>
    <n v="1"/>
    <n v="7"/>
    <m/>
    <n v="8"/>
  </r>
  <r>
    <x v="11"/>
    <x v="9"/>
    <n v="3"/>
    <m/>
    <m/>
    <n v="3"/>
  </r>
  <r>
    <x v="11"/>
    <x v="10"/>
    <n v="1"/>
    <n v="5"/>
    <m/>
    <n v="6"/>
  </r>
  <r>
    <x v="11"/>
    <x v="11"/>
    <n v="2"/>
    <m/>
    <m/>
    <n v="2"/>
  </r>
  <r>
    <x v="11"/>
    <x v="12"/>
    <n v="3"/>
    <n v="2"/>
    <m/>
    <n v="5"/>
  </r>
  <r>
    <x v="11"/>
    <x v="13"/>
    <n v="5"/>
    <n v="8"/>
    <m/>
    <n v="13"/>
  </r>
  <r>
    <x v="11"/>
    <x v="14"/>
    <n v="11"/>
    <m/>
    <m/>
    <n v="11"/>
  </r>
  <r>
    <x v="11"/>
    <x v="15"/>
    <n v="1"/>
    <n v="51"/>
    <n v="9"/>
    <n v="61"/>
  </r>
  <r>
    <x v="11"/>
    <x v="16"/>
    <n v="2"/>
    <n v="1"/>
    <m/>
    <n v="3"/>
  </r>
  <r>
    <x v="11"/>
    <x v="17"/>
    <n v="1"/>
    <n v="1"/>
    <m/>
    <n v="2"/>
  </r>
  <r>
    <x v="11"/>
    <x v="18"/>
    <n v="1"/>
    <n v="10"/>
    <n v="1"/>
    <n v="12"/>
  </r>
  <r>
    <x v="11"/>
    <x v="19"/>
    <m/>
    <n v="14"/>
    <m/>
    <n v="14"/>
  </r>
  <r>
    <x v="11"/>
    <x v="20"/>
    <n v="3"/>
    <n v="8"/>
    <n v="3"/>
    <n v="14"/>
  </r>
  <r>
    <x v="11"/>
    <x v="21"/>
    <n v="4"/>
    <n v="3"/>
    <m/>
    <n v="7"/>
  </r>
  <r>
    <x v="11"/>
    <x v="22"/>
    <m/>
    <n v="12"/>
    <m/>
    <n v="12"/>
  </r>
  <r>
    <x v="11"/>
    <x v="23"/>
    <n v="1"/>
    <n v="10"/>
    <n v="3"/>
    <n v="14"/>
  </r>
  <r>
    <x v="11"/>
    <x v="24"/>
    <n v="3"/>
    <m/>
    <m/>
    <n v="3"/>
  </r>
  <r>
    <x v="11"/>
    <x v="25"/>
    <n v="2"/>
    <n v="11"/>
    <m/>
    <n v="13"/>
  </r>
  <r>
    <x v="11"/>
    <x v="26"/>
    <m/>
    <n v="14"/>
    <m/>
    <n v="14"/>
  </r>
  <r>
    <x v="11"/>
    <x v="27"/>
    <n v="1"/>
    <n v="4"/>
    <m/>
    <n v="5"/>
  </r>
  <r>
    <x v="11"/>
    <x v="28"/>
    <n v="4"/>
    <n v="7"/>
    <m/>
    <n v="11"/>
  </r>
  <r>
    <x v="11"/>
    <x v="29"/>
    <n v="1"/>
    <n v="9"/>
    <m/>
    <n v="10"/>
  </r>
  <r>
    <x v="11"/>
    <x v="30"/>
    <n v="2"/>
    <n v="1"/>
    <m/>
    <n v="3"/>
  </r>
  <r>
    <x v="11"/>
    <x v="31"/>
    <n v="2"/>
    <n v="4"/>
    <m/>
    <n v="6"/>
  </r>
</pivotCacheRecords>
</file>

<file path=xl/pivotCache/pivotCacheRecords47.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256">
  <r>
    <x v="0"/>
    <x v="0"/>
    <n v="3"/>
    <m/>
    <m/>
    <m/>
    <n v="1"/>
    <n v="4"/>
  </r>
  <r>
    <x v="1"/>
    <x v="0"/>
    <n v="3"/>
    <m/>
    <m/>
    <m/>
    <n v="1"/>
    <n v="4"/>
  </r>
  <r>
    <x v="2"/>
    <x v="0"/>
    <n v="3"/>
    <m/>
    <m/>
    <m/>
    <n v="1"/>
    <n v="4"/>
  </r>
  <r>
    <x v="3"/>
    <x v="0"/>
    <n v="3"/>
    <m/>
    <m/>
    <m/>
    <n v="1"/>
    <n v="4"/>
  </r>
  <r>
    <x v="4"/>
    <x v="0"/>
    <n v="3"/>
    <m/>
    <m/>
    <m/>
    <n v="1"/>
    <n v="4"/>
  </r>
  <r>
    <x v="5"/>
    <x v="0"/>
    <n v="3"/>
    <m/>
    <m/>
    <m/>
    <n v="1"/>
    <n v="4"/>
  </r>
  <r>
    <x v="6"/>
    <x v="0"/>
    <n v="3"/>
    <m/>
    <m/>
    <m/>
    <n v="1"/>
    <n v="4"/>
  </r>
  <r>
    <x v="7"/>
    <x v="0"/>
    <n v="3"/>
    <m/>
    <m/>
    <m/>
    <n v="1"/>
    <n v="4"/>
  </r>
  <r>
    <x v="0"/>
    <x v="1"/>
    <m/>
    <n v="1"/>
    <m/>
    <m/>
    <n v="23"/>
    <n v="24"/>
  </r>
  <r>
    <x v="1"/>
    <x v="1"/>
    <m/>
    <n v="1"/>
    <m/>
    <m/>
    <n v="23"/>
    <n v="24"/>
  </r>
  <r>
    <x v="2"/>
    <x v="1"/>
    <m/>
    <n v="1"/>
    <m/>
    <m/>
    <n v="23"/>
    <n v="24"/>
  </r>
  <r>
    <x v="3"/>
    <x v="1"/>
    <m/>
    <n v="1"/>
    <m/>
    <m/>
    <n v="23"/>
    <n v="24"/>
  </r>
  <r>
    <x v="4"/>
    <x v="1"/>
    <m/>
    <n v="1"/>
    <m/>
    <m/>
    <n v="23"/>
    <n v="24"/>
  </r>
  <r>
    <x v="5"/>
    <x v="1"/>
    <m/>
    <n v="1"/>
    <m/>
    <m/>
    <n v="23"/>
    <n v="24"/>
  </r>
  <r>
    <x v="6"/>
    <x v="1"/>
    <m/>
    <n v="1"/>
    <m/>
    <m/>
    <n v="23"/>
    <n v="24"/>
  </r>
  <r>
    <x v="7"/>
    <x v="1"/>
    <m/>
    <n v="1"/>
    <m/>
    <m/>
    <n v="23"/>
    <n v="24"/>
  </r>
  <r>
    <x v="0"/>
    <x v="2"/>
    <m/>
    <n v="1"/>
    <m/>
    <m/>
    <n v="5"/>
    <n v="6"/>
  </r>
  <r>
    <x v="1"/>
    <x v="2"/>
    <m/>
    <n v="1"/>
    <m/>
    <m/>
    <n v="5"/>
    <n v="6"/>
  </r>
  <r>
    <x v="2"/>
    <x v="2"/>
    <m/>
    <n v="1"/>
    <m/>
    <m/>
    <n v="5"/>
    <n v="6"/>
  </r>
  <r>
    <x v="3"/>
    <x v="2"/>
    <m/>
    <n v="1"/>
    <m/>
    <m/>
    <n v="5"/>
    <n v="6"/>
  </r>
  <r>
    <x v="4"/>
    <x v="2"/>
    <m/>
    <n v="1"/>
    <m/>
    <m/>
    <n v="5"/>
    <n v="6"/>
  </r>
  <r>
    <x v="5"/>
    <x v="2"/>
    <m/>
    <n v="1"/>
    <m/>
    <m/>
    <n v="5"/>
    <n v="6"/>
  </r>
  <r>
    <x v="6"/>
    <x v="2"/>
    <m/>
    <n v="1"/>
    <m/>
    <m/>
    <n v="5"/>
    <n v="6"/>
  </r>
  <r>
    <x v="7"/>
    <x v="2"/>
    <m/>
    <n v="1"/>
    <m/>
    <m/>
    <n v="5"/>
    <n v="6"/>
  </r>
  <r>
    <x v="0"/>
    <x v="3"/>
    <m/>
    <n v="2"/>
    <m/>
    <n v="25"/>
    <n v="12"/>
    <n v="39"/>
  </r>
  <r>
    <x v="1"/>
    <x v="3"/>
    <m/>
    <n v="2"/>
    <m/>
    <n v="25"/>
    <n v="12"/>
    <n v="39"/>
  </r>
  <r>
    <x v="2"/>
    <x v="3"/>
    <m/>
    <n v="2"/>
    <m/>
    <n v="25"/>
    <n v="12"/>
    <n v="39"/>
  </r>
  <r>
    <x v="3"/>
    <x v="3"/>
    <m/>
    <n v="2"/>
    <m/>
    <n v="25"/>
    <n v="12"/>
    <n v="39"/>
  </r>
  <r>
    <x v="4"/>
    <x v="3"/>
    <m/>
    <n v="2"/>
    <m/>
    <n v="25"/>
    <n v="12"/>
    <n v="39"/>
  </r>
  <r>
    <x v="5"/>
    <x v="3"/>
    <m/>
    <n v="2"/>
    <m/>
    <n v="25"/>
    <n v="12"/>
    <n v="39"/>
  </r>
  <r>
    <x v="6"/>
    <x v="3"/>
    <m/>
    <n v="2"/>
    <m/>
    <n v="25"/>
    <n v="12"/>
    <n v="39"/>
  </r>
  <r>
    <x v="7"/>
    <x v="3"/>
    <m/>
    <n v="2"/>
    <m/>
    <n v="25"/>
    <n v="12"/>
    <n v="39"/>
  </r>
  <r>
    <x v="0"/>
    <x v="4"/>
    <n v="7"/>
    <m/>
    <m/>
    <m/>
    <n v="1"/>
    <n v="8"/>
  </r>
  <r>
    <x v="1"/>
    <x v="4"/>
    <n v="7"/>
    <m/>
    <m/>
    <m/>
    <n v="1"/>
    <n v="8"/>
  </r>
  <r>
    <x v="2"/>
    <x v="4"/>
    <n v="7"/>
    <m/>
    <m/>
    <m/>
    <n v="1"/>
    <n v="8"/>
  </r>
  <r>
    <x v="3"/>
    <x v="4"/>
    <n v="7"/>
    <m/>
    <m/>
    <m/>
    <n v="1"/>
    <n v="8"/>
  </r>
  <r>
    <x v="4"/>
    <x v="4"/>
    <n v="7"/>
    <m/>
    <m/>
    <m/>
    <n v="1"/>
    <n v="8"/>
  </r>
  <r>
    <x v="5"/>
    <x v="4"/>
    <n v="7"/>
    <m/>
    <m/>
    <m/>
    <n v="1"/>
    <n v="8"/>
  </r>
  <r>
    <x v="6"/>
    <x v="4"/>
    <n v="7"/>
    <m/>
    <m/>
    <m/>
    <n v="1"/>
    <n v="8"/>
  </r>
  <r>
    <x v="7"/>
    <x v="4"/>
    <n v="7"/>
    <m/>
    <m/>
    <m/>
    <n v="1"/>
    <n v="8"/>
  </r>
  <r>
    <x v="0"/>
    <x v="5"/>
    <m/>
    <n v="1"/>
    <m/>
    <m/>
    <n v="1"/>
    <n v="2"/>
  </r>
  <r>
    <x v="1"/>
    <x v="5"/>
    <m/>
    <n v="1"/>
    <m/>
    <m/>
    <n v="1"/>
    <n v="2"/>
  </r>
  <r>
    <x v="2"/>
    <x v="5"/>
    <m/>
    <n v="1"/>
    <m/>
    <m/>
    <n v="1"/>
    <n v="2"/>
  </r>
  <r>
    <x v="3"/>
    <x v="5"/>
    <m/>
    <n v="1"/>
    <m/>
    <m/>
    <n v="1"/>
    <n v="2"/>
  </r>
  <r>
    <x v="4"/>
    <x v="5"/>
    <m/>
    <n v="1"/>
    <m/>
    <m/>
    <n v="1"/>
    <n v="2"/>
  </r>
  <r>
    <x v="5"/>
    <x v="5"/>
    <m/>
    <n v="1"/>
    <m/>
    <m/>
    <n v="1"/>
    <n v="2"/>
  </r>
  <r>
    <x v="6"/>
    <x v="5"/>
    <m/>
    <n v="1"/>
    <m/>
    <m/>
    <n v="1"/>
    <n v="2"/>
  </r>
  <r>
    <x v="7"/>
    <x v="5"/>
    <m/>
    <n v="1"/>
    <m/>
    <m/>
    <n v="1"/>
    <n v="2"/>
  </r>
  <r>
    <x v="0"/>
    <x v="6"/>
    <m/>
    <n v="1"/>
    <m/>
    <n v="1"/>
    <n v="15"/>
    <n v="17"/>
  </r>
  <r>
    <x v="1"/>
    <x v="6"/>
    <m/>
    <n v="1"/>
    <m/>
    <n v="1"/>
    <n v="15"/>
    <n v="17"/>
  </r>
  <r>
    <x v="2"/>
    <x v="6"/>
    <m/>
    <n v="1"/>
    <m/>
    <n v="1"/>
    <n v="15"/>
    <n v="17"/>
  </r>
  <r>
    <x v="3"/>
    <x v="6"/>
    <m/>
    <n v="1"/>
    <m/>
    <n v="1"/>
    <n v="15"/>
    <n v="17"/>
  </r>
  <r>
    <x v="4"/>
    <x v="6"/>
    <m/>
    <n v="1"/>
    <m/>
    <n v="1"/>
    <n v="15"/>
    <n v="17"/>
  </r>
  <r>
    <x v="5"/>
    <x v="6"/>
    <m/>
    <n v="1"/>
    <m/>
    <n v="1"/>
    <n v="15"/>
    <n v="17"/>
  </r>
  <r>
    <x v="6"/>
    <x v="6"/>
    <m/>
    <n v="1"/>
    <m/>
    <n v="1"/>
    <n v="15"/>
    <n v="17"/>
  </r>
  <r>
    <x v="7"/>
    <x v="6"/>
    <m/>
    <n v="1"/>
    <m/>
    <n v="1"/>
    <n v="15"/>
    <n v="17"/>
  </r>
  <r>
    <x v="0"/>
    <x v="7"/>
    <n v="3"/>
    <n v="1"/>
    <m/>
    <m/>
    <m/>
    <n v="4"/>
  </r>
  <r>
    <x v="1"/>
    <x v="7"/>
    <n v="3"/>
    <n v="1"/>
    <m/>
    <m/>
    <m/>
    <n v="4"/>
  </r>
  <r>
    <x v="2"/>
    <x v="7"/>
    <n v="3"/>
    <n v="1"/>
    <m/>
    <m/>
    <m/>
    <n v="4"/>
  </r>
  <r>
    <x v="3"/>
    <x v="7"/>
    <n v="3"/>
    <n v="1"/>
    <m/>
    <m/>
    <m/>
    <n v="4"/>
  </r>
  <r>
    <x v="4"/>
    <x v="7"/>
    <n v="3"/>
    <n v="1"/>
    <m/>
    <m/>
    <m/>
    <n v="4"/>
  </r>
  <r>
    <x v="5"/>
    <x v="7"/>
    <n v="3"/>
    <n v="1"/>
    <m/>
    <m/>
    <m/>
    <n v="4"/>
  </r>
  <r>
    <x v="6"/>
    <x v="7"/>
    <n v="3"/>
    <n v="1"/>
    <m/>
    <m/>
    <m/>
    <n v="4"/>
  </r>
  <r>
    <x v="7"/>
    <x v="7"/>
    <n v="3"/>
    <n v="1"/>
    <m/>
    <m/>
    <m/>
    <n v="4"/>
  </r>
  <r>
    <x v="0"/>
    <x v="8"/>
    <n v="1"/>
    <m/>
    <m/>
    <m/>
    <n v="7"/>
    <n v="8"/>
  </r>
  <r>
    <x v="1"/>
    <x v="8"/>
    <n v="1"/>
    <m/>
    <m/>
    <m/>
    <n v="7"/>
    <n v="8"/>
  </r>
  <r>
    <x v="2"/>
    <x v="8"/>
    <n v="1"/>
    <m/>
    <m/>
    <m/>
    <n v="7"/>
    <n v="8"/>
  </r>
  <r>
    <x v="3"/>
    <x v="8"/>
    <n v="1"/>
    <m/>
    <m/>
    <m/>
    <n v="7"/>
    <n v="8"/>
  </r>
  <r>
    <x v="4"/>
    <x v="8"/>
    <n v="1"/>
    <m/>
    <m/>
    <m/>
    <n v="7"/>
    <n v="8"/>
  </r>
  <r>
    <x v="5"/>
    <x v="8"/>
    <n v="1"/>
    <m/>
    <m/>
    <m/>
    <n v="7"/>
    <n v="8"/>
  </r>
  <r>
    <x v="6"/>
    <x v="8"/>
    <n v="1"/>
    <m/>
    <m/>
    <m/>
    <n v="7"/>
    <n v="8"/>
  </r>
  <r>
    <x v="7"/>
    <x v="8"/>
    <n v="1"/>
    <m/>
    <m/>
    <m/>
    <n v="7"/>
    <n v="8"/>
  </r>
  <r>
    <x v="0"/>
    <x v="9"/>
    <n v="3"/>
    <m/>
    <m/>
    <m/>
    <m/>
    <n v="3"/>
  </r>
  <r>
    <x v="1"/>
    <x v="9"/>
    <n v="3"/>
    <m/>
    <m/>
    <m/>
    <m/>
    <n v="3"/>
  </r>
  <r>
    <x v="2"/>
    <x v="9"/>
    <n v="3"/>
    <m/>
    <m/>
    <m/>
    <m/>
    <n v="3"/>
  </r>
  <r>
    <x v="3"/>
    <x v="9"/>
    <n v="3"/>
    <m/>
    <m/>
    <m/>
    <m/>
    <n v="3"/>
  </r>
  <r>
    <x v="4"/>
    <x v="9"/>
    <n v="3"/>
    <m/>
    <m/>
    <m/>
    <m/>
    <n v="3"/>
  </r>
  <r>
    <x v="5"/>
    <x v="9"/>
    <n v="3"/>
    <m/>
    <m/>
    <m/>
    <m/>
    <n v="3"/>
  </r>
  <r>
    <x v="6"/>
    <x v="9"/>
    <n v="3"/>
    <m/>
    <m/>
    <m/>
    <m/>
    <n v="3"/>
  </r>
  <r>
    <x v="7"/>
    <x v="9"/>
    <n v="3"/>
    <m/>
    <m/>
    <m/>
    <m/>
    <n v="3"/>
  </r>
  <r>
    <x v="0"/>
    <x v="10"/>
    <n v="1"/>
    <m/>
    <m/>
    <m/>
    <n v="5"/>
    <n v="6"/>
  </r>
  <r>
    <x v="1"/>
    <x v="10"/>
    <n v="1"/>
    <m/>
    <m/>
    <m/>
    <n v="5"/>
    <n v="6"/>
  </r>
  <r>
    <x v="2"/>
    <x v="10"/>
    <n v="1"/>
    <m/>
    <m/>
    <m/>
    <n v="5"/>
    <n v="6"/>
  </r>
  <r>
    <x v="3"/>
    <x v="10"/>
    <n v="1"/>
    <m/>
    <m/>
    <m/>
    <n v="5"/>
    <n v="6"/>
  </r>
  <r>
    <x v="4"/>
    <x v="10"/>
    <n v="1"/>
    <m/>
    <m/>
    <m/>
    <n v="5"/>
    <n v="6"/>
  </r>
  <r>
    <x v="5"/>
    <x v="10"/>
    <n v="1"/>
    <m/>
    <m/>
    <m/>
    <n v="5"/>
    <n v="6"/>
  </r>
  <r>
    <x v="6"/>
    <x v="10"/>
    <n v="1"/>
    <m/>
    <m/>
    <m/>
    <n v="5"/>
    <n v="6"/>
  </r>
  <r>
    <x v="7"/>
    <x v="10"/>
    <n v="1"/>
    <m/>
    <m/>
    <m/>
    <n v="5"/>
    <n v="6"/>
  </r>
  <r>
    <x v="0"/>
    <x v="11"/>
    <n v="2"/>
    <m/>
    <m/>
    <m/>
    <m/>
    <n v="2"/>
  </r>
  <r>
    <x v="1"/>
    <x v="11"/>
    <n v="2"/>
    <m/>
    <m/>
    <m/>
    <m/>
    <n v="2"/>
  </r>
  <r>
    <x v="2"/>
    <x v="11"/>
    <n v="2"/>
    <m/>
    <m/>
    <m/>
    <m/>
    <n v="2"/>
  </r>
  <r>
    <x v="3"/>
    <x v="11"/>
    <n v="2"/>
    <m/>
    <m/>
    <m/>
    <m/>
    <n v="2"/>
  </r>
  <r>
    <x v="4"/>
    <x v="11"/>
    <n v="2"/>
    <m/>
    <m/>
    <m/>
    <m/>
    <n v="2"/>
  </r>
  <r>
    <x v="5"/>
    <x v="11"/>
    <n v="2"/>
    <m/>
    <m/>
    <m/>
    <m/>
    <n v="2"/>
  </r>
  <r>
    <x v="6"/>
    <x v="11"/>
    <n v="2"/>
    <m/>
    <m/>
    <m/>
    <m/>
    <n v="2"/>
  </r>
  <r>
    <x v="7"/>
    <x v="11"/>
    <n v="2"/>
    <m/>
    <m/>
    <m/>
    <m/>
    <n v="2"/>
  </r>
  <r>
    <x v="0"/>
    <x v="12"/>
    <m/>
    <n v="3"/>
    <m/>
    <m/>
    <n v="2"/>
    <n v="5"/>
  </r>
  <r>
    <x v="1"/>
    <x v="12"/>
    <m/>
    <n v="3"/>
    <m/>
    <m/>
    <n v="2"/>
    <n v="5"/>
  </r>
  <r>
    <x v="2"/>
    <x v="12"/>
    <m/>
    <n v="3"/>
    <m/>
    <m/>
    <n v="2"/>
    <n v="5"/>
  </r>
  <r>
    <x v="3"/>
    <x v="12"/>
    <m/>
    <n v="3"/>
    <m/>
    <m/>
    <n v="2"/>
    <n v="5"/>
  </r>
  <r>
    <x v="4"/>
    <x v="12"/>
    <m/>
    <n v="3"/>
    <m/>
    <m/>
    <n v="2"/>
    <n v="5"/>
  </r>
  <r>
    <x v="5"/>
    <x v="12"/>
    <m/>
    <n v="3"/>
    <m/>
    <m/>
    <n v="2"/>
    <n v="5"/>
  </r>
  <r>
    <x v="6"/>
    <x v="12"/>
    <m/>
    <n v="3"/>
    <m/>
    <m/>
    <n v="2"/>
    <n v="5"/>
  </r>
  <r>
    <x v="7"/>
    <x v="12"/>
    <m/>
    <n v="3"/>
    <m/>
    <m/>
    <n v="2"/>
    <n v="5"/>
  </r>
  <r>
    <x v="0"/>
    <x v="13"/>
    <n v="5"/>
    <m/>
    <m/>
    <m/>
    <n v="8"/>
    <n v="13"/>
  </r>
  <r>
    <x v="1"/>
    <x v="13"/>
    <n v="5"/>
    <m/>
    <m/>
    <m/>
    <n v="8"/>
    <n v="13"/>
  </r>
  <r>
    <x v="2"/>
    <x v="13"/>
    <n v="5"/>
    <m/>
    <m/>
    <m/>
    <n v="8"/>
    <n v="13"/>
  </r>
  <r>
    <x v="3"/>
    <x v="13"/>
    <n v="5"/>
    <m/>
    <m/>
    <m/>
    <n v="8"/>
    <n v="13"/>
  </r>
  <r>
    <x v="4"/>
    <x v="13"/>
    <n v="5"/>
    <m/>
    <m/>
    <m/>
    <n v="8"/>
    <n v="13"/>
  </r>
  <r>
    <x v="5"/>
    <x v="13"/>
    <n v="5"/>
    <m/>
    <m/>
    <m/>
    <n v="8"/>
    <n v="13"/>
  </r>
  <r>
    <x v="6"/>
    <x v="13"/>
    <n v="5"/>
    <m/>
    <m/>
    <m/>
    <n v="8"/>
    <n v="13"/>
  </r>
  <r>
    <x v="7"/>
    <x v="13"/>
    <n v="5"/>
    <m/>
    <m/>
    <m/>
    <n v="8"/>
    <n v="13"/>
  </r>
  <r>
    <x v="0"/>
    <x v="14"/>
    <n v="11"/>
    <m/>
    <m/>
    <m/>
    <m/>
    <n v="11"/>
  </r>
  <r>
    <x v="1"/>
    <x v="14"/>
    <n v="11"/>
    <m/>
    <m/>
    <m/>
    <m/>
    <n v="11"/>
  </r>
  <r>
    <x v="2"/>
    <x v="14"/>
    <n v="11"/>
    <m/>
    <m/>
    <m/>
    <m/>
    <n v="11"/>
  </r>
  <r>
    <x v="3"/>
    <x v="14"/>
    <n v="11"/>
    <m/>
    <m/>
    <m/>
    <m/>
    <n v="11"/>
  </r>
  <r>
    <x v="4"/>
    <x v="14"/>
    <n v="11"/>
    <m/>
    <m/>
    <m/>
    <m/>
    <n v="11"/>
  </r>
  <r>
    <x v="5"/>
    <x v="14"/>
    <n v="11"/>
    <m/>
    <m/>
    <m/>
    <m/>
    <n v="11"/>
  </r>
  <r>
    <x v="6"/>
    <x v="14"/>
    <n v="11"/>
    <m/>
    <m/>
    <m/>
    <m/>
    <n v="11"/>
  </r>
  <r>
    <x v="7"/>
    <x v="14"/>
    <n v="11"/>
    <m/>
    <m/>
    <m/>
    <m/>
    <n v="11"/>
  </r>
  <r>
    <x v="0"/>
    <x v="15"/>
    <m/>
    <n v="1"/>
    <m/>
    <n v="9"/>
    <n v="51"/>
    <n v="61"/>
  </r>
  <r>
    <x v="1"/>
    <x v="15"/>
    <m/>
    <n v="1"/>
    <m/>
    <n v="9"/>
    <n v="51"/>
    <n v="61"/>
  </r>
  <r>
    <x v="2"/>
    <x v="15"/>
    <m/>
    <n v="1"/>
    <m/>
    <n v="9"/>
    <n v="51"/>
    <n v="61"/>
  </r>
  <r>
    <x v="3"/>
    <x v="15"/>
    <m/>
    <n v="1"/>
    <m/>
    <n v="9"/>
    <n v="51"/>
    <n v="61"/>
  </r>
  <r>
    <x v="4"/>
    <x v="15"/>
    <m/>
    <n v="1"/>
    <m/>
    <n v="9"/>
    <n v="51"/>
    <n v="61"/>
  </r>
  <r>
    <x v="5"/>
    <x v="15"/>
    <m/>
    <n v="1"/>
    <m/>
    <n v="9"/>
    <n v="51"/>
    <n v="61"/>
  </r>
  <r>
    <x v="6"/>
    <x v="15"/>
    <m/>
    <n v="1"/>
    <m/>
    <n v="9"/>
    <n v="51"/>
    <n v="61"/>
  </r>
  <r>
    <x v="7"/>
    <x v="15"/>
    <m/>
    <n v="1"/>
    <m/>
    <n v="9"/>
    <n v="51"/>
    <n v="61"/>
  </r>
  <r>
    <x v="0"/>
    <x v="16"/>
    <m/>
    <n v="2"/>
    <m/>
    <m/>
    <n v="1"/>
    <n v="3"/>
  </r>
  <r>
    <x v="1"/>
    <x v="16"/>
    <m/>
    <n v="2"/>
    <m/>
    <m/>
    <n v="1"/>
    <n v="3"/>
  </r>
  <r>
    <x v="2"/>
    <x v="16"/>
    <m/>
    <n v="2"/>
    <m/>
    <m/>
    <n v="1"/>
    <n v="3"/>
  </r>
  <r>
    <x v="3"/>
    <x v="16"/>
    <m/>
    <n v="2"/>
    <m/>
    <m/>
    <n v="1"/>
    <n v="3"/>
  </r>
  <r>
    <x v="4"/>
    <x v="16"/>
    <m/>
    <n v="2"/>
    <m/>
    <m/>
    <n v="1"/>
    <n v="3"/>
  </r>
  <r>
    <x v="5"/>
    <x v="16"/>
    <m/>
    <n v="2"/>
    <m/>
    <m/>
    <n v="1"/>
    <n v="3"/>
  </r>
  <r>
    <x v="6"/>
    <x v="16"/>
    <m/>
    <n v="2"/>
    <m/>
    <m/>
    <n v="1"/>
    <n v="3"/>
  </r>
  <r>
    <x v="7"/>
    <x v="16"/>
    <m/>
    <n v="2"/>
    <m/>
    <m/>
    <n v="1"/>
    <n v="3"/>
  </r>
  <r>
    <x v="0"/>
    <x v="17"/>
    <n v="1"/>
    <m/>
    <m/>
    <m/>
    <n v="1"/>
    <n v="2"/>
  </r>
  <r>
    <x v="1"/>
    <x v="17"/>
    <n v="1"/>
    <m/>
    <m/>
    <m/>
    <n v="1"/>
    <n v="2"/>
  </r>
  <r>
    <x v="2"/>
    <x v="17"/>
    <n v="1"/>
    <m/>
    <m/>
    <m/>
    <n v="1"/>
    <n v="2"/>
  </r>
  <r>
    <x v="3"/>
    <x v="17"/>
    <n v="1"/>
    <m/>
    <m/>
    <m/>
    <n v="1"/>
    <n v="2"/>
  </r>
  <r>
    <x v="4"/>
    <x v="17"/>
    <n v="1"/>
    <m/>
    <m/>
    <m/>
    <n v="1"/>
    <n v="2"/>
  </r>
  <r>
    <x v="5"/>
    <x v="17"/>
    <n v="1"/>
    <m/>
    <m/>
    <m/>
    <n v="1"/>
    <n v="2"/>
  </r>
  <r>
    <x v="6"/>
    <x v="17"/>
    <n v="1"/>
    <m/>
    <m/>
    <m/>
    <n v="1"/>
    <n v="2"/>
  </r>
  <r>
    <x v="7"/>
    <x v="17"/>
    <n v="1"/>
    <m/>
    <m/>
    <m/>
    <n v="1"/>
    <n v="2"/>
  </r>
  <r>
    <x v="0"/>
    <x v="18"/>
    <m/>
    <n v="1"/>
    <m/>
    <n v="1"/>
    <n v="10"/>
    <n v="12"/>
  </r>
  <r>
    <x v="1"/>
    <x v="18"/>
    <m/>
    <n v="1"/>
    <m/>
    <n v="1"/>
    <n v="10"/>
    <n v="12"/>
  </r>
  <r>
    <x v="2"/>
    <x v="18"/>
    <m/>
    <n v="1"/>
    <m/>
    <n v="1"/>
    <n v="10"/>
    <n v="12"/>
  </r>
  <r>
    <x v="3"/>
    <x v="18"/>
    <m/>
    <n v="1"/>
    <m/>
    <n v="1"/>
    <n v="10"/>
    <n v="12"/>
  </r>
  <r>
    <x v="4"/>
    <x v="18"/>
    <m/>
    <n v="1"/>
    <m/>
    <n v="1"/>
    <n v="10"/>
    <n v="12"/>
  </r>
  <r>
    <x v="5"/>
    <x v="18"/>
    <m/>
    <n v="1"/>
    <m/>
    <n v="1"/>
    <n v="10"/>
    <n v="12"/>
  </r>
  <r>
    <x v="6"/>
    <x v="18"/>
    <m/>
    <n v="1"/>
    <m/>
    <n v="1"/>
    <n v="10"/>
    <n v="12"/>
  </r>
  <r>
    <x v="7"/>
    <x v="18"/>
    <m/>
    <n v="1"/>
    <m/>
    <n v="1"/>
    <n v="10"/>
    <n v="12"/>
  </r>
  <r>
    <x v="0"/>
    <x v="19"/>
    <m/>
    <m/>
    <m/>
    <m/>
    <n v="14"/>
    <n v="14"/>
  </r>
  <r>
    <x v="1"/>
    <x v="19"/>
    <m/>
    <m/>
    <m/>
    <m/>
    <n v="14"/>
    <n v="14"/>
  </r>
  <r>
    <x v="2"/>
    <x v="19"/>
    <m/>
    <m/>
    <m/>
    <m/>
    <n v="14"/>
    <n v="14"/>
  </r>
  <r>
    <x v="3"/>
    <x v="19"/>
    <m/>
    <m/>
    <m/>
    <m/>
    <n v="14"/>
    <n v="14"/>
  </r>
  <r>
    <x v="4"/>
    <x v="19"/>
    <m/>
    <m/>
    <m/>
    <m/>
    <n v="14"/>
    <n v="14"/>
  </r>
  <r>
    <x v="5"/>
    <x v="19"/>
    <m/>
    <m/>
    <m/>
    <m/>
    <n v="14"/>
    <n v="14"/>
  </r>
  <r>
    <x v="6"/>
    <x v="19"/>
    <m/>
    <m/>
    <m/>
    <m/>
    <n v="14"/>
    <n v="14"/>
  </r>
  <r>
    <x v="7"/>
    <x v="19"/>
    <m/>
    <m/>
    <m/>
    <m/>
    <n v="14"/>
    <n v="14"/>
  </r>
  <r>
    <x v="0"/>
    <x v="20"/>
    <n v="1"/>
    <n v="2"/>
    <m/>
    <n v="3"/>
    <n v="8"/>
    <n v="14"/>
  </r>
  <r>
    <x v="1"/>
    <x v="20"/>
    <n v="1"/>
    <n v="2"/>
    <m/>
    <n v="3"/>
    <n v="8"/>
    <n v="14"/>
  </r>
  <r>
    <x v="2"/>
    <x v="20"/>
    <n v="1"/>
    <n v="2"/>
    <m/>
    <n v="3"/>
    <n v="8"/>
    <n v="14"/>
  </r>
  <r>
    <x v="3"/>
    <x v="20"/>
    <n v="1"/>
    <n v="2"/>
    <m/>
    <n v="3"/>
    <n v="8"/>
    <n v="14"/>
  </r>
  <r>
    <x v="4"/>
    <x v="20"/>
    <n v="1"/>
    <n v="2"/>
    <m/>
    <n v="3"/>
    <n v="8"/>
    <n v="14"/>
  </r>
  <r>
    <x v="5"/>
    <x v="20"/>
    <n v="1"/>
    <n v="2"/>
    <m/>
    <n v="3"/>
    <n v="8"/>
    <n v="14"/>
  </r>
  <r>
    <x v="6"/>
    <x v="20"/>
    <n v="1"/>
    <n v="2"/>
    <m/>
    <n v="3"/>
    <n v="8"/>
    <n v="14"/>
  </r>
  <r>
    <x v="7"/>
    <x v="20"/>
    <n v="1"/>
    <n v="2"/>
    <m/>
    <n v="3"/>
    <n v="8"/>
    <n v="14"/>
  </r>
  <r>
    <x v="0"/>
    <x v="21"/>
    <n v="4"/>
    <m/>
    <m/>
    <m/>
    <n v="3"/>
    <n v="7"/>
  </r>
  <r>
    <x v="1"/>
    <x v="21"/>
    <n v="4"/>
    <m/>
    <m/>
    <m/>
    <n v="3"/>
    <n v="7"/>
  </r>
  <r>
    <x v="2"/>
    <x v="21"/>
    <n v="4"/>
    <m/>
    <m/>
    <m/>
    <n v="3"/>
    <n v="7"/>
  </r>
  <r>
    <x v="3"/>
    <x v="21"/>
    <n v="4"/>
    <m/>
    <m/>
    <m/>
    <n v="3"/>
    <n v="7"/>
  </r>
  <r>
    <x v="4"/>
    <x v="21"/>
    <n v="4"/>
    <m/>
    <m/>
    <m/>
    <n v="3"/>
    <n v="7"/>
  </r>
  <r>
    <x v="5"/>
    <x v="21"/>
    <n v="4"/>
    <m/>
    <m/>
    <m/>
    <n v="3"/>
    <n v="7"/>
  </r>
  <r>
    <x v="6"/>
    <x v="21"/>
    <n v="4"/>
    <m/>
    <m/>
    <m/>
    <n v="3"/>
    <n v="7"/>
  </r>
  <r>
    <x v="7"/>
    <x v="21"/>
    <n v="4"/>
    <m/>
    <m/>
    <m/>
    <n v="3"/>
    <n v="7"/>
  </r>
  <r>
    <x v="0"/>
    <x v="22"/>
    <m/>
    <m/>
    <m/>
    <m/>
    <n v="12"/>
    <n v="12"/>
  </r>
  <r>
    <x v="1"/>
    <x v="22"/>
    <m/>
    <m/>
    <m/>
    <m/>
    <n v="12"/>
    <n v="12"/>
  </r>
  <r>
    <x v="2"/>
    <x v="22"/>
    <m/>
    <m/>
    <m/>
    <m/>
    <n v="12"/>
    <n v="12"/>
  </r>
  <r>
    <x v="3"/>
    <x v="22"/>
    <m/>
    <m/>
    <m/>
    <m/>
    <n v="12"/>
    <n v="12"/>
  </r>
  <r>
    <x v="4"/>
    <x v="22"/>
    <m/>
    <m/>
    <m/>
    <m/>
    <n v="12"/>
    <n v="12"/>
  </r>
  <r>
    <x v="5"/>
    <x v="22"/>
    <m/>
    <m/>
    <m/>
    <m/>
    <n v="12"/>
    <n v="12"/>
  </r>
  <r>
    <x v="6"/>
    <x v="22"/>
    <m/>
    <m/>
    <m/>
    <m/>
    <n v="12"/>
    <n v="12"/>
  </r>
  <r>
    <x v="7"/>
    <x v="22"/>
    <m/>
    <m/>
    <m/>
    <m/>
    <n v="12"/>
    <n v="12"/>
  </r>
  <r>
    <x v="0"/>
    <x v="23"/>
    <n v="1"/>
    <m/>
    <m/>
    <n v="3"/>
    <n v="10"/>
    <n v="14"/>
  </r>
  <r>
    <x v="1"/>
    <x v="23"/>
    <n v="1"/>
    <m/>
    <m/>
    <n v="3"/>
    <n v="10"/>
    <n v="14"/>
  </r>
  <r>
    <x v="2"/>
    <x v="23"/>
    <n v="1"/>
    <m/>
    <m/>
    <n v="3"/>
    <n v="10"/>
    <n v="14"/>
  </r>
  <r>
    <x v="3"/>
    <x v="23"/>
    <n v="1"/>
    <m/>
    <m/>
    <n v="3"/>
    <n v="10"/>
    <n v="14"/>
  </r>
  <r>
    <x v="4"/>
    <x v="23"/>
    <n v="1"/>
    <m/>
    <m/>
    <n v="3"/>
    <n v="10"/>
    <n v="14"/>
  </r>
  <r>
    <x v="5"/>
    <x v="23"/>
    <n v="1"/>
    <m/>
    <m/>
    <n v="3"/>
    <n v="10"/>
    <n v="14"/>
  </r>
  <r>
    <x v="6"/>
    <x v="23"/>
    <n v="1"/>
    <m/>
    <m/>
    <n v="3"/>
    <n v="10"/>
    <n v="14"/>
  </r>
  <r>
    <x v="7"/>
    <x v="23"/>
    <n v="1"/>
    <m/>
    <m/>
    <n v="3"/>
    <n v="10"/>
    <n v="14"/>
  </r>
  <r>
    <x v="0"/>
    <x v="24"/>
    <n v="2"/>
    <n v="1"/>
    <m/>
    <m/>
    <m/>
    <n v="3"/>
  </r>
  <r>
    <x v="1"/>
    <x v="24"/>
    <n v="2"/>
    <n v="1"/>
    <m/>
    <m/>
    <m/>
    <n v="3"/>
  </r>
  <r>
    <x v="2"/>
    <x v="24"/>
    <n v="2"/>
    <n v="1"/>
    <m/>
    <m/>
    <m/>
    <n v="3"/>
  </r>
  <r>
    <x v="3"/>
    <x v="24"/>
    <n v="2"/>
    <n v="1"/>
    <m/>
    <m/>
    <m/>
    <n v="3"/>
  </r>
  <r>
    <x v="4"/>
    <x v="24"/>
    <n v="2"/>
    <n v="1"/>
    <m/>
    <m/>
    <m/>
    <n v="3"/>
  </r>
  <r>
    <x v="5"/>
    <x v="24"/>
    <n v="2"/>
    <n v="1"/>
    <m/>
    <m/>
    <m/>
    <n v="3"/>
  </r>
  <r>
    <x v="6"/>
    <x v="24"/>
    <n v="2"/>
    <n v="1"/>
    <m/>
    <m/>
    <m/>
    <n v="3"/>
  </r>
  <r>
    <x v="7"/>
    <x v="24"/>
    <n v="2"/>
    <n v="1"/>
    <m/>
    <m/>
    <m/>
    <n v="3"/>
  </r>
  <r>
    <x v="0"/>
    <x v="25"/>
    <m/>
    <n v="2"/>
    <m/>
    <m/>
    <n v="11"/>
    <n v="13"/>
  </r>
  <r>
    <x v="1"/>
    <x v="25"/>
    <m/>
    <n v="2"/>
    <m/>
    <m/>
    <n v="11"/>
    <n v="13"/>
  </r>
  <r>
    <x v="2"/>
    <x v="25"/>
    <m/>
    <n v="2"/>
    <m/>
    <m/>
    <n v="11"/>
    <n v="13"/>
  </r>
  <r>
    <x v="3"/>
    <x v="25"/>
    <m/>
    <n v="2"/>
    <m/>
    <m/>
    <n v="11"/>
    <n v="13"/>
  </r>
  <r>
    <x v="4"/>
    <x v="25"/>
    <m/>
    <n v="2"/>
    <m/>
    <m/>
    <n v="11"/>
    <n v="13"/>
  </r>
  <r>
    <x v="5"/>
    <x v="25"/>
    <m/>
    <n v="2"/>
    <m/>
    <m/>
    <n v="11"/>
    <n v="13"/>
  </r>
  <r>
    <x v="6"/>
    <x v="25"/>
    <m/>
    <n v="2"/>
    <m/>
    <m/>
    <n v="11"/>
    <n v="13"/>
  </r>
  <r>
    <x v="7"/>
    <x v="25"/>
    <m/>
    <n v="2"/>
    <m/>
    <m/>
    <n v="11"/>
    <n v="13"/>
  </r>
  <r>
    <x v="0"/>
    <x v="26"/>
    <m/>
    <m/>
    <m/>
    <m/>
    <n v="14"/>
    <n v="14"/>
  </r>
  <r>
    <x v="1"/>
    <x v="26"/>
    <m/>
    <m/>
    <m/>
    <m/>
    <n v="14"/>
    <n v="14"/>
  </r>
  <r>
    <x v="2"/>
    <x v="26"/>
    <m/>
    <m/>
    <m/>
    <m/>
    <n v="14"/>
    <n v="14"/>
  </r>
  <r>
    <x v="3"/>
    <x v="26"/>
    <m/>
    <m/>
    <m/>
    <m/>
    <n v="14"/>
    <n v="14"/>
  </r>
  <r>
    <x v="4"/>
    <x v="26"/>
    <m/>
    <m/>
    <m/>
    <m/>
    <n v="14"/>
    <n v="14"/>
  </r>
  <r>
    <x v="5"/>
    <x v="26"/>
    <m/>
    <m/>
    <m/>
    <m/>
    <n v="14"/>
    <n v="14"/>
  </r>
  <r>
    <x v="6"/>
    <x v="26"/>
    <m/>
    <m/>
    <m/>
    <m/>
    <n v="14"/>
    <n v="14"/>
  </r>
  <r>
    <x v="7"/>
    <x v="26"/>
    <m/>
    <m/>
    <m/>
    <m/>
    <n v="14"/>
    <n v="14"/>
  </r>
  <r>
    <x v="0"/>
    <x v="27"/>
    <m/>
    <n v="1"/>
    <m/>
    <m/>
    <n v="4"/>
    <n v="5"/>
  </r>
  <r>
    <x v="1"/>
    <x v="27"/>
    <m/>
    <n v="1"/>
    <m/>
    <m/>
    <n v="4"/>
    <n v="5"/>
  </r>
  <r>
    <x v="2"/>
    <x v="27"/>
    <m/>
    <n v="1"/>
    <m/>
    <m/>
    <n v="4"/>
    <n v="5"/>
  </r>
  <r>
    <x v="3"/>
    <x v="27"/>
    <m/>
    <n v="1"/>
    <m/>
    <m/>
    <n v="4"/>
    <n v="5"/>
  </r>
  <r>
    <x v="4"/>
    <x v="27"/>
    <m/>
    <n v="1"/>
    <m/>
    <m/>
    <n v="4"/>
    <n v="5"/>
  </r>
  <r>
    <x v="5"/>
    <x v="27"/>
    <m/>
    <n v="1"/>
    <m/>
    <m/>
    <n v="4"/>
    <n v="5"/>
  </r>
  <r>
    <x v="6"/>
    <x v="27"/>
    <m/>
    <n v="1"/>
    <m/>
    <m/>
    <n v="4"/>
    <n v="5"/>
  </r>
  <r>
    <x v="7"/>
    <x v="27"/>
    <m/>
    <n v="1"/>
    <m/>
    <m/>
    <n v="4"/>
    <n v="5"/>
  </r>
  <r>
    <x v="0"/>
    <x v="28"/>
    <n v="3"/>
    <n v="1"/>
    <m/>
    <n v="1"/>
    <n v="7"/>
    <n v="12"/>
  </r>
  <r>
    <x v="1"/>
    <x v="28"/>
    <n v="3"/>
    <n v="1"/>
    <m/>
    <n v="1"/>
    <n v="7"/>
    <n v="12"/>
  </r>
  <r>
    <x v="2"/>
    <x v="28"/>
    <n v="3"/>
    <n v="1"/>
    <m/>
    <n v="1"/>
    <n v="7"/>
    <n v="12"/>
  </r>
  <r>
    <x v="3"/>
    <x v="28"/>
    <n v="3"/>
    <n v="1"/>
    <m/>
    <n v="1"/>
    <n v="7"/>
    <n v="12"/>
  </r>
  <r>
    <x v="4"/>
    <x v="28"/>
    <n v="3"/>
    <n v="1"/>
    <m/>
    <n v="1"/>
    <n v="7"/>
    <n v="12"/>
  </r>
  <r>
    <x v="5"/>
    <x v="28"/>
    <n v="3"/>
    <n v="1"/>
    <m/>
    <m/>
    <n v="7"/>
    <n v="12"/>
  </r>
  <r>
    <x v="6"/>
    <x v="28"/>
    <n v="3"/>
    <n v="1"/>
    <m/>
    <m/>
    <n v="7"/>
    <n v="12"/>
  </r>
  <r>
    <x v="7"/>
    <x v="28"/>
    <n v="3"/>
    <n v="1"/>
    <m/>
    <m/>
    <n v="7"/>
    <n v="12"/>
  </r>
  <r>
    <x v="0"/>
    <x v="29"/>
    <n v="1"/>
    <m/>
    <m/>
    <m/>
    <n v="9"/>
    <n v="10"/>
  </r>
  <r>
    <x v="1"/>
    <x v="29"/>
    <n v="1"/>
    <m/>
    <m/>
    <m/>
    <n v="9"/>
    <n v="10"/>
  </r>
  <r>
    <x v="2"/>
    <x v="29"/>
    <n v="1"/>
    <m/>
    <m/>
    <m/>
    <n v="9"/>
    <n v="10"/>
  </r>
  <r>
    <x v="3"/>
    <x v="29"/>
    <n v="1"/>
    <m/>
    <m/>
    <m/>
    <n v="9"/>
    <n v="10"/>
  </r>
  <r>
    <x v="4"/>
    <x v="29"/>
    <n v="1"/>
    <m/>
    <m/>
    <m/>
    <n v="9"/>
    <n v="10"/>
  </r>
  <r>
    <x v="5"/>
    <x v="29"/>
    <n v="1"/>
    <m/>
    <m/>
    <m/>
    <n v="9"/>
    <n v="10"/>
  </r>
  <r>
    <x v="6"/>
    <x v="29"/>
    <n v="1"/>
    <m/>
    <m/>
    <m/>
    <n v="9"/>
    <n v="10"/>
  </r>
  <r>
    <x v="7"/>
    <x v="29"/>
    <n v="1"/>
    <m/>
    <m/>
    <m/>
    <n v="9"/>
    <n v="10"/>
  </r>
  <r>
    <x v="0"/>
    <x v="30"/>
    <n v="1"/>
    <n v="1"/>
    <m/>
    <m/>
    <n v="1"/>
    <n v="3"/>
  </r>
  <r>
    <x v="1"/>
    <x v="30"/>
    <n v="1"/>
    <n v="1"/>
    <m/>
    <m/>
    <n v="1"/>
    <n v="3"/>
  </r>
  <r>
    <x v="2"/>
    <x v="30"/>
    <n v="1"/>
    <n v="1"/>
    <m/>
    <m/>
    <n v="1"/>
    <n v="3"/>
  </r>
  <r>
    <x v="3"/>
    <x v="30"/>
    <n v="1"/>
    <n v="1"/>
    <m/>
    <m/>
    <n v="1"/>
    <n v="3"/>
  </r>
  <r>
    <x v="4"/>
    <x v="30"/>
    <n v="1"/>
    <n v="1"/>
    <m/>
    <m/>
    <n v="1"/>
    <n v="3"/>
  </r>
  <r>
    <x v="5"/>
    <x v="30"/>
    <n v="1"/>
    <n v="1"/>
    <m/>
    <m/>
    <n v="1"/>
    <n v="3"/>
  </r>
  <r>
    <x v="6"/>
    <x v="30"/>
    <n v="1"/>
    <n v="1"/>
    <m/>
    <m/>
    <n v="1"/>
    <n v="3"/>
  </r>
  <r>
    <x v="7"/>
    <x v="30"/>
    <n v="1"/>
    <n v="1"/>
    <m/>
    <m/>
    <n v="1"/>
    <n v="3"/>
  </r>
  <r>
    <x v="0"/>
    <x v="31"/>
    <m/>
    <n v="1"/>
    <n v="1"/>
    <m/>
    <n v="4"/>
    <n v="6"/>
  </r>
  <r>
    <x v="1"/>
    <x v="31"/>
    <m/>
    <n v="1"/>
    <n v="1"/>
    <m/>
    <n v="4"/>
    <n v="6"/>
  </r>
  <r>
    <x v="2"/>
    <x v="31"/>
    <m/>
    <n v="1"/>
    <n v="1"/>
    <m/>
    <n v="4"/>
    <n v="6"/>
  </r>
  <r>
    <x v="3"/>
    <x v="31"/>
    <m/>
    <n v="1"/>
    <n v="1"/>
    <m/>
    <n v="4"/>
    <n v="6"/>
  </r>
  <r>
    <x v="4"/>
    <x v="31"/>
    <m/>
    <n v="1"/>
    <n v="1"/>
    <m/>
    <n v="4"/>
    <n v="6"/>
  </r>
  <r>
    <x v="5"/>
    <x v="31"/>
    <m/>
    <n v="1"/>
    <n v="1"/>
    <m/>
    <n v="4"/>
    <n v="6"/>
  </r>
  <r>
    <x v="6"/>
    <x v="31"/>
    <m/>
    <n v="1"/>
    <n v="1"/>
    <m/>
    <n v="4"/>
    <n v="6"/>
  </r>
  <r>
    <x v="7"/>
    <x v="31"/>
    <m/>
    <n v="1"/>
    <n v="1"/>
    <m/>
    <n v="4"/>
    <n v="6"/>
  </r>
</pivotCacheRecords>
</file>

<file path=xl/pivotCache/pivotCacheRecords48.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403">
  <r>
    <x v="0"/>
    <x v="0"/>
    <m/>
    <x v="0"/>
    <m/>
    <m/>
    <m/>
    <m/>
  </r>
  <r>
    <x v="1"/>
    <x v="1"/>
    <s v=""/>
    <x v="1"/>
    <n v="2665.13"/>
    <n v="262.12"/>
    <n v="489.46"/>
    <n v="1913.55"/>
  </r>
  <r>
    <x v="1"/>
    <x v="1"/>
    <s v="S12000005"/>
    <x v="2"/>
    <n v="16.71"/>
    <n v="1.52"/>
    <n v="3.29"/>
    <n v="11.9"/>
  </r>
  <r>
    <x v="1"/>
    <x v="1"/>
    <s v="S12000006"/>
    <x v="3"/>
    <n v="177.25"/>
    <n v="15.25"/>
    <n v="31.25"/>
    <n v="130.75"/>
  </r>
  <r>
    <x v="1"/>
    <x v="1"/>
    <s v="S12000008"/>
    <x v="4"/>
    <n v="66.86"/>
    <n v="8.25"/>
    <n v="8.5"/>
    <n v="50.11"/>
  </r>
  <r>
    <x v="1"/>
    <x v="1"/>
    <s v="S12000010"/>
    <x v="5"/>
    <n v="46.75"/>
    <n v="5"/>
    <n v="8.75"/>
    <n v="33"/>
  </r>
  <r>
    <x v="1"/>
    <x v="1"/>
    <s v="S12000011"/>
    <x v="6"/>
    <m/>
    <m/>
    <m/>
    <m/>
  </r>
  <r>
    <x v="1"/>
    <x v="1"/>
    <s v="S12000013"/>
    <x v="7"/>
    <n v="124"/>
    <n v="12.5"/>
    <n v="24"/>
    <n v="87.5"/>
  </r>
  <r>
    <x v="1"/>
    <x v="1"/>
    <s v="S12000014"/>
    <x v="8"/>
    <n v="49.69"/>
    <n v="3.81"/>
    <n v="7.6"/>
    <n v="38.28"/>
  </r>
  <r>
    <x v="1"/>
    <x v="1"/>
    <s v="S12000017"/>
    <x v="9"/>
    <n v="525.5"/>
    <n v="52.25"/>
    <n v="108.25"/>
    <n v="365"/>
  </r>
  <r>
    <x v="1"/>
    <x v="1"/>
    <s v="S12000018"/>
    <x v="10"/>
    <n v="35.5"/>
    <n v="3"/>
    <n v="3.75"/>
    <n v="28.75"/>
  </r>
  <r>
    <x v="1"/>
    <x v="1"/>
    <s v="S12000019"/>
    <x v="11"/>
    <n v="8.75"/>
    <n v="1"/>
    <n v="1.75"/>
    <n v="6"/>
  </r>
  <r>
    <x v="1"/>
    <x v="1"/>
    <s v="S12000020"/>
    <x v="12"/>
    <n v="95.38"/>
    <n v="8"/>
    <n v="19.5"/>
    <n v="67.88"/>
  </r>
  <r>
    <x v="1"/>
    <x v="1"/>
    <s v="S12000021"/>
    <x v="13"/>
    <n v="86.25"/>
    <n v="8.5"/>
    <n v="14"/>
    <n v="63.75"/>
  </r>
  <r>
    <x v="1"/>
    <x v="1"/>
    <s v="S12000023"/>
    <x v="14"/>
    <n v="111"/>
    <n v="12"/>
    <n v="21.25"/>
    <n v="77.75"/>
  </r>
  <r>
    <x v="1"/>
    <x v="1"/>
    <s v="S12000024"/>
    <x v="15"/>
    <n v="128"/>
    <n v="9.5"/>
    <n v="24"/>
    <n v="94.5"/>
  </r>
  <r>
    <x v="1"/>
    <x v="1"/>
    <s v="S12000026"/>
    <x v="16"/>
    <n v="119.5"/>
    <n v="12.5"/>
    <n v="22"/>
    <n v="85"/>
  </r>
  <r>
    <x v="1"/>
    <x v="1"/>
    <s v="S12000027"/>
    <x v="17"/>
    <n v="126"/>
    <n v="12.25"/>
    <n v="28.25"/>
    <n v="85.5"/>
  </r>
  <r>
    <x v="1"/>
    <x v="1"/>
    <s v="S12000028"/>
    <x v="18"/>
    <n v="49.25"/>
    <n v="5"/>
    <n v="8.25"/>
    <n v="36"/>
  </r>
  <r>
    <x v="1"/>
    <x v="1"/>
    <s v="S12000029"/>
    <x v="19"/>
    <n v="79.25"/>
    <n v="8.75"/>
    <n v="8"/>
    <n v="62.5"/>
  </r>
  <r>
    <x v="1"/>
    <x v="1"/>
    <s v="S12000030"/>
    <x v="20"/>
    <n v="58.03"/>
    <n v="7.33"/>
    <n v="11.9"/>
    <n v="38.799999999999997"/>
  </r>
  <r>
    <x v="1"/>
    <x v="1"/>
    <s v="S12000033"/>
    <x v="21"/>
    <n v="6.5"/>
    <n v="1"/>
    <n v="1.75"/>
    <n v="3.75"/>
  </r>
  <r>
    <x v="1"/>
    <x v="1"/>
    <s v="S12000034"/>
    <x v="22"/>
    <n v="269.71000000000004"/>
    <n v="27.46"/>
    <n v="57.67"/>
    <n v="184.58"/>
  </r>
  <r>
    <x v="1"/>
    <x v="1"/>
    <s v="S12000035"/>
    <x v="23"/>
    <n v="178.25"/>
    <n v="16.75"/>
    <n v="22.75"/>
    <n v="138.75"/>
  </r>
  <r>
    <x v="1"/>
    <x v="1"/>
    <s v="S12000036"/>
    <x v="24"/>
    <n v="9.75"/>
    <n v="0.75"/>
    <n v="1.75"/>
    <n v="7.25"/>
  </r>
  <r>
    <x v="1"/>
    <x v="1"/>
    <s v="S12000038"/>
    <x v="25"/>
    <n v="11.75"/>
    <n v="1"/>
    <n v="2"/>
    <n v="8.75"/>
  </r>
  <r>
    <x v="1"/>
    <x v="1"/>
    <s v="S12000039"/>
    <x v="26"/>
    <n v="15.75"/>
    <n v="1.75"/>
    <n v="1"/>
    <n v="13"/>
  </r>
  <r>
    <x v="1"/>
    <x v="1"/>
    <s v="S12000040"/>
    <x v="27"/>
    <n v="49.75"/>
    <n v="5.75"/>
    <n v="9.5"/>
    <n v="34.5"/>
  </r>
  <r>
    <x v="1"/>
    <x v="1"/>
    <s v="S12000041"/>
    <x v="28"/>
    <n v="86.75"/>
    <n v="7"/>
    <n v="17"/>
    <n v="62.75"/>
  </r>
  <r>
    <x v="1"/>
    <x v="1"/>
    <s v="S12000042"/>
    <x v="29"/>
    <n v="12.25"/>
    <n v="0.75"/>
    <n v="2.75"/>
    <n v="8.75"/>
  </r>
  <r>
    <x v="1"/>
    <x v="1"/>
    <s v="S12000044"/>
    <x v="30"/>
    <n v="27"/>
    <n v="2.75"/>
    <n v="3"/>
    <n v="21.25"/>
  </r>
  <r>
    <x v="1"/>
    <x v="1"/>
    <s v="S12000045"/>
    <x v="31"/>
    <m/>
    <m/>
    <m/>
    <m/>
  </r>
  <r>
    <x v="1"/>
    <x v="1"/>
    <s v="S12000046"/>
    <x v="32"/>
    <m/>
    <m/>
    <n v="1"/>
    <n v="1"/>
  </r>
  <r>
    <x v="1"/>
    <x v="1"/>
    <s v="S12000047"/>
    <x v="33"/>
    <n v="92"/>
    <n v="10.75"/>
    <n v="15"/>
    <n v="66.25"/>
  </r>
  <r>
    <x v="2"/>
    <x v="1"/>
    <s v=""/>
    <x v="1"/>
    <n v="2668.5"/>
    <n v="263.75"/>
    <n v="498"/>
    <n v="1906.75"/>
  </r>
  <r>
    <x v="2"/>
    <x v="1"/>
    <s v="S12000005"/>
    <x v="2"/>
    <n v="18.25"/>
    <n v="1.5"/>
    <n v="4"/>
    <n v="12.75"/>
  </r>
  <r>
    <x v="2"/>
    <x v="1"/>
    <s v="S12000006"/>
    <x v="3"/>
    <n v="185"/>
    <n v="15.25"/>
    <n v="32.75"/>
    <n v="137"/>
  </r>
  <r>
    <x v="2"/>
    <x v="1"/>
    <s v="S12000008"/>
    <x v="4"/>
    <n v="71.25"/>
    <n v="7.5"/>
    <n v="7.25"/>
    <n v="56.5"/>
  </r>
  <r>
    <x v="2"/>
    <x v="1"/>
    <s v="S12000010"/>
    <x v="5"/>
    <n v="52.75"/>
    <n v="5"/>
    <n v="11.5"/>
    <n v="36.25"/>
  </r>
  <r>
    <x v="2"/>
    <x v="1"/>
    <s v="S12000011"/>
    <x v="6"/>
    <n v="0"/>
    <n v="0"/>
    <n v="0"/>
    <n v="0"/>
  </r>
  <r>
    <x v="2"/>
    <x v="1"/>
    <s v="S12000013"/>
    <x v="7"/>
    <n v="140.25"/>
    <n v="15.5"/>
    <n v="26.5"/>
    <n v="98.25"/>
  </r>
  <r>
    <x v="2"/>
    <x v="1"/>
    <s v="S12000014"/>
    <x v="8"/>
    <n v="51.75"/>
    <n v="4.5"/>
    <n v="6.75"/>
    <n v="40.5"/>
  </r>
  <r>
    <x v="2"/>
    <x v="1"/>
    <s v="S12000017"/>
    <x v="9"/>
    <n v="512.75"/>
    <n v="52.25"/>
    <n v="100.25"/>
    <n v="360.25"/>
  </r>
  <r>
    <x v="2"/>
    <x v="1"/>
    <s v="S12000018"/>
    <x v="10"/>
    <n v="33.5"/>
    <n v="3"/>
    <n v="3.75"/>
    <n v="26.75"/>
  </r>
  <r>
    <x v="2"/>
    <x v="1"/>
    <s v="S12000019"/>
    <x v="11"/>
    <n v="11.75"/>
    <n v="1"/>
    <n v="1.75"/>
    <n v="9"/>
  </r>
  <r>
    <x v="2"/>
    <x v="1"/>
    <s v="S12000020"/>
    <x v="12"/>
    <n v="111.75"/>
    <n v="10"/>
    <n v="23"/>
    <n v="78.75"/>
  </r>
  <r>
    <x v="2"/>
    <x v="1"/>
    <s v="S12000021"/>
    <x v="13"/>
    <n v="82.5"/>
    <n v="8.5"/>
    <n v="15.5"/>
    <n v="58.5"/>
  </r>
  <r>
    <x v="2"/>
    <x v="1"/>
    <s v="S12000023"/>
    <x v="14"/>
    <n v="107.25"/>
    <n v="12"/>
    <n v="25"/>
    <n v="70.25"/>
  </r>
  <r>
    <x v="2"/>
    <x v="1"/>
    <s v="S12000024"/>
    <x v="15"/>
    <n v="116.75"/>
    <n v="12.75"/>
    <n v="24.25"/>
    <n v="79.75"/>
  </r>
  <r>
    <x v="2"/>
    <x v="1"/>
    <s v="S12000026"/>
    <x v="16"/>
    <n v="132.25"/>
    <n v="13.25"/>
    <n v="22.75"/>
    <n v="96.25"/>
  </r>
  <r>
    <x v="2"/>
    <x v="1"/>
    <s v="S12000027"/>
    <x v="17"/>
    <n v="119"/>
    <n v="11.25"/>
    <n v="28"/>
    <n v="79.75"/>
  </r>
  <r>
    <x v="2"/>
    <x v="1"/>
    <s v="S12000028"/>
    <x v="18"/>
    <n v="49"/>
    <n v="5"/>
    <n v="8.25"/>
    <n v="35.75"/>
  </r>
  <r>
    <x v="2"/>
    <x v="1"/>
    <s v="S12000029"/>
    <x v="19"/>
    <n v="76.75"/>
    <n v="8.75"/>
    <n v="8"/>
    <n v="60"/>
  </r>
  <r>
    <x v="2"/>
    <x v="1"/>
    <s v="S12000030"/>
    <x v="20"/>
    <n v="58.5"/>
    <n v="7.25"/>
    <n v="11"/>
    <n v="40.25"/>
  </r>
  <r>
    <x v="2"/>
    <x v="1"/>
    <s v="S12000033"/>
    <x v="21"/>
    <n v="6.5"/>
    <n v="1"/>
    <n v="1.75"/>
    <n v="3.75"/>
  </r>
  <r>
    <x v="2"/>
    <x v="1"/>
    <s v="S12000034"/>
    <x v="22"/>
    <n v="253.25"/>
    <n v="25.25"/>
    <n v="56"/>
    <n v="172"/>
  </r>
  <r>
    <x v="2"/>
    <x v="1"/>
    <s v="S12000035"/>
    <x v="23"/>
    <n v="166.5"/>
    <n v="14.75"/>
    <n v="22.75"/>
    <n v="129"/>
  </r>
  <r>
    <x v="2"/>
    <x v="1"/>
    <s v="S12000036"/>
    <x v="24"/>
    <n v="10.5"/>
    <n v="0.75"/>
    <n v="1.75"/>
    <n v="8"/>
  </r>
  <r>
    <x v="2"/>
    <x v="1"/>
    <s v="S12000038"/>
    <x v="25"/>
    <n v="11.75"/>
    <n v="1"/>
    <n v="2"/>
    <n v="8.75"/>
  </r>
  <r>
    <x v="2"/>
    <x v="1"/>
    <s v="S12000039"/>
    <x v="26"/>
    <n v="18.5"/>
    <n v="1.75"/>
    <n v="1"/>
    <n v="15.75"/>
  </r>
  <r>
    <x v="2"/>
    <x v="1"/>
    <s v="S12000040"/>
    <x v="27"/>
    <n v="53"/>
    <n v="5"/>
    <n v="10"/>
    <n v="38"/>
  </r>
  <r>
    <x v="2"/>
    <x v="1"/>
    <s v="S12000041"/>
    <x v="28"/>
    <n v="83.5"/>
    <n v="7"/>
    <n v="18"/>
    <n v="58.5"/>
  </r>
  <r>
    <x v="2"/>
    <x v="1"/>
    <s v="S12000042"/>
    <x v="29"/>
    <n v="11.75"/>
    <n v="0.75"/>
    <n v="2.75"/>
    <n v="8.25"/>
  </r>
  <r>
    <x v="2"/>
    <x v="1"/>
    <s v="S12000044"/>
    <x v="30"/>
    <n v="28.25"/>
    <n v="2.5"/>
    <n v="3"/>
    <n v="22.75"/>
  </r>
  <r>
    <x v="2"/>
    <x v="1"/>
    <s v="S12000045"/>
    <x v="31"/>
    <n v="0"/>
    <n v="0"/>
    <n v="0"/>
    <n v="0"/>
  </r>
  <r>
    <x v="2"/>
    <x v="1"/>
    <s v="S12000046"/>
    <x v="32"/>
    <n v="0"/>
    <n v="0"/>
    <n v="0"/>
    <n v="0"/>
  </r>
  <r>
    <x v="2"/>
    <x v="1"/>
    <s v="S12000047"/>
    <x v="33"/>
    <n v="94"/>
    <n v="9.75"/>
    <n v="18.75"/>
    <n v="65.5"/>
  </r>
  <r>
    <x v="3"/>
    <x v="1"/>
    <s v=""/>
    <x v="1"/>
    <n v="2527"/>
    <n v="248"/>
    <n v="486"/>
    <n v="1793"/>
  </r>
  <r>
    <x v="3"/>
    <x v="1"/>
    <s v="S12000005"/>
    <x v="2"/>
    <n v="16.25"/>
    <n v="2"/>
    <n v="3"/>
    <n v="11.25"/>
  </r>
  <r>
    <x v="3"/>
    <x v="1"/>
    <s v="S12000006"/>
    <x v="3"/>
    <n v="169"/>
    <n v="14.5"/>
    <n v="30.75"/>
    <n v="123.75"/>
  </r>
  <r>
    <x v="3"/>
    <x v="1"/>
    <s v="S12000008"/>
    <x v="4"/>
    <n v="71"/>
    <n v="6.25"/>
    <n v="8.75"/>
    <n v="56"/>
  </r>
  <r>
    <x v="3"/>
    <x v="1"/>
    <s v="S12000010"/>
    <x v="5"/>
    <n v="45.25"/>
    <n v="4"/>
    <n v="9.75"/>
    <n v="31.5"/>
  </r>
  <r>
    <x v="3"/>
    <x v="1"/>
    <s v="S12000011"/>
    <x v="6"/>
    <n v="1"/>
    <n v="0"/>
    <n v="0"/>
    <n v="1"/>
  </r>
  <r>
    <x v="3"/>
    <x v="1"/>
    <s v="S12000013"/>
    <x v="7"/>
    <n v="134.25"/>
    <n v="11.75"/>
    <n v="33"/>
    <n v="89.5"/>
  </r>
  <r>
    <x v="3"/>
    <x v="1"/>
    <s v="S12000014"/>
    <x v="8"/>
    <n v="39.75"/>
    <n v="3.75"/>
    <n v="7"/>
    <n v="29"/>
  </r>
  <r>
    <x v="3"/>
    <x v="1"/>
    <s v="S12000017"/>
    <x v="9"/>
    <n v="489.75"/>
    <n v="51"/>
    <n v="102.5"/>
    <n v="336.25"/>
  </r>
  <r>
    <x v="3"/>
    <x v="1"/>
    <s v="S12000018"/>
    <x v="10"/>
    <n v="33.75"/>
    <n v="3.5"/>
    <n v="5.5"/>
    <n v="24.75"/>
  </r>
  <r>
    <x v="3"/>
    <x v="1"/>
    <s v="S12000019"/>
    <x v="11"/>
    <n v="9.25"/>
    <n v="1"/>
    <n v="1.75"/>
    <n v="6.5"/>
  </r>
  <r>
    <x v="3"/>
    <x v="1"/>
    <s v="S12000020"/>
    <x v="12"/>
    <n v="97.25"/>
    <n v="11"/>
    <n v="21"/>
    <n v="65.25"/>
  </r>
  <r>
    <x v="3"/>
    <x v="1"/>
    <s v="S12000021"/>
    <x v="13"/>
    <n v="91.5"/>
    <n v="9"/>
    <n v="10"/>
    <n v="72.5"/>
  </r>
  <r>
    <x v="3"/>
    <x v="1"/>
    <s v="S12000023"/>
    <x v="14"/>
    <n v="96.5"/>
    <n v="12"/>
    <n v="18.75"/>
    <n v="65.75"/>
  </r>
  <r>
    <x v="3"/>
    <x v="1"/>
    <s v="S12000024"/>
    <x v="15"/>
    <n v="110.5"/>
    <n v="8.75"/>
    <n v="22.5"/>
    <n v="79.25"/>
  </r>
  <r>
    <x v="3"/>
    <x v="1"/>
    <s v="S12000026"/>
    <x v="16"/>
    <n v="123.25"/>
    <n v="11.5"/>
    <n v="22.5"/>
    <n v="89.25"/>
  </r>
  <r>
    <x v="3"/>
    <x v="1"/>
    <s v="S12000027"/>
    <x v="17"/>
    <n v="116.75"/>
    <n v="13.25"/>
    <n v="23.25"/>
    <n v="80.25"/>
  </r>
  <r>
    <x v="3"/>
    <x v="1"/>
    <s v="S12000028"/>
    <x v="18"/>
    <n v="46"/>
    <n v="4.75"/>
    <n v="5.75"/>
    <n v="35.5"/>
  </r>
  <r>
    <x v="3"/>
    <x v="1"/>
    <s v="S12000029"/>
    <x v="19"/>
    <n v="64"/>
    <n v="7.75"/>
    <n v="8.75"/>
    <n v="47.5"/>
  </r>
  <r>
    <x v="3"/>
    <x v="1"/>
    <s v="S12000030"/>
    <x v="20"/>
    <n v="62.25"/>
    <n v="8.25"/>
    <n v="15"/>
    <n v="39"/>
  </r>
  <r>
    <x v="3"/>
    <x v="1"/>
    <s v="S12000033"/>
    <x v="21"/>
    <n v="15.25"/>
    <n v="1.75"/>
    <n v="5.5"/>
    <n v="8"/>
  </r>
  <r>
    <x v="3"/>
    <x v="1"/>
    <s v="S12000034"/>
    <x v="22"/>
    <n v="226.25"/>
    <n v="24"/>
    <n v="56.25"/>
    <n v="146"/>
  </r>
  <r>
    <x v="3"/>
    <x v="1"/>
    <s v="S12000035"/>
    <x v="23"/>
    <n v="171.39285714285714"/>
    <n v="11.75"/>
    <n v="24.75"/>
    <n v="134.89285714285714"/>
  </r>
  <r>
    <x v="3"/>
    <x v="1"/>
    <s v="S12000036"/>
    <x v="24"/>
    <n v="10"/>
    <n v="1"/>
    <n v="1.75"/>
    <n v="7.25"/>
  </r>
  <r>
    <x v="3"/>
    <x v="1"/>
    <s v="S12000038"/>
    <x v="25"/>
    <n v="10.5"/>
    <n v="1"/>
    <n v="1"/>
    <n v="8.5"/>
  </r>
  <r>
    <x v="3"/>
    <x v="1"/>
    <s v="S12000039"/>
    <x v="26"/>
    <n v="16.75"/>
    <n v="1.75"/>
    <n v="1.75"/>
    <n v="13.25"/>
  </r>
  <r>
    <x v="3"/>
    <x v="1"/>
    <s v="S12000040"/>
    <x v="27"/>
    <n v="44.25"/>
    <n v="4.25"/>
    <n v="8.25"/>
    <n v="31.75"/>
  </r>
  <r>
    <x v="3"/>
    <x v="1"/>
    <s v="S12000041"/>
    <x v="28"/>
    <n v="82"/>
    <n v="6"/>
    <n v="13.5"/>
    <n v="62.5"/>
  </r>
  <r>
    <x v="3"/>
    <x v="1"/>
    <s v="S12000042"/>
    <x v="29"/>
    <n v="9.5"/>
    <n v="0.75"/>
    <n v="2.5"/>
    <n v="6.25"/>
  </r>
  <r>
    <x v="3"/>
    <x v="1"/>
    <s v="S12000044"/>
    <x v="30"/>
    <n v="27"/>
    <n v="2.5"/>
    <n v="2.5"/>
    <n v="22"/>
  </r>
  <r>
    <x v="3"/>
    <x v="1"/>
    <s v="S12000045"/>
    <x v="31"/>
    <n v="0"/>
    <n v="0"/>
    <n v="0"/>
    <n v="0"/>
  </r>
  <r>
    <x v="3"/>
    <x v="1"/>
    <s v="S12000046"/>
    <x v="32"/>
    <n v="3.25"/>
    <n v="0"/>
    <n v="0"/>
    <n v="3.25"/>
  </r>
  <r>
    <x v="3"/>
    <x v="1"/>
    <s v="S12000047"/>
    <x v="33"/>
    <n v="93.37"/>
    <n v="9"/>
    <n v="18.93"/>
    <n v="65.44"/>
  </r>
  <r>
    <x v="4"/>
    <x v="1"/>
    <s v=""/>
    <x v="1"/>
    <n v="2545"/>
    <n v="246"/>
    <n v="499"/>
    <n v="1800"/>
  </r>
  <r>
    <x v="4"/>
    <x v="1"/>
    <s v="S12000005"/>
    <x v="2"/>
    <n v="17"/>
    <n v="2"/>
    <n v="2"/>
    <n v="13"/>
  </r>
  <r>
    <x v="4"/>
    <x v="1"/>
    <s v="S12000006"/>
    <x v="3"/>
    <n v="177"/>
    <n v="14"/>
    <n v="34"/>
    <n v="129"/>
  </r>
  <r>
    <x v="4"/>
    <x v="1"/>
    <s v="S12000008"/>
    <x v="4"/>
    <n v="69"/>
    <n v="6"/>
    <n v="9"/>
    <n v="54"/>
  </r>
  <r>
    <x v="4"/>
    <x v="1"/>
    <s v="S12000010"/>
    <x v="5"/>
    <n v="45"/>
    <n v="4"/>
    <n v="11"/>
    <n v="30"/>
  </r>
  <r>
    <x v="4"/>
    <x v="1"/>
    <s v="S12000011"/>
    <x v="6"/>
    <n v="0"/>
    <n v="0"/>
    <n v="0"/>
    <n v="0"/>
  </r>
  <r>
    <x v="4"/>
    <x v="1"/>
    <s v="S12000013"/>
    <x v="7"/>
    <n v="130"/>
    <n v="12"/>
    <n v="32"/>
    <n v="86"/>
  </r>
  <r>
    <x v="4"/>
    <x v="1"/>
    <s v="S12000014"/>
    <x v="8"/>
    <n v="39"/>
    <n v="3"/>
    <n v="7"/>
    <n v="29"/>
  </r>
  <r>
    <x v="4"/>
    <x v="1"/>
    <s v="S12000017"/>
    <x v="9"/>
    <n v="485"/>
    <n v="50"/>
    <n v="97"/>
    <n v="338"/>
  </r>
  <r>
    <x v="4"/>
    <x v="1"/>
    <s v="S12000018"/>
    <x v="10"/>
    <n v="31"/>
    <n v="2"/>
    <n v="5"/>
    <n v="24"/>
  </r>
  <r>
    <x v="4"/>
    <x v="1"/>
    <s v="S12000019"/>
    <x v="11"/>
    <n v="8"/>
    <n v="1"/>
    <n v="1"/>
    <n v="6"/>
  </r>
  <r>
    <x v="4"/>
    <x v="1"/>
    <s v="S12000020"/>
    <x v="12"/>
    <n v="112"/>
    <n v="11"/>
    <n v="22"/>
    <n v="79"/>
  </r>
  <r>
    <x v="4"/>
    <x v="1"/>
    <s v="S12000021"/>
    <x v="13"/>
    <n v="89"/>
    <n v="9"/>
    <n v="10"/>
    <n v="70"/>
  </r>
  <r>
    <x v="4"/>
    <x v="1"/>
    <s v="S12000023"/>
    <x v="14"/>
    <n v="92"/>
    <n v="11"/>
    <n v="20"/>
    <n v="61"/>
  </r>
  <r>
    <x v="4"/>
    <x v="1"/>
    <s v="S12000024"/>
    <x v="15"/>
    <n v="107"/>
    <n v="8"/>
    <n v="21"/>
    <n v="78"/>
  </r>
  <r>
    <x v="4"/>
    <x v="1"/>
    <s v="S12000026"/>
    <x v="16"/>
    <n v="118"/>
    <n v="12"/>
    <n v="23"/>
    <n v="83"/>
  </r>
  <r>
    <x v="4"/>
    <x v="1"/>
    <s v="S12000027"/>
    <x v="17"/>
    <n v="112"/>
    <n v="11"/>
    <n v="25"/>
    <n v="76"/>
  </r>
  <r>
    <x v="4"/>
    <x v="1"/>
    <s v="S12000028"/>
    <x v="18"/>
    <n v="42"/>
    <n v="5"/>
    <n v="7"/>
    <n v="30"/>
  </r>
  <r>
    <x v="4"/>
    <x v="1"/>
    <s v="S12000029"/>
    <x v="19"/>
    <n v="64"/>
    <n v="7"/>
    <n v="8"/>
    <n v="49"/>
  </r>
  <r>
    <x v="4"/>
    <x v="1"/>
    <s v="S12000030"/>
    <x v="20"/>
    <n v="63"/>
    <n v="7"/>
    <n v="15"/>
    <n v="41"/>
  </r>
  <r>
    <x v="4"/>
    <x v="1"/>
    <s v="S12000033"/>
    <x v="21"/>
    <n v="5"/>
    <n v="1"/>
    <n v="1"/>
    <n v="3"/>
  </r>
  <r>
    <x v="4"/>
    <x v="1"/>
    <s v="S12000034"/>
    <x v="22"/>
    <n v="250"/>
    <n v="24"/>
    <n v="61"/>
    <n v="165"/>
  </r>
  <r>
    <x v="4"/>
    <x v="1"/>
    <s v="S12000035"/>
    <x v="23"/>
    <n v="171"/>
    <n v="13"/>
    <n v="25"/>
    <n v="133"/>
  </r>
  <r>
    <x v="4"/>
    <x v="1"/>
    <s v="S12000036"/>
    <x v="24"/>
    <n v="9"/>
    <n v="1"/>
    <n v="1"/>
    <n v="7"/>
  </r>
  <r>
    <x v="4"/>
    <x v="1"/>
    <s v="S12000038"/>
    <x v="25"/>
    <n v="10"/>
    <n v="1"/>
    <n v="1"/>
    <n v="8"/>
  </r>
  <r>
    <x v="4"/>
    <x v="1"/>
    <s v="S12000039"/>
    <x v="26"/>
    <n v="12"/>
    <n v="0"/>
    <n v="0"/>
    <n v="12"/>
  </r>
  <r>
    <x v="4"/>
    <x v="1"/>
    <s v="S12000040"/>
    <x v="27"/>
    <n v="48"/>
    <n v="4"/>
    <n v="9"/>
    <n v="35"/>
  </r>
  <r>
    <x v="4"/>
    <x v="1"/>
    <s v="S12000041"/>
    <x v="28"/>
    <n v="78"/>
    <n v="6"/>
    <n v="14"/>
    <n v="58"/>
  </r>
  <r>
    <x v="4"/>
    <x v="1"/>
    <s v="S12000042"/>
    <x v="29"/>
    <n v="11"/>
    <n v="1"/>
    <n v="2"/>
    <n v="8"/>
  </r>
  <r>
    <x v="4"/>
    <x v="1"/>
    <s v="S12000044"/>
    <x v="30"/>
    <n v="25"/>
    <n v="3"/>
    <n v="5"/>
    <n v="17"/>
  </r>
  <r>
    <x v="4"/>
    <x v="1"/>
    <s v="S12000045"/>
    <x v="31"/>
    <n v="0"/>
    <n v="0"/>
    <n v="0"/>
    <n v="0"/>
  </r>
  <r>
    <x v="4"/>
    <x v="1"/>
    <s v="S12000046"/>
    <x v="32"/>
    <n v="0"/>
    <n v="0"/>
    <n v="0"/>
    <n v="0"/>
  </r>
  <r>
    <x v="4"/>
    <x v="1"/>
    <s v="S12000047"/>
    <x v="33"/>
    <n v="93"/>
    <n v="9"/>
    <n v="18"/>
    <n v="66"/>
  </r>
  <r>
    <x v="5"/>
    <x v="1"/>
    <s v=""/>
    <x v="1"/>
    <n v="2545"/>
    <n v="246"/>
    <n v="477"/>
    <n v="1822"/>
  </r>
  <r>
    <x v="5"/>
    <x v="1"/>
    <s v="S12000005"/>
    <x v="2"/>
    <n v="17"/>
    <n v="2"/>
    <n v="2"/>
    <n v="13"/>
  </r>
  <r>
    <x v="5"/>
    <x v="1"/>
    <s v="S12000006"/>
    <x v="3"/>
    <n v="167"/>
    <n v="14"/>
    <n v="31"/>
    <n v="122"/>
  </r>
  <r>
    <x v="5"/>
    <x v="1"/>
    <s v="S12000008"/>
    <x v="4"/>
    <n v="69"/>
    <n v="6"/>
    <n v="7"/>
    <n v="56"/>
  </r>
  <r>
    <x v="5"/>
    <x v="1"/>
    <s v="S12000010"/>
    <x v="5"/>
    <n v="48"/>
    <n v="5"/>
    <n v="9"/>
    <n v="34"/>
  </r>
  <r>
    <x v="5"/>
    <x v="1"/>
    <s v="S12000013"/>
    <x v="7"/>
    <n v="125"/>
    <n v="13"/>
    <n v="24"/>
    <n v="88"/>
  </r>
  <r>
    <x v="5"/>
    <x v="1"/>
    <s v="S12000014"/>
    <x v="8"/>
    <n v="40"/>
    <n v="4"/>
    <n v="8"/>
    <n v="28"/>
  </r>
  <r>
    <x v="5"/>
    <x v="1"/>
    <s v="S12000017"/>
    <x v="9"/>
    <n v="494"/>
    <n v="53"/>
    <n v="101"/>
    <n v="340"/>
  </r>
  <r>
    <x v="5"/>
    <x v="1"/>
    <s v="S12000018"/>
    <x v="10"/>
    <n v="34"/>
    <n v="3"/>
    <n v="5"/>
    <n v="26"/>
  </r>
  <r>
    <x v="5"/>
    <x v="1"/>
    <s v="S12000019"/>
    <x v="11"/>
    <n v="10"/>
    <n v="1"/>
    <n v="2"/>
    <n v="7"/>
  </r>
  <r>
    <x v="5"/>
    <x v="1"/>
    <s v="S12000020"/>
    <x v="12"/>
    <n v="111"/>
    <n v="11"/>
    <n v="24"/>
    <n v="76"/>
  </r>
  <r>
    <x v="5"/>
    <x v="1"/>
    <s v="S12000021"/>
    <x v="13"/>
    <n v="92"/>
    <n v="10"/>
    <n v="9"/>
    <n v="73"/>
  </r>
  <r>
    <x v="5"/>
    <x v="1"/>
    <s v="S12000023"/>
    <x v="14"/>
    <n v="99"/>
    <n v="9"/>
    <n v="22"/>
    <n v="68"/>
  </r>
  <r>
    <x v="5"/>
    <x v="1"/>
    <s v="S12000024"/>
    <x v="15"/>
    <n v="110"/>
    <n v="8"/>
    <n v="22"/>
    <n v="80"/>
  </r>
  <r>
    <x v="5"/>
    <x v="1"/>
    <s v="S12000026"/>
    <x v="16"/>
    <n v="118"/>
    <n v="12"/>
    <n v="24"/>
    <n v="82"/>
  </r>
  <r>
    <x v="5"/>
    <x v="1"/>
    <s v="S12000027"/>
    <x v="17"/>
    <n v="110"/>
    <n v="11"/>
    <n v="23"/>
    <n v="76"/>
  </r>
  <r>
    <x v="5"/>
    <x v="1"/>
    <s v="S12000028"/>
    <x v="18"/>
    <n v="44"/>
    <n v="5"/>
    <n v="5"/>
    <n v="34"/>
  </r>
  <r>
    <x v="5"/>
    <x v="1"/>
    <s v="S12000029"/>
    <x v="19"/>
    <n v="66"/>
    <n v="9"/>
    <n v="7"/>
    <n v="50"/>
  </r>
  <r>
    <x v="5"/>
    <x v="1"/>
    <s v="S12000030"/>
    <x v="20"/>
    <n v="66"/>
    <n v="8"/>
    <n v="14"/>
    <n v="44"/>
  </r>
  <r>
    <x v="5"/>
    <x v="1"/>
    <s v="S12000033"/>
    <x v="21"/>
    <n v="6"/>
    <n v="1"/>
    <n v="1"/>
    <n v="4"/>
  </r>
  <r>
    <x v="5"/>
    <x v="1"/>
    <s v="S12000034"/>
    <x v="22"/>
    <n v="248"/>
    <n v="23"/>
    <n v="63"/>
    <n v="162"/>
  </r>
  <r>
    <x v="5"/>
    <x v="1"/>
    <s v="S12000035"/>
    <x v="23"/>
    <n v="166"/>
    <n v="14"/>
    <n v="24"/>
    <n v="128"/>
  </r>
  <r>
    <x v="5"/>
    <x v="1"/>
    <s v="S12000036"/>
    <x v="24"/>
    <n v="8"/>
    <n v="1"/>
    <n v="1"/>
    <n v="6"/>
  </r>
  <r>
    <x v="5"/>
    <x v="1"/>
    <s v="S12000038"/>
    <x v="25"/>
    <n v="13"/>
    <n v="1"/>
    <n v="2"/>
    <n v="10"/>
  </r>
  <r>
    <x v="5"/>
    <x v="1"/>
    <s v="S12000039"/>
    <x v="26"/>
    <n v="16"/>
    <n v="2"/>
    <n v="2"/>
    <n v="12"/>
  </r>
  <r>
    <x v="5"/>
    <x v="1"/>
    <s v="S12000040"/>
    <x v="27"/>
    <n v="49"/>
    <n v="4"/>
    <n v="9"/>
    <n v="36"/>
  </r>
  <r>
    <x v="5"/>
    <x v="1"/>
    <s v="S12000041"/>
    <x v="28"/>
    <n v="80"/>
    <n v="6"/>
    <n v="14"/>
    <n v="60"/>
  </r>
  <r>
    <x v="5"/>
    <x v="1"/>
    <s v="S12000042"/>
    <x v="29"/>
    <n v="12"/>
    <n v="1"/>
    <n v="2"/>
    <n v="9"/>
  </r>
  <r>
    <x v="5"/>
    <x v="1"/>
    <s v="S12000044"/>
    <x v="30"/>
    <n v="28"/>
    <n v="2"/>
    <n v="5"/>
    <n v="21"/>
  </r>
  <r>
    <x v="5"/>
    <x v="1"/>
    <s v="S12000047"/>
    <x v="33"/>
    <n v="102"/>
    <n v="9"/>
    <n v="18"/>
    <n v="75"/>
  </r>
  <r>
    <x v="6"/>
    <x v="1"/>
    <m/>
    <x v="1"/>
    <n v="2583.98"/>
    <n v="241.25"/>
    <n v="478.93"/>
    <n v="1863.8"/>
  </r>
  <r>
    <x v="6"/>
    <x v="1"/>
    <s v="S12000005"/>
    <x v="2"/>
    <n v="15"/>
    <n v="1.25"/>
    <n v="2.75"/>
    <n v="11"/>
  </r>
  <r>
    <x v="6"/>
    <x v="1"/>
    <s v="S12000006"/>
    <x v="3"/>
    <n v="173.25"/>
    <n v="15.25"/>
    <n v="31"/>
    <n v="127"/>
  </r>
  <r>
    <x v="6"/>
    <x v="1"/>
    <s v="S12000008"/>
    <x v="4"/>
    <n v="62"/>
    <n v="4.5"/>
    <n v="8.25"/>
    <n v="49.25"/>
  </r>
  <r>
    <x v="6"/>
    <x v="1"/>
    <s v="S12000010"/>
    <x v="5"/>
    <n v="51"/>
    <n v="4"/>
    <n v="10.5"/>
    <n v="36.5"/>
  </r>
  <r>
    <x v="6"/>
    <x v="1"/>
    <s v="S12000013"/>
    <x v="7"/>
    <n v="126.75"/>
    <n v="12.5"/>
    <n v="24.25"/>
    <n v="90"/>
  </r>
  <r>
    <x v="6"/>
    <x v="1"/>
    <s v="S12000014"/>
    <x v="8"/>
    <n v="41"/>
    <n v="4"/>
    <n v="7.75"/>
    <n v="29.25"/>
  </r>
  <r>
    <x v="6"/>
    <x v="1"/>
    <s v="S12000017"/>
    <x v="9"/>
    <n v="503"/>
    <n v="53.5"/>
    <n v="96.25"/>
    <n v="353.25"/>
  </r>
  <r>
    <x v="6"/>
    <x v="1"/>
    <s v="S12000018"/>
    <x v="10"/>
    <n v="36.5"/>
    <n v="2.75"/>
    <n v="4.75"/>
    <n v="29"/>
  </r>
  <r>
    <x v="6"/>
    <x v="1"/>
    <s v="S12000019"/>
    <x v="11"/>
    <n v="11"/>
    <n v="1"/>
    <n v="2.5"/>
    <n v="7.5"/>
  </r>
  <r>
    <x v="6"/>
    <x v="1"/>
    <s v="S12000020"/>
    <x v="12"/>
    <n v="109.25"/>
    <n v="10.25"/>
    <n v="24.25"/>
    <n v="74.75"/>
  </r>
  <r>
    <x v="6"/>
    <x v="1"/>
    <s v="S12000021"/>
    <x v="13"/>
    <n v="90.75"/>
    <n v="10.75"/>
    <n v="9.5"/>
    <n v="70.5"/>
  </r>
  <r>
    <x v="6"/>
    <x v="1"/>
    <s v="S12000023"/>
    <x v="14"/>
    <n v="106.5"/>
    <n v="8.5"/>
    <n v="23"/>
    <n v="75"/>
  </r>
  <r>
    <x v="6"/>
    <x v="1"/>
    <s v="S12000026"/>
    <x v="16"/>
    <n v="117.75"/>
    <n v="11"/>
    <n v="24.75"/>
    <n v="82"/>
  </r>
  <r>
    <x v="6"/>
    <x v="1"/>
    <s v="S12000027"/>
    <x v="17"/>
    <n v="118.25"/>
    <n v="11.75"/>
    <n v="23.75"/>
    <n v="82.75"/>
  </r>
  <r>
    <x v="6"/>
    <x v="1"/>
    <s v="S12000028"/>
    <x v="18"/>
    <n v="50.75"/>
    <n v="5"/>
    <n v="6.25"/>
    <n v="39.5"/>
  </r>
  <r>
    <x v="6"/>
    <x v="1"/>
    <s v="S12000029"/>
    <x v="19"/>
    <n v="65.25"/>
    <n v="7.25"/>
    <n v="7.25"/>
    <n v="50.75"/>
  </r>
  <r>
    <x v="6"/>
    <x v="1"/>
    <s v="S12000030"/>
    <x v="20"/>
    <n v="66.5"/>
    <n v="7.5"/>
    <n v="14.25"/>
    <n v="44.75"/>
  </r>
  <r>
    <x v="6"/>
    <x v="1"/>
    <s v="S12000033"/>
    <x v="21"/>
    <n v="6.75"/>
    <n v="1"/>
    <n v="2.5"/>
    <n v="3.25"/>
  </r>
  <r>
    <x v="6"/>
    <x v="1"/>
    <s v="S12000034"/>
    <x v="22"/>
    <n v="255.25"/>
    <n v="22.5"/>
    <n v="62.5"/>
    <n v="170.25"/>
  </r>
  <r>
    <x v="6"/>
    <x v="1"/>
    <s v="S12000035"/>
    <x v="23"/>
    <n v="163.75"/>
    <n v="13.25"/>
    <n v="23"/>
    <n v="127.5"/>
  </r>
  <r>
    <x v="6"/>
    <x v="1"/>
    <s v="S12000036"/>
    <x v="24"/>
    <m/>
    <m/>
    <n v="1.25"/>
    <n v="4.25"/>
  </r>
  <r>
    <x v="6"/>
    <x v="1"/>
    <s v="S12000038"/>
    <x v="25"/>
    <n v="12.25"/>
    <n v="0.75"/>
    <n v="1.5"/>
    <n v="10"/>
  </r>
  <r>
    <x v="6"/>
    <x v="1"/>
    <s v="S12000039"/>
    <x v="26"/>
    <n v="17.5"/>
    <n v="1.75"/>
    <n v="1.5"/>
    <n v="14.25"/>
  </r>
  <r>
    <x v="6"/>
    <x v="1"/>
    <s v="S12000040"/>
    <x v="27"/>
    <n v="45.25"/>
    <n v="3.75"/>
    <n v="8.75"/>
    <n v="32.75"/>
  </r>
  <r>
    <x v="6"/>
    <x v="1"/>
    <s v="S12000041"/>
    <x v="28"/>
    <n v="84"/>
    <n v="6"/>
    <n v="12.5"/>
    <n v="65.5"/>
  </r>
  <r>
    <x v="6"/>
    <x v="1"/>
    <s v="S12000042"/>
    <x v="29"/>
    <n v="10.25"/>
    <n v="1"/>
    <n v="1.5"/>
    <n v="7.75"/>
  </r>
  <r>
    <x v="6"/>
    <x v="1"/>
    <s v="S12000044"/>
    <x v="30"/>
    <n v="25.5"/>
    <n v="2.5"/>
    <n v="4.75"/>
    <n v="18.25"/>
  </r>
  <r>
    <x v="6"/>
    <x v="1"/>
    <s v="S12000047"/>
    <x v="33"/>
    <n v="101.48"/>
    <n v="8.75"/>
    <n v="17.929999999999996"/>
    <n v="74.800000000000011"/>
  </r>
  <r>
    <x v="6"/>
    <x v="1"/>
    <s v="S12000048"/>
    <x v="15"/>
    <n v="112"/>
    <n v="9.25"/>
    <n v="20.25"/>
    <n v="82.5"/>
  </r>
  <r>
    <x v="7"/>
    <x v="1"/>
    <m/>
    <x v="1"/>
    <n v="2551.73"/>
    <n v="236.5"/>
    <n v="459.93"/>
    <n v="1855.3"/>
  </r>
  <r>
    <x v="7"/>
    <x v="1"/>
    <s v="S40000003"/>
    <x v="23"/>
    <n v="160.5"/>
    <n v="11.75"/>
    <n v="22.25"/>
    <n v="126.5"/>
  </r>
  <r>
    <x v="7"/>
    <x v="1"/>
    <s v="S40000003"/>
    <x v="3"/>
    <n v="163"/>
    <n v="14.25"/>
    <n v="29.75"/>
    <n v="119"/>
  </r>
  <r>
    <x v="7"/>
    <x v="1"/>
    <s v="S40000003"/>
    <x v="4"/>
    <n v="64"/>
    <n v="6"/>
    <n v="6.75"/>
    <n v="51.25"/>
  </r>
  <r>
    <x v="7"/>
    <x v="1"/>
    <s v="S40000003"/>
    <x v="10"/>
    <n v="34.5"/>
    <n v="2.75"/>
    <n v="4.75"/>
    <n v="27"/>
  </r>
  <r>
    <x v="7"/>
    <x v="1"/>
    <s v="S40000003"/>
    <x v="13"/>
    <n v="88.25"/>
    <n v="10.5"/>
    <n v="9.5"/>
    <n v="68.25"/>
  </r>
  <r>
    <x v="7"/>
    <x v="1"/>
    <s v="S40000003"/>
    <x v="30"/>
    <n v="27"/>
    <n v="2.5"/>
    <n v="3.75"/>
    <n v="20.75"/>
  </r>
  <r>
    <x v="7"/>
    <x v="1"/>
    <s v="S40000003"/>
    <x v="25"/>
    <n v="11"/>
    <n v="0.75"/>
    <n v="1.5"/>
    <n v="8.75"/>
  </r>
  <r>
    <x v="7"/>
    <x v="1"/>
    <s v="S40000003"/>
    <x v="18"/>
    <n v="46.5"/>
    <n v="4.5"/>
    <n v="6.5"/>
    <n v="35.5"/>
  </r>
  <r>
    <x v="7"/>
    <x v="1"/>
    <s v="S40000003"/>
    <x v="19"/>
    <n v="70.25"/>
    <n v="6.5"/>
    <n v="7.25"/>
    <n v="56.5"/>
  </r>
  <r>
    <x v="7"/>
    <x v="1"/>
    <s v="S40000003"/>
    <x v="26"/>
    <n v="16.25"/>
    <n v="1.5"/>
    <n v="1.5"/>
    <n v="13.25"/>
  </r>
  <r>
    <x v="7"/>
    <x v="1"/>
    <s v="S40000004"/>
    <x v="24"/>
    <n v="4.75"/>
    <n v="0.75"/>
    <n v="1"/>
    <n v="3"/>
  </r>
  <r>
    <x v="7"/>
    <x v="1"/>
    <s v="S40000004"/>
    <x v="2"/>
    <n v="19"/>
    <n v="2.25"/>
    <n v="3.5"/>
    <n v="13.25"/>
  </r>
  <r>
    <x v="7"/>
    <x v="1"/>
    <s v="S40000004"/>
    <x v="5"/>
    <n v="52.25"/>
    <n v="4"/>
    <n v="10.25"/>
    <n v="38"/>
  </r>
  <r>
    <x v="7"/>
    <x v="1"/>
    <s v="S40000004"/>
    <x v="8"/>
    <n v="42.5"/>
    <n v="3"/>
    <n v="7.5"/>
    <n v="32"/>
  </r>
  <r>
    <x v="7"/>
    <x v="1"/>
    <s v="S40000004"/>
    <x v="33"/>
    <n v="97.23"/>
    <n v="8.75"/>
    <n v="17.179999999999996"/>
    <n v="71.300000000000011"/>
  </r>
  <r>
    <x v="7"/>
    <x v="1"/>
    <s v="S40000004"/>
    <x v="11"/>
    <n v="10.5"/>
    <n v="1"/>
    <n v="1.5"/>
    <n v="8"/>
  </r>
  <r>
    <x v="7"/>
    <x v="1"/>
    <s v="S40000004"/>
    <x v="16"/>
    <n v="120.75"/>
    <n v="10.75"/>
    <n v="24.75"/>
    <n v="85.25"/>
  </r>
  <r>
    <x v="7"/>
    <x v="1"/>
    <s v="S40000004"/>
    <x v="20"/>
    <n v="65"/>
    <n v="8.25"/>
    <n v="12.75"/>
    <n v="44"/>
  </r>
  <r>
    <x v="7"/>
    <x v="1"/>
    <s v="S40000004"/>
    <x v="27"/>
    <n v="49.75"/>
    <n v="4.75"/>
    <n v="8.25"/>
    <n v="36.75"/>
  </r>
  <r>
    <x v="7"/>
    <x v="1"/>
    <s v="S40000005"/>
    <x v="21"/>
    <n v="6.5"/>
    <n v="1"/>
    <n v="2.5"/>
    <n v="3"/>
  </r>
  <r>
    <x v="7"/>
    <x v="1"/>
    <s v="S40000005"/>
    <x v="22"/>
    <n v="252.5"/>
    <n v="22.5"/>
    <n v="58"/>
    <n v="172"/>
  </r>
  <r>
    <x v="7"/>
    <x v="1"/>
    <s v="S40000005"/>
    <x v="28"/>
    <n v="86.5"/>
    <n v="6"/>
    <n v="13.75"/>
    <n v="66.75"/>
  </r>
  <r>
    <x v="7"/>
    <x v="1"/>
    <s v="S40000005"/>
    <x v="29"/>
    <n v="10.25"/>
    <n v="1"/>
    <n v="1.5"/>
    <n v="7.75"/>
  </r>
  <r>
    <x v="7"/>
    <x v="1"/>
    <s v="S40000005"/>
    <x v="9"/>
    <n v="476.75"/>
    <n v="49.5"/>
    <n v="87"/>
    <n v="340.25"/>
  </r>
  <r>
    <x v="7"/>
    <x v="1"/>
    <s v="S40000005"/>
    <x v="12"/>
    <n v="109"/>
    <n v="9.75"/>
    <n v="23.75"/>
    <n v="75.5"/>
  </r>
  <r>
    <x v="7"/>
    <x v="1"/>
    <s v="S40000005"/>
    <x v="7"/>
    <n v="127.75"/>
    <n v="13.5"/>
    <n v="28.75"/>
    <n v="85.5"/>
  </r>
  <r>
    <x v="7"/>
    <x v="1"/>
    <s v="S40000005"/>
    <x v="14"/>
    <n v="106.25"/>
    <n v="8.75"/>
    <n v="22"/>
    <n v="75.5"/>
  </r>
  <r>
    <x v="7"/>
    <x v="1"/>
    <s v="S40000005"/>
    <x v="15"/>
    <n v="112.25"/>
    <n v="9.25"/>
    <n v="19.75"/>
    <n v="83.25"/>
  </r>
  <r>
    <x v="7"/>
    <x v="1"/>
    <s v="S40000005"/>
    <x v="17"/>
    <n v="121"/>
    <n v="10.75"/>
    <n v="22.75"/>
    <n v="87.5"/>
  </r>
  <r>
    <x v="8"/>
    <x v="1"/>
    <m/>
    <x v="1"/>
    <n v="2482.48"/>
    <n v="236"/>
    <n v="461.93"/>
    <n v="1784.55"/>
  </r>
  <r>
    <x v="8"/>
    <x v="1"/>
    <s v="S40000002"/>
    <x v="2"/>
    <n v="20.25"/>
    <n v="1.5"/>
    <n v="2.75"/>
    <n v="16"/>
  </r>
  <r>
    <x v="8"/>
    <x v="1"/>
    <s v="S40000002"/>
    <x v="33"/>
    <n v="92.22999999999999"/>
    <n v="7.75"/>
    <n v="18.429999999999996"/>
    <n v="66.05"/>
  </r>
  <r>
    <x v="8"/>
    <x v="1"/>
    <s v="S40000002"/>
    <x v="20"/>
    <n v="64"/>
    <n v="7.75"/>
    <n v="13"/>
    <n v="43.25"/>
  </r>
  <r>
    <x v="8"/>
    <x v="1"/>
    <s v="S40000003"/>
    <x v="23"/>
    <n v="156"/>
    <n v="13"/>
    <n v="23.25"/>
    <n v="119.75"/>
  </r>
  <r>
    <x v="8"/>
    <x v="1"/>
    <s v="S40000003"/>
    <x v="3"/>
    <n v="159"/>
    <n v="14.25"/>
    <n v="31"/>
    <n v="113.75"/>
  </r>
  <r>
    <x v="8"/>
    <x v="1"/>
    <s v="S40000003"/>
    <x v="4"/>
    <n v="63.5"/>
    <n v="6"/>
    <n v="6.75"/>
    <n v="50.75"/>
  </r>
  <r>
    <x v="8"/>
    <x v="1"/>
    <s v="S40000003"/>
    <x v="10"/>
    <n v="35.75"/>
    <n v="2.25"/>
    <n v="4.75"/>
    <n v="28.75"/>
  </r>
  <r>
    <x v="8"/>
    <x v="1"/>
    <s v="S40000003"/>
    <x v="13"/>
    <n v="85"/>
    <n v="9.75"/>
    <n v="9.5"/>
    <n v="65.75"/>
  </r>
  <r>
    <x v="8"/>
    <x v="1"/>
    <s v="S40000003"/>
    <x v="30"/>
    <n v="27.25"/>
    <n v="2"/>
    <n v="4.5"/>
    <n v="20.75"/>
  </r>
  <r>
    <x v="8"/>
    <x v="1"/>
    <s v="S40000003"/>
    <x v="25"/>
    <n v="9.5"/>
    <n v="1.5"/>
    <n v="0.75"/>
    <n v="7.25"/>
  </r>
  <r>
    <x v="8"/>
    <x v="1"/>
    <s v="S40000003"/>
    <x v="18"/>
    <n v="43"/>
    <n v="3.5"/>
    <n v="5.75"/>
    <n v="33.75"/>
  </r>
  <r>
    <x v="8"/>
    <x v="1"/>
    <s v="S40000003"/>
    <x v="19"/>
    <n v="67"/>
    <n v="8.75"/>
    <n v="5.75"/>
    <n v="52.5"/>
  </r>
  <r>
    <x v="8"/>
    <x v="1"/>
    <s v="S40000003"/>
    <x v="26"/>
    <n v="18"/>
    <n v="1.5"/>
    <n v="1.5"/>
    <n v="15"/>
  </r>
  <r>
    <x v="8"/>
    <x v="1"/>
    <s v="S40000004"/>
    <x v="24"/>
    <n v="4.75"/>
    <n v="0.5"/>
    <n v="0.5"/>
    <n v="3.75"/>
  </r>
  <r>
    <x v="8"/>
    <x v="1"/>
    <s v="S40000004"/>
    <x v="5"/>
    <n v="50.75"/>
    <n v="4.25"/>
    <n v="10"/>
    <n v="36.5"/>
  </r>
  <r>
    <x v="8"/>
    <x v="1"/>
    <s v="S40000004"/>
    <x v="8"/>
    <n v="42"/>
    <n v="3.75"/>
    <n v="6.75"/>
    <n v="31.5"/>
  </r>
  <r>
    <x v="8"/>
    <x v="1"/>
    <s v="S40000004"/>
    <x v="11"/>
    <n v="9"/>
    <n v="1"/>
    <n v="1.5"/>
    <n v="6.5"/>
  </r>
  <r>
    <x v="8"/>
    <x v="1"/>
    <s v="S40000004"/>
    <x v="16"/>
    <n v="121.75"/>
    <n v="10.25"/>
    <n v="26.5"/>
    <n v="85"/>
  </r>
  <r>
    <x v="8"/>
    <x v="1"/>
    <s v="S40000004"/>
    <x v="27"/>
    <n v="44.75"/>
    <n v="5"/>
    <n v="7.25"/>
    <n v="32.5"/>
  </r>
  <r>
    <x v="8"/>
    <x v="1"/>
    <s v="S40000005"/>
    <x v="21"/>
    <n v="8.5"/>
    <n v="1"/>
    <n v="2.5"/>
    <n v="5"/>
  </r>
  <r>
    <x v="8"/>
    <x v="1"/>
    <s v="S40000005"/>
    <x v="22"/>
    <n v="251.75"/>
    <n v="22.75"/>
    <n v="60.25"/>
    <n v="168.75"/>
  </r>
  <r>
    <x v="8"/>
    <x v="1"/>
    <s v="S40000005"/>
    <x v="28"/>
    <n v="87.25"/>
    <n v="7"/>
    <n v="14"/>
    <n v="66.25"/>
  </r>
  <r>
    <x v="8"/>
    <x v="1"/>
    <s v="S40000005"/>
    <x v="29"/>
    <n v="9.5"/>
    <n v="1"/>
    <n v="1.5"/>
    <n v="7"/>
  </r>
  <r>
    <x v="8"/>
    <x v="1"/>
    <s v="S40000005"/>
    <x v="9"/>
    <n v="449.5"/>
    <n v="48.25"/>
    <n v="89.75"/>
    <n v="311.5"/>
  </r>
  <r>
    <x v="8"/>
    <x v="1"/>
    <s v="S40000005"/>
    <x v="12"/>
    <n v="102.25"/>
    <n v="9.75"/>
    <n v="23.5"/>
    <n v="69"/>
  </r>
  <r>
    <x v="8"/>
    <x v="1"/>
    <s v="S40000005"/>
    <x v="7"/>
    <n v="123.75"/>
    <n v="14"/>
    <n v="26.25"/>
    <n v="83.5"/>
  </r>
  <r>
    <x v="8"/>
    <x v="1"/>
    <s v="S40000005"/>
    <x v="14"/>
    <n v="108.75"/>
    <n v="7.25"/>
    <n v="21"/>
    <n v="80.5"/>
  </r>
  <r>
    <x v="8"/>
    <x v="1"/>
    <s v="S40000005"/>
    <x v="15"/>
    <n v="110.25"/>
    <n v="9.25"/>
    <n v="19.25"/>
    <n v="81.75"/>
  </r>
  <r>
    <x v="8"/>
    <x v="1"/>
    <s v="S40000005"/>
    <x v="17"/>
    <n v="117.5"/>
    <n v="11.5"/>
    <n v="23.75"/>
    <n v="82.25"/>
  </r>
  <r>
    <x v="9"/>
    <x v="1"/>
    <m/>
    <x v="21"/>
    <n v="9"/>
    <n v="1"/>
    <n v="2.25"/>
    <n v="5.75"/>
  </r>
  <r>
    <x v="9"/>
    <x v="1"/>
    <m/>
    <x v="22"/>
    <n v="250.25"/>
    <n v="23"/>
    <n v="58.75"/>
    <n v="168.5"/>
  </r>
  <r>
    <x v="9"/>
    <x v="1"/>
    <m/>
    <x v="1"/>
    <n v="2375.48"/>
    <n v="235.85"/>
    <n v="461.29"/>
    <n v="1678.3400000000001"/>
  </r>
  <r>
    <x v="9"/>
    <x v="1"/>
    <m/>
    <x v="28"/>
    <n v="80.25"/>
    <n v="7"/>
    <n v="14.5"/>
    <n v="58.75"/>
  </r>
  <r>
    <x v="9"/>
    <x v="1"/>
    <m/>
    <x v="23"/>
    <n v="158.5"/>
    <n v="13"/>
    <n v="23.75"/>
    <n v="121.75"/>
  </r>
  <r>
    <x v="9"/>
    <x v="1"/>
    <m/>
    <x v="24"/>
    <n v="4.25"/>
    <n v="0.5"/>
    <n v="0.5"/>
    <n v="3.25"/>
  </r>
  <r>
    <x v="9"/>
    <x v="1"/>
    <m/>
    <x v="2"/>
    <n v="19"/>
    <n v="1.5"/>
    <n v="2.75"/>
    <n v="14.75"/>
  </r>
  <r>
    <x v="9"/>
    <x v="1"/>
    <m/>
    <x v="3"/>
    <n v="162"/>
    <n v="15.25"/>
    <n v="29.25"/>
    <n v="117.5"/>
  </r>
  <r>
    <x v="9"/>
    <x v="1"/>
    <m/>
    <x v="29"/>
    <n v="10.75"/>
    <n v="1"/>
    <n v="1.5"/>
    <n v="8.25"/>
  </r>
  <r>
    <x v="9"/>
    <x v="1"/>
    <m/>
    <x v="4"/>
    <n v="61.5"/>
    <n v="6"/>
    <n v="6.5"/>
    <n v="49"/>
  </r>
  <r>
    <x v="9"/>
    <x v="1"/>
    <m/>
    <x v="5"/>
    <n v="46"/>
    <n v="4.25"/>
    <n v="10.75"/>
    <n v="31"/>
  </r>
  <r>
    <x v="9"/>
    <x v="1"/>
    <m/>
    <x v="8"/>
    <n v="37.5"/>
    <n v="3.75"/>
    <n v="6.75"/>
    <n v="27"/>
  </r>
  <r>
    <x v="9"/>
    <x v="1"/>
    <m/>
    <x v="33"/>
    <n v="87.72999999999999"/>
    <n v="7.6"/>
    <n v="17.79"/>
    <n v="62.339999999999996"/>
  </r>
  <r>
    <x v="9"/>
    <x v="1"/>
    <m/>
    <x v="9"/>
    <n v="428.75"/>
    <n v="46.25"/>
    <n v="88.75"/>
    <n v="293.75"/>
  </r>
  <r>
    <x v="9"/>
    <x v="1"/>
    <m/>
    <x v="10"/>
    <n v="31.25"/>
    <n v="2.5"/>
    <n v="5.5"/>
    <n v="23.25"/>
  </r>
  <r>
    <x v="9"/>
    <x v="1"/>
    <m/>
    <x v="11"/>
    <n v="8.5"/>
    <n v="1"/>
    <n v="1.5"/>
    <n v="6"/>
  </r>
  <r>
    <x v="9"/>
    <x v="1"/>
    <m/>
    <x v="12"/>
    <n v="101.25"/>
    <n v="9.75"/>
    <n v="23.25"/>
    <n v="68.25"/>
  </r>
  <r>
    <x v="9"/>
    <x v="1"/>
    <m/>
    <x v="7"/>
    <n v="113"/>
    <n v="13.25"/>
    <n v="27.25"/>
    <n v="72.5"/>
  </r>
  <r>
    <x v="9"/>
    <x v="1"/>
    <m/>
    <x v="13"/>
    <n v="81.5"/>
    <n v="9.75"/>
    <n v="10.25"/>
    <n v="61.5"/>
  </r>
  <r>
    <x v="9"/>
    <x v="1"/>
    <m/>
    <x v="30"/>
    <n v="21.25"/>
    <n v="2.5"/>
    <n v="4.5"/>
    <n v="14.25"/>
  </r>
  <r>
    <x v="9"/>
    <x v="1"/>
    <m/>
    <x v="14"/>
    <n v="110.75"/>
    <n v="11.5"/>
    <n v="18"/>
    <n v="81.25"/>
  </r>
  <r>
    <x v="9"/>
    <x v="1"/>
    <m/>
    <x v="15"/>
    <n v="99.5"/>
    <n v="8.25"/>
    <n v="19"/>
    <n v="72.25"/>
  </r>
  <r>
    <x v="9"/>
    <x v="1"/>
    <m/>
    <x v="25"/>
    <n v="9.75"/>
    <n v="0.75"/>
    <n v="1.5"/>
    <n v="7.5"/>
  </r>
  <r>
    <x v="9"/>
    <x v="1"/>
    <m/>
    <x v="16"/>
    <n v="112.5"/>
    <n v="10.75"/>
    <n v="23.75"/>
    <n v="78"/>
  </r>
  <r>
    <x v="9"/>
    <x v="1"/>
    <m/>
    <x v="17"/>
    <n v="118.25"/>
    <n v="11"/>
    <n v="24.5"/>
    <n v="82.75"/>
  </r>
  <r>
    <x v="9"/>
    <x v="1"/>
    <m/>
    <x v="18"/>
    <n v="36.75"/>
    <n v="4.75"/>
    <n v="5"/>
    <n v="27"/>
  </r>
  <r>
    <x v="9"/>
    <x v="1"/>
    <m/>
    <x v="19"/>
    <n v="56.5"/>
    <n v="7"/>
    <n v="10.5"/>
    <n v="39"/>
  </r>
  <r>
    <x v="9"/>
    <x v="1"/>
    <m/>
    <x v="20"/>
    <n v="58.25"/>
    <n v="7"/>
    <n v="13"/>
    <n v="38.25"/>
  </r>
  <r>
    <x v="9"/>
    <x v="1"/>
    <m/>
    <x v="26"/>
    <n v="17"/>
    <n v="1.5"/>
    <n v="1.5"/>
    <n v="14"/>
  </r>
  <r>
    <x v="9"/>
    <x v="1"/>
    <m/>
    <x v="27"/>
    <n v="44"/>
    <n v="4.5"/>
    <n v="8.5"/>
    <n v="31"/>
  </r>
  <r>
    <x v="10"/>
    <x v="1"/>
    <m/>
    <x v="21"/>
    <n v="8.25"/>
    <n v="1"/>
    <n v="1.5"/>
    <n v="5.75"/>
  </r>
  <r>
    <x v="10"/>
    <x v="1"/>
    <m/>
    <x v="22"/>
    <n v="242.25"/>
    <n v="20.5"/>
    <n v="59.25"/>
    <n v="162.5"/>
  </r>
  <r>
    <x v="10"/>
    <x v="1"/>
    <m/>
    <x v="1"/>
    <n v="2333.12"/>
    <n v="231.8"/>
    <n v="453.13"/>
    <n v="1648.19"/>
  </r>
  <r>
    <x v="10"/>
    <x v="1"/>
    <m/>
    <x v="28"/>
    <n v="78.25"/>
    <n v="6.75"/>
    <n v="14"/>
    <n v="57.5"/>
  </r>
  <r>
    <x v="10"/>
    <x v="1"/>
    <m/>
    <x v="23"/>
    <n v="153.25"/>
    <n v="13"/>
    <n v="22.5"/>
    <n v="117.75"/>
  </r>
  <r>
    <x v="10"/>
    <x v="1"/>
    <m/>
    <x v="24"/>
    <n v="5"/>
    <n v="0.5"/>
    <n v="0.5"/>
    <n v="4"/>
  </r>
  <r>
    <x v="10"/>
    <x v="1"/>
    <m/>
    <x v="2"/>
    <n v="18.75"/>
    <n v="1.5"/>
    <n v="3.75"/>
    <n v="13.5"/>
  </r>
  <r>
    <x v="10"/>
    <x v="1"/>
    <m/>
    <x v="3"/>
    <n v="162"/>
    <n v="14.5"/>
    <n v="28.5"/>
    <n v="119"/>
  </r>
  <r>
    <x v="10"/>
    <x v="1"/>
    <m/>
    <x v="29"/>
    <n v="10.25"/>
    <n v="1"/>
    <n v="1.5"/>
    <n v="7.75"/>
  </r>
  <r>
    <x v="10"/>
    <x v="1"/>
    <m/>
    <x v="4"/>
    <n v="56.75"/>
    <n v="6"/>
    <n v="8"/>
    <n v="42.75"/>
  </r>
  <r>
    <x v="10"/>
    <x v="1"/>
    <m/>
    <x v="5"/>
    <n v="41"/>
    <n v="4"/>
    <n v="9.25"/>
    <n v="27.75"/>
  </r>
  <r>
    <x v="10"/>
    <x v="1"/>
    <m/>
    <x v="8"/>
    <n v="39.25"/>
    <n v="3.75"/>
    <n v="7.25"/>
    <n v="28.25"/>
  </r>
  <r>
    <x v="10"/>
    <x v="1"/>
    <m/>
    <x v="33"/>
    <n v="88.62"/>
    <n v="8.5499999999999989"/>
    <n v="17.63"/>
    <n v="62.44"/>
  </r>
  <r>
    <x v="10"/>
    <x v="1"/>
    <m/>
    <x v="9"/>
    <n v="409"/>
    <n v="44.5"/>
    <n v="84.25"/>
    <n v="280.25"/>
  </r>
  <r>
    <x v="10"/>
    <x v="1"/>
    <m/>
    <x v="10"/>
    <n v="29.25"/>
    <n v="2.5"/>
    <n v="5.5"/>
    <n v="21.25"/>
  </r>
  <r>
    <x v="10"/>
    <x v="1"/>
    <m/>
    <x v="11"/>
    <n v="8.5"/>
    <n v="1"/>
    <n v="1.5"/>
    <n v="6"/>
  </r>
  <r>
    <x v="10"/>
    <x v="1"/>
    <m/>
    <x v="12"/>
    <n v="97.25"/>
    <n v="9.75"/>
    <n v="25.5"/>
    <n v="62"/>
  </r>
  <r>
    <x v="10"/>
    <x v="1"/>
    <m/>
    <x v="7"/>
    <n v="122"/>
    <n v="13.25"/>
    <n v="24.75"/>
    <n v="84"/>
  </r>
  <r>
    <x v="10"/>
    <x v="1"/>
    <m/>
    <x v="13"/>
    <n v="80.75"/>
    <n v="8.5"/>
    <n v="10.75"/>
    <n v="61.5"/>
  </r>
  <r>
    <x v="10"/>
    <x v="1"/>
    <m/>
    <x v="30"/>
    <n v="21.5"/>
    <n v="2.25"/>
    <n v="4.75"/>
    <n v="14.5"/>
  </r>
  <r>
    <x v="10"/>
    <x v="1"/>
    <m/>
    <x v="14"/>
    <n v="110.75"/>
    <n v="11.25"/>
    <n v="20"/>
    <n v="79.5"/>
  </r>
  <r>
    <x v="10"/>
    <x v="1"/>
    <m/>
    <x v="15"/>
    <n v="103.5"/>
    <n v="8.25"/>
    <n v="19.5"/>
    <n v="75.75"/>
  </r>
  <r>
    <x v="10"/>
    <x v="1"/>
    <m/>
    <x v="25"/>
    <n v="10.75"/>
    <n v="0.75"/>
    <n v="1.5"/>
    <n v="8.5"/>
  </r>
  <r>
    <x v="10"/>
    <x v="1"/>
    <m/>
    <x v="16"/>
    <n v="124.5"/>
    <n v="11"/>
    <n v="23.75"/>
    <n v="89.75"/>
  </r>
  <r>
    <x v="10"/>
    <x v="1"/>
    <m/>
    <x v="17"/>
    <n v="109.75"/>
    <n v="13"/>
    <n v="23"/>
    <n v="73.75"/>
  </r>
  <r>
    <x v="10"/>
    <x v="1"/>
    <m/>
    <x v="18"/>
    <n v="36"/>
    <n v="4.25"/>
    <n v="5.25"/>
    <n v="26.5"/>
  </r>
  <r>
    <x v="10"/>
    <x v="1"/>
    <m/>
    <x v="19"/>
    <n v="53.25"/>
    <n v="7.5"/>
    <n v="10.25"/>
    <n v="35.5"/>
  </r>
  <r>
    <x v="10"/>
    <x v="1"/>
    <m/>
    <x v="20"/>
    <n v="56.5"/>
    <n v="6"/>
    <n v="11"/>
    <n v="39.5"/>
  </r>
  <r>
    <x v="10"/>
    <x v="1"/>
    <m/>
    <x v="26"/>
    <n v="15"/>
    <n v="1.5"/>
    <n v="1.5"/>
    <n v="12"/>
  </r>
  <r>
    <x v="10"/>
    <x v="1"/>
    <m/>
    <x v="27"/>
    <n v="41.25"/>
    <n v="5.5"/>
    <n v="6.75"/>
    <n v="29"/>
  </r>
  <r>
    <x v="11"/>
    <x v="1"/>
    <m/>
    <x v="21"/>
    <n v="8"/>
    <n v="1"/>
    <n v="3"/>
    <n v="4"/>
  </r>
  <r>
    <x v="11"/>
    <x v="1"/>
    <m/>
    <x v="22"/>
    <n v="230.75"/>
    <n v="19.25"/>
    <n v="57.5"/>
    <n v="154"/>
  </r>
  <r>
    <x v="11"/>
    <x v="1"/>
    <m/>
    <x v="1"/>
    <n v="2289.7700000000004"/>
    <n v="222.3"/>
    <n v="452.13"/>
    <n v="1615.3400000000001"/>
  </r>
  <r>
    <x v="11"/>
    <x v="1"/>
    <m/>
    <x v="28"/>
    <n v="81.25"/>
    <n v="5.75"/>
    <n v="14.75"/>
    <n v="60.75"/>
  </r>
  <r>
    <x v="11"/>
    <x v="1"/>
    <m/>
    <x v="23"/>
    <n v="157.5"/>
    <n v="13.75"/>
    <n v="21"/>
    <n v="122.75"/>
  </r>
  <r>
    <x v="11"/>
    <x v="1"/>
    <m/>
    <x v="24"/>
    <n v="5.25"/>
    <n v="0.5"/>
    <n v="1"/>
    <n v="3.75"/>
  </r>
  <r>
    <x v="11"/>
    <x v="1"/>
    <m/>
    <x v="2"/>
    <n v="17.25"/>
    <n v="1.5"/>
    <n v="3"/>
    <n v="12.75"/>
  </r>
  <r>
    <x v="11"/>
    <x v="1"/>
    <m/>
    <x v="3"/>
    <n v="149.25"/>
    <n v="13.75"/>
    <n v="27.75"/>
    <n v="107.75"/>
  </r>
  <r>
    <x v="11"/>
    <x v="1"/>
    <m/>
    <x v="29"/>
    <n v="11.75"/>
    <n v="1"/>
    <n v="1.5"/>
    <n v="9.25"/>
  </r>
  <r>
    <x v="11"/>
    <x v="1"/>
    <m/>
    <x v="4"/>
    <n v="55.5"/>
    <n v="5"/>
    <n v="9.5"/>
    <n v="41"/>
  </r>
  <r>
    <x v="11"/>
    <x v="1"/>
    <m/>
    <x v="5"/>
    <n v="44"/>
    <n v="4"/>
    <n v="9.75"/>
    <n v="30.25"/>
  </r>
  <r>
    <x v="11"/>
    <x v="1"/>
    <m/>
    <x v="8"/>
    <n v="46"/>
    <n v="3.75"/>
    <n v="7.25"/>
    <n v="35"/>
  </r>
  <r>
    <x v="11"/>
    <x v="1"/>
    <m/>
    <x v="33"/>
    <n v="86.27000000000001"/>
    <n v="7.55"/>
    <n v="17.63"/>
    <n v="61.09"/>
  </r>
  <r>
    <x v="11"/>
    <x v="1"/>
    <m/>
    <x v="9"/>
    <n v="404"/>
    <n v="40.25"/>
    <n v="82.75"/>
    <n v="281"/>
  </r>
  <r>
    <x v="11"/>
    <x v="1"/>
    <m/>
    <x v="10"/>
    <n v="28.25"/>
    <n v="2.5"/>
    <n v="5.5"/>
    <n v="20.25"/>
  </r>
  <r>
    <x v="11"/>
    <x v="1"/>
    <m/>
    <x v="11"/>
    <n v="9.5"/>
    <n v="1"/>
    <n v="1.5"/>
    <n v="7"/>
  </r>
  <r>
    <x v="11"/>
    <x v="1"/>
    <m/>
    <x v="12"/>
    <n v="103"/>
    <n v="10.75"/>
    <n v="25.75"/>
    <n v="66.5"/>
  </r>
  <r>
    <x v="11"/>
    <x v="1"/>
    <m/>
    <x v="7"/>
    <n v="118.5"/>
    <n v="13.75"/>
    <n v="26.5"/>
    <n v="78.25"/>
  </r>
  <r>
    <x v="11"/>
    <x v="1"/>
    <m/>
    <x v="13"/>
    <n v="79.75"/>
    <n v="7.75"/>
    <n v="10"/>
    <n v="62"/>
  </r>
  <r>
    <x v="11"/>
    <x v="1"/>
    <m/>
    <x v="30"/>
    <n v="19.5"/>
    <n v="2"/>
    <n v="3.75"/>
    <n v="13.75"/>
  </r>
  <r>
    <x v="11"/>
    <x v="1"/>
    <m/>
    <x v="14"/>
    <n v="107.25"/>
    <n v="11.5"/>
    <n v="22"/>
    <n v="73.75"/>
  </r>
  <r>
    <x v="11"/>
    <x v="1"/>
    <m/>
    <x v="15"/>
    <n v="101"/>
    <n v="10"/>
    <n v="18.25"/>
    <n v="72.75"/>
  </r>
  <r>
    <x v="11"/>
    <x v="1"/>
    <m/>
    <x v="25"/>
    <n v="8.25"/>
    <n v="0.75"/>
    <n v="1.5"/>
    <n v="6"/>
  </r>
  <r>
    <x v="11"/>
    <x v="1"/>
    <m/>
    <x v="16"/>
    <n v="111.5"/>
    <n v="10.75"/>
    <n v="22.75"/>
    <n v="78"/>
  </r>
  <r>
    <x v="11"/>
    <x v="1"/>
    <m/>
    <x v="17"/>
    <n v="102.25"/>
    <n v="13"/>
    <n v="21.25"/>
    <n v="68"/>
  </r>
  <r>
    <x v="11"/>
    <x v="1"/>
    <m/>
    <x v="18"/>
    <n v="35"/>
    <n v="3.25"/>
    <n v="6.25"/>
    <n v="25.5"/>
  </r>
  <r>
    <x v="11"/>
    <x v="1"/>
    <m/>
    <x v="19"/>
    <n v="54"/>
    <n v="6.25"/>
    <n v="9.5"/>
    <n v="38.25"/>
  </r>
  <r>
    <x v="11"/>
    <x v="1"/>
    <m/>
    <x v="20"/>
    <n v="56.25"/>
    <n v="6"/>
    <n v="12"/>
    <n v="38.25"/>
  </r>
  <r>
    <x v="11"/>
    <x v="1"/>
    <m/>
    <x v="26"/>
    <n v="16.75"/>
    <n v="1.5"/>
    <n v="1.5"/>
    <n v="13.75"/>
  </r>
  <r>
    <x v="11"/>
    <x v="1"/>
    <m/>
    <x v="27"/>
    <n v="42.25"/>
    <n v="4.5"/>
    <n v="7.75"/>
    <n v="30"/>
  </r>
  <r>
    <x v="12"/>
    <x v="1"/>
    <m/>
    <x v="21"/>
    <n v="6.33"/>
    <n v="0.83"/>
    <n v="2.0100000000000002"/>
    <n v="3.4899999999999998"/>
  </r>
  <r>
    <x v="12"/>
    <x v="1"/>
    <m/>
    <x v="22"/>
    <n v="232"/>
    <n v="19.200000000000003"/>
    <n v="52.540000000000013"/>
    <n v="160.26"/>
  </r>
  <r>
    <x v="12"/>
    <x v="1"/>
    <m/>
    <x v="1"/>
    <n v="2293.920000000001"/>
    <n v="211.69999999999973"/>
    <n v="431.42000000000087"/>
    <n v="1650.8000000000006"/>
  </r>
  <r>
    <x v="12"/>
    <x v="1"/>
    <m/>
    <x v="28"/>
    <n v="78.019999999999982"/>
    <n v="4.68"/>
    <n v="14.04"/>
    <n v="59.299999999999983"/>
  </r>
  <r>
    <x v="12"/>
    <x v="1"/>
    <m/>
    <x v="23"/>
    <n v="165.28"/>
    <n v="13.33"/>
    <n v="22.67"/>
    <n v="129.28"/>
  </r>
  <r>
    <x v="12"/>
    <x v="1"/>
    <m/>
    <x v="24"/>
    <n v="5.6800000000000006"/>
    <n v="0.67"/>
    <n v="1.34"/>
    <n v="3.6700000000000004"/>
  </r>
  <r>
    <x v="12"/>
    <x v="1"/>
    <m/>
    <x v="2"/>
    <n v="16.53"/>
    <n v="1.34"/>
    <n v="2.0100000000000002"/>
    <n v="13.18"/>
  </r>
  <r>
    <x v="12"/>
    <x v="1"/>
    <m/>
    <x v="3"/>
    <n v="151.26000000000005"/>
    <n v="15.17"/>
    <n v="25.35"/>
    <n v="110.74000000000005"/>
  </r>
  <r>
    <x v="12"/>
    <x v="1"/>
    <m/>
    <x v="29"/>
    <n v="12.35"/>
    <n v="1"/>
    <n v="1.67"/>
    <n v="9.68"/>
  </r>
  <r>
    <x v="12"/>
    <x v="1"/>
    <m/>
    <x v="4"/>
    <n v="54.439999999999976"/>
    <n v="3.8400000000000003"/>
    <n v="7.67"/>
    <n v="42.929999999999978"/>
  </r>
  <r>
    <x v="12"/>
    <x v="1"/>
    <m/>
    <x v="5"/>
    <n v="43.929999999999978"/>
    <n v="4"/>
    <n v="9.16"/>
    <n v="30.769999999999978"/>
  </r>
  <r>
    <x v="12"/>
    <x v="1"/>
    <m/>
    <x v="8"/>
    <n v="43.169999999999995"/>
    <n v="3.51"/>
    <n v="7.17"/>
    <n v="32.489999999999995"/>
  </r>
  <r>
    <x v="12"/>
    <x v="1"/>
    <m/>
    <x v="33"/>
    <n v="82.99"/>
    <n v="7.33"/>
    <n v="15.69"/>
    <n v="59.97"/>
  </r>
  <r>
    <x v="12"/>
    <x v="1"/>
    <m/>
    <x v="9"/>
    <n v="395.87000000000057"/>
    <n v="41.839999999999996"/>
    <n v="85.289999999999978"/>
    <n v="268.74000000000063"/>
  </r>
  <r>
    <x v="12"/>
    <x v="1"/>
    <m/>
    <x v="10"/>
    <n v="29.669999999999995"/>
    <n v="2.33"/>
    <n v="5.18"/>
    <n v="22.159999999999997"/>
  </r>
  <r>
    <x v="12"/>
    <x v="1"/>
    <m/>
    <x v="11"/>
    <n v="10.159999999999998"/>
    <n v="0.67"/>
    <n v="1.34"/>
    <n v="8.1499999999999986"/>
  </r>
  <r>
    <x v="12"/>
    <x v="1"/>
    <m/>
    <x v="12"/>
    <n v="93.95999999999998"/>
    <n v="8.68"/>
    <n v="23.32"/>
    <n v="61.95999999999998"/>
  </r>
  <r>
    <x v="12"/>
    <x v="1"/>
    <m/>
    <x v="7"/>
    <n v="120.15999999999991"/>
    <n v="12.67"/>
    <n v="25.659999999999993"/>
    <n v="81.829999999999927"/>
  </r>
  <r>
    <x v="12"/>
    <x v="1"/>
    <m/>
    <x v="13"/>
    <n v="82.629999999999981"/>
    <n v="7.85"/>
    <n v="9.35"/>
    <n v="65.429999999999978"/>
  </r>
  <r>
    <x v="12"/>
    <x v="1"/>
    <m/>
    <x v="30"/>
    <n v="18.86"/>
    <n v="2.0100000000000002"/>
    <n v="4.18"/>
    <n v="12.67"/>
  </r>
  <r>
    <x v="12"/>
    <x v="1"/>
    <m/>
    <x v="14"/>
    <n v="99.649999999999991"/>
    <n v="11.34"/>
    <n v="20.5"/>
    <n v="67.809999999999988"/>
  </r>
  <r>
    <x v="12"/>
    <x v="1"/>
    <m/>
    <x v="15"/>
    <n v="96.489999999999966"/>
    <n v="6.02"/>
    <n v="16.04"/>
    <n v="74.429999999999964"/>
  </r>
  <r>
    <x v="12"/>
    <x v="1"/>
    <m/>
    <x v="25"/>
    <n v="10.34"/>
    <n v="0.83"/>
    <n v="1.34"/>
    <n v="8.17"/>
  </r>
  <r>
    <x v="12"/>
    <x v="1"/>
    <m/>
    <x v="16"/>
    <n v="118.90999999999994"/>
    <n v="10.51"/>
    <n v="22.169999999999995"/>
    <n v="86.229999999999947"/>
  </r>
  <r>
    <x v="12"/>
    <x v="1"/>
    <m/>
    <x v="17"/>
    <n v="111.72999999999995"/>
    <n v="12.34"/>
    <n v="22.979999999999997"/>
    <n v="76.409999999999954"/>
  </r>
  <r>
    <x v="12"/>
    <x v="1"/>
    <m/>
    <x v="18"/>
    <n v="33.61999999999999"/>
    <n v="3.17"/>
    <n v="5.84"/>
    <n v="24.609999999999989"/>
  </r>
  <r>
    <x v="12"/>
    <x v="1"/>
    <m/>
    <x v="19"/>
    <n v="56.819999999999979"/>
    <n v="5.5200000000000005"/>
    <n v="8.68"/>
    <n v="42.619999999999983"/>
  </r>
  <r>
    <x v="12"/>
    <x v="1"/>
    <m/>
    <x v="20"/>
    <n v="58.070000000000014"/>
    <n v="5.01"/>
    <n v="10.7"/>
    <n v="42.360000000000014"/>
  </r>
  <r>
    <x v="12"/>
    <x v="1"/>
    <m/>
    <x v="26"/>
    <n v="18.66"/>
    <n v="1.5"/>
    <n v="1.34"/>
    <n v="15.82"/>
  </r>
  <r>
    <x v="12"/>
    <x v="1"/>
    <m/>
    <x v="27"/>
    <n v="46.339999999999989"/>
    <n v="4.51"/>
    <n v="6.1899999999999995"/>
    <n v="35.639999999999986"/>
  </r>
  <r>
    <x v="13"/>
    <x v="1"/>
    <m/>
    <x v="21"/>
    <n v="10.75"/>
    <n v="1.25"/>
    <n v="3.5"/>
    <n v="6"/>
  </r>
  <r>
    <x v="13"/>
    <x v="1"/>
    <m/>
    <x v="22"/>
    <n v="354.25"/>
    <n v="28.5"/>
    <n v="84.25"/>
    <n v="241.5"/>
  </r>
  <r>
    <x v="13"/>
    <x v="1"/>
    <m/>
    <x v="1"/>
    <n v="3431"/>
    <n v="325.25"/>
    <n v="659.5"/>
    <n v="2446.25"/>
  </r>
  <r>
    <x v="13"/>
    <x v="1"/>
    <m/>
    <x v="28"/>
    <n v="110"/>
    <n v="7"/>
    <n v="18.5"/>
    <n v="84.5"/>
  </r>
  <r>
    <x v="13"/>
    <x v="1"/>
    <m/>
    <x v="23"/>
    <n v="233"/>
    <n v="19.75"/>
    <n v="34.5"/>
    <n v="178.75"/>
  </r>
  <r>
    <x v="13"/>
    <x v="1"/>
    <m/>
    <x v="24"/>
    <n v="10"/>
    <n v="2"/>
    <n v="1"/>
    <n v="7"/>
  </r>
  <r>
    <x v="13"/>
    <x v="1"/>
    <m/>
    <x v="2"/>
    <n v="25"/>
    <n v="2"/>
    <n v="4.25"/>
    <n v="18.75"/>
  </r>
  <r>
    <x v="13"/>
    <x v="1"/>
    <m/>
    <x v="3"/>
    <n v="232"/>
    <n v="24.25"/>
    <n v="40.25"/>
    <n v="167.5"/>
  </r>
  <r>
    <x v="13"/>
    <x v="1"/>
    <m/>
    <x v="29"/>
    <n v="16.75"/>
    <n v="1.5"/>
    <n v="2.5"/>
    <n v="12.75"/>
  </r>
  <r>
    <x v="13"/>
    <x v="1"/>
    <m/>
    <x v="4"/>
    <n v="84.75"/>
    <n v="6.5"/>
    <n v="13"/>
    <n v="65.25"/>
  </r>
  <r>
    <x v="13"/>
    <x v="1"/>
    <m/>
    <x v="5"/>
    <n v="63.75"/>
    <n v="7"/>
    <n v="14"/>
    <n v="42.75"/>
  </r>
  <r>
    <x v="13"/>
    <x v="1"/>
    <m/>
    <x v="8"/>
    <n v="62"/>
    <n v="6"/>
    <n v="7.75"/>
    <n v="48.25"/>
  </r>
  <r>
    <x v="13"/>
    <x v="1"/>
    <m/>
    <x v="33"/>
    <n v="115.25"/>
    <n v="10.25"/>
    <n v="26.25"/>
    <n v="78.75"/>
  </r>
  <r>
    <x v="13"/>
    <x v="1"/>
    <m/>
    <x v="9"/>
    <n v="602.75"/>
    <n v="65.25"/>
    <n v="132.75"/>
    <n v="404.75"/>
  </r>
  <r>
    <x v="13"/>
    <x v="1"/>
    <m/>
    <x v="10"/>
    <n v="47.75"/>
    <n v="4.75"/>
    <n v="7.75"/>
    <n v="35.25"/>
  </r>
  <r>
    <x v="13"/>
    <x v="1"/>
    <m/>
    <x v="11"/>
    <n v="14.25"/>
    <n v="1"/>
    <n v="3"/>
    <n v="10.25"/>
  </r>
  <r>
    <x v="13"/>
    <x v="1"/>
    <m/>
    <x v="12"/>
    <n v="136.5"/>
    <n v="12"/>
    <n v="35.75"/>
    <n v="88.75"/>
  </r>
  <r>
    <x v="13"/>
    <x v="1"/>
    <m/>
    <x v="7"/>
    <n v="180.25"/>
    <n v="19.25"/>
    <n v="34.5"/>
    <n v="126.5"/>
  </r>
  <r>
    <x v="13"/>
    <x v="1"/>
    <m/>
    <x v="13"/>
    <n v="125.25"/>
    <n v="11.5"/>
    <n v="16.5"/>
    <n v="97.25"/>
  </r>
  <r>
    <x v="13"/>
    <x v="1"/>
    <m/>
    <x v="30"/>
    <n v="33"/>
    <n v="3"/>
    <n v="5"/>
    <n v="25"/>
  </r>
  <r>
    <x v="13"/>
    <x v="1"/>
    <m/>
    <x v="14"/>
    <n v="151"/>
    <n v="16"/>
    <n v="26.5"/>
    <n v="108.5"/>
  </r>
  <r>
    <x v="13"/>
    <x v="1"/>
    <m/>
    <x v="15"/>
    <n v="136.5"/>
    <n v="10.5"/>
    <n v="27"/>
    <n v="99"/>
  </r>
  <r>
    <x v="13"/>
    <x v="1"/>
    <m/>
    <x v="25"/>
    <n v="15.25"/>
    <n v="1.25"/>
    <n v="2"/>
    <n v="12"/>
  </r>
  <r>
    <x v="13"/>
    <x v="1"/>
    <m/>
    <x v="16"/>
    <n v="185.5"/>
    <n v="16.75"/>
    <n v="34.25"/>
    <n v="134.5"/>
  </r>
  <r>
    <x v="13"/>
    <x v="1"/>
    <m/>
    <x v="17"/>
    <n v="160"/>
    <n v="17.25"/>
    <n v="32.5"/>
    <n v="110.25"/>
  </r>
  <r>
    <x v="13"/>
    <x v="1"/>
    <m/>
    <x v="18"/>
    <n v="53.5"/>
    <n v="5.75"/>
    <n v="6.75"/>
    <n v="41"/>
  </r>
  <r>
    <x v="13"/>
    <x v="1"/>
    <m/>
    <x v="19"/>
    <n v="93"/>
    <n v="7.25"/>
    <n v="15.25"/>
    <n v="70.5"/>
  </r>
  <r>
    <x v="13"/>
    <x v="1"/>
    <m/>
    <x v="20"/>
    <n v="88.75"/>
    <n v="9"/>
    <n v="16.5"/>
    <n v="63.25"/>
  </r>
  <r>
    <x v="13"/>
    <x v="1"/>
    <m/>
    <x v="26"/>
    <n v="25.5"/>
    <n v="2.25"/>
    <n v="3"/>
    <n v="20.25"/>
  </r>
  <r>
    <x v="13"/>
    <x v="1"/>
    <m/>
    <x v="27"/>
    <n v="64.75"/>
    <n v="6.5"/>
    <n v="10.75"/>
    <n v="47.5"/>
  </r>
</pivotCacheRecords>
</file>

<file path=xl/pivotCache/pivotCacheRecords49.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5">
  <r>
    <s v="T"/>
    <x v="0"/>
    <n v="2046"/>
    <n v="154"/>
    <n v="176"/>
    <n v="342"/>
    <n v="340"/>
    <n v="0"/>
    <n v="174"/>
    <n v="198"/>
    <n v="243"/>
    <n v="113"/>
    <n v="189"/>
    <n v="117"/>
    <n v="50"/>
    <n v="100"/>
    <n v="104"/>
    <n v="169"/>
    <n v="129"/>
    <n v="152"/>
  </r>
  <r>
    <s v="B"/>
    <x v="1"/>
    <n v="14823"/>
    <n v="972"/>
    <n v="1212"/>
    <n v="1286"/>
    <n v="1454"/>
    <n v="0"/>
    <n v="1506"/>
    <n v="1760"/>
    <n v="1719"/>
    <n v="1653"/>
    <n v="1775"/>
    <n v="1486"/>
    <n v="1341"/>
    <n v="1409"/>
    <n v="1606"/>
    <n v="1610"/>
    <n v="1629"/>
    <n v="1594"/>
  </r>
  <r>
    <s v="P"/>
    <x v="2"/>
    <n v="2987"/>
    <n v="287"/>
    <n v="328"/>
    <n v="260"/>
    <n v="399"/>
    <n v="0"/>
    <n v="356"/>
    <n v="320"/>
    <n v="235"/>
    <n v="240"/>
    <n v="283"/>
    <n v="279"/>
    <n v="66"/>
    <n v="176"/>
    <n v="168"/>
    <n v="172"/>
    <n v="209"/>
    <n v="159"/>
  </r>
  <r>
    <s v="K"/>
    <x v="3"/>
    <n v="618"/>
    <n v="68"/>
    <n v="74"/>
    <n v="77"/>
    <n v="58"/>
    <n v="0"/>
    <n v="68"/>
    <n v="49"/>
    <n v="66"/>
    <n v="59"/>
    <n v="60"/>
    <n v="39"/>
    <n v="6"/>
    <n v="21"/>
    <n v="20"/>
    <n v="25"/>
    <n v="37"/>
    <n v="36"/>
  </r>
  <r>
    <s v="N"/>
    <x v="4"/>
    <n v="7980"/>
    <n v="1038"/>
    <n v="1082"/>
    <n v="1619"/>
    <n v="1294"/>
    <n v="0"/>
    <n v="683"/>
    <n v="639"/>
    <n v="523"/>
    <n v="362"/>
    <n v="382"/>
    <n v="358"/>
    <n v="126"/>
    <n v="193"/>
    <n v="342"/>
    <n v="301"/>
    <n v="349"/>
    <n v="280"/>
  </r>
  <r>
    <s v="R"/>
    <x v="5"/>
    <n v="3244"/>
    <n v="282"/>
    <n v="304"/>
    <n v="288"/>
    <n v="408"/>
    <n v="0"/>
    <n v="412"/>
    <n v="485"/>
    <n v="329"/>
    <n v="228"/>
    <n v="267"/>
    <n v="241"/>
    <n v="86"/>
    <n v="166"/>
    <n v="172"/>
    <n v="222"/>
    <n v="224"/>
    <n v="188"/>
  </r>
  <r>
    <s v="F"/>
    <x v="6"/>
    <n v="11824"/>
    <n v="1117"/>
    <n v="1077"/>
    <n v="1081"/>
    <n v="1761"/>
    <n v="0"/>
    <n v="1109"/>
    <n v="1263"/>
    <n v="1138"/>
    <n v="1167"/>
    <n v="1030"/>
    <n v="1081"/>
    <n v="238"/>
    <n v="656"/>
    <n v="898"/>
    <n v="1110"/>
    <n v="1000"/>
    <n v="925"/>
  </r>
  <r>
    <s v="C"/>
    <x v="7"/>
    <n v="13549"/>
    <n v="0"/>
    <n v="0"/>
    <n v="0"/>
    <n v="0"/>
    <n v="0"/>
    <n v="1947"/>
    <n v="3062"/>
    <n v="2650"/>
    <n v="2077"/>
    <n v="1862"/>
    <n v="1951"/>
    <n v="815"/>
    <n v="1984"/>
    <n v="1958"/>
    <n v="1827"/>
    <n v="2400"/>
    <n v="2624"/>
  </r>
  <r>
    <s v="S"/>
    <x v="8"/>
    <n v="3358"/>
    <n v="311"/>
    <n v="405"/>
    <n v="483"/>
    <n v="389"/>
    <n v="0"/>
    <n v="344"/>
    <n v="379"/>
    <n v="275"/>
    <n v="220"/>
    <n v="267"/>
    <n v="285"/>
    <n v="63"/>
    <n v="110"/>
    <n v="110"/>
    <n v="249"/>
    <n v="212"/>
    <n v="210"/>
  </r>
  <r>
    <s v="H"/>
    <x v="9"/>
    <n v="3698"/>
    <n v="284"/>
    <n v="395"/>
    <n v="430"/>
    <n v="415"/>
    <n v="0"/>
    <n v="251"/>
    <n v="351"/>
    <n v="371"/>
    <n v="408"/>
    <n v="323"/>
    <n v="470"/>
    <n v="119"/>
    <n v="290"/>
    <n v="547"/>
    <n v="1256"/>
    <n v="1572"/>
    <n v="1244"/>
  </r>
  <r>
    <s v="J"/>
    <x v="10"/>
    <n v="386"/>
    <n v="48"/>
    <n v="49"/>
    <n v="49"/>
    <n v="62"/>
    <n v="0"/>
    <n v="28"/>
    <n v="36"/>
    <n v="21"/>
    <n v="37"/>
    <n v="31"/>
    <n v="25"/>
    <n v="10"/>
    <n v="10"/>
    <n v="25"/>
    <n v="11"/>
    <n v="21"/>
    <n v="23"/>
  </r>
  <r>
    <s v="A"/>
    <x v="11"/>
    <n v="3103"/>
    <n v="136"/>
    <n v="236"/>
    <n v="197"/>
    <n v="217"/>
    <n v="0"/>
    <n v="334"/>
    <n v="451"/>
    <n v="396"/>
    <n v="367"/>
    <n v="471"/>
    <n v="298"/>
    <n v="218"/>
    <n v="238"/>
    <n v="288"/>
    <n v="287"/>
    <n v="320"/>
    <n v="302"/>
  </r>
  <r>
    <s v="E"/>
    <x v="12"/>
    <n v="1345"/>
    <n v="137"/>
    <n v="126"/>
    <n v="138"/>
    <n v="296"/>
    <n v="0"/>
    <n v="138"/>
    <n v="119"/>
    <n v="128"/>
    <n v="104"/>
    <n v="88"/>
    <n v="71"/>
    <n v="39"/>
    <n v="24"/>
    <n v="60"/>
    <n v="51"/>
    <n v="59"/>
    <n v="89"/>
  </r>
  <r>
    <s v="L"/>
    <x v="13"/>
    <n v="6061"/>
    <n v="794"/>
    <n v="1016"/>
    <n v="1014"/>
    <n v="670"/>
    <n v="0"/>
    <n v="596"/>
    <n v="494"/>
    <n v="482"/>
    <n v="332"/>
    <n v="374"/>
    <n v="289"/>
    <n v="73"/>
    <n v="132"/>
    <n v="195"/>
    <n v="205"/>
    <n v="313"/>
    <n v="326"/>
  </r>
  <r>
    <s v="M"/>
    <x v="14"/>
    <n v="3079"/>
    <n v="433"/>
    <n v="264"/>
    <n v="291"/>
    <n v="231"/>
    <n v="0"/>
    <n v="260"/>
    <n v="228"/>
    <n v="363"/>
    <n v="268"/>
    <n v="470"/>
    <n v="271"/>
    <n v="69"/>
    <n v="179"/>
    <n v="219"/>
    <n v="159"/>
    <n v="294"/>
    <n v="312"/>
  </r>
</pivotCacheRecords>
</file>

<file path=xl/pivotCache/pivotCacheRecords50.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2">
  <r>
    <x v="0"/>
    <n v="8206"/>
    <m/>
    <n v="1648"/>
    <n v="2038"/>
  </r>
  <r>
    <x v="1"/>
    <n v="9834"/>
    <m/>
    <n v="2373"/>
    <n v="3501"/>
  </r>
  <r>
    <x v="2"/>
    <n v="8939"/>
    <m/>
    <n v="1461"/>
    <n v="2582"/>
  </r>
  <r>
    <x v="3"/>
    <n v="7635"/>
    <m/>
    <n v="2592"/>
    <n v="3241"/>
  </r>
  <r>
    <x v="4"/>
    <n v="7872"/>
    <m/>
    <n v="1973"/>
    <n v="2746"/>
  </r>
  <r>
    <x v="5"/>
    <n v="7261"/>
    <n v="202"/>
    <n v="918"/>
    <n v="2460"/>
  </r>
  <r>
    <x v="6"/>
    <n v="3319"/>
    <n v="192"/>
    <n v="603"/>
    <n v="2502"/>
  </r>
  <r>
    <x v="7"/>
    <n v="5688"/>
    <n v="192"/>
    <n v="1158"/>
    <n v="2106"/>
  </r>
  <r>
    <x v="8"/>
    <n v="6712"/>
    <n v="203"/>
    <n v="1389"/>
    <n v="1829"/>
  </r>
  <r>
    <x v="9"/>
    <n v="7654"/>
    <n v="208"/>
    <n v="1218"/>
    <n v="3466"/>
  </r>
  <r>
    <x v="10"/>
    <n v="8768"/>
    <n v="162"/>
    <n v="1601"/>
    <n v="2890"/>
  </r>
  <r>
    <x v="11"/>
    <n v="8464"/>
    <n v="145"/>
    <n v="1609"/>
    <n v="2016"/>
  </r>
</pivotCacheRecords>
</file>

<file path=xl/pivotCache/pivotCacheRecords5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7">
  <r>
    <x v="0"/>
    <n v="551"/>
  </r>
  <r>
    <x v="1"/>
    <n v="668"/>
  </r>
  <r>
    <x v="2"/>
    <n v="722"/>
  </r>
  <r>
    <x v="3"/>
    <n v="812"/>
  </r>
  <r>
    <x v="4"/>
    <n v="816"/>
  </r>
  <r>
    <x v="5"/>
    <n v="770"/>
  </r>
  <r>
    <x v="6"/>
    <n v="727"/>
  </r>
</pivotCacheRecords>
</file>

<file path=xl/pivotCache/pivotCacheRecords52.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7">
  <r>
    <x v="0"/>
    <n v="3797"/>
    <n v="14034"/>
    <n v="2264"/>
    <n v="10793"/>
    <n v="58"/>
    <n v="300"/>
    <n v="20"/>
    <n v="127"/>
  </r>
  <r>
    <x v="1"/>
    <n v="4947"/>
    <n v="29138"/>
    <n v="1797"/>
    <n v="11747"/>
    <n v="55"/>
    <n v="453"/>
    <n v="13"/>
    <n v="94"/>
  </r>
  <r>
    <x v="2"/>
    <n v="6829"/>
    <n v="42023"/>
    <n v="726"/>
    <n v="7946"/>
    <n v="40"/>
    <n v="267"/>
    <n v="26"/>
    <n v="144"/>
  </r>
  <r>
    <x v="3"/>
    <n v="7230"/>
    <n v="34986"/>
    <n v="764"/>
    <n v="5742"/>
    <n v="43"/>
    <n v="251"/>
    <n v="22"/>
    <n v="100"/>
  </r>
  <r>
    <x v="4"/>
    <n v="0"/>
    <n v="0"/>
    <n v="0"/>
    <n v="0"/>
    <n v="0"/>
    <n v="0"/>
    <n v="0"/>
    <n v="0"/>
  </r>
  <r>
    <x v="5"/>
    <n v="7816"/>
    <n v="40485"/>
    <n v="390"/>
    <n v="3134.5"/>
    <n v="10"/>
    <n v="206.25"/>
    <n v="3"/>
    <n v="25.5"/>
  </r>
  <r>
    <x v="6"/>
    <n v="9185"/>
    <n v="44965"/>
    <n v="649"/>
    <n v="6069.5"/>
    <n v="23"/>
    <n v="612"/>
    <n v="4"/>
    <n v="23.25"/>
  </r>
  <r>
    <x v="7"/>
    <n v="8385"/>
    <n v="41376"/>
    <n v="554"/>
    <n v="4990.75"/>
    <n v="21"/>
    <n v="395.25"/>
    <n v="12"/>
    <n v="72.25"/>
  </r>
  <r>
    <x v="8"/>
    <n v="7167"/>
    <n v="34688.5"/>
    <n v="468"/>
    <n v="4782"/>
    <n v="15"/>
    <n v="465.5"/>
    <n v="17"/>
    <n v="128.5"/>
  </r>
  <r>
    <x v="9"/>
    <n v="7508"/>
    <n v="36452.25"/>
    <n v="364"/>
    <n v="3759.25"/>
    <n v="22"/>
    <n v="521.75"/>
    <n v="20"/>
    <n v="237.5"/>
  </r>
  <r>
    <x v="10"/>
    <n v="6873"/>
    <n v="31221"/>
    <n v="388"/>
    <n v="2309"/>
    <n v="1"/>
    <n v="11.5"/>
    <n v="12"/>
    <n v="36"/>
  </r>
  <r>
    <x v="11"/>
    <n v="3200"/>
    <n v="16371"/>
    <n v="119"/>
    <n v="1407.5"/>
    <n v="3"/>
    <n v="123"/>
    <n v="3"/>
    <n v="24"/>
  </r>
  <r>
    <x v="12"/>
    <n v="5502"/>
    <n v="31098.25"/>
    <n v="186"/>
    <n v="2051.75"/>
    <n v="5"/>
    <n v="170"/>
    <n v="8"/>
    <n v="49"/>
  </r>
  <r>
    <x v="13"/>
    <n v="6432"/>
    <n v="38526.5"/>
    <n v="280"/>
    <n v="3385"/>
    <n v="2"/>
    <n v="98.25"/>
    <n v="5"/>
    <n v="52.5"/>
  </r>
  <r>
    <x v="14"/>
    <n v="7362"/>
    <n v="42820.25"/>
    <n v="292"/>
    <n v="3831"/>
    <n v="5"/>
    <n v="214.75"/>
    <n v="12"/>
    <n v="290.25"/>
  </r>
  <r>
    <x v="15"/>
    <n v="8461"/>
    <n v="47569.5"/>
    <n v="307"/>
    <n v="3445"/>
    <n v="2"/>
    <n v="146"/>
    <n v="6"/>
    <n v="85.5"/>
  </r>
  <r>
    <x v="16"/>
    <n v="8180"/>
    <n v="45656.5"/>
    <n v="284"/>
    <n v="3097"/>
    <n v="2"/>
    <n v="73.25"/>
    <n v="14"/>
    <n v="189"/>
  </r>
</pivotCacheRecords>
</file>

<file path=xl/pivotCache/pivotCacheRecords53.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80">
  <r>
    <x v="0"/>
    <s v="A"/>
    <x v="0"/>
    <n v="330"/>
    <n v="2088.25"/>
    <n v="4"/>
    <n v="37.5"/>
    <m/>
    <m/>
    <m/>
    <m/>
  </r>
  <r>
    <x v="0"/>
    <s v="H"/>
    <x v="1"/>
    <n v="234"/>
    <n v="1136.75"/>
    <n v="17"/>
    <n v="120"/>
    <m/>
    <m/>
    <m/>
    <m/>
  </r>
  <r>
    <x v="1"/>
    <s v="J"/>
    <x v="2"/>
    <n v="35"/>
    <n v="248.75"/>
    <n v="1"/>
    <n v="6.5"/>
    <m/>
    <m/>
    <m/>
    <m/>
  </r>
  <r>
    <x v="2"/>
    <s v="H"/>
    <x v="1"/>
    <n v="338"/>
    <n v="1664"/>
    <n v="33"/>
    <n v="287.5"/>
    <n v="2"/>
    <n v="39"/>
    <n v="2"/>
    <n v="7.25"/>
  </r>
  <r>
    <x v="2"/>
    <s v="J"/>
    <x v="2"/>
    <n v="20"/>
    <n v="104.5"/>
    <n v="1"/>
    <n v="11.5"/>
    <m/>
    <m/>
    <m/>
    <m/>
  </r>
  <r>
    <x v="2"/>
    <s v="L"/>
    <x v="3"/>
    <n v="421"/>
    <n v="2155.5"/>
    <n v="61"/>
    <n v="470.25"/>
    <n v="1"/>
    <n v="11.75"/>
    <n v="1"/>
    <n v="8.5"/>
  </r>
  <r>
    <x v="2"/>
    <s v="S"/>
    <x v="4"/>
    <n v="264"/>
    <n v="1213.5"/>
    <n v="11"/>
    <n v="97.25"/>
    <m/>
    <m/>
    <m/>
    <m/>
  </r>
  <r>
    <x v="3"/>
    <s v="H"/>
    <x v="1"/>
    <n v="375"/>
    <n v="1755"/>
    <n v="33"/>
    <n v="257.25"/>
    <m/>
    <m/>
    <n v="1"/>
    <n v="7.5"/>
  </r>
  <r>
    <x v="3"/>
    <s v="L"/>
    <x v="3"/>
    <n v="294"/>
    <n v="1469.5"/>
    <n v="38"/>
    <n v="329.5"/>
    <n v="3"/>
    <n v="32"/>
    <n v="3"/>
    <n v="17.75"/>
  </r>
  <r>
    <x v="4"/>
    <s v="P"/>
    <x v="5"/>
    <n v="273"/>
    <n v="1407.5"/>
    <n v="10"/>
    <n v="106.75"/>
    <m/>
    <m/>
    <n v="1"/>
    <n v="6.25"/>
  </r>
  <r>
    <x v="5"/>
    <s v="A"/>
    <x v="0"/>
    <n v="294"/>
    <m/>
    <n v="4"/>
    <m/>
    <m/>
    <m/>
    <m/>
    <m/>
  </r>
  <r>
    <x v="5"/>
    <s v="J"/>
    <x v="2"/>
    <n v="25"/>
    <m/>
    <m/>
    <m/>
    <m/>
    <m/>
    <m/>
    <m/>
  </r>
  <r>
    <x v="6"/>
    <s v="K"/>
    <x v="6"/>
    <n v="6"/>
    <n v="28"/>
    <m/>
    <m/>
    <m/>
    <m/>
    <m/>
    <m/>
  </r>
  <r>
    <x v="7"/>
    <s v="A"/>
    <x v="0"/>
    <n v="234"/>
    <n v="1455.75"/>
    <n v="4"/>
    <n v="97"/>
    <m/>
    <m/>
    <m/>
    <m/>
  </r>
  <r>
    <x v="7"/>
    <s v="M"/>
    <x v="7"/>
    <n v="178"/>
    <n v="1167.5"/>
    <n v="1"/>
    <n v="13.75"/>
    <m/>
    <m/>
    <m/>
    <m/>
  </r>
  <r>
    <x v="8"/>
    <s v="E"/>
    <x v="8"/>
    <n v="57"/>
    <n v="325.5"/>
    <n v="3"/>
    <n v="37.25"/>
    <m/>
    <m/>
    <m/>
    <m/>
  </r>
  <r>
    <x v="8"/>
    <s v="L"/>
    <x v="3"/>
    <n v="179"/>
    <n v="1122.5"/>
    <n v="16"/>
    <n v="212"/>
    <m/>
    <m/>
    <n v="1"/>
    <n v="3"/>
  </r>
  <r>
    <x v="9"/>
    <s v="A"/>
    <x v="0"/>
    <n v="267"/>
    <n v="1896.25"/>
    <n v="20"/>
    <n v="278.25"/>
    <m/>
    <m/>
    <m/>
    <m/>
  </r>
  <r>
    <x v="9"/>
    <s v="T"/>
    <x v="9"/>
    <n v="164"/>
    <n v="1001.5"/>
    <n v="5"/>
    <n v="97.75"/>
    <m/>
    <m/>
    <m/>
    <m/>
  </r>
  <r>
    <x v="10"/>
    <s v="F"/>
    <x v="10"/>
    <n v="934"/>
    <n v="6491.75"/>
    <n v="66"/>
    <n v="987"/>
    <n v="1"/>
    <n v="64.5"/>
    <n v="1"/>
    <n v="19.75"/>
  </r>
  <r>
    <x v="0"/>
    <s v="M"/>
    <x v="7"/>
    <n v="257"/>
    <n v="1527"/>
    <n v="3"/>
    <n v="23.5"/>
    <m/>
    <m/>
    <m/>
    <m/>
  </r>
  <r>
    <x v="1"/>
    <s v="H"/>
    <x v="1"/>
    <n v="317"/>
    <n v="1475"/>
    <n v="34"/>
    <n v="285.75"/>
    <m/>
    <m/>
    <m/>
    <m/>
  </r>
  <r>
    <x v="1"/>
    <s v="L"/>
    <x v="3"/>
    <n v="437"/>
    <n v="2243.5"/>
    <n v="57"/>
    <n v="475.25"/>
    <n v="2"/>
    <n v="26.25"/>
    <m/>
    <m/>
  </r>
  <r>
    <x v="1"/>
    <s v="R"/>
    <x v="11"/>
    <n v="476"/>
    <n v="2044.25"/>
    <n v="9"/>
    <n v="74.75"/>
    <m/>
    <m/>
    <m/>
    <m/>
  </r>
  <r>
    <x v="2"/>
    <s v="T"/>
    <x v="9"/>
    <n v="233"/>
    <n v="1339.75"/>
    <n v="10"/>
    <n v="90.5"/>
    <m/>
    <m/>
    <m/>
    <m/>
  </r>
  <r>
    <x v="3"/>
    <s v="A"/>
    <x v="0"/>
    <n v="342"/>
    <n v="1662"/>
    <n v="25"/>
    <n v="274.25"/>
    <m/>
    <m/>
    <m/>
    <m/>
  </r>
  <r>
    <x v="3"/>
    <s v="F"/>
    <x v="10"/>
    <n v="1018"/>
    <n v="5856.5"/>
    <n v="149"/>
    <n v="1800.5"/>
    <n v="9"/>
    <n v="378.75"/>
    <n v="6"/>
    <n v="72.5"/>
  </r>
  <r>
    <x v="3"/>
    <s v="K"/>
    <x v="6"/>
    <n v="55"/>
    <n v="288"/>
    <n v="4"/>
    <n v="35.75"/>
    <m/>
    <m/>
    <m/>
    <m/>
  </r>
  <r>
    <x v="4"/>
    <s v="J"/>
    <x v="2"/>
    <n v="30"/>
    <n v="199.75"/>
    <n v="1"/>
    <n v="11.25"/>
    <m/>
    <m/>
    <m/>
    <m/>
  </r>
  <r>
    <x v="4"/>
    <s v="L"/>
    <x v="3"/>
    <n v="329"/>
    <n v="1704"/>
    <n v="45"/>
    <n v="386.75"/>
    <n v="5"/>
    <n v="80"/>
    <m/>
    <m/>
  </r>
  <r>
    <x v="4"/>
    <s v="M"/>
    <x v="7"/>
    <n v="457"/>
    <n v="2188.5"/>
    <n v="13"/>
    <n v="156.75"/>
    <m/>
    <m/>
    <m/>
    <m/>
  </r>
  <r>
    <x v="4"/>
    <s v="T"/>
    <x v="9"/>
    <n v="179"/>
    <n v="949"/>
    <n v="10"/>
    <n v="68.5"/>
    <n v="1"/>
    <m/>
    <m/>
    <m/>
  </r>
  <r>
    <x v="5"/>
    <s v="E"/>
    <x v="8"/>
    <n v="70"/>
    <m/>
    <n v="1"/>
    <m/>
    <m/>
    <m/>
    <m/>
    <m/>
  </r>
  <r>
    <x v="5"/>
    <s v="K"/>
    <x v="6"/>
    <n v="38"/>
    <m/>
    <n v="1"/>
    <m/>
    <m/>
    <m/>
    <m/>
    <m/>
  </r>
  <r>
    <x v="5"/>
    <s v="P"/>
    <x v="5"/>
    <n v="275"/>
    <m/>
    <n v="4"/>
    <m/>
    <m/>
    <m/>
    <n v="2"/>
    <m/>
  </r>
  <r>
    <x v="5"/>
    <s v="R"/>
    <x v="11"/>
    <n v="234"/>
    <m/>
    <n v="7"/>
    <m/>
    <m/>
    <m/>
    <n v="1"/>
    <m/>
  </r>
  <r>
    <x v="6"/>
    <s v="C"/>
    <x v="12"/>
    <n v="774"/>
    <n v="2858.25"/>
    <n v="35"/>
    <n v="369.5"/>
    <n v="1"/>
    <n v="41.25"/>
    <m/>
    <m/>
  </r>
  <r>
    <x v="6"/>
    <s v="R"/>
    <x v="11"/>
    <n v="82"/>
    <n v="493.75"/>
    <n v="2"/>
    <n v="11.25"/>
    <m/>
    <m/>
    <m/>
    <m/>
  </r>
  <r>
    <x v="6"/>
    <s v="T"/>
    <x v="9"/>
    <n v="48"/>
    <n v="270.5"/>
    <n v="2"/>
    <n v="19.25"/>
    <m/>
    <m/>
    <n v="1"/>
    <n v="20"/>
  </r>
  <r>
    <x v="7"/>
    <s v="C"/>
    <x v="12"/>
    <n v="1932"/>
    <n v="7836.5"/>
    <n v="52"/>
    <n v="332.25"/>
    <n v="2"/>
    <n v="34.25"/>
    <n v="2"/>
    <n v="4.25"/>
  </r>
  <r>
    <x v="7"/>
    <s v="L"/>
    <x v="3"/>
    <n v="120"/>
    <n v="699.5"/>
    <n v="12"/>
    <n v="115.5"/>
    <m/>
    <m/>
    <n v="1"/>
    <n v="7.25"/>
  </r>
  <r>
    <x v="9"/>
    <s v="H"/>
    <x v="1"/>
    <n v="1212"/>
    <n v="6995.25"/>
    <n v="44"/>
    <n v="503"/>
    <n v="1"/>
    <n v="19.25"/>
    <n v="1"/>
    <n v="78"/>
  </r>
  <r>
    <x v="9"/>
    <s v="S"/>
    <x v="4"/>
    <n v="249"/>
    <n v="1198"/>
    <m/>
    <m/>
    <m/>
    <m/>
    <m/>
    <m/>
  </r>
  <r>
    <x v="10"/>
    <s v="J"/>
    <x v="2"/>
    <n v="21"/>
    <n v="103.75"/>
    <m/>
    <m/>
    <m/>
    <m/>
    <m/>
    <m/>
  </r>
  <r>
    <x v="10"/>
    <s v="T"/>
    <x v="9"/>
    <n v="127"/>
    <n v="712.5"/>
    <n v="2"/>
    <n v="16.75"/>
    <m/>
    <m/>
    <m/>
    <m/>
  </r>
  <r>
    <x v="11"/>
    <s v="H"/>
    <x v="1"/>
    <n v="1206"/>
    <n v="6991"/>
    <n v="38"/>
    <n v="519.5"/>
    <n v="1"/>
    <n v="37.75"/>
    <n v="3"/>
    <n v="30.75"/>
  </r>
  <r>
    <x v="11"/>
    <s v="M"/>
    <x v="7"/>
    <n v="311"/>
    <n v="2043.5"/>
    <n v="1"/>
    <n v="4.25"/>
    <m/>
    <m/>
    <m/>
    <m/>
  </r>
  <r>
    <x v="1"/>
    <s v="N"/>
    <x v="13"/>
    <n v="598"/>
    <n v="3214.5"/>
    <n v="41"/>
    <n v="283"/>
    <m/>
    <m/>
    <n v="1"/>
    <n v="11.5"/>
  </r>
  <r>
    <x v="3"/>
    <s v="E"/>
    <x v="8"/>
    <n v="94"/>
    <n v="573.5"/>
    <n v="10"/>
    <n v="114.75"/>
    <m/>
    <m/>
    <n v="1"/>
    <n v="2"/>
  </r>
  <r>
    <x v="3"/>
    <s v="J"/>
    <x v="2"/>
    <n v="34"/>
    <n v="183"/>
    <n v="3"/>
    <n v="56.5"/>
    <m/>
    <m/>
    <m/>
    <m/>
  </r>
  <r>
    <x v="3"/>
    <s v="R"/>
    <x v="11"/>
    <n v="222"/>
    <n v="1205.75"/>
    <n v="6"/>
    <n v="53.25"/>
    <m/>
    <m/>
    <m/>
    <m/>
  </r>
  <r>
    <x v="4"/>
    <s v="H"/>
    <x v="1"/>
    <n v="301"/>
    <n v="1377.25"/>
    <n v="22"/>
    <n v="192.75"/>
    <m/>
    <m/>
    <m/>
    <m/>
  </r>
  <r>
    <x v="5"/>
    <s v="C"/>
    <x v="12"/>
    <n v="1738"/>
    <m/>
    <n v="213"/>
    <m/>
    <n v="1"/>
    <m/>
    <n v="5"/>
    <m/>
  </r>
  <r>
    <x v="6"/>
    <s v="A"/>
    <x v="0"/>
    <n v="212"/>
    <n v="1131.5"/>
    <n v="8"/>
    <n v="173"/>
    <m/>
    <m/>
    <m/>
    <m/>
  </r>
  <r>
    <x v="6"/>
    <s v="B"/>
    <x v="14"/>
    <n v="1326"/>
    <n v="7506.25"/>
    <n v="16"/>
    <n v="203.5"/>
    <m/>
    <m/>
    <m/>
    <m/>
  </r>
  <r>
    <x v="7"/>
    <s v="E"/>
    <x v="8"/>
    <n v="23"/>
    <n v="170.25"/>
    <n v="1"/>
    <n v="12.25"/>
    <m/>
    <m/>
    <m/>
    <m/>
  </r>
  <r>
    <x v="7"/>
    <s v="K"/>
    <x v="6"/>
    <n v="21"/>
    <n v="163"/>
    <m/>
    <m/>
    <m/>
    <m/>
    <m/>
    <m/>
  </r>
  <r>
    <x v="7"/>
    <s v="T"/>
    <x v="9"/>
    <n v="100"/>
    <n v="607.25"/>
    <m/>
    <m/>
    <m/>
    <m/>
    <m/>
    <m/>
  </r>
  <r>
    <x v="8"/>
    <s v="J"/>
    <x v="2"/>
    <n v="23"/>
    <n v="126.75"/>
    <n v="2"/>
    <n v="12.75"/>
    <m/>
    <m/>
    <m/>
    <m/>
  </r>
  <r>
    <x v="8"/>
    <s v="T"/>
    <x v="9"/>
    <n v="101"/>
    <n v="621"/>
    <n v="3"/>
    <n v="33.25"/>
    <m/>
    <m/>
    <m/>
    <m/>
  </r>
  <r>
    <x v="9"/>
    <s v="F"/>
    <x v="10"/>
    <n v="1020"/>
    <n v="6979.5"/>
    <n v="90"/>
    <n v="1630.75"/>
    <n v="2"/>
    <n v="140.25"/>
    <n v="4"/>
    <n v="143.75"/>
  </r>
  <r>
    <x v="9"/>
    <s v="K"/>
    <x v="6"/>
    <n v="25"/>
    <n v="143.25"/>
    <m/>
    <m/>
    <m/>
    <m/>
    <m/>
    <m/>
  </r>
  <r>
    <x v="9"/>
    <s v="N"/>
    <x v="13"/>
    <n v="293"/>
    <n v="1643.5"/>
    <n v="8"/>
    <n v="109"/>
    <n v="1"/>
    <n v="25"/>
    <n v="2"/>
    <m/>
  </r>
  <r>
    <x v="9"/>
    <s v="P"/>
    <x v="5"/>
    <n v="170"/>
    <n v="1127.25"/>
    <n v="2"/>
    <n v="37.25"/>
    <m/>
    <m/>
    <n v="1"/>
    <m/>
  </r>
  <r>
    <x v="9"/>
    <s v="R"/>
    <x v="11"/>
    <n v="220"/>
    <n v="1402"/>
    <n v="2"/>
    <n v="19.25"/>
    <m/>
    <m/>
    <m/>
    <m/>
  </r>
  <r>
    <x v="10"/>
    <s v="P"/>
    <x v="5"/>
    <n v="203"/>
    <n v="1192.5"/>
    <n v="6"/>
    <n v="132.5"/>
    <m/>
    <m/>
    <m/>
    <m/>
  </r>
  <r>
    <x v="0"/>
    <s v="F"/>
    <x v="10"/>
    <n v="1022"/>
    <n v="6361.5"/>
    <n v="87"/>
    <n v="868.25"/>
    <n v="6"/>
    <n v="150.5"/>
    <m/>
    <m/>
  </r>
  <r>
    <x v="1"/>
    <s v="C"/>
    <x v="12"/>
    <n v="2916"/>
    <n v="10285.25"/>
    <n v="146"/>
    <n v="902.5"/>
    <n v="2"/>
    <n v="14.5"/>
    <n v="1"/>
    <n v="3.75"/>
  </r>
  <r>
    <x v="1"/>
    <s v="K"/>
    <x v="6"/>
    <n v="48"/>
    <n v="249.5"/>
    <n v="1"/>
    <n v="20.25"/>
    <m/>
    <m/>
    <m/>
    <m/>
  </r>
  <r>
    <x v="2"/>
    <s v="K"/>
    <x v="6"/>
    <n v="63"/>
    <n v="340.5"/>
    <n v="3"/>
    <n v="33.25"/>
    <m/>
    <m/>
    <m/>
    <m/>
  </r>
  <r>
    <x v="3"/>
    <s v="M"/>
    <x v="7"/>
    <n v="255"/>
    <n v="1437.75"/>
    <n v="13"/>
    <n v="146.5"/>
    <m/>
    <m/>
    <m/>
    <m/>
  </r>
  <r>
    <x v="4"/>
    <s v="E"/>
    <x v="8"/>
    <n v="85"/>
    <n v="435.5"/>
    <n v="3"/>
    <n v="61.25"/>
    <n v="1"/>
    <n v="38.25"/>
    <m/>
    <m/>
  </r>
  <r>
    <x v="5"/>
    <s v="T"/>
    <x v="9"/>
    <n v="115"/>
    <m/>
    <n v="2"/>
    <m/>
    <m/>
    <m/>
    <m/>
    <m/>
  </r>
  <r>
    <x v="6"/>
    <s v="F"/>
    <x v="10"/>
    <n v="206"/>
    <n v="1195.25"/>
    <n v="24"/>
    <n v="285.25"/>
    <n v="1"/>
    <n v="54.5"/>
    <m/>
    <m/>
  </r>
  <r>
    <x v="7"/>
    <s v="R"/>
    <x v="11"/>
    <n v="165"/>
    <n v="1100.75"/>
    <n v="1"/>
    <n v="4"/>
    <m/>
    <m/>
    <n v="1"/>
    <n v="8"/>
  </r>
  <r>
    <x v="9"/>
    <s v="B"/>
    <x v="14"/>
    <n v="1578"/>
    <n v="9945.75"/>
    <n v="32"/>
    <n v="384.25"/>
    <m/>
    <m/>
    <n v="1"/>
    <n v="57.25"/>
  </r>
  <r>
    <x v="9"/>
    <s v="J"/>
    <x v="2"/>
    <n v="11"/>
    <n v="69"/>
    <m/>
    <m/>
    <m/>
    <m/>
    <m/>
    <m/>
  </r>
  <r>
    <x v="10"/>
    <s v="E"/>
    <x v="8"/>
    <n v="52"/>
    <n v="336.25"/>
    <n v="7"/>
    <n v="74.5"/>
    <m/>
    <m/>
    <m/>
    <m/>
  </r>
  <r>
    <x v="10"/>
    <s v="K"/>
    <x v="6"/>
    <n v="36"/>
    <n v="212"/>
    <n v="1"/>
    <n v="18"/>
    <m/>
    <m/>
    <m/>
    <m/>
  </r>
  <r>
    <x v="10"/>
    <s v="R"/>
    <x v="11"/>
    <n v="219"/>
    <n v="1302.5"/>
    <n v="5"/>
    <n v="162.75"/>
    <n v="1"/>
    <n v="81.5"/>
    <m/>
    <m/>
  </r>
  <r>
    <x v="10"/>
    <s v="S"/>
    <x v="4"/>
    <n v="212"/>
    <n v="1052.25"/>
    <m/>
    <m/>
    <m/>
    <m/>
    <m/>
    <m/>
  </r>
  <r>
    <x v="11"/>
    <s v="E"/>
    <x v="8"/>
    <n v="80"/>
    <n v="568.75"/>
    <n v="9"/>
    <n v="178"/>
    <m/>
    <m/>
    <m/>
    <m/>
  </r>
  <r>
    <x v="11"/>
    <s v="N"/>
    <x v="13"/>
    <n v="276"/>
    <n v="1632"/>
    <n v="4"/>
    <n v="28.25"/>
    <m/>
    <m/>
    <n v="2"/>
    <n v="25.25"/>
  </r>
  <r>
    <x v="0"/>
    <s v="P"/>
    <x v="5"/>
    <n v="343"/>
    <n v="1793.75"/>
    <n v="13"/>
    <n v="95"/>
    <m/>
    <m/>
    <n v="1"/>
    <n v="12.5"/>
  </r>
  <r>
    <x v="1"/>
    <s v="B"/>
    <x v="14"/>
    <n v="1667"/>
    <n v="9716.25"/>
    <n v="93"/>
    <n v="978.75"/>
    <n v="3"/>
    <n v="76.25"/>
    <m/>
    <m/>
  </r>
  <r>
    <x v="1"/>
    <s v="T"/>
    <x v="9"/>
    <n v="190"/>
    <n v="988.5"/>
    <n v="8"/>
    <n v="62.25"/>
    <m/>
    <m/>
    <n v="1"/>
    <n v="5.5"/>
  </r>
  <r>
    <x v="2"/>
    <s v="E"/>
    <x v="8"/>
    <n v="119"/>
    <n v="607"/>
    <n v="9"/>
    <n v="83.5"/>
    <n v="1"/>
    <n v="6.75"/>
    <m/>
    <m/>
  </r>
  <r>
    <x v="2"/>
    <s v="F"/>
    <x v="10"/>
    <n v="990"/>
    <n v="5995.25"/>
    <n v="148"/>
    <n v="1626.25"/>
    <n v="8"/>
    <n v="268.5"/>
    <n v="3"/>
    <n v="20.75"/>
  </r>
  <r>
    <x v="3"/>
    <s v="B"/>
    <x v="14"/>
    <n v="1599"/>
    <n v="8671.5"/>
    <n v="54"/>
    <n v="593.75"/>
    <m/>
    <m/>
    <m/>
    <m/>
  </r>
  <r>
    <x v="4"/>
    <s v="A"/>
    <x v="0"/>
    <n v="449"/>
    <n v="2244.5"/>
    <n v="22"/>
    <n v="166.5"/>
    <m/>
    <m/>
    <m/>
    <m/>
  </r>
  <r>
    <x v="4"/>
    <s v="F"/>
    <x v="10"/>
    <n v="921"/>
    <n v="5130.75"/>
    <n v="109"/>
    <n v="1313.75"/>
    <n v="5"/>
    <n v="154"/>
    <n v="4"/>
    <n v="34"/>
  </r>
  <r>
    <x v="4"/>
    <s v="S"/>
    <x v="4"/>
    <n v="263"/>
    <n v="1314"/>
    <n v="4"/>
    <n v="38"/>
    <m/>
    <m/>
    <m/>
    <m/>
  </r>
  <r>
    <x v="5"/>
    <s v="F"/>
    <x v="10"/>
    <n v="1017"/>
    <m/>
    <n v="64"/>
    <m/>
    <m/>
    <m/>
    <m/>
    <m/>
  </r>
  <r>
    <x v="5"/>
    <s v="H"/>
    <x v="1"/>
    <n v="458"/>
    <m/>
    <n v="12"/>
    <m/>
    <m/>
    <m/>
    <n v="2"/>
    <m/>
  </r>
  <r>
    <x v="5"/>
    <s v="L"/>
    <x v="3"/>
    <n v="259"/>
    <m/>
    <n v="30"/>
    <m/>
    <m/>
    <m/>
    <n v="1"/>
    <m/>
  </r>
  <r>
    <x v="6"/>
    <s v="E"/>
    <x v="8"/>
    <n v="34"/>
    <n v="117"/>
    <n v="3"/>
    <n v="48.75"/>
    <m/>
    <m/>
    <m/>
    <m/>
  </r>
  <r>
    <x v="6"/>
    <s v="H"/>
    <x v="1"/>
    <n v="109"/>
    <n v="561.5"/>
    <n v="6"/>
    <n v="63.5"/>
    <n v="1"/>
    <n v="27.5"/>
    <m/>
    <m/>
  </r>
  <r>
    <x v="6"/>
    <s v="N"/>
    <x v="13"/>
    <n v="119"/>
    <n v="667.5"/>
    <n v="6"/>
    <n v="56.25"/>
    <m/>
    <m/>
    <n v="1"/>
    <n v="4"/>
  </r>
  <r>
    <x v="6"/>
    <s v="P"/>
    <x v="5"/>
    <n v="59"/>
    <n v="366.5"/>
    <n v="3"/>
    <n v="27.25"/>
    <m/>
    <m/>
    <m/>
    <m/>
  </r>
  <r>
    <x v="6"/>
    <s v="S"/>
    <x v="4"/>
    <n v="62"/>
    <n v="288.25"/>
    <m/>
    <m/>
    <m/>
    <m/>
    <m/>
    <m/>
  </r>
  <r>
    <x v="7"/>
    <s v="B"/>
    <x v="14"/>
    <n v="1392"/>
    <n v="9003"/>
    <n v="17"/>
    <n v="258.5"/>
    <n v="1"/>
    <n v="41"/>
    <m/>
    <m/>
  </r>
  <r>
    <x v="7"/>
    <s v="F"/>
    <x v="10"/>
    <n v="588"/>
    <n v="4421"/>
    <n v="68"/>
    <n v="848.75"/>
    <n v="1"/>
    <n v="29.75"/>
    <n v="2"/>
    <n v="11.5"/>
  </r>
  <r>
    <x v="7"/>
    <s v="S"/>
    <x v="4"/>
    <n v="108"/>
    <n v="655.75"/>
    <n v="2"/>
    <n v="27.75"/>
    <m/>
    <m/>
    <m/>
    <m/>
  </r>
  <r>
    <x v="8"/>
    <s v="H"/>
    <x v="1"/>
    <n v="532"/>
    <n v="2943.25"/>
    <n v="15"/>
    <n v="142.75"/>
    <n v="1"/>
    <n v="22.25"/>
    <m/>
    <m/>
  </r>
  <r>
    <x v="8"/>
    <s v="K"/>
    <x v="6"/>
    <n v="20"/>
    <n v="140"/>
    <m/>
    <m/>
    <m/>
    <m/>
    <m/>
    <m/>
  </r>
  <r>
    <x v="8"/>
    <s v="R"/>
    <x v="11"/>
    <n v="167"/>
    <n v="1148.75"/>
    <n v="5"/>
    <n v="46"/>
    <m/>
    <m/>
    <m/>
    <m/>
  </r>
  <r>
    <x v="9"/>
    <s v="C"/>
    <x v="12"/>
    <n v="1765"/>
    <n v="7900.75"/>
    <n v="62"/>
    <n v="473.5"/>
    <n v="1"/>
    <n v="30.25"/>
    <n v="1"/>
    <n v="4"/>
  </r>
  <r>
    <x v="10"/>
    <s v="A"/>
    <x v="0"/>
    <n v="313"/>
    <n v="2037.75"/>
    <n v="7"/>
    <n v="117.25"/>
    <m/>
    <m/>
    <m/>
    <m/>
  </r>
  <r>
    <x v="10"/>
    <s v="N"/>
    <x v="13"/>
    <n v="336"/>
    <n v="2007.25"/>
    <n v="13"/>
    <n v="80"/>
    <m/>
    <m/>
    <n v="3"/>
    <n v="36.5"/>
  </r>
  <r>
    <x v="11"/>
    <s v="B"/>
    <x v="14"/>
    <n v="1573"/>
    <n v="9921.5"/>
    <n v="21"/>
    <n v="248.25"/>
    <m/>
    <m/>
    <m/>
    <m/>
  </r>
  <r>
    <x v="11"/>
    <s v="F"/>
    <x v="10"/>
    <n v="838"/>
    <n v="5730.5"/>
    <n v="87"/>
    <n v="1215.5"/>
    <n v="1"/>
    <n v="35.5"/>
    <n v="2"/>
    <n v="51.25"/>
  </r>
  <r>
    <x v="11"/>
    <s v="L"/>
    <x v="3"/>
    <n v="297"/>
    <n v="1838"/>
    <n v="29"/>
    <n v="272.25"/>
    <m/>
    <m/>
    <n v="2"/>
    <n v="18.5"/>
  </r>
  <r>
    <x v="11"/>
    <s v="S"/>
    <x v="4"/>
    <n v="210"/>
    <n v="1064.25"/>
    <m/>
    <m/>
    <m/>
    <m/>
    <n v="1"/>
    <n v="6"/>
  </r>
  <r>
    <x v="0"/>
    <s v="N"/>
    <x v="13"/>
    <n v="644"/>
    <n v="3222.75"/>
    <n v="39"/>
    <n v="284.75"/>
    <m/>
    <m/>
    <m/>
    <m/>
  </r>
  <r>
    <x v="0"/>
    <s v="R"/>
    <x v="11"/>
    <n v="388"/>
    <n v="2008.75"/>
    <n v="24"/>
    <n v="214.75"/>
    <m/>
    <m/>
    <m/>
    <m/>
  </r>
  <r>
    <x v="1"/>
    <s v="A"/>
    <x v="0"/>
    <n v="409"/>
    <n v="2440"/>
    <n v="42"/>
    <n v="504.75"/>
    <n v="1"/>
    <n v="32"/>
    <m/>
    <m/>
  </r>
  <r>
    <x v="1"/>
    <s v="F"/>
    <x v="10"/>
    <n v="1100"/>
    <n v="6862.25"/>
    <n v="163"/>
    <n v="2008.25"/>
    <n v="14"/>
    <n v="436.5"/>
    <m/>
    <m/>
  </r>
  <r>
    <x v="1"/>
    <s v="P"/>
    <x v="5"/>
    <n v="303"/>
    <n v="1550.75"/>
    <n v="17"/>
    <n v="153"/>
    <m/>
    <m/>
    <m/>
    <m/>
  </r>
  <r>
    <x v="1"/>
    <s v="S"/>
    <x v="4"/>
    <n v="364"/>
    <n v="1734.75"/>
    <n v="15"/>
    <n v="95.75"/>
    <m/>
    <m/>
    <m/>
    <m/>
  </r>
  <r>
    <x v="2"/>
    <s v="P"/>
    <x v="5"/>
    <n v="221"/>
    <n v="1244.75"/>
    <n v="14"/>
    <n v="103.25"/>
    <m/>
    <m/>
    <m/>
    <m/>
  </r>
  <r>
    <x v="2"/>
    <s v="R"/>
    <x v="11"/>
    <n v="319"/>
    <n v="1744"/>
    <n v="10"/>
    <n v="102.75"/>
    <m/>
    <m/>
    <m/>
    <m/>
  </r>
  <r>
    <x v="3"/>
    <s v="N"/>
    <x v="13"/>
    <n v="344"/>
    <n v="1674.75"/>
    <n v="18"/>
    <n v="138.25"/>
    <n v="1"/>
    <n v="3"/>
    <n v="2"/>
    <n v="12.5"/>
  </r>
  <r>
    <x v="3"/>
    <s v="S"/>
    <x v="4"/>
    <n v="217"/>
    <n v="1101.5"/>
    <n v="3"/>
    <n v="26"/>
    <m/>
    <m/>
    <m/>
    <m/>
  </r>
  <r>
    <x v="5"/>
    <s v="N"/>
    <x v="13"/>
    <n v="350"/>
    <m/>
    <n v="8"/>
    <m/>
    <m/>
    <m/>
    <n v="1"/>
    <m/>
  </r>
  <r>
    <x v="5"/>
    <s v="S"/>
    <x v="4"/>
    <n v="283"/>
    <m/>
    <n v="2"/>
    <m/>
    <m/>
    <m/>
    <m/>
    <m/>
  </r>
  <r>
    <x v="6"/>
    <s v="J"/>
    <x v="2"/>
    <n v="10"/>
    <n v="66.5"/>
    <m/>
    <m/>
    <m/>
    <m/>
    <m/>
    <m/>
  </r>
  <r>
    <x v="7"/>
    <s v="H"/>
    <x v="1"/>
    <n v="272"/>
    <n v="1519.25"/>
    <n v="18"/>
    <n v="254.75"/>
    <n v="1"/>
    <n v="65"/>
    <m/>
    <m/>
  </r>
  <r>
    <x v="7"/>
    <s v="J"/>
    <x v="2"/>
    <n v="10"/>
    <n v="95.25"/>
    <m/>
    <m/>
    <m/>
    <m/>
    <m/>
    <m/>
  </r>
  <r>
    <x v="7"/>
    <s v="N"/>
    <x v="13"/>
    <n v="187"/>
    <n v="1090.5"/>
    <n v="6"/>
    <n v="51"/>
    <m/>
    <m/>
    <n v="2"/>
    <n v="18"/>
  </r>
  <r>
    <x v="7"/>
    <s v="P"/>
    <x v="5"/>
    <n v="172"/>
    <n v="1113"/>
    <n v="4"/>
    <n v="36.25"/>
    <m/>
    <m/>
    <m/>
    <m/>
  </r>
  <r>
    <x v="8"/>
    <s v="B"/>
    <x v="14"/>
    <n v="1575"/>
    <n v="10482"/>
    <n v="31"/>
    <n v="586.75"/>
    <m/>
    <m/>
    <m/>
    <m/>
  </r>
  <r>
    <x v="8"/>
    <s v="C"/>
    <x v="12"/>
    <n v="1859"/>
    <n v="8252.5"/>
    <n v="99"/>
    <n v="781.75"/>
    <m/>
    <m/>
    <m/>
    <m/>
  </r>
  <r>
    <x v="8"/>
    <s v="F"/>
    <x v="10"/>
    <n v="814"/>
    <n v="5823.75"/>
    <n v="84"/>
    <n v="1269.5"/>
    <n v="1"/>
    <n v="76"/>
    <n v="3"/>
    <n v="31.5"/>
  </r>
  <r>
    <x v="8"/>
    <s v="M"/>
    <x v="7"/>
    <n v="217"/>
    <n v="1482.5"/>
    <n v="2"/>
    <n v="25.75"/>
    <m/>
    <m/>
    <m/>
    <m/>
  </r>
  <r>
    <x v="8"/>
    <s v="P"/>
    <x v="5"/>
    <n v="162"/>
    <n v="1142.5"/>
    <n v="6"/>
    <n v="56.5"/>
    <m/>
    <m/>
    <m/>
    <m/>
  </r>
  <r>
    <x v="8"/>
    <s v="S"/>
    <x v="4"/>
    <n v="109"/>
    <n v="656.75"/>
    <n v="1"/>
    <n v="4.75"/>
    <m/>
    <m/>
    <n v="1"/>
    <n v="18"/>
  </r>
  <r>
    <x v="9"/>
    <s v="E"/>
    <x v="8"/>
    <n v="48"/>
    <n v="313.25"/>
    <n v="3"/>
    <n v="27.75"/>
    <m/>
    <m/>
    <m/>
    <m/>
  </r>
  <r>
    <x v="11"/>
    <s v="A"/>
    <x v="0"/>
    <n v="292"/>
    <n v="1805.25"/>
    <n v="10"/>
    <n v="103.5"/>
    <m/>
    <m/>
    <m/>
    <m/>
  </r>
  <r>
    <x v="11"/>
    <s v="J"/>
    <x v="2"/>
    <n v="23"/>
    <n v="98.25"/>
    <m/>
    <m/>
    <m/>
    <m/>
    <m/>
    <m/>
  </r>
  <r>
    <x v="11"/>
    <s v="P"/>
    <x v="5"/>
    <n v="159"/>
    <n v="1030"/>
    <m/>
    <m/>
    <m/>
    <m/>
    <n v="1"/>
    <n v="29.75"/>
  </r>
  <r>
    <x v="0"/>
    <s v="B"/>
    <x v="14"/>
    <n v="1456"/>
    <n v="8821.25"/>
    <n v="50"/>
    <n v="482.25"/>
    <n v="1"/>
    <n v="31"/>
    <m/>
    <m/>
  </r>
  <r>
    <x v="0"/>
    <s v="C"/>
    <x v="12"/>
    <n v="1871"/>
    <n v="7024.75"/>
    <n v="76"/>
    <n v="361.75"/>
    <n v="2"/>
    <n v="19.25"/>
    <n v="1"/>
    <n v="7.5"/>
  </r>
  <r>
    <x v="0"/>
    <s v="J"/>
    <x v="2"/>
    <n v="27"/>
    <n v="201"/>
    <n v="1"/>
    <n v="4.75"/>
    <m/>
    <m/>
    <m/>
    <m/>
  </r>
  <r>
    <x v="0"/>
    <s v="L"/>
    <x v="3"/>
    <n v="553"/>
    <n v="2713"/>
    <n v="43"/>
    <n v="383.25"/>
    <m/>
    <m/>
    <m/>
    <m/>
  </r>
  <r>
    <x v="0"/>
    <s v="S"/>
    <x v="4"/>
    <n v="333"/>
    <n v="1754.75"/>
    <n v="11"/>
    <n v="75"/>
    <n v="1"/>
    <n v="5.5"/>
    <m/>
    <m/>
  </r>
  <r>
    <x v="0"/>
    <s v="T"/>
    <x v="9"/>
    <n v="164"/>
    <n v="872.25"/>
    <n v="10"/>
    <n v="110.25"/>
    <m/>
    <m/>
    <m/>
    <m/>
  </r>
  <r>
    <x v="2"/>
    <s v="A"/>
    <x v="0"/>
    <n v="359"/>
    <n v="1911.75"/>
    <n v="37"/>
    <n v="370.75"/>
    <m/>
    <m/>
    <m/>
    <m/>
  </r>
  <r>
    <x v="2"/>
    <s v="M"/>
    <x v="7"/>
    <n v="350"/>
    <n v="2174"/>
    <n v="13"/>
    <n v="160.75"/>
    <m/>
    <m/>
    <m/>
    <m/>
  </r>
  <r>
    <x v="3"/>
    <s v="P"/>
    <x v="5"/>
    <n v="225"/>
    <n v="1105.5"/>
    <n v="15"/>
    <n v="122.25"/>
    <m/>
    <m/>
    <m/>
    <m/>
  </r>
  <r>
    <x v="4"/>
    <s v="B"/>
    <x v="14"/>
    <n v="1731"/>
    <n v="9112.75"/>
    <n v="44"/>
    <n v="463.25"/>
    <n v="1"/>
    <n v="33.25"/>
    <m/>
    <m/>
  </r>
  <r>
    <x v="4"/>
    <s v="K"/>
    <x v="6"/>
    <n v="59"/>
    <n v="321.75"/>
    <n v="1"/>
    <n v="14"/>
    <m/>
    <m/>
    <m/>
    <m/>
  </r>
  <r>
    <x v="5"/>
    <s v="M"/>
    <x v="7"/>
    <n v="266"/>
    <m/>
    <n v="5"/>
    <m/>
    <m/>
    <m/>
    <m/>
    <m/>
  </r>
  <r>
    <x v="6"/>
    <s v="M"/>
    <x v="7"/>
    <n v="66"/>
    <n v="355.25"/>
    <n v="1"/>
    <n v="31.25"/>
    <m/>
    <m/>
    <m/>
    <m/>
  </r>
  <r>
    <x v="8"/>
    <s v="A"/>
    <x v="0"/>
    <n v="287"/>
    <n v="1929.75"/>
    <n v="1"/>
    <n v="17.25"/>
    <m/>
    <m/>
    <m/>
    <m/>
  </r>
  <r>
    <x v="8"/>
    <s v="N"/>
    <x v="13"/>
    <n v="330"/>
    <n v="2329"/>
    <n v="12"/>
    <n v="158.75"/>
    <m/>
    <m/>
    <m/>
    <m/>
  </r>
  <r>
    <x v="10"/>
    <s v="B"/>
    <x v="14"/>
    <n v="1598"/>
    <n v="10148.5"/>
    <n v="31"/>
    <n v="437.25"/>
    <m/>
    <m/>
    <n v="2"/>
    <n v="29.25"/>
  </r>
  <r>
    <x v="10"/>
    <s v="C"/>
    <x v="12"/>
    <n v="2324"/>
    <n v="10097"/>
    <n v="76"/>
    <n v="371.25"/>
    <m/>
    <m/>
    <m/>
    <m/>
  </r>
  <r>
    <x v="10"/>
    <s v="L"/>
    <x v="3"/>
    <n v="289"/>
    <n v="1658"/>
    <n v="24"/>
    <n v="270.75"/>
    <m/>
    <m/>
    <m/>
    <m/>
  </r>
  <r>
    <x v="11"/>
    <s v="K"/>
    <x v="6"/>
    <n v="34"/>
    <n v="213.75"/>
    <n v="2"/>
    <n v="25.75"/>
    <m/>
    <m/>
    <m/>
    <m/>
  </r>
  <r>
    <x v="11"/>
    <s v="R"/>
    <x v="11"/>
    <n v="185"/>
    <n v="974"/>
    <n v="3"/>
    <n v="35.5"/>
    <m/>
    <m/>
    <n v="1"/>
    <n v="7.25"/>
  </r>
  <r>
    <x v="11"/>
    <s v="T"/>
    <x v="9"/>
    <n v="149"/>
    <n v="858.25"/>
    <n v="3"/>
    <n v="29.75"/>
    <m/>
    <m/>
    <n v="1"/>
    <n v="10.5"/>
  </r>
  <r>
    <x v="0"/>
    <s v="E"/>
    <x v="8"/>
    <n v="127"/>
    <n v="588.75"/>
    <n v="11"/>
    <n v="66.25"/>
    <m/>
    <m/>
    <n v="1"/>
    <n v="5.5"/>
  </r>
  <r>
    <x v="0"/>
    <s v="K"/>
    <x v="6"/>
    <n v="67"/>
    <n v="370.5"/>
    <n v="1"/>
    <n v="7.25"/>
    <m/>
    <m/>
    <m/>
    <m/>
  </r>
  <r>
    <x v="1"/>
    <s v="E"/>
    <x v="8"/>
    <n v="109"/>
    <n v="654.75"/>
    <n v="10"/>
    <n v="118.75"/>
    <n v="1"/>
    <n v="26.5"/>
    <m/>
    <m/>
  </r>
  <r>
    <x v="1"/>
    <s v="M"/>
    <x v="7"/>
    <n v="216"/>
    <n v="1257"/>
    <n v="12"/>
    <n v="100"/>
    <m/>
    <m/>
    <n v="1"/>
    <n v="2.5"/>
  </r>
  <r>
    <x v="2"/>
    <s v="B"/>
    <x v="14"/>
    <n v="1660"/>
    <n v="9324.75"/>
    <n v="59"/>
    <n v="711.5"/>
    <m/>
    <m/>
    <m/>
    <m/>
  </r>
  <r>
    <x v="2"/>
    <s v="C"/>
    <x v="12"/>
    <n v="2531"/>
    <n v="8986"/>
    <n v="119"/>
    <n v="614"/>
    <n v="9"/>
    <n v="69.25"/>
    <n v="4"/>
    <n v="22.25"/>
  </r>
  <r>
    <x v="2"/>
    <s v="N"/>
    <x v="13"/>
    <n v="497"/>
    <n v="2570.75"/>
    <n v="26"/>
    <n v="227.75"/>
    <m/>
    <m/>
    <n v="2"/>
    <n v="13.5"/>
  </r>
  <r>
    <x v="3"/>
    <s v="C"/>
    <x v="12"/>
    <n v="1986"/>
    <n v="7167.75"/>
    <n v="91"/>
    <n v="794.5"/>
    <n v="2"/>
    <n v="51.75"/>
    <n v="4"/>
    <n v="16.25"/>
  </r>
  <r>
    <x v="3"/>
    <s v="T"/>
    <x v="9"/>
    <n v="107"/>
    <n v="536.5"/>
    <n v="6"/>
    <n v="39"/>
    <m/>
    <m/>
    <m/>
    <m/>
  </r>
  <r>
    <x v="4"/>
    <s v="C"/>
    <x v="12"/>
    <n v="1804"/>
    <n v="6780"/>
    <n v="58"/>
    <n v="572.5"/>
    <n v="5"/>
    <n v="167.25"/>
    <n v="12"/>
    <n v="181.25"/>
  </r>
  <r>
    <x v="4"/>
    <s v="N"/>
    <x v="13"/>
    <n v="366"/>
    <n v="1827.5"/>
    <n v="16"/>
    <n v="156.5"/>
    <n v="3"/>
    <n v="45.25"/>
    <n v="3"/>
    <n v="16"/>
  </r>
  <r>
    <x v="4"/>
    <s v="R"/>
    <x v="11"/>
    <n v="261"/>
    <n v="1459.5"/>
    <n v="6"/>
    <n v="50.75"/>
    <m/>
    <m/>
    <m/>
    <m/>
  </r>
  <r>
    <x v="5"/>
    <s v="B"/>
    <x v="14"/>
    <n v="1451"/>
    <m/>
    <n v="35"/>
    <m/>
    <m/>
    <m/>
    <m/>
    <m/>
  </r>
  <r>
    <x v="6"/>
    <s v="L"/>
    <x v="3"/>
    <n v="67"/>
    <n v="372.75"/>
    <n v="6"/>
    <n v="50"/>
    <m/>
    <m/>
    <n v="1"/>
    <m/>
  </r>
  <r>
    <x v="9"/>
    <s v="L"/>
    <x v="3"/>
    <n v="183"/>
    <n v="1112.5"/>
    <n v="22"/>
    <n v="249"/>
    <m/>
    <m/>
    <n v="2"/>
    <n v="7.25"/>
  </r>
  <r>
    <x v="9"/>
    <s v="M"/>
    <x v="7"/>
    <n v="157"/>
    <n v="1092.5"/>
    <n v="2"/>
    <n v="21.25"/>
    <m/>
    <m/>
    <m/>
    <m/>
  </r>
  <r>
    <x v="10"/>
    <s v="H"/>
    <x v="1"/>
    <n v="1506"/>
    <n v="8422"/>
    <n v="66"/>
    <n v="744.25"/>
    <m/>
    <m/>
    <m/>
    <m/>
  </r>
  <r>
    <x v="10"/>
    <s v="M"/>
    <x v="7"/>
    <n v="291"/>
    <n v="1795.5"/>
    <n v="3"/>
    <n v="32.75"/>
    <m/>
    <m/>
    <m/>
    <m/>
  </r>
  <r>
    <x v="11"/>
    <s v="C"/>
    <x v="12"/>
    <n v="2547"/>
    <n v="10887.5"/>
    <n v="77"/>
    <n v="436.5"/>
    <m/>
    <m/>
    <n v="1"/>
    <n v="9.75"/>
  </r>
</pivotCacheRecords>
</file>

<file path=xl/pivotCache/pivotCacheRecords54.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80">
  <r>
    <x v="0"/>
    <s v="L"/>
    <x v="0"/>
    <n v="14"/>
    <n v="165"/>
    <n v="331"/>
    <n v="83"/>
    <n v="3"/>
    <m/>
    <n v="596"/>
  </r>
  <r>
    <x v="0"/>
    <s v="T"/>
    <x v="1"/>
    <n v="0"/>
    <n v="10"/>
    <n v="127"/>
    <n v="32"/>
    <n v="5"/>
    <m/>
    <n v="174"/>
  </r>
  <r>
    <x v="1"/>
    <s v="N"/>
    <x v="2"/>
    <n v="36"/>
    <n v="197"/>
    <n v="228"/>
    <n v="172"/>
    <n v="6"/>
    <m/>
    <n v="639"/>
  </r>
  <r>
    <x v="1"/>
    <s v="T"/>
    <x v="1"/>
    <n v="0"/>
    <n v="39"/>
    <n v="128"/>
    <n v="26"/>
    <n v="5"/>
    <m/>
    <n v="198"/>
  </r>
  <r>
    <x v="2"/>
    <s v="S"/>
    <x v="3"/>
    <n v="4"/>
    <n v="18"/>
    <n v="140"/>
    <n v="55"/>
    <n v="3"/>
    <m/>
    <n v="220"/>
  </r>
  <r>
    <x v="3"/>
    <s v="H"/>
    <x v="4"/>
    <n v="4"/>
    <n v="92"/>
    <n v="199"/>
    <n v="28"/>
    <n v="0"/>
    <m/>
    <n v="323"/>
  </r>
  <r>
    <x v="3"/>
    <s v="K"/>
    <x v="5"/>
    <n v="1"/>
    <n v="2"/>
    <n v="43"/>
    <n v="14"/>
    <n v="0"/>
    <m/>
    <n v="60"/>
  </r>
  <r>
    <x v="4"/>
    <s v="K"/>
    <x v="5"/>
    <n v="0"/>
    <n v="3"/>
    <n v="24"/>
    <n v="12"/>
    <n v="0"/>
    <m/>
    <m/>
  </r>
  <r>
    <x v="5"/>
    <s v="N"/>
    <x v="2"/>
    <n v="14"/>
    <n v="48"/>
    <n v="44"/>
    <n v="15"/>
    <n v="1"/>
    <n v="4"/>
    <n v="122"/>
  </r>
  <r>
    <x v="5"/>
    <s v="R"/>
    <x v="6"/>
    <n v="1"/>
    <n v="17"/>
    <n v="45"/>
    <n v="21"/>
    <n v="0"/>
    <n v="2"/>
    <m/>
  </r>
  <r>
    <x v="6"/>
    <s v="C"/>
    <x v="7"/>
    <n v="150"/>
    <n v="163"/>
    <n v="1567"/>
    <n v="87"/>
    <n v="2"/>
    <n v="15"/>
    <n v="1969"/>
  </r>
  <r>
    <x v="6"/>
    <s v="E"/>
    <x v="8"/>
    <n v="2"/>
    <n v="5"/>
    <n v="11"/>
    <n v="6"/>
    <n v="0"/>
    <n v="0"/>
    <m/>
  </r>
  <r>
    <x v="7"/>
    <s v="B"/>
    <x v="9"/>
    <n v="130"/>
    <n v="722"/>
    <n v="549"/>
    <n v="192"/>
    <n v="12"/>
    <n v="5"/>
    <n v="1605"/>
  </r>
  <r>
    <x v="7"/>
    <s v="N"/>
    <x v="2"/>
    <n v="37"/>
    <n v="69"/>
    <n v="136"/>
    <n v="51"/>
    <n v="3"/>
    <n v="5"/>
    <n v="296"/>
  </r>
  <r>
    <x v="8"/>
    <s v="C"/>
    <x v="7"/>
    <n v="45"/>
    <n v="149"/>
    <n v="1802"/>
    <n v="150"/>
    <n v="1"/>
    <n v="253"/>
    <n v="2147"/>
  </r>
  <r>
    <x v="8"/>
    <s v="E"/>
    <x v="8"/>
    <n v="5"/>
    <n v="4"/>
    <n v="33"/>
    <n v="12"/>
    <n v="2"/>
    <n v="3"/>
    <n v="56"/>
  </r>
  <r>
    <x v="8"/>
    <s v="T"/>
    <x v="1"/>
    <n v="0"/>
    <n v="38"/>
    <n v="28"/>
    <n v="46"/>
    <n v="9"/>
    <n v="8"/>
    <m/>
  </r>
  <r>
    <x v="9"/>
    <s v="J"/>
    <x v="10"/>
    <n v="0"/>
    <n v="5"/>
    <n v="15"/>
    <n v="0"/>
    <n v="0"/>
    <n v="3"/>
    <m/>
  </r>
  <r>
    <x v="9"/>
    <s v="M"/>
    <x v="11"/>
    <n v="34"/>
    <n v="44"/>
    <n v="185"/>
    <n v="24"/>
    <n v="0"/>
    <n v="25"/>
    <m/>
  </r>
  <r>
    <x v="9"/>
    <s v="P"/>
    <x v="12"/>
    <n v="3"/>
    <n v="9"/>
    <n v="114"/>
    <n v="21"/>
    <n v="0"/>
    <n v="12"/>
    <m/>
  </r>
  <r>
    <x v="9"/>
    <s v="S"/>
    <x v="3"/>
    <n v="7"/>
    <n v="24"/>
    <n v="69"/>
    <n v="46"/>
    <n v="0"/>
    <n v="64"/>
    <m/>
  </r>
  <r>
    <x v="0"/>
    <s v="C"/>
    <x v="7"/>
    <n v="45"/>
    <n v="247"/>
    <n v="1599"/>
    <n v="55"/>
    <n v="1"/>
    <m/>
    <n v="1947"/>
  </r>
  <r>
    <x v="0"/>
    <s v="K"/>
    <x v="5"/>
    <n v="2"/>
    <n v="2"/>
    <n v="27"/>
    <n v="37"/>
    <n v="0"/>
    <m/>
    <n v="68"/>
  </r>
  <r>
    <x v="0"/>
    <s v="P"/>
    <x v="12"/>
    <n v="3"/>
    <n v="13"/>
    <n v="170"/>
    <n v="165"/>
    <n v="5"/>
    <m/>
    <n v="356"/>
  </r>
  <r>
    <x v="0"/>
    <s v="S"/>
    <x v="3"/>
    <n v="17"/>
    <n v="49"/>
    <n v="209"/>
    <n v="68"/>
    <n v="1"/>
    <m/>
    <n v="344"/>
  </r>
  <r>
    <x v="1"/>
    <s v="E"/>
    <x v="8"/>
    <n v="1"/>
    <n v="5"/>
    <n v="49"/>
    <n v="43"/>
    <n v="21"/>
    <m/>
    <n v="119"/>
  </r>
  <r>
    <x v="1"/>
    <s v="H"/>
    <x v="4"/>
    <n v="29"/>
    <n v="82"/>
    <n v="198"/>
    <n v="41"/>
    <n v="1"/>
    <m/>
    <n v="351"/>
  </r>
  <r>
    <x v="10"/>
    <s v="N"/>
    <x v="2"/>
    <n v="77"/>
    <n v="46"/>
    <n v="346"/>
    <n v="52"/>
    <n v="2"/>
    <m/>
    <n v="523"/>
  </r>
  <r>
    <x v="10"/>
    <s v="P"/>
    <x v="12"/>
    <n v="6"/>
    <n v="8"/>
    <n v="160"/>
    <n v="59"/>
    <n v="2"/>
    <m/>
    <n v="235"/>
  </r>
  <r>
    <x v="2"/>
    <s v="R"/>
    <x v="6"/>
    <n v="2"/>
    <n v="32"/>
    <n v="150"/>
    <n v="44"/>
    <n v="0"/>
    <m/>
    <n v="228"/>
  </r>
  <r>
    <x v="2"/>
    <s v="T"/>
    <x v="1"/>
    <n v="1"/>
    <n v="19"/>
    <n v="72"/>
    <n v="17"/>
    <n v="4"/>
    <m/>
    <n v="113"/>
  </r>
  <r>
    <x v="3"/>
    <s v="P"/>
    <x v="12"/>
    <n v="2"/>
    <n v="20"/>
    <n v="196"/>
    <n v="59"/>
    <n v="6"/>
    <m/>
    <n v="283"/>
  </r>
  <r>
    <x v="3"/>
    <s v="S"/>
    <x v="3"/>
    <n v="2"/>
    <n v="29"/>
    <n v="170"/>
    <n v="62"/>
    <n v="4"/>
    <m/>
    <n v="267"/>
  </r>
  <r>
    <x v="4"/>
    <s v="F"/>
    <x v="13"/>
    <n v="1"/>
    <n v="131"/>
    <n v="746"/>
    <n v="191"/>
    <n v="12"/>
    <m/>
    <n v="1081"/>
  </r>
  <r>
    <x v="4"/>
    <s v="J"/>
    <x v="10"/>
    <n v="0"/>
    <n v="5"/>
    <n v="18"/>
    <n v="2"/>
    <n v="0"/>
    <m/>
    <m/>
  </r>
  <r>
    <x v="4"/>
    <s v="M"/>
    <x v="11"/>
    <n v="23"/>
    <n v="30"/>
    <n v="170"/>
    <n v="44"/>
    <n v="4"/>
    <m/>
    <n v="271"/>
  </r>
  <r>
    <x v="6"/>
    <s v="B"/>
    <x v="9"/>
    <n v="99"/>
    <n v="623"/>
    <n v="490"/>
    <n v="183"/>
    <n v="9"/>
    <n v="5"/>
    <n v="1404"/>
  </r>
  <r>
    <x v="6"/>
    <s v="R"/>
    <x v="6"/>
    <n v="2"/>
    <n v="27"/>
    <n v="104"/>
    <n v="25"/>
    <n v="2"/>
    <n v="6"/>
    <n v="160"/>
  </r>
  <r>
    <x v="11"/>
    <s v="L"/>
    <x v="0"/>
    <n v="3"/>
    <n v="22"/>
    <n v="115"/>
    <n v="51"/>
    <n v="2"/>
    <n v="2"/>
    <n v="193"/>
  </r>
  <r>
    <x v="11"/>
    <s v="T"/>
    <x v="1"/>
    <n v="0"/>
    <n v="16"/>
    <n v="50"/>
    <n v="34"/>
    <n v="4"/>
    <m/>
    <m/>
  </r>
  <r>
    <x v="7"/>
    <s v="R"/>
    <x v="6"/>
    <n v="1"/>
    <n v="71"/>
    <n v="120"/>
    <n v="28"/>
    <n v="0"/>
    <n v="2"/>
    <m/>
  </r>
  <r>
    <x v="8"/>
    <s v="J"/>
    <x v="10"/>
    <n v="1"/>
    <n v="5"/>
    <n v="14"/>
    <n v="0"/>
    <n v="0"/>
    <n v="1"/>
    <m/>
  </r>
  <r>
    <x v="9"/>
    <s v="C"/>
    <x v="7"/>
    <n v="167"/>
    <n v="147"/>
    <n v="1858"/>
    <n v="140"/>
    <n v="2"/>
    <n v="310"/>
    <n v="2314"/>
  </r>
  <r>
    <x v="9"/>
    <s v="F"/>
    <x v="13"/>
    <n v="0"/>
    <n v="90"/>
    <n v="573"/>
    <n v="131"/>
    <n v="15"/>
    <n v="116"/>
    <m/>
  </r>
  <r>
    <x v="0"/>
    <s v="N"/>
    <x v="2"/>
    <n v="27"/>
    <n v="259"/>
    <n v="173"/>
    <n v="222"/>
    <n v="2"/>
    <m/>
    <n v="683"/>
  </r>
  <r>
    <x v="1"/>
    <s v="C"/>
    <x v="7"/>
    <n v="141"/>
    <n v="272"/>
    <n v="2548"/>
    <n v="91"/>
    <n v="10"/>
    <m/>
    <n v="3062"/>
  </r>
  <r>
    <x v="10"/>
    <s v="R"/>
    <x v="6"/>
    <n v="0"/>
    <n v="49"/>
    <n v="225"/>
    <n v="52"/>
    <n v="3"/>
    <m/>
    <n v="329"/>
  </r>
  <r>
    <x v="10"/>
    <s v="T"/>
    <x v="1"/>
    <n v="0"/>
    <n v="38"/>
    <n v="145"/>
    <n v="56"/>
    <n v="4"/>
    <m/>
    <n v="243"/>
  </r>
  <r>
    <x v="2"/>
    <s v="E"/>
    <x v="8"/>
    <n v="6"/>
    <n v="12"/>
    <n v="63"/>
    <n v="21"/>
    <n v="2"/>
    <m/>
    <n v="104"/>
  </r>
  <r>
    <x v="2"/>
    <s v="L"/>
    <x v="0"/>
    <n v="5"/>
    <n v="35"/>
    <n v="219"/>
    <n v="70"/>
    <n v="3"/>
    <m/>
    <n v="332"/>
  </r>
  <r>
    <x v="3"/>
    <s v="F"/>
    <x v="13"/>
    <n v="0"/>
    <n v="70"/>
    <n v="734"/>
    <n v="209"/>
    <n v="17"/>
    <m/>
    <n v="1030"/>
  </r>
  <r>
    <x v="3"/>
    <s v="J"/>
    <x v="10"/>
    <n v="1"/>
    <n v="2"/>
    <n v="23"/>
    <n v="5"/>
    <n v="0"/>
    <m/>
    <n v="31"/>
  </r>
  <r>
    <x v="4"/>
    <s v="E"/>
    <x v="8"/>
    <n v="6"/>
    <n v="8"/>
    <n v="42"/>
    <n v="13"/>
    <n v="2"/>
    <m/>
    <n v="71"/>
  </r>
  <r>
    <x v="4"/>
    <s v="T"/>
    <x v="1"/>
    <n v="0"/>
    <n v="23"/>
    <n v="51"/>
    <n v="41"/>
    <n v="2"/>
    <m/>
    <m/>
  </r>
  <r>
    <x v="5"/>
    <s v="A"/>
    <x v="14"/>
    <n v="6"/>
    <n v="22"/>
    <n v="174"/>
    <n v="12"/>
    <n v="3"/>
    <n v="1"/>
    <n v="217"/>
  </r>
  <r>
    <x v="5"/>
    <s v="J"/>
    <x v="10"/>
    <n v="1"/>
    <n v="2"/>
    <n v="6"/>
    <n v="1"/>
    <n v="0"/>
    <m/>
    <m/>
  </r>
  <r>
    <x v="6"/>
    <s v="A"/>
    <x v="14"/>
    <n v="4"/>
    <n v="23"/>
    <n v="193"/>
    <n v="16"/>
    <n v="1"/>
    <n v="1"/>
    <n v="237"/>
  </r>
  <r>
    <x v="6"/>
    <s v="H"/>
    <x v="4"/>
    <n v="7"/>
    <n v="80"/>
    <n v="173"/>
    <n v="28"/>
    <n v="0"/>
    <n v="2"/>
    <m/>
  </r>
  <r>
    <x v="6"/>
    <s v="N"/>
    <x v="2"/>
    <n v="26"/>
    <n v="60"/>
    <n v="77"/>
    <n v="24"/>
    <n v="3"/>
    <n v="3"/>
    <n v="190"/>
  </r>
  <r>
    <x v="6"/>
    <s v="T"/>
    <x v="1"/>
    <n v="0"/>
    <n v="20"/>
    <n v="45"/>
    <n v="30"/>
    <n v="5"/>
    <n v="0"/>
    <m/>
  </r>
  <r>
    <x v="11"/>
    <s v="K"/>
    <x v="5"/>
    <n v="0"/>
    <n v="2"/>
    <n v="10"/>
    <n v="8"/>
    <n v="0"/>
    <m/>
    <m/>
  </r>
  <r>
    <x v="7"/>
    <s v="S"/>
    <x v="3"/>
    <n v="8"/>
    <n v="39"/>
    <n v="111"/>
    <n v="85"/>
    <n v="6"/>
    <m/>
    <n v="249"/>
  </r>
  <r>
    <x v="8"/>
    <s v="F"/>
    <x v="13"/>
    <n v="1"/>
    <n v="115"/>
    <n v="676"/>
    <n v="134"/>
    <n v="14"/>
    <n v="60"/>
    <n v="940"/>
  </r>
  <r>
    <x v="8"/>
    <s v="L"/>
    <x v="0"/>
    <n v="2"/>
    <n v="103"/>
    <n v="124"/>
    <n v="59"/>
    <n v="2"/>
    <n v="23"/>
    <n v="290"/>
  </r>
  <r>
    <x v="8"/>
    <s v="R"/>
    <x v="6"/>
    <n v="1"/>
    <n v="46"/>
    <n v="117"/>
    <n v="41"/>
    <n v="1"/>
    <n v="18"/>
    <n v="206"/>
  </r>
  <r>
    <x v="8"/>
    <s v="S"/>
    <x v="3"/>
    <n v="6"/>
    <n v="24"/>
    <n v="88"/>
    <n v="74"/>
    <n v="3"/>
    <n v="17"/>
    <n v="195"/>
  </r>
  <r>
    <x v="9"/>
    <s v="E"/>
    <x v="8"/>
    <n v="1"/>
    <n v="7"/>
    <n v="51"/>
    <n v="11"/>
    <n v="2"/>
    <n v="17"/>
    <n v="72"/>
  </r>
  <r>
    <x v="9"/>
    <s v="T"/>
    <x v="1"/>
    <n v="1"/>
    <n v="24"/>
    <n v="48"/>
    <n v="45"/>
    <n v="9"/>
    <n v="25"/>
    <n v="127"/>
  </r>
  <r>
    <x v="0"/>
    <s v="A"/>
    <x v="14"/>
    <n v="3"/>
    <n v="14"/>
    <n v="164"/>
    <n v="93"/>
    <n v="60"/>
    <m/>
    <n v="334"/>
  </r>
  <r>
    <x v="0"/>
    <s v="F"/>
    <x v="13"/>
    <n v="1"/>
    <n v="18"/>
    <n v="517"/>
    <n v="487"/>
    <n v="86"/>
    <m/>
    <n v="1109"/>
  </r>
  <r>
    <x v="0"/>
    <s v="M"/>
    <x v="11"/>
    <n v="8"/>
    <n v="113"/>
    <n v="114"/>
    <n v="23"/>
    <n v="2"/>
    <m/>
    <n v="260"/>
  </r>
  <r>
    <x v="1"/>
    <s v="L"/>
    <x v="0"/>
    <n v="17"/>
    <n v="148"/>
    <n v="250"/>
    <n v="74"/>
    <n v="5"/>
    <m/>
    <n v="494"/>
  </r>
  <r>
    <x v="10"/>
    <s v="S"/>
    <x v="3"/>
    <n v="5"/>
    <n v="25"/>
    <n v="191"/>
    <n v="46"/>
    <n v="8"/>
    <m/>
    <n v="275"/>
  </r>
  <r>
    <x v="3"/>
    <s v="A"/>
    <x v="14"/>
    <n v="7"/>
    <n v="36"/>
    <n v="353"/>
    <n v="70"/>
    <n v="5"/>
    <m/>
    <n v="471"/>
  </r>
  <r>
    <x v="3"/>
    <s v="C"/>
    <x v="7"/>
    <n v="81"/>
    <n v="263"/>
    <n v="1407"/>
    <n v="109"/>
    <n v="2"/>
    <m/>
    <n v="1862"/>
  </r>
  <r>
    <x v="3"/>
    <s v="L"/>
    <x v="0"/>
    <n v="6"/>
    <n v="36"/>
    <n v="247"/>
    <n v="84"/>
    <n v="1"/>
    <m/>
    <n v="374"/>
  </r>
  <r>
    <x v="3"/>
    <s v="M"/>
    <x v="11"/>
    <n v="35"/>
    <n v="41"/>
    <n v="325"/>
    <n v="66"/>
    <n v="3"/>
    <m/>
    <n v="470"/>
  </r>
  <r>
    <x v="4"/>
    <s v="H"/>
    <x v="4"/>
    <n v="15"/>
    <n v="92"/>
    <n v="335"/>
    <n v="28"/>
    <n v="0"/>
    <m/>
    <m/>
  </r>
  <r>
    <x v="5"/>
    <s v="E"/>
    <x v="8"/>
    <n v="2"/>
    <n v="10"/>
    <n v="16"/>
    <n v="9"/>
    <n v="2"/>
    <m/>
    <n v="39"/>
  </r>
  <r>
    <x v="5"/>
    <s v="K"/>
    <x v="5"/>
    <n v="0"/>
    <n v="0"/>
    <n v="6"/>
    <n v="0"/>
    <n v="0"/>
    <m/>
    <m/>
  </r>
  <r>
    <x v="5"/>
    <s v="M"/>
    <x v="11"/>
    <n v="3"/>
    <n v="14"/>
    <n v="30"/>
    <n v="18"/>
    <n v="3"/>
    <n v="1"/>
    <n v="68"/>
  </r>
  <r>
    <x v="5"/>
    <s v="T"/>
    <x v="1"/>
    <n v="1"/>
    <n v="3"/>
    <n v="19"/>
    <n v="16"/>
    <n v="8"/>
    <n v="3"/>
    <n v="47"/>
  </r>
  <r>
    <x v="6"/>
    <s v="K"/>
    <x v="5"/>
    <n v="1"/>
    <n v="2"/>
    <n v="13"/>
    <n v="5"/>
    <n v="0"/>
    <n v="0"/>
    <m/>
  </r>
  <r>
    <x v="11"/>
    <s v="E"/>
    <x v="8"/>
    <n v="7"/>
    <n v="8"/>
    <n v="31"/>
    <n v="13"/>
    <n v="0"/>
    <n v="1"/>
    <m/>
  </r>
  <r>
    <x v="11"/>
    <s v="R"/>
    <x v="6"/>
    <n v="0"/>
    <n v="48"/>
    <n v="92"/>
    <n v="30"/>
    <n v="2"/>
    <m/>
    <m/>
  </r>
  <r>
    <x v="11"/>
    <s v="S"/>
    <x v="3"/>
    <n v="0"/>
    <n v="22"/>
    <n v="59"/>
    <n v="25"/>
    <n v="3"/>
    <n v="1"/>
    <m/>
  </r>
  <r>
    <x v="7"/>
    <s v="E"/>
    <x v="8"/>
    <n v="2"/>
    <n v="5"/>
    <n v="24"/>
    <n v="17"/>
    <n v="2"/>
    <n v="1"/>
    <n v="50"/>
  </r>
  <r>
    <x v="9"/>
    <s v="R"/>
    <x v="6"/>
    <n v="0"/>
    <n v="74"/>
    <n v="60"/>
    <n v="30"/>
    <n v="1"/>
    <n v="23"/>
    <m/>
  </r>
  <r>
    <x v="0"/>
    <s v="H"/>
    <x v="4"/>
    <n v="7"/>
    <n v="86"/>
    <n v="137"/>
    <n v="20"/>
    <n v="1"/>
    <m/>
    <n v="251"/>
  </r>
  <r>
    <x v="1"/>
    <s v="A"/>
    <x v="14"/>
    <n v="9"/>
    <n v="24"/>
    <n v="255"/>
    <n v="118"/>
    <n v="45"/>
    <m/>
    <n v="451"/>
  </r>
  <r>
    <x v="1"/>
    <s v="J"/>
    <x v="10"/>
    <n v="0"/>
    <n v="0"/>
    <n v="21"/>
    <n v="15"/>
    <n v="0"/>
    <m/>
    <n v="36"/>
  </r>
  <r>
    <x v="10"/>
    <s v="B"/>
    <x v="9"/>
    <n v="67"/>
    <n v="638"/>
    <n v="783"/>
    <n v="219"/>
    <n v="12"/>
    <m/>
    <n v="1719"/>
  </r>
  <r>
    <x v="2"/>
    <s v="B"/>
    <x v="9"/>
    <n v="72"/>
    <n v="580"/>
    <n v="791"/>
    <n v="201"/>
    <n v="9"/>
    <m/>
    <n v="1653"/>
  </r>
  <r>
    <x v="2"/>
    <s v="H"/>
    <x v="4"/>
    <n v="1"/>
    <n v="81"/>
    <n v="273"/>
    <n v="53"/>
    <n v="0"/>
    <m/>
    <n v="408"/>
  </r>
  <r>
    <x v="4"/>
    <s v="A"/>
    <x v="14"/>
    <n v="11"/>
    <n v="19"/>
    <n v="239"/>
    <n v="27"/>
    <n v="2"/>
    <m/>
    <n v="298"/>
  </r>
  <r>
    <x v="4"/>
    <s v="N"/>
    <x v="2"/>
    <n v="61"/>
    <n v="72"/>
    <n v="179"/>
    <n v="46"/>
    <n v="0"/>
    <m/>
    <m/>
  </r>
  <r>
    <x v="6"/>
    <s v="J"/>
    <x v="10"/>
    <n v="0"/>
    <n v="3"/>
    <n v="6"/>
    <n v="1"/>
    <n v="0"/>
    <n v="0"/>
    <m/>
  </r>
  <r>
    <x v="6"/>
    <s v="L"/>
    <x v="0"/>
    <n v="3"/>
    <n v="18"/>
    <n v="65"/>
    <n v="40"/>
    <n v="3"/>
    <n v="3"/>
    <n v="129"/>
  </r>
  <r>
    <x v="6"/>
    <s v="P"/>
    <x v="12"/>
    <n v="6"/>
    <n v="10"/>
    <n v="123"/>
    <n v="33"/>
    <n v="1"/>
    <n v="3"/>
    <n v="173"/>
  </r>
  <r>
    <x v="11"/>
    <s v="A"/>
    <x v="14"/>
    <n v="17"/>
    <n v="24"/>
    <n v="224"/>
    <n v="16"/>
    <n v="4"/>
    <n v="3"/>
    <n v="285"/>
  </r>
  <r>
    <x v="11"/>
    <s v="M"/>
    <x v="11"/>
    <n v="25"/>
    <n v="40"/>
    <n v="116"/>
    <n v="34"/>
    <n v="1"/>
    <n v="3"/>
    <n v="216"/>
  </r>
  <r>
    <x v="7"/>
    <s v="M"/>
    <x v="11"/>
    <n v="18"/>
    <n v="26"/>
    <n v="93"/>
    <n v="18"/>
    <n v="1"/>
    <n v="3"/>
    <n v="156"/>
  </r>
  <r>
    <x v="7"/>
    <s v="P"/>
    <x v="12"/>
    <n v="10"/>
    <n v="13"/>
    <n v="119"/>
    <n v="26"/>
    <n v="0"/>
    <n v="4"/>
    <m/>
  </r>
  <r>
    <x v="7"/>
    <s v="T"/>
    <x v="1"/>
    <n v="0"/>
    <n v="49"/>
    <n v="48"/>
    <n v="56"/>
    <n v="12"/>
    <n v="4"/>
    <m/>
  </r>
  <r>
    <x v="8"/>
    <s v="A"/>
    <x v="14"/>
    <n v="25"/>
    <n v="26"/>
    <n v="235"/>
    <n v="15"/>
    <n v="2"/>
    <n v="17"/>
    <n v="303"/>
  </r>
  <r>
    <x v="8"/>
    <s v="H"/>
    <x v="4"/>
    <n v="6"/>
    <n v="574"/>
    <n v="816"/>
    <n v="78"/>
    <n v="0"/>
    <n v="98"/>
    <m/>
  </r>
  <r>
    <x v="8"/>
    <s v="K"/>
    <x v="5"/>
    <n v="1"/>
    <n v="1"/>
    <n v="22"/>
    <n v="12"/>
    <n v="0"/>
    <n v="1"/>
    <m/>
  </r>
  <r>
    <x v="8"/>
    <s v="N"/>
    <x v="2"/>
    <n v="48"/>
    <n v="76"/>
    <n v="124"/>
    <n v="51"/>
    <n v="1"/>
    <n v="49"/>
    <n v="300"/>
  </r>
  <r>
    <x v="0"/>
    <s v="E"/>
    <x v="8"/>
    <n v="0"/>
    <n v="6"/>
    <n v="37"/>
    <n v="83"/>
    <n v="12"/>
    <m/>
    <n v="138"/>
  </r>
  <r>
    <x v="1"/>
    <s v="M"/>
    <x v="11"/>
    <n v="9"/>
    <n v="53"/>
    <n v="125"/>
    <n v="41"/>
    <n v="0"/>
    <m/>
    <n v="228"/>
  </r>
  <r>
    <x v="1"/>
    <s v="S"/>
    <x v="3"/>
    <n v="15"/>
    <n v="35"/>
    <n v="240"/>
    <n v="84"/>
    <n v="5"/>
    <m/>
    <n v="379"/>
  </r>
  <r>
    <x v="10"/>
    <s v="E"/>
    <x v="8"/>
    <n v="5"/>
    <n v="10"/>
    <n v="83"/>
    <n v="27"/>
    <n v="3"/>
    <m/>
    <n v="128"/>
  </r>
  <r>
    <x v="10"/>
    <s v="K"/>
    <x v="5"/>
    <n v="0"/>
    <n v="1"/>
    <n v="55"/>
    <n v="10"/>
    <n v="0"/>
    <m/>
    <n v="66"/>
  </r>
  <r>
    <x v="10"/>
    <s v="M"/>
    <x v="11"/>
    <n v="19"/>
    <n v="38"/>
    <n v="241"/>
    <n v="55"/>
    <n v="10"/>
    <m/>
    <n v="363"/>
  </r>
  <r>
    <x v="2"/>
    <s v="F"/>
    <x v="13"/>
    <n v="2"/>
    <n v="73"/>
    <n v="819"/>
    <n v="256"/>
    <n v="17"/>
    <m/>
    <n v="1167"/>
  </r>
  <r>
    <x v="2"/>
    <s v="K"/>
    <x v="5"/>
    <n v="1"/>
    <n v="2"/>
    <n v="42"/>
    <n v="12"/>
    <n v="2"/>
    <m/>
    <n v="59"/>
  </r>
  <r>
    <x v="2"/>
    <s v="M"/>
    <x v="11"/>
    <n v="24"/>
    <n v="35"/>
    <n v="178"/>
    <n v="29"/>
    <n v="2"/>
    <m/>
    <n v="268"/>
  </r>
  <r>
    <x v="2"/>
    <s v="P"/>
    <x v="12"/>
    <n v="4"/>
    <n v="6"/>
    <n v="166"/>
    <n v="62"/>
    <n v="2"/>
    <m/>
    <n v="240"/>
  </r>
  <r>
    <x v="3"/>
    <s v="N"/>
    <x v="2"/>
    <n v="18"/>
    <n v="49"/>
    <n v="267"/>
    <n v="45"/>
    <n v="3"/>
    <m/>
    <n v="382"/>
  </r>
  <r>
    <x v="4"/>
    <s v="C"/>
    <x v="7"/>
    <n v="69"/>
    <n v="218"/>
    <n v="1510"/>
    <n v="154"/>
    <n v="0"/>
    <m/>
    <m/>
  </r>
  <r>
    <x v="4"/>
    <s v="R"/>
    <x v="6"/>
    <n v="3"/>
    <n v="46"/>
    <n v="137"/>
    <n v="53"/>
    <n v="2"/>
    <m/>
    <n v="241"/>
  </r>
  <r>
    <x v="5"/>
    <s v="H"/>
    <x v="4"/>
    <n v="6"/>
    <n v="24"/>
    <n v="76"/>
    <n v="13"/>
    <n v="0"/>
    <m/>
    <m/>
  </r>
  <r>
    <x v="5"/>
    <s v="S"/>
    <x v="3"/>
    <n v="4"/>
    <n v="9"/>
    <n v="25"/>
    <n v="25"/>
    <n v="0"/>
    <m/>
    <m/>
  </r>
  <r>
    <x v="11"/>
    <s v="F"/>
    <x v="13"/>
    <n v="0"/>
    <n v="93"/>
    <n v="606"/>
    <n v="172"/>
    <n v="21"/>
    <n v="6"/>
    <m/>
  </r>
  <r>
    <x v="7"/>
    <s v="C"/>
    <x v="7"/>
    <n v="69"/>
    <n v="119"/>
    <n v="1519"/>
    <n v="101"/>
    <n v="2"/>
    <n v="17"/>
    <n v="1810"/>
  </r>
  <r>
    <x v="7"/>
    <s v="F"/>
    <x v="13"/>
    <n v="2"/>
    <n v="186"/>
    <n v="705"/>
    <n v="189"/>
    <n v="16"/>
    <n v="12"/>
    <n v="1098"/>
  </r>
  <r>
    <x v="7"/>
    <s v="J"/>
    <x v="10"/>
    <n v="0"/>
    <n v="3"/>
    <n v="6"/>
    <n v="2"/>
    <n v="0"/>
    <m/>
    <m/>
  </r>
  <r>
    <x v="7"/>
    <s v="L"/>
    <x v="0"/>
    <n v="12"/>
    <n v="37"/>
    <n v="95"/>
    <n v="54"/>
    <n v="4"/>
    <n v="3"/>
    <n v="202"/>
  </r>
  <r>
    <x v="8"/>
    <s v="B"/>
    <x v="9"/>
    <n v="113"/>
    <n v="705"/>
    <n v="512"/>
    <n v="170"/>
    <n v="9"/>
    <n v="120"/>
    <n v="1509"/>
  </r>
  <r>
    <x v="9"/>
    <s v="A"/>
    <x v="14"/>
    <n v="20"/>
    <n v="22"/>
    <n v="207"/>
    <n v="14"/>
    <n v="0"/>
    <n v="39"/>
    <m/>
  </r>
  <r>
    <x v="9"/>
    <s v="H"/>
    <x v="4"/>
    <n v="15"/>
    <n v="419"/>
    <n v="578"/>
    <n v="73"/>
    <n v="0"/>
    <n v="159"/>
    <m/>
  </r>
  <r>
    <x v="0"/>
    <s v="J"/>
    <x v="10"/>
    <n v="0"/>
    <n v="0"/>
    <n v="9"/>
    <n v="18"/>
    <n v="1"/>
    <m/>
    <n v="28"/>
  </r>
  <r>
    <x v="1"/>
    <s v="B"/>
    <x v="9"/>
    <n v="75"/>
    <n v="598"/>
    <n v="822"/>
    <n v="241"/>
    <n v="24"/>
    <m/>
    <n v="1760"/>
  </r>
  <r>
    <x v="1"/>
    <s v="K"/>
    <x v="5"/>
    <n v="0"/>
    <n v="3"/>
    <n v="22"/>
    <n v="24"/>
    <n v="0"/>
    <m/>
    <n v="49"/>
  </r>
  <r>
    <x v="1"/>
    <s v="P"/>
    <x v="12"/>
    <n v="4"/>
    <n v="8"/>
    <n v="217"/>
    <n v="84"/>
    <n v="7"/>
    <m/>
    <n v="320"/>
  </r>
  <r>
    <x v="10"/>
    <s v="J"/>
    <x v="10"/>
    <n v="1"/>
    <n v="0"/>
    <n v="16"/>
    <n v="3"/>
    <n v="1"/>
    <m/>
    <n v="21"/>
  </r>
  <r>
    <x v="10"/>
    <s v="L"/>
    <x v="0"/>
    <n v="7"/>
    <n v="55"/>
    <n v="327"/>
    <n v="85"/>
    <n v="8"/>
    <m/>
    <n v="482"/>
  </r>
  <r>
    <x v="2"/>
    <s v="J"/>
    <x v="10"/>
    <n v="1"/>
    <n v="0"/>
    <n v="21"/>
    <n v="14"/>
    <n v="1"/>
    <m/>
    <n v="37"/>
  </r>
  <r>
    <x v="3"/>
    <s v="B"/>
    <x v="9"/>
    <n v="92"/>
    <n v="668"/>
    <n v="807"/>
    <n v="201"/>
    <n v="7"/>
    <m/>
    <n v="1775"/>
  </r>
  <r>
    <x v="3"/>
    <s v="E"/>
    <x v="8"/>
    <n v="5"/>
    <n v="10"/>
    <n v="59"/>
    <n v="12"/>
    <n v="2"/>
    <m/>
    <n v="88"/>
  </r>
  <r>
    <x v="3"/>
    <s v="T"/>
    <x v="1"/>
    <n v="0"/>
    <n v="34"/>
    <n v="121"/>
    <n v="33"/>
    <n v="1"/>
    <m/>
    <n v="189"/>
  </r>
  <r>
    <x v="4"/>
    <s v="B"/>
    <x v="9"/>
    <n v="95"/>
    <n v="634"/>
    <n v="562"/>
    <n v="187"/>
    <n v="8"/>
    <m/>
    <n v="1486"/>
  </r>
  <r>
    <x v="4"/>
    <s v="L"/>
    <x v="0"/>
    <n v="9"/>
    <n v="38"/>
    <n v="167"/>
    <n v="73"/>
    <n v="2"/>
    <m/>
    <n v="289"/>
  </r>
  <r>
    <x v="4"/>
    <s v="P"/>
    <x v="12"/>
    <n v="2"/>
    <n v="8"/>
    <n v="202"/>
    <n v="66"/>
    <n v="1"/>
    <m/>
    <n v="279"/>
  </r>
  <r>
    <x v="5"/>
    <s v="C"/>
    <x v="7"/>
    <n v="42"/>
    <n v="127"/>
    <n v="582"/>
    <n v="56"/>
    <n v="1"/>
    <n v="7"/>
    <n v="808"/>
  </r>
  <r>
    <x v="5"/>
    <s v="F"/>
    <x v="13"/>
    <n v="1"/>
    <n v="33"/>
    <n v="157"/>
    <n v="39"/>
    <n v="5"/>
    <n v="3"/>
    <n v="235"/>
  </r>
  <r>
    <x v="6"/>
    <s v="F"/>
    <x v="13"/>
    <n v="1"/>
    <n v="76"/>
    <n v="378"/>
    <n v="165"/>
    <n v="27"/>
    <n v="9"/>
    <n v="647"/>
  </r>
  <r>
    <x v="6"/>
    <s v="M"/>
    <x v="11"/>
    <n v="19"/>
    <n v="21"/>
    <n v="108"/>
    <n v="29"/>
    <n v="0"/>
    <n v="2"/>
    <m/>
  </r>
  <r>
    <x v="11"/>
    <s v="C"/>
    <x v="7"/>
    <n v="173"/>
    <n v="101"/>
    <n v="1493"/>
    <n v="151"/>
    <n v="0"/>
    <n v="40"/>
    <m/>
  </r>
  <r>
    <x v="11"/>
    <s v="J"/>
    <x v="10"/>
    <n v="2"/>
    <n v="4"/>
    <n v="15"/>
    <n v="4"/>
    <n v="0"/>
    <m/>
    <m/>
  </r>
  <r>
    <x v="11"/>
    <s v="P"/>
    <x v="12"/>
    <n v="7"/>
    <n v="15"/>
    <n v="116"/>
    <n v="26"/>
    <n v="0"/>
    <n v="4"/>
    <m/>
  </r>
  <r>
    <x v="7"/>
    <s v="A"/>
    <x v="14"/>
    <n v="14"/>
    <n v="25"/>
    <n v="216"/>
    <n v="23"/>
    <n v="4"/>
    <n v="5"/>
    <n v="282"/>
  </r>
  <r>
    <x v="9"/>
    <s v="K"/>
    <x v="5"/>
    <n v="0"/>
    <n v="1"/>
    <n v="23"/>
    <n v="7"/>
    <n v="0"/>
    <n v="5"/>
    <m/>
  </r>
  <r>
    <x v="9"/>
    <s v="L"/>
    <x v="0"/>
    <n v="1"/>
    <n v="88"/>
    <n v="154"/>
    <n v="49"/>
    <n v="1"/>
    <n v="33"/>
    <n v="293"/>
  </r>
  <r>
    <x v="0"/>
    <s v="B"/>
    <x v="9"/>
    <n v="51"/>
    <n v="538"/>
    <n v="711"/>
    <n v="191"/>
    <n v="15"/>
    <m/>
    <n v="1506"/>
  </r>
  <r>
    <x v="0"/>
    <s v="R"/>
    <x v="6"/>
    <n v="2"/>
    <n v="113"/>
    <n v="243"/>
    <n v="50"/>
    <n v="4"/>
    <m/>
    <n v="412"/>
  </r>
  <r>
    <x v="1"/>
    <s v="F"/>
    <x v="13"/>
    <n v="1"/>
    <n v="53"/>
    <n v="815"/>
    <n v="329"/>
    <n v="65"/>
    <m/>
    <n v="1263"/>
  </r>
  <r>
    <x v="1"/>
    <s v="R"/>
    <x v="6"/>
    <n v="1"/>
    <n v="170"/>
    <n v="267"/>
    <n v="44"/>
    <n v="3"/>
    <m/>
    <n v="485"/>
  </r>
  <r>
    <x v="10"/>
    <s v="A"/>
    <x v="14"/>
    <n v="8"/>
    <n v="17"/>
    <n v="314"/>
    <n v="51"/>
    <n v="6"/>
    <m/>
    <n v="396"/>
  </r>
  <r>
    <x v="10"/>
    <s v="C"/>
    <x v="7"/>
    <n v="69"/>
    <n v="343"/>
    <n v="2130"/>
    <n v="106"/>
    <n v="2"/>
    <m/>
    <n v="2650"/>
  </r>
  <r>
    <x v="10"/>
    <s v="F"/>
    <x v="13"/>
    <n v="0"/>
    <n v="57"/>
    <n v="800"/>
    <n v="248"/>
    <n v="33"/>
    <m/>
    <n v="1138"/>
  </r>
  <r>
    <x v="10"/>
    <s v="H"/>
    <x v="4"/>
    <n v="7"/>
    <n v="84"/>
    <n v="245"/>
    <n v="35"/>
    <n v="0"/>
    <m/>
    <n v="371"/>
  </r>
  <r>
    <x v="2"/>
    <s v="A"/>
    <x v="14"/>
    <n v="5"/>
    <n v="25"/>
    <n v="262"/>
    <n v="71"/>
    <n v="4"/>
    <m/>
    <n v="367"/>
  </r>
  <r>
    <x v="2"/>
    <s v="C"/>
    <x v="7"/>
    <n v="69"/>
    <n v="246"/>
    <n v="1559"/>
    <n v="203"/>
    <n v="0"/>
    <m/>
    <n v="2077"/>
  </r>
  <r>
    <x v="2"/>
    <s v="N"/>
    <x v="2"/>
    <n v="27"/>
    <n v="48"/>
    <n v="231"/>
    <n v="55"/>
    <n v="1"/>
    <m/>
    <n v="362"/>
  </r>
  <r>
    <x v="3"/>
    <s v="R"/>
    <x v="6"/>
    <n v="0"/>
    <n v="42"/>
    <n v="173"/>
    <n v="51"/>
    <n v="1"/>
    <m/>
    <n v="267"/>
  </r>
  <r>
    <x v="4"/>
    <s v="S"/>
    <x v="3"/>
    <n v="4"/>
    <n v="19"/>
    <n v="168"/>
    <n v="90"/>
    <n v="4"/>
    <m/>
    <n v="285"/>
  </r>
  <r>
    <x v="5"/>
    <s v="B"/>
    <x v="9"/>
    <n v="87"/>
    <n v="611"/>
    <n v="462"/>
    <n v="163"/>
    <n v="6"/>
    <n v="12"/>
    <n v="1329"/>
  </r>
  <r>
    <x v="5"/>
    <s v="L"/>
    <x v="0"/>
    <n v="0"/>
    <n v="10"/>
    <n v="43"/>
    <n v="17"/>
    <n v="1"/>
    <n v="2"/>
    <m/>
  </r>
  <r>
    <x v="5"/>
    <s v="P"/>
    <x v="12"/>
    <n v="2"/>
    <n v="3"/>
    <n v="46"/>
    <n v="12"/>
    <n v="2"/>
    <n v="1"/>
    <n v="65"/>
  </r>
  <r>
    <x v="6"/>
    <s v="S"/>
    <x v="3"/>
    <n v="1"/>
    <n v="14"/>
    <n v="72"/>
    <n v="19"/>
    <n v="2"/>
    <n v="2"/>
    <n v="108"/>
  </r>
  <r>
    <x v="11"/>
    <s v="B"/>
    <x v="9"/>
    <n v="116"/>
    <n v="734"/>
    <n v="553"/>
    <n v="181"/>
    <n v="18"/>
    <n v="4"/>
    <n v="1602"/>
  </r>
  <r>
    <x v="11"/>
    <s v="H"/>
    <x v="4"/>
    <n v="9"/>
    <n v="203"/>
    <n v="287"/>
    <n v="41"/>
    <n v="0"/>
    <n v="7"/>
    <m/>
  </r>
  <r>
    <x v="11"/>
    <s v="N"/>
    <x v="2"/>
    <n v="41"/>
    <n v="67"/>
    <n v="183"/>
    <n v="49"/>
    <n v="1"/>
    <n v="1"/>
    <n v="341"/>
  </r>
  <r>
    <x v="7"/>
    <s v="H"/>
    <x v="4"/>
    <n v="15"/>
    <n v="503"/>
    <n v="649"/>
    <n v="75"/>
    <n v="0"/>
    <n v="14"/>
    <m/>
  </r>
  <r>
    <x v="7"/>
    <s v="K"/>
    <x v="5"/>
    <n v="0"/>
    <n v="0"/>
    <n v="18"/>
    <n v="7"/>
    <n v="0"/>
    <m/>
    <m/>
  </r>
  <r>
    <x v="8"/>
    <s v="M"/>
    <x v="11"/>
    <n v="32"/>
    <n v="45"/>
    <n v="184"/>
    <n v="26"/>
    <n v="1"/>
    <n v="6"/>
    <n v="288"/>
  </r>
  <r>
    <x v="8"/>
    <s v="P"/>
    <x v="12"/>
    <n v="8"/>
    <n v="15"/>
    <n v="126"/>
    <n v="42"/>
    <n v="1"/>
    <n v="17"/>
    <n v="192"/>
  </r>
  <r>
    <x v="9"/>
    <s v="B"/>
    <x v="9"/>
    <n v="115"/>
    <n v="657"/>
    <n v="475"/>
    <n v="143"/>
    <n v="5"/>
    <n v="199"/>
    <n v="1395"/>
  </r>
  <r>
    <x v="9"/>
    <s v="N"/>
    <x v="2"/>
    <n v="33"/>
    <n v="65"/>
    <n v="84"/>
    <n v="41"/>
    <n v="2"/>
    <n v="55"/>
    <n v="225"/>
  </r>
</pivotCacheRecords>
</file>

<file path=xl/pivotCache/pivotCacheRecords55.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2">
  <r>
    <x v="0"/>
    <n v="21"/>
    <n v="15"/>
    <n v="0"/>
  </r>
  <r>
    <x v="1"/>
    <n v="22"/>
    <n v="17"/>
    <n v="0"/>
  </r>
  <r>
    <x v="2"/>
    <n v="15"/>
    <n v="17"/>
    <n v="1"/>
  </r>
  <r>
    <x v="3"/>
    <n v="15"/>
    <n v="26"/>
    <n v="2"/>
  </r>
  <r>
    <x v="4"/>
    <n v="21"/>
    <n v="21"/>
    <n v="2"/>
  </r>
  <r>
    <x v="5"/>
    <n v="7"/>
    <n v="2"/>
    <n v="0"/>
  </r>
  <r>
    <x v="6"/>
    <n v="2"/>
    <n v="1"/>
    <n v="1"/>
  </r>
  <r>
    <x v="7"/>
    <n v="3"/>
    <n v="6"/>
    <n v="0"/>
  </r>
  <r>
    <x v="8"/>
    <n v="6"/>
    <n v="9"/>
    <n v="0"/>
  </r>
  <r>
    <x v="9"/>
    <n v="15"/>
    <n v="13"/>
    <n v="2"/>
  </r>
  <r>
    <x v="10"/>
    <n v="19"/>
    <n v="21"/>
    <n v="2"/>
  </r>
  <r>
    <x v="11"/>
    <n v="8"/>
    <n v="29"/>
    <n v="4"/>
  </r>
</pivotCacheRecords>
</file>

<file path=xl/pivotCache/pivotCacheRecords56.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5">
  <r>
    <x v="0"/>
    <n v="4001"/>
    <n v="2665"/>
    <m/>
    <n v="213"/>
    <n v="811"/>
  </r>
  <r>
    <x v="1"/>
    <n v="3528.43"/>
    <n v="2375.48"/>
    <n v="53"/>
    <n v="170.46"/>
    <n v="862.45999999999992"/>
  </r>
  <r>
    <x v="2"/>
    <n v="3427.39"/>
    <n v="2287.2800000000016"/>
    <n v="58"/>
    <n v="171.70000000000002"/>
    <n v="852.00999999999988"/>
  </r>
  <r>
    <x v="3"/>
    <n v="3690"/>
    <n v="2527"/>
    <m/>
    <n v="195"/>
    <n v="719"/>
  </r>
  <r>
    <x v="4"/>
    <n v="3633.93"/>
    <n v="2551.73"/>
    <n v="36"/>
    <n v="183.82999999999998"/>
    <n v="764.4"/>
  </r>
  <r>
    <x v="5"/>
    <n v="3487.43"/>
    <n v="2333.12"/>
    <n v="55"/>
    <n v="168.06"/>
    <n v="850.35"/>
  </r>
  <r>
    <x v="6"/>
    <n v="3635.9300000000003"/>
    <n v="2583.98"/>
    <n v="18"/>
    <n v="202.32999999999998"/>
    <n v="745.56000000000006"/>
  </r>
  <r>
    <x v="7"/>
    <n v="4159"/>
    <n v="2813"/>
    <m/>
    <n v="225"/>
    <n v="961"/>
  </r>
  <r>
    <x v="8"/>
    <n v="3856"/>
    <n v="2669"/>
    <m/>
    <n v="221"/>
    <n v="744"/>
  </r>
  <r>
    <x v="9"/>
    <n v="3544"/>
    <n v="2545"/>
    <m/>
    <n v="184"/>
    <n v="759"/>
  </r>
  <r>
    <x v="10"/>
    <n v="3578.43"/>
    <n v="2482.48"/>
    <n v="54"/>
    <n v="176.06"/>
    <n v="786.29"/>
  </r>
  <r>
    <x v="11"/>
    <n v="3419.08"/>
    <n v="2289.77"/>
    <n v="55"/>
    <n v="166.21"/>
    <n v="829.4"/>
  </r>
  <r>
    <x v="12"/>
    <n v="4151"/>
    <n v="2787"/>
    <m/>
    <n v="224"/>
    <n v="927"/>
  </r>
  <r>
    <x v="13"/>
    <n v="3644"/>
    <n v="2546"/>
    <m/>
    <n v="160"/>
    <n v="745"/>
  </r>
  <r>
    <x v="14"/>
    <n v="3427.08"/>
    <n v="2293.9200000000005"/>
    <n v="57"/>
    <n v="167.69"/>
    <n v="853.58999999999992"/>
  </r>
</pivotCacheRecords>
</file>

<file path=xl/pivotCache/pivotCacheRecords57.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32">
  <r>
    <x v="0"/>
    <x v="0"/>
    <n v="4"/>
    <n v="33"/>
    <n v="80"/>
    <n v="147"/>
    <n v="0"/>
    <n v="0"/>
    <n v="0"/>
  </r>
  <r>
    <x v="1"/>
    <x v="0"/>
    <n v="6"/>
    <n v="31"/>
    <n v="80"/>
    <n v="153"/>
    <n v="0"/>
    <n v="0"/>
    <n v="0"/>
  </r>
  <r>
    <x v="2"/>
    <x v="0"/>
    <n v="5"/>
    <n v="35"/>
    <n v="79"/>
    <n v="152"/>
    <n v="0"/>
    <n v="0"/>
    <n v="0"/>
  </r>
  <r>
    <x v="3"/>
    <x v="0"/>
    <n v="5"/>
    <n v="35"/>
    <n v="76"/>
    <n v="157"/>
    <n v="0"/>
    <n v="0"/>
    <n v="0"/>
  </r>
  <r>
    <x v="4"/>
    <x v="0"/>
    <n v="5"/>
    <n v="31"/>
    <n v="78"/>
    <n v="148"/>
    <n v="0"/>
    <n v="0"/>
    <n v="0"/>
  </r>
  <r>
    <x v="5"/>
    <x v="0"/>
    <n v="5"/>
    <n v="31"/>
    <n v="71"/>
    <n v="156"/>
    <n v="0"/>
    <n v="0"/>
    <n v="0"/>
  </r>
  <r>
    <x v="6"/>
    <x v="0"/>
    <n v="5"/>
    <n v="30"/>
    <n v="72"/>
    <n v="160"/>
    <n v="0"/>
    <n v="0"/>
    <n v="0"/>
  </r>
  <r>
    <x v="7"/>
    <x v="0"/>
    <n v="5"/>
    <n v="29"/>
    <n v="72"/>
    <n v="160"/>
    <n v="0"/>
    <n v="0"/>
    <n v="0"/>
  </r>
  <r>
    <x v="0"/>
    <x v="1"/>
    <n v="0"/>
    <n v="0"/>
    <n v="0"/>
    <n v="0"/>
    <n v="234"/>
    <n v="95"/>
    <n v="29"/>
  </r>
  <r>
    <x v="1"/>
    <x v="1"/>
    <n v="0"/>
    <n v="0"/>
    <n v="0"/>
    <n v="0"/>
    <n v="232"/>
    <n v="91"/>
    <n v="28"/>
  </r>
  <r>
    <x v="2"/>
    <x v="1"/>
    <n v="0"/>
    <n v="0"/>
    <n v="0"/>
    <n v="0"/>
    <n v="231"/>
    <n v="91"/>
    <n v="26"/>
  </r>
  <r>
    <x v="3"/>
    <x v="1"/>
    <n v="0"/>
    <n v="0"/>
    <n v="0"/>
    <n v="0"/>
    <n v="234"/>
    <n v="88"/>
    <n v="27"/>
  </r>
  <r>
    <x v="4"/>
    <x v="1"/>
    <n v="0"/>
    <n v="0"/>
    <n v="0"/>
    <n v="0"/>
    <n v="225"/>
    <n v="81"/>
    <n v="21"/>
  </r>
  <r>
    <x v="5"/>
    <x v="1"/>
    <n v="0"/>
    <n v="0"/>
    <n v="0"/>
    <n v="0"/>
    <n v="232"/>
    <n v="82"/>
    <n v="21"/>
  </r>
  <r>
    <x v="6"/>
    <x v="1"/>
    <n v="0"/>
    <n v="0"/>
    <n v="0"/>
    <n v="0"/>
    <n v="236"/>
    <n v="73"/>
    <n v="23"/>
  </r>
  <r>
    <x v="7"/>
    <x v="1"/>
    <n v="0"/>
    <n v="0"/>
    <n v="0"/>
    <n v="0"/>
    <n v="249"/>
    <n v="79"/>
    <n v="21"/>
  </r>
  <r>
    <x v="0"/>
    <x v="2"/>
    <n v="0"/>
    <n v="0"/>
    <n v="0"/>
    <n v="0"/>
    <n v="377"/>
    <n v="592"/>
    <n v="1986"/>
  </r>
  <r>
    <x v="1"/>
    <x v="2"/>
    <n v="0"/>
    <n v="0"/>
    <n v="0"/>
    <n v="0"/>
    <n v="376"/>
    <n v="597"/>
    <n v="1993"/>
  </r>
  <r>
    <x v="2"/>
    <x v="2"/>
    <n v="0"/>
    <n v="0"/>
    <n v="0"/>
    <n v="0"/>
    <n v="372"/>
    <n v="596"/>
    <n v="1935"/>
  </r>
  <r>
    <x v="3"/>
    <x v="2"/>
    <n v="0"/>
    <n v="0"/>
    <n v="0"/>
    <n v="0"/>
    <n v="373"/>
    <n v="572"/>
    <n v="1898"/>
  </r>
  <r>
    <x v="4"/>
    <x v="2"/>
    <n v="0"/>
    <n v="0"/>
    <n v="0"/>
    <n v="0"/>
    <n v="376"/>
    <n v="574"/>
    <n v="1848"/>
  </r>
  <r>
    <x v="5"/>
    <x v="2"/>
    <n v="0"/>
    <n v="0"/>
    <n v="0"/>
    <n v="0"/>
    <n v="375"/>
    <n v="558"/>
    <n v="1890"/>
  </r>
  <r>
    <x v="6"/>
    <x v="2"/>
    <n v="0"/>
    <n v="0"/>
    <n v="0"/>
    <n v="0"/>
    <n v="369"/>
    <n v="549"/>
    <n v="1844"/>
  </r>
  <r>
    <x v="7"/>
    <x v="2"/>
    <n v="0"/>
    <n v="0"/>
    <n v="0"/>
    <n v="0"/>
    <n v="376"/>
    <n v="562"/>
    <n v="1806"/>
  </r>
  <r>
    <x v="0"/>
    <x v="3"/>
    <n v="0"/>
    <n v="0"/>
    <n v="0"/>
    <n v="0"/>
    <n v="0"/>
    <n v="0"/>
    <n v="60"/>
  </r>
  <r>
    <x v="1"/>
    <x v="3"/>
    <n v="0"/>
    <n v="0"/>
    <n v="0"/>
    <n v="0"/>
    <n v="0"/>
    <n v="0"/>
    <n v="49"/>
  </r>
  <r>
    <x v="2"/>
    <x v="3"/>
    <n v="0"/>
    <n v="0"/>
    <n v="0"/>
    <n v="0"/>
    <n v="0"/>
    <n v="0"/>
    <n v="59"/>
  </r>
  <r>
    <x v="3"/>
    <x v="3"/>
    <n v="0"/>
    <n v="0"/>
    <n v="0"/>
    <n v="0"/>
    <n v="0"/>
    <n v="0"/>
    <n v="65"/>
  </r>
  <r>
    <x v="4"/>
    <x v="3"/>
    <n v="0"/>
    <n v="0"/>
    <n v="0"/>
    <n v="0"/>
    <n v="0"/>
    <n v="0"/>
    <n v="103"/>
  </r>
  <r>
    <x v="5"/>
    <x v="3"/>
    <n v="0"/>
    <n v="0"/>
    <n v="0"/>
    <n v="0"/>
    <n v="0"/>
    <n v="0"/>
    <n v="1"/>
  </r>
  <r>
    <x v="6"/>
    <x v="3"/>
    <n v="0"/>
    <n v="0"/>
    <n v="0"/>
    <n v="0"/>
    <n v="0"/>
    <n v="0"/>
    <n v="69"/>
  </r>
  <r>
    <x v="7"/>
    <x v="3"/>
    <n v="0"/>
    <n v="0"/>
    <n v="0"/>
    <n v="0"/>
    <n v="0"/>
    <n v="0"/>
    <n v="72"/>
  </r>
</pivotCacheRecords>
</file>

<file path=xl/pivotCache/pivotCacheRecords58.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6">
  <r>
    <x v="0"/>
    <n v="33998"/>
    <n v="18732"/>
    <n v="52730"/>
    <m/>
    <m/>
    <m/>
  </r>
  <r>
    <x v="1"/>
    <n v="28846"/>
    <n v="27699"/>
    <n v="56545"/>
    <n v="46395"/>
    <m/>
    <m/>
  </r>
  <r>
    <x v="2"/>
    <n v="26013"/>
    <n v="30238"/>
    <n v="56251"/>
    <n v="44122"/>
    <m/>
    <m/>
  </r>
  <r>
    <x v="3"/>
    <n v="29576"/>
    <n v="41472"/>
    <n v="71048"/>
    <n v="46164"/>
    <n v="30359"/>
    <n v="15805"/>
  </r>
  <r>
    <x v="4"/>
    <n v="26986"/>
    <n v="38729"/>
    <n v="65715"/>
    <n v="41832"/>
    <n v="28032"/>
    <n v="13800"/>
  </r>
  <r>
    <x v="5"/>
    <n v="28338"/>
    <n v="43379"/>
    <n v="71717"/>
    <n v="43710"/>
    <n v="28897"/>
    <n v="14813"/>
  </r>
  <r>
    <x v="6"/>
    <n v="29016"/>
    <n v="41785"/>
    <n v="70801"/>
    <n v="44321"/>
    <n v="27955"/>
    <n v="16366"/>
  </r>
  <r>
    <x v="7"/>
    <n v="27754"/>
    <n v="42077"/>
    <n v="69831"/>
    <n v="42385"/>
    <n v="28114"/>
    <n v="14271"/>
  </r>
  <r>
    <x v="8"/>
    <n v="24462"/>
    <n v="44740"/>
    <n v="69202"/>
    <n v="37549"/>
    <n v="25645"/>
    <n v="11904"/>
  </r>
  <r>
    <x v="9"/>
    <n v="22292"/>
    <n v="46945"/>
    <n v="69237"/>
    <n v="34610"/>
    <n v="24016"/>
    <n v="10594"/>
  </r>
  <r>
    <x v="10"/>
    <n v="7679"/>
    <n v="12319"/>
    <n v="19998"/>
    <n v="12535"/>
    <n v="8696"/>
    <n v="3839"/>
  </r>
  <r>
    <x v="11"/>
    <n v="16504"/>
    <n v="27692"/>
    <n v="44196"/>
    <n v="45586"/>
    <m/>
    <m/>
  </r>
  <r>
    <x v="12"/>
    <n v="6764"/>
    <n v="31935"/>
    <n v="38699"/>
    <n v="15690"/>
    <m/>
    <m/>
  </r>
  <r>
    <x v="13"/>
    <n v="5940"/>
    <n v="30802"/>
    <n v="36742"/>
    <n v="15794"/>
    <n v="11486"/>
    <n v="4308"/>
  </r>
  <r>
    <x v="14"/>
    <n v="4219"/>
    <n v="29800"/>
    <n v="34019"/>
    <n v="11636"/>
    <n v="7870"/>
    <n v="2907"/>
  </r>
  <r>
    <x v="15"/>
    <n v="3481"/>
    <n v="16942"/>
    <n v="20423"/>
    <n v="10740"/>
    <m/>
    <n v="0"/>
  </r>
</pivotCacheRecords>
</file>

<file path=xl/pivotCache/pivotCacheRecords59.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448">
  <r>
    <x v="0"/>
    <x v="0"/>
    <s v="S12000041"/>
    <n v="829"/>
    <n v="2850"/>
    <n v="3679"/>
    <n v="723"/>
    <n v="504"/>
    <n v="1227"/>
    <n v="54872"/>
    <n v="6.7050000000000001"/>
    <n v="2.2359999999999998"/>
    <n v="52413"/>
    <n v="7.0190000000000001"/>
    <n v="2.3410000000000002"/>
  </r>
  <r>
    <x v="1"/>
    <x v="0"/>
    <s v="S12000041"/>
    <n v="486"/>
    <n v="1357"/>
    <n v="1843"/>
    <n v="498"/>
    <n v="226"/>
    <n v="724"/>
    <n v="55267"/>
    <n v="3.335"/>
    <n v="1.31"/>
    <n v="52692"/>
    <n v="3.4980000000000002"/>
    <n v="1.3740000000000001"/>
  </r>
  <r>
    <x v="2"/>
    <x v="0"/>
    <s v="S12000041"/>
    <n v="485"/>
    <n v="1685"/>
    <n v="2170"/>
    <n v="462"/>
    <n v="262"/>
    <n v="724"/>
    <n v="55619"/>
    <n v="3.9020000000000001"/>
    <n v="1.302"/>
    <n v="53142"/>
    <n v="4.0830000000000002"/>
    <n v="1.3620000000000001"/>
  </r>
  <r>
    <x v="3"/>
    <x v="0"/>
    <s v="S12000041"/>
    <n v="499"/>
    <n v="1528"/>
    <n v="2027"/>
    <n v="450"/>
    <n v="277"/>
    <n v="727"/>
    <n v="55872"/>
    <n v="3.6280000000000001"/>
    <n v="1.3009999999999999"/>
    <n v="53333"/>
    <n v="3.8010000000000002"/>
    <n v="1.363"/>
  </r>
  <r>
    <x v="4"/>
    <x v="0"/>
    <s v="S12000041"/>
    <n v="469"/>
    <n v="1121"/>
    <n v="1590"/>
    <n v="434"/>
    <n v="216"/>
    <n v="650"/>
    <n v="56135"/>
    <n v="2.8319999999999999"/>
    <n v="1.1579999999999999"/>
    <n v="53627"/>
    <n v="2.9649999999999999"/>
    <n v="1.212"/>
  </r>
  <r>
    <x v="5"/>
    <x v="0"/>
    <s v="S12000041"/>
    <n v="429"/>
    <n v="1339"/>
    <n v="1768"/>
    <n v="450"/>
    <n v="177"/>
    <n v="627"/>
    <n v="56485"/>
    <n v="3.13"/>
    <n v="1.1100000000000001"/>
    <n v="53888"/>
    <n v="3.2810000000000001"/>
    <n v="1.1639999999999999"/>
  </r>
  <r>
    <x v="6"/>
    <x v="0"/>
    <s v="S12000041"/>
    <n v="440"/>
    <n v="1358"/>
    <n v="1798"/>
    <n v="474"/>
    <n v="203"/>
    <n v="677"/>
    <n v="56928"/>
    <n v="3.1579999999999999"/>
    <n v="1.1890000000000001"/>
    <n v="54221"/>
    <n v="3.3159999999999998"/>
    <n v="1.2490000000000001"/>
  </r>
  <r>
    <x v="7"/>
    <x v="0"/>
    <s v="S12000041"/>
    <n v="199"/>
    <n v="513"/>
    <n v="712"/>
    <n v="175"/>
    <n v="113"/>
    <n v="288"/>
    <n v="57206"/>
    <n v="1.2450000000000001"/>
    <n v="0.503"/>
    <n v="54480"/>
    <n v="1.3069999999999999"/>
    <n v="0.52900000000000003"/>
  </r>
  <r>
    <x v="8"/>
    <x v="0"/>
    <s v="S12000041"/>
    <m/>
    <m/>
    <n v="1585"/>
    <m/>
    <m/>
    <m/>
    <n v="57711"/>
    <n v="2.746"/>
    <m/>
    <n v="55003"/>
    <n v="2.8820000000000001"/>
    <m/>
  </r>
  <r>
    <x v="9"/>
    <x v="0"/>
    <s v="S12000041"/>
    <m/>
    <m/>
    <n v="1332"/>
    <m/>
    <m/>
    <m/>
    <n v="58088"/>
    <n v="2.2930000000000001"/>
    <m/>
    <n v="55441"/>
    <n v="2.403"/>
    <m/>
  </r>
  <r>
    <x v="10"/>
    <x v="0"/>
    <m/>
    <n v="107"/>
    <n v="867"/>
    <n v="974"/>
    <n v="138"/>
    <n v="132"/>
    <n v="270"/>
    <n v="58286"/>
    <n v="1.671"/>
    <n v="0.46300000000000002"/>
    <n v="54804"/>
    <n v="1.7770000000000001"/>
    <n v="0.49299999999999999"/>
  </r>
  <r>
    <x v="10"/>
    <x v="0"/>
    <m/>
    <n v="107"/>
    <n v="867"/>
    <n v="974"/>
    <n v="138"/>
    <n v="132"/>
    <n v="270"/>
    <n v="58769"/>
    <n v="1.657"/>
    <n v="0.45900000000000002"/>
    <n v="54804"/>
    <n v="1.7770000000000001"/>
    <n v="0.49299999999999999"/>
  </r>
  <r>
    <x v="2"/>
    <x v="1"/>
    <s v="S12000035"/>
    <n v="667"/>
    <n v="980"/>
    <n v="1647"/>
    <n v="562"/>
    <n v="512"/>
    <n v="1074"/>
    <n v="47712"/>
    <n v="3.452"/>
    <n v="2.2509999999999999"/>
    <n v="40938"/>
    <n v="4.0229999999999997"/>
    <n v="2.6230000000000002"/>
  </r>
  <r>
    <x v="3"/>
    <x v="1"/>
    <s v="S12000035"/>
    <n v="630"/>
    <n v="925"/>
    <n v="1555"/>
    <n v="481"/>
    <n v="497"/>
    <n v="978"/>
    <n v="47780"/>
    <n v="3.254"/>
    <n v="2.0470000000000002"/>
    <n v="41040"/>
    <n v="3.7890000000000001"/>
    <n v="2.383"/>
  </r>
  <r>
    <x v="4"/>
    <x v="1"/>
    <s v="S12000035"/>
    <n v="650"/>
    <n v="1030"/>
    <n v="1680"/>
    <n v="503"/>
    <n v="462"/>
    <n v="965"/>
    <n v="47884"/>
    <n v="3.508"/>
    <n v="2.0150000000000001"/>
    <n v="41455"/>
    <n v="4.0529999999999999"/>
    <n v="2.3279999999999998"/>
  </r>
  <r>
    <x v="5"/>
    <x v="1"/>
    <s v="S12000035"/>
    <n v="531"/>
    <n v="939"/>
    <n v="1470"/>
    <n v="480"/>
    <n v="351"/>
    <n v="831"/>
    <n v="48020"/>
    <n v="3.0609999999999999"/>
    <n v="1.7309999999999999"/>
    <n v="41630"/>
    <n v="3.5310000000000001"/>
    <n v="1.996"/>
  </r>
  <r>
    <x v="0"/>
    <x v="1"/>
    <s v="S12000035"/>
    <n v="529"/>
    <n v="457"/>
    <n v="986"/>
    <n v="539"/>
    <n v="425"/>
    <n v="964"/>
    <n v="47336"/>
    <n v="2.0830000000000002"/>
    <n v="2.0369999999999999"/>
    <n v="40934"/>
    <n v="2.4089999999999998"/>
    <n v="2.355"/>
  </r>
  <r>
    <x v="1"/>
    <x v="1"/>
    <s v="S12000035"/>
    <n v="498"/>
    <n v="680"/>
    <n v="1178"/>
    <n v="412"/>
    <n v="414"/>
    <n v="826"/>
    <n v="47500"/>
    <n v="2.48"/>
    <n v="1.7389999999999999"/>
    <n v="40857"/>
    <n v="2.883"/>
    <n v="2.0219999999999998"/>
  </r>
  <r>
    <x v="6"/>
    <x v="1"/>
    <s v="S12000035"/>
    <n v="451"/>
    <n v="1072"/>
    <n v="1523"/>
    <n v="389"/>
    <n v="332"/>
    <n v="721"/>
    <n v="48134"/>
    <n v="3.1640000000000001"/>
    <n v="1.498"/>
    <n v="41789"/>
    <n v="3.6440000000000001"/>
    <n v="1.7250000000000001"/>
  </r>
  <r>
    <x v="7"/>
    <x v="1"/>
    <s v="S12000035"/>
    <n v="165"/>
    <n v="320"/>
    <n v="485"/>
    <n v="154"/>
    <n v="116"/>
    <n v="270"/>
    <n v="48199"/>
    <n v="1.006"/>
    <n v="0.56000000000000005"/>
    <n v="41839"/>
    <n v="1.159"/>
    <n v="0.64500000000000002"/>
  </r>
  <r>
    <x v="8"/>
    <x v="1"/>
    <s v="S12000035"/>
    <m/>
    <m/>
    <n v="1019"/>
    <m/>
    <m/>
    <m/>
    <n v="48411"/>
    <n v="2.105"/>
    <m/>
    <n v="42384"/>
    <n v="2.4039999999999999"/>
    <m/>
  </r>
  <r>
    <x v="9"/>
    <x v="1"/>
    <s v="S12000035"/>
    <m/>
    <m/>
    <n v="940"/>
    <m/>
    <m/>
    <m/>
    <n v="48786"/>
    <n v="1.927"/>
    <m/>
    <n v="42664"/>
    <n v="2.2029999999999998"/>
    <m/>
  </r>
  <r>
    <x v="10"/>
    <x v="1"/>
    <m/>
    <n v="97"/>
    <n v="739"/>
    <n v="836"/>
    <n v="182"/>
    <n v="82"/>
    <n v="264"/>
    <n v="49144"/>
    <n v="1.7010000000000001"/>
    <n v="0.53700000000000003"/>
    <n v="42610"/>
    <n v="1.962"/>
    <n v="0.62"/>
  </r>
  <r>
    <x v="10"/>
    <x v="1"/>
    <m/>
    <n v="97"/>
    <n v="739"/>
    <n v="836"/>
    <n v="182"/>
    <n v="82"/>
    <n v="264"/>
    <n v="49917"/>
    <n v="1.675"/>
    <n v="0.52900000000000003"/>
    <n v="42610"/>
    <n v="1.962"/>
    <n v="0.62"/>
  </r>
  <r>
    <x v="0"/>
    <x v="2"/>
    <s v="S12000036"/>
    <n v="2962"/>
    <n v="2362"/>
    <n v="5324"/>
    <n v="2668"/>
    <n v="1393"/>
    <n v="4061"/>
    <n v="237524"/>
    <n v="2.2410000000000001"/>
    <n v="1.71"/>
    <n v="227222"/>
    <n v="2.343"/>
    <n v="1.7869999999999999"/>
  </r>
  <r>
    <x v="1"/>
    <x v="2"/>
    <s v="S12000036"/>
    <n v="2833"/>
    <n v="2754"/>
    <n v="5587"/>
    <n v="2716"/>
    <n v="1169"/>
    <n v="3885"/>
    <n v="239525"/>
    <n v="2.3330000000000002"/>
    <n v="1.6219999999999999"/>
    <n v="229231"/>
    <n v="2.4369999999999998"/>
    <n v="1.6949999999999998"/>
  </r>
  <r>
    <x v="2"/>
    <x v="2"/>
    <s v="S12000036"/>
    <n v="2759"/>
    <n v="2546"/>
    <n v="5305"/>
    <n v="2752"/>
    <n v="1091"/>
    <n v="3843"/>
    <n v="241433"/>
    <n v="2.1970000000000001"/>
    <n v="1.5920000000000001"/>
    <n v="229650"/>
    <n v="2.31"/>
    <n v="1.673"/>
  </r>
  <r>
    <x v="3"/>
    <x v="2"/>
    <s v="S12000036"/>
    <n v="2671"/>
    <n v="2368"/>
    <n v="5039"/>
    <n v="2446"/>
    <n v="1264"/>
    <n v="3710"/>
    <n v="244131"/>
    <n v="2.0640000000000001"/>
    <n v="1.52"/>
    <n v="231383"/>
    <n v="2.1779999999999999"/>
    <n v="1.603"/>
  </r>
  <r>
    <x v="4"/>
    <x v="2"/>
    <s v="S12000036"/>
    <n v="2302"/>
    <n v="2297"/>
    <n v="4599"/>
    <n v="2309"/>
    <n v="888"/>
    <n v="3197"/>
    <n v="246818"/>
    <n v="1.863"/>
    <n v="1.2949999999999999"/>
    <n v="233369"/>
    <n v="1.9710000000000001"/>
    <n v="1.37"/>
  </r>
  <r>
    <x v="5"/>
    <x v="2"/>
    <s v="S12000036"/>
    <n v="1893"/>
    <n v="2567"/>
    <n v="4460"/>
    <n v="1882"/>
    <n v="776"/>
    <n v="2658"/>
    <n v="249810"/>
    <n v="1.7850000000000001"/>
    <n v="1.0640000000000001"/>
    <n v="235771"/>
    <n v="1.8919999999999999"/>
    <n v="1.127"/>
  </r>
  <r>
    <x v="6"/>
    <x v="2"/>
    <s v="S12000036"/>
    <n v="1502"/>
    <n v="3441"/>
    <n v="4943"/>
    <n v="1592"/>
    <n v="578"/>
    <n v="2170"/>
    <n v="252731"/>
    <n v="1.956"/>
    <n v="0.85899999999999999"/>
    <n v="238269"/>
    <n v="2.0750000000000002"/>
    <n v="0.91100000000000003"/>
  </r>
  <r>
    <x v="7"/>
    <x v="2"/>
    <s v="S12000036"/>
    <n v="676"/>
    <n v="738"/>
    <n v="1414"/>
    <n v="694"/>
    <n v="310"/>
    <n v="1004"/>
    <n v="254929"/>
    <n v="0.55500000000000005"/>
    <n v="0.39400000000000002"/>
    <n v="239364"/>
    <n v="0.59099999999999997"/>
    <n v="0.41899999999999998"/>
  </r>
  <r>
    <x v="8"/>
    <x v="2"/>
    <s v="S12000036"/>
    <m/>
    <m/>
    <n v="2702"/>
    <m/>
    <m/>
    <m/>
    <n v="257658"/>
    <n v="1.0489999999999999"/>
    <m/>
    <n v="241658"/>
    <n v="1.1179999999999999"/>
    <m/>
  </r>
  <r>
    <x v="9"/>
    <x v="2"/>
    <s v="S12000036"/>
    <m/>
    <m/>
    <n v="2046"/>
    <m/>
    <m/>
    <m/>
    <n v="261000"/>
    <n v="0.78400000000000003"/>
    <m/>
    <n v="244738"/>
    <n v="0.83599999999999997"/>
    <m/>
  </r>
  <r>
    <x v="10"/>
    <x v="2"/>
    <m/>
    <n v="261"/>
    <n v="2310"/>
    <n v="2571"/>
    <n v="433"/>
    <n v="284"/>
    <n v="717"/>
    <n v="263670"/>
    <n v="0.97499999999999998"/>
    <n v="0.27200000000000002"/>
    <n v="242021"/>
    <n v="1.0620000000000001"/>
    <n v="0.29599999999999999"/>
  </r>
  <r>
    <x v="10"/>
    <x v="2"/>
    <m/>
    <n v="261"/>
    <n v="2310"/>
    <n v="2571"/>
    <n v="433"/>
    <n v="284"/>
    <n v="717"/>
    <n v="269306"/>
    <n v="0.95499999999999996"/>
    <n v="0.26600000000000001"/>
    <n v="242021"/>
    <n v="1.0620000000000001"/>
    <n v="0.29599999999999999"/>
  </r>
  <r>
    <x v="10"/>
    <x v="3"/>
    <m/>
    <n v="238"/>
    <n v="849"/>
    <n v="1087"/>
    <n v="469"/>
    <n v="162"/>
    <n v="631"/>
    <n v="76696"/>
    <n v="1.417"/>
    <n v="0.82299999999999995"/>
    <n v="70696"/>
    <n v="1.538"/>
    <n v="0.89300000000000002"/>
  </r>
  <r>
    <x v="10"/>
    <x v="3"/>
    <m/>
    <n v="238"/>
    <n v="849"/>
    <n v="1087"/>
    <n v="469"/>
    <n v="162"/>
    <n v="631"/>
    <n v="76275"/>
    <n v="1.425"/>
    <n v="0.82699999999999996"/>
    <n v="70696"/>
    <n v="1.538"/>
    <n v="0.89300000000000002"/>
  </r>
  <r>
    <x v="9"/>
    <x v="3"/>
    <s v="S12000006"/>
    <m/>
    <m/>
    <n v="1049"/>
    <m/>
    <m/>
    <m/>
    <n v="75922"/>
    <n v="1.3820000000000001"/>
    <m/>
    <n v="70984"/>
    <n v="1.478"/>
    <m/>
  </r>
  <r>
    <x v="8"/>
    <x v="3"/>
    <s v="S12000006"/>
    <m/>
    <m/>
    <n v="1255"/>
    <m/>
    <m/>
    <m/>
    <n v="75521"/>
    <n v="1.6619999999999999"/>
    <m/>
    <n v="70405"/>
    <n v="1.7829999999999999"/>
    <m/>
  </r>
  <r>
    <x v="7"/>
    <x v="3"/>
    <s v="S12000006"/>
    <n v="143"/>
    <n v="231"/>
    <n v="374"/>
    <n v="125"/>
    <n v="82"/>
    <n v="207"/>
    <n v="75298"/>
    <n v="0.497"/>
    <n v="0.27500000000000002"/>
    <n v="69957"/>
    <n v="0.53500000000000003"/>
    <n v="0.29599999999999999"/>
  </r>
  <r>
    <x v="6"/>
    <x v="3"/>
    <s v="S12000006"/>
    <n v="870"/>
    <n v="839"/>
    <n v="1709"/>
    <n v="824"/>
    <n v="438"/>
    <n v="1262"/>
    <n v="75089"/>
    <n v="2.2759999999999998"/>
    <n v="1.681"/>
    <n v="69699"/>
    <n v="2.452"/>
    <n v="1.8109999999999999"/>
  </r>
  <r>
    <x v="5"/>
    <x v="3"/>
    <s v="S12000006"/>
    <n v="1028"/>
    <n v="721"/>
    <n v="1749"/>
    <n v="1107"/>
    <n v="447"/>
    <n v="1554"/>
    <n v="74823"/>
    <n v="2.3380000000000001"/>
    <n v="2.077"/>
    <n v="69586"/>
    <n v="2.5129999999999999"/>
    <n v="2.2330000000000001"/>
  </r>
  <r>
    <x v="4"/>
    <x v="3"/>
    <s v="S12000006"/>
    <n v="1115"/>
    <n v="835"/>
    <n v="1950"/>
    <n v="1083"/>
    <n v="534"/>
    <n v="1617"/>
    <n v="74687"/>
    <n v="2.6109999999999998"/>
    <n v="2.165"/>
    <n v="69503"/>
    <n v="2.806"/>
    <n v="2.327"/>
  </r>
  <r>
    <x v="3"/>
    <x v="3"/>
    <s v="S12000006"/>
    <n v="1262"/>
    <n v="848"/>
    <n v="2110"/>
    <n v="1150"/>
    <n v="642"/>
    <n v="1792"/>
    <n v="74453"/>
    <n v="2.8340000000000001"/>
    <n v="2.407"/>
    <n v="69202"/>
    <n v="3.0489999999999999"/>
    <n v="2.59"/>
  </r>
  <r>
    <x v="2"/>
    <x v="3"/>
    <s v="S12000006"/>
    <n v="1086"/>
    <n v="1068"/>
    <n v="2154"/>
    <n v="923"/>
    <n v="558"/>
    <n v="1481"/>
    <n v="74190"/>
    <n v="2.903"/>
    <n v="1.996"/>
    <n v="68999"/>
    <n v="3.1219999999999999"/>
    <n v="2.1459999999999999"/>
  </r>
  <r>
    <x v="1"/>
    <x v="3"/>
    <s v="S12000006"/>
    <n v="897"/>
    <n v="629"/>
    <n v="1526"/>
    <n v="765"/>
    <n v="450"/>
    <n v="1215"/>
    <n v="73895"/>
    <n v="2.0649999999999999"/>
    <n v="1.6440000000000001"/>
    <n v="68818"/>
    <n v="2.2170000000000001"/>
    <n v="1.766"/>
  </r>
  <r>
    <x v="0"/>
    <x v="3"/>
    <s v="S12000006"/>
    <n v="1064"/>
    <n v="392"/>
    <n v="1456"/>
    <n v="882"/>
    <n v="540"/>
    <n v="1422"/>
    <n v="73555"/>
    <n v="1.9790000000000001"/>
    <n v="1.9330000000000001"/>
    <n v="68682"/>
    <n v="2.12"/>
    <n v="2.0699999999999998"/>
  </r>
  <r>
    <x v="0"/>
    <x v="4"/>
    <s v="S12000045"/>
    <n v="554"/>
    <n v="307"/>
    <n v="861"/>
    <n v="757"/>
    <n v="209"/>
    <n v="966"/>
    <n v="44864"/>
    <n v="1.919"/>
    <n v="2.153"/>
    <n v="44102"/>
    <n v="1.952"/>
    <n v="2.19"/>
  </r>
  <r>
    <x v="1"/>
    <x v="4"/>
    <s v="S12000045"/>
    <n v="562"/>
    <n v="539"/>
    <n v="1101"/>
    <n v="734"/>
    <n v="214"/>
    <n v="948"/>
    <n v="45281"/>
    <n v="2.431"/>
    <n v="2.0939999999999999"/>
    <n v="44504"/>
    <n v="2.4740000000000002"/>
    <n v="2.13"/>
  </r>
  <r>
    <x v="2"/>
    <x v="4"/>
    <s v="S12000045"/>
    <n v="662"/>
    <n v="793"/>
    <n v="1455"/>
    <n v="844"/>
    <n v="248"/>
    <n v="1092"/>
    <n v="45678"/>
    <n v="3.1850000000000001"/>
    <n v="2.391"/>
    <n v="45008"/>
    <n v="3.2330000000000001"/>
    <n v="2.4260000000000002"/>
  </r>
  <r>
    <x v="3"/>
    <x v="4"/>
    <s v="S12000045"/>
    <n v="720"/>
    <n v="659"/>
    <n v="1379"/>
    <n v="857"/>
    <n v="291"/>
    <n v="1148"/>
    <n v="46026"/>
    <n v="2.996"/>
    <n v="2.4939999999999998"/>
    <n v="45350"/>
    <n v="3.0409999999999999"/>
    <n v="2.5310000000000001"/>
  </r>
  <r>
    <x v="4"/>
    <x v="4"/>
    <s v="S12000045"/>
    <n v="721"/>
    <n v="684"/>
    <n v="1405"/>
    <n v="764"/>
    <n v="348"/>
    <n v="1112"/>
    <n v="46430"/>
    <n v="3.0259999999999998"/>
    <n v="2.395"/>
    <n v="45690"/>
    <n v="3.0750000000000002"/>
    <n v="2.4340000000000002"/>
  </r>
  <r>
    <x v="5"/>
    <x v="4"/>
    <s v="S12000045"/>
    <n v="653"/>
    <n v="579"/>
    <n v="1232"/>
    <n v="755"/>
    <n v="285"/>
    <n v="1040"/>
    <n v="46721"/>
    <n v="2.637"/>
    <n v="2.226"/>
    <n v="46023"/>
    <n v="2.677"/>
    <n v="2.2599999999999998"/>
  </r>
  <r>
    <x v="6"/>
    <x v="4"/>
    <s v="S12000045"/>
    <n v="656"/>
    <n v="662"/>
    <n v="1318"/>
    <n v="758"/>
    <n v="299"/>
    <n v="1057"/>
    <n v="46986"/>
    <n v="2.8050000000000002"/>
    <n v="2.25"/>
    <n v="46228"/>
    <n v="2.851"/>
    <n v="2.286"/>
  </r>
  <r>
    <x v="7"/>
    <x v="4"/>
    <s v="S12000045"/>
    <n v="229"/>
    <n v="173"/>
    <n v="402"/>
    <n v="238"/>
    <n v="133"/>
    <n v="371"/>
    <n v="47251"/>
    <n v="0.85099999999999998"/>
    <n v="0.78500000000000003"/>
    <n v="46563"/>
    <n v="0.86299999999999999"/>
    <n v="0.79700000000000004"/>
  </r>
  <r>
    <x v="8"/>
    <x v="4"/>
    <s v="S12000045"/>
    <m/>
    <m/>
    <n v="1279"/>
    <m/>
    <m/>
    <m/>
    <n v="47549"/>
    <n v="2.69"/>
    <m/>
    <n v="46849"/>
    <n v="2.73"/>
    <m/>
  </r>
  <r>
    <x v="9"/>
    <x v="4"/>
    <s v="S12000045"/>
    <m/>
    <m/>
    <n v="1173"/>
    <m/>
    <m/>
    <m/>
    <n v="47934"/>
    <n v="2.4470000000000001"/>
    <m/>
    <n v="47131"/>
    <n v="2.4889999999999999"/>
    <m/>
  </r>
  <r>
    <x v="10"/>
    <x v="4"/>
    <m/>
    <n v="166"/>
    <n v="855"/>
    <n v="1021"/>
    <n v="316"/>
    <n v="101"/>
    <n v="417"/>
    <n v="48165"/>
    <n v="2.12"/>
    <n v="0.86599999999999999"/>
    <n v="46610"/>
    <n v="2.1909999999999998"/>
    <n v="0.89500000000000002"/>
  </r>
  <r>
    <x v="2"/>
    <x v="5"/>
    <s v="S12000034"/>
    <n v="683"/>
    <n v="1249"/>
    <n v="1932"/>
    <n v="648"/>
    <n v="431"/>
    <n v="1079"/>
    <n v="115223"/>
    <n v="1.677"/>
    <n v="0.93600000000000005"/>
    <n v="109631"/>
    <n v="1.762"/>
    <n v="0.98399999999999999"/>
  </r>
  <r>
    <x v="3"/>
    <x v="5"/>
    <s v="S12000034"/>
    <n v="739"/>
    <n v="1595"/>
    <n v="2334"/>
    <n v="712"/>
    <n v="510"/>
    <n v="1222"/>
    <n v="116421"/>
    <n v="2.0049999999999999"/>
    <n v="1.05"/>
    <n v="110296"/>
    <n v="2.1160000000000001"/>
    <n v="1.1080000000000001"/>
  </r>
  <r>
    <x v="4"/>
    <x v="5"/>
    <s v="S12000034"/>
    <n v="735"/>
    <n v="1405"/>
    <n v="2140"/>
    <n v="828"/>
    <n v="451"/>
    <n v="1279"/>
    <n v="117363"/>
    <n v="1.823"/>
    <n v="1.0900000000000001"/>
    <n v="110941"/>
    <n v="1.929"/>
    <n v="1.153"/>
  </r>
  <r>
    <x v="5"/>
    <x v="5"/>
    <s v="S12000034"/>
    <n v="564"/>
    <n v="1206"/>
    <n v="1770"/>
    <n v="618"/>
    <n v="336"/>
    <n v="954"/>
    <n v="118197"/>
    <n v="1.4969999999999999"/>
    <n v="0.80700000000000005"/>
    <n v="111156"/>
    <n v="1.5920000000000001"/>
    <n v="0.85799999999999998"/>
  </r>
  <r>
    <x v="0"/>
    <x v="5"/>
    <s v="S12000034"/>
    <n v="567"/>
    <n v="789"/>
    <n v="1356"/>
    <n v="497"/>
    <n v="391"/>
    <n v="888"/>
    <n v="112867"/>
    <n v="1.2010000000000001"/>
    <n v="0.78700000000000003"/>
    <n v="107128"/>
    <n v="1.266"/>
    <n v="0.82899999999999996"/>
  </r>
  <r>
    <x v="6"/>
    <x v="5"/>
    <s v="S12000034"/>
    <n v="699"/>
    <n v="1579"/>
    <n v="2278"/>
    <n v="731"/>
    <n v="413"/>
    <n v="1144"/>
    <n v="119196"/>
    <n v="1.911"/>
    <n v="0.96"/>
    <n v="112114"/>
    <n v="2.032"/>
    <n v="1.02"/>
  </r>
  <r>
    <x v="7"/>
    <x v="5"/>
    <s v="S12000034"/>
    <n v="127"/>
    <n v="310"/>
    <n v="437"/>
    <n v="150"/>
    <n v="76"/>
    <n v="226"/>
    <n v="119854"/>
    <n v="0.36499999999999999"/>
    <n v="0.189"/>
    <n v="112713"/>
    <n v="0.38800000000000001"/>
    <n v="0.20100000000000001"/>
  </r>
  <r>
    <x v="8"/>
    <x v="5"/>
    <s v="S12000034"/>
    <m/>
    <m/>
    <n v="1319"/>
    <m/>
    <m/>
    <m/>
    <n v="120682"/>
    <n v="1.093"/>
    <m/>
    <n v="113861"/>
    <n v="1.1579999999999999"/>
    <m/>
  </r>
  <r>
    <x v="9"/>
    <x v="5"/>
    <s v="S12000034"/>
    <m/>
    <m/>
    <n v="1211"/>
    <m/>
    <m/>
    <m/>
    <n v="121610"/>
    <n v="0.996"/>
    <m/>
    <n v="114897"/>
    <n v="1.054"/>
    <m/>
  </r>
  <r>
    <x v="10"/>
    <x v="5"/>
    <m/>
    <n v="108"/>
    <n v="1156"/>
    <n v="1264"/>
    <n v="253"/>
    <n v="62"/>
    <n v="315"/>
    <n v="122524"/>
    <n v="1.032"/>
    <n v="0.25700000000000001"/>
    <n v="116807"/>
    <n v="1.0820000000000001"/>
    <n v="0.27"/>
  </r>
  <r>
    <x v="10"/>
    <x v="5"/>
    <m/>
    <n v="108"/>
    <n v="1156"/>
    <n v="1264"/>
    <n v="253"/>
    <n v="62"/>
    <n v="315"/>
    <n v="124154"/>
    <n v="1.018"/>
    <n v="0.254"/>
    <n v="116807"/>
    <n v="1.0820000000000001"/>
    <n v="0.27"/>
  </r>
  <r>
    <x v="1"/>
    <x v="5"/>
    <s v="S12000034"/>
    <n v="617"/>
    <n v="831"/>
    <n v="1448"/>
    <n v="609"/>
    <n v="394"/>
    <n v="1003"/>
    <n v="114086"/>
    <n v="1.2690000000000001"/>
    <n v="0.879"/>
    <n v="108381"/>
    <n v="1.3360000000000001"/>
    <n v="0.92500000000000004"/>
  </r>
  <r>
    <x v="10"/>
    <x v="6"/>
    <m/>
    <n v="31"/>
    <n v="175"/>
    <n v="206"/>
    <n v="95"/>
    <n v="16"/>
    <n v="111"/>
    <n v="11896"/>
    <n v="1.732"/>
    <n v="0.93300000000000005"/>
    <n v="10811"/>
    <n v="1.905"/>
    <n v="1.0269999999999999"/>
  </r>
  <r>
    <x v="10"/>
    <x v="6"/>
    <m/>
    <n v="31"/>
    <n v="175"/>
    <n v="206"/>
    <n v="95"/>
    <n v="16"/>
    <n v="111"/>
    <n v="11719"/>
    <n v="1.758"/>
    <n v="0.94699999999999995"/>
    <n v="10811"/>
    <n v="1.905"/>
    <n v="1.0269999999999999"/>
  </r>
  <r>
    <x v="9"/>
    <x v="6"/>
    <s v="S12000023"/>
    <m/>
    <m/>
    <n v="148"/>
    <m/>
    <m/>
    <m/>
    <n v="11618"/>
    <n v="1.274"/>
    <m/>
    <n v="10799"/>
    <n v="1.37"/>
    <m/>
  </r>
  <r>
    <x v="8"/>
    <x v="6"/>
    <s v="S12000023"/>
    <m/>
    <m/>
    <n v="209"/>
    <m/>
    <m/>
    <m/>
    <n v="11475"/>
    <n v="1.821"/>
    <m/>
    <n v="10758"/>
    <n v="1.9430000000000001"/>
    <m/>
  </r>
  <r>
    <x v="7"/>
    <x v="6"/>
    <s v="S12000023"/>
    <n v="35"/>
    <n v="35"/>
    <n v="70"/>
    <n v="45"/>
    <n v="39"/>
    <n v="84"/>
    <n v="11391"/>
    <n v="0.61499999999999999"/>
    <n v="0.73699999999999999"/>
    <n v="10635"/>
    <n v="0.65800000000000003"/>
    <n v="0.79"/>
  </r>
  <r>
    <x v="6"/>
    <x v="6"/>
    <s v="S12000023"/>
    <n v="122"/>
    <n v="237"/>
    <n v="359"/>
    <n v="127"/>
    <n v="84"/>
    <n v="211"/>
    <n v="11322"/>
    <n v="3.1709999999999998"/>
    <n v="1.8639999999999999"/>
    <n v="10589"/>
    <n v="3.39"/>
    <n v="1.9929999999999999"/>
  </r>
  <r>
    <x v="0"/>
    <x v="6"/>
    <s v="S12000023"/>
    <n v="115"/>
    <n v="150"/>
    <n v="265"/>
    <n v="183"/>
    <n v="64"/>
    <n v="247"/>
    <n v="10717"/>
    <n v="2.4729999999999999"/>
    <n v="2.3050000000000002"/>
    <n v="9945"/>
    <n v="2.665"/>
    <n v="2.484"/>
  </r>
  <r>
    <x v="5"/>
    <x v="6"/>
    <s v="S12000023"/>
    <n v="96"/>
    <n v="194"/>
    <n v="290"/>
    <n v="82"/>
    <n v="85"/>
    <n v="167"/>
    <n v="11261"/>
    <n v="2.5750000000000002"/>
    <n v="1.4830000000000001"/>
    <n v="10506"/>
    <n v="2.76"/>
    <n v="1.5899999999999999"/>
  </r>
  <r>
    <x v="1"/>
    <x v="6"/>
    <s v="S12000023"/>
    <n v="87"/>
    <n v="161"/>
    <n v="248"/>
    <n v="64"/>
    <n v="81"/>
    <n v="145"/>
    <n v="10816"/>
    <n v="2.2930000000000001"/>
    <n v="1.341"/>
    <n v="10042"/>
    <n v="2.4699999999999998"/>
    <n v="1.444"/>
  </r>
  <r>
    <x v="4"/>
    <x v="6"/>
    <s v="S12000023"/>
    <n v="126"/>
    <n v="250"/>
    <n v="376"/>
    <n v="88"/>
    <n v="105"/>
    <n v="193"/>
    <n v="11192"/>
    <n v="3.36"/>
    <n v="1.724"/>
    <n v="10385"/>
    <n v="3.621"/>
    <n v="1.8580000000000001"/>
  </r>
  <r>
    <x v="3"/>
    <x v="6"/>
    <s v="S12000023"/>
    <n v="116"/>
    <n v="272"/>
    <n v="388"/>
    <n v="90"/>
    <n v="90"/>
    <n v="180"/>
    <n v="11063"/>
    <n v="3.5070000000000001"/>
    <n v="1.627"/>
    <n v="10256"/>
    <n v="3.7829999999999999"/>
    <n v="1.7549999999999999"/>
  </r>
  <r>
    <x v="2"/>
    <x v="6"/>
    <s v="S12000023"/>
    <n v="134"/>
    <n v="192"/>
    <n v="326"/>
    <n v="109"/>
    <n v="92"/>
    <n v="201"/>
    <n v="10924"/>
    <n v="2.984"/>
    <n v="1.8399999999999999"/>
    <n v="10146"/>
    <n v="3.2130000000000001"/>
    <n v="1.9809999999999999"/>
  </r>
  <r>
    <x v="2"/>
    <x v="7"/>
    <s v="S12000024"/>
    <n v="443"/>
    <n v="1554"/>
    <n v="1997"/>
    <n v="437"/>
    <n v="234"/>
    <n v="671"/>
    <n v="70828"/>
    <n v="2.82"/>
    <n v="0.94699999999999995"/>
    <n v="66545"/>
    <n v="3.0009999999999999"/>
    <n v="1.008"/>
  </r>
  <r>
    <x v="3"/>
    <x v="7"/>
    <s v="S12000024"/>
    <n v="466"/>
    <n v="1489"/>
    <n v="1955"/>
    <n v="375"/>
    <n v="285"/>
    <n v="660"/>
    <n v="71347"/>
    <n v="2.74"/>
    <n v="0.92500000000000004"/>
    <n v="67101"/>
    <n v="2.9140000000000001"/>
    <n v="0.98399999999999999"/>
  </r>
  <r>
    <x v="4"/>
    <x v="7"/>
    <s v="S12000024"/>
    <n v="484"/>
    <n v="1014"/>
    <n v="1498"/>
    <n v="451"/>
    <n v="265"/>
    <n v="716"/>
    <n v="71810"/>
    <n v="2.0859999999999999"/>
    <n v="0.997"/>
    <n v="67618"/>
    <n v="2.2149999999999999"/>
    <n v="1.0589999999999999"/>
  </r>
  <r>
    <x v="1"/>
    <x v="7"/>
    <s v="S12000024"/>
    <n v="635"/>
    <n v="1787"/>
    <n v="2422"/>
    <n v="628"/>
    <n v="319"/>
    <n v="947"/>
    <n v="70312"/>
    <n v="3.4449999999999998"/>
    <n v="1.347"/>
    <n v="66035"/>
    <n v="3.6680000000000001"/>
    <n v="1.4339999999999999"/>
  </r>
  <r>
    <x v="5"/>
    <x v="7"/>
    <s v="S12000024"/>
    <n v="385"/>
    <n v="1084"/>
    <n v="1469"/>
    <n v="357"/>
    <n v="249"/>
    <n v="606"/>
    <n v="72441"/>
    <n v="2.028"/>
    <n v="0.83699999999999997"/>
    <n v="68196"/>
    <n v="2.1539999999999999"/>
    <n v="0.88900000000000001"/>
  </r>
  <r>
    <x v="0"/>
    <x v="7"/>
    <s v="S12000024"/>
    <n v="922"/>
    <n v="3441"/>
    <n v="4363"/>
    <n v="890"/>
    <n v="524"/>
    <n v="1414"/>
    <n v="69923"/>
    <n v="6.24"/>
    <n v="2.0219999999999998"/>
    <n v="65616"/>
    <n v="6.649"/>
    <n v="2.1549999999999998"/>
  </r>
  <r>
    <x v="6"/>
    <x v="7"/>
    <s v="S12000024"/>
    <n v="389"/>
    <n v="1165"/>
    <n v="1554"/>
    <n v="403"/>
    <n v="198"/>
    <n v="601"/>
    <n v="73267"/>
    <n v="2.121"/>
    <n v="0.82"/>
    <n v="69003"/>
    <n v="2.2519999999999998"/>
    <n v="0.871"/>
  </r>
  <r>
    <x v="7"/>
    <x v="7"/>
    <s v="S12000024"/>
    <n v="166"/>
    <n v="375"/>
    <n v="541"/>
    <n v="186"/>
    <n v="102"/>
    <n v="288"/>
    <n v="73775"/>
    <n v="0.73299999999999998"/>
    <n v="0.39"/>
    <n v="69432"/>
    <n v="0.77900000000000003"/>
    <n v="0.41499999999999998"/>
  </r>
  <r>
    <x v="8"/>
    <x v="7"/>
    <s v="S12000024"/>
    <m/>
    <m/>
    <n v="849"/>
    <m/>
    <m/>
    <m/>
    <n v="74589"/>
    <n v="1.1379999999999999"/>
    <m/>
    <n v="70315"/>
    <n v="1.2070000000000001"/>
    <m/>
  </r>
  <r>
    <x v="9"/>
    <x v="7"/>
    <s v="S12000024"/>
    <m/>
    <m/>
    <n v="890"/>
    <m/>
    <m/>
    <m/>
    <n v="75321"/>
    <n v="1.1819999999999999"/>
    <m/>
    <n v="71103"/>
    <n v="1.252"/>
    <m/>
  </r>
  <r>
    <x v="10"/>
    <x v="7"/>
    <m/>
    <n v="110"/>
    <n v="642"/>
    <n v="752"/>
    <n v="258"/>
    <n v="52"/>
    <n v="310"/>
    <n v="76136"/>
    <n v="0.98799999999999999"/>
    <n v="0.40699999999999997"/>
    <n v="70837"/>
    <n v="1.0620000000000001"/>
    <n v="0.438"/>
  </r>
  <r>
    <x v="10"/>
    <x v="7"/>
    <m/>
    <n v="110"/>
    <n v="642"/>
    <n v="752"/>
    <n v="258"/>
    <n v="52"/>
    <n v="310"/>
    <n v="77337"/>
    <n v="0.97199999999999998"/>
    <n v="0.40100000000000002"/>
    <n v="70837"/>
    <n v="1.0620000000000001"/>
    <n v="0.438"/>
  </r>
  <r>
    <x v="5"/>
    <x v="8"/>
    <s v="S12000028"/>
    <n v="437"/>
    <n v="687"/>
    <n v="1124"/>
    <n v="531"/>
    <n v="204"/>
    <n v="735"/>
    <n v="55486"/>
    <n v="2.0259999999999998"/>
    <n v="1.325"/>
    <n v="52281"/>
    <n v="2.15"/>
    <n v="1.4060000000000001"/>
  </r>
  <r>
    <x v="10"/>
    <x v="8"/>
    <m/>
    <n v="161"/>
    <n v="529"/>
    <n v="690"/>
    <n v="302"/>
    <n v="110"/>
    <n v="412"/>
    <n v="57312"/>
    <n v="1.204"/>
    <n v="0.71899999999999997"/>
    <n v="52851"/>
    <n v="1.306"/>
    <n v="0.78"/>
  </r>
  <r>
    <x v="10"/>
    <x v="8"/>
    <m/>
    <n v="161"/>
    <n v="529"/>
    <n v="690"/>
    <n v="302"/>
    <n v="110"/>
    <n v="412"/>
    <n v="56697"/>
    <n v="1.2170000000000001"/>
    <n v="0.72699999999999998"/>
    <n v="52851"/>
    <n v="1.306"/>
    <n v="0.78"/>
  </r>
  <r>
    <x v="9"/>
    <x v="8"/>
    <s v="S12000028"/>
    <m/>
    <m/>
    <n v="675"/>
    <m/>
    <m/>
    <m/>
    <n v="56453"/>
    <n v="1.196"/>
    <m/>
    <n v="52920"/>
    <n v="1.276"/>
    <m/>
  </r>
  <r>
    <x v="8"/>
    <x v="8"/>
    <s v="S12000028"/>
    <m/>
    <m/>
    <n v="834"/>
    <m/>
    <m/>
    <m/>
    <n v="56016"/>
    <n v="1.4889999999999999"/>
    <m/>
    <n v="52753"/>
    <n v="1.581"/>
    <m/>
  </r>
  <r>
    <x v="7"/>
    <x v="8"/>
    <s v="S12000028"/>
    <n v="130"/>
    <n v="263"/>
    <n v="393"/>
    <n v="197"/>
    <n v="53"/>
    <n v="250"/>
    <n v="55793"/>
    <n v="0.70399999999999996"/>
    <n v="0.44800000000000001"/>
    <n v="52571"/>
    <n v="0.748"/>
    <n v="0.47599999999999998"/>
  </r>
  <r>
    <x v="6"/>
    <x v="8"/>
    <s v="S12000028"/>
    <n v="413"/>
    <n v="588"/>
    <n v="1001"/>
    <n v="525"/>
    <n v="185"/>
    <n v="710"/>
    <n v="55668"/>
    <n v="1.798"/>
    <n v="1.2749999999999999"/>
    <n v="52588"/>
    <n v="1.903"/>
    <n v="1.35"/>
  </r>
  <r>
    <x v="0"/>
    <x v="8"/>
    <s v="S12000028"/>
    <n v="601"/>
    <n v="462"/>
    <n v="1063"/>
    <n v="577"/>
    <n v="430"/>
    <n v="1007"/>
    <n v="54385"/>
    <n v="1.9550000000000001"/>
    <n v="1.8519999999999999"/>
    <n v="51654"/>
    <n v="2.0579999999999998"/>
    <n v="1.95"/>
  </r>
  <r>
    <x v="1"/>
    <x v="8"/>
    <s v="S12000028"/>
    <n v="608"/>
    <n v="517"/>
    <n v="1125"/>
    <n v="715"/>
    <n v="318"/>
    <n v="1033"/>
    <n v="54489"/>
    <n v="2.0649999999999999"/>
    <n v="1.8959999999999999"/>
    <n v="51874"/>
    <n v="2.169"/>
    <n v="1.9910000000000001"/>
  </r>
  <r>
    <x v="4"/>
    <x v="8"/>
    <s v="S12000028"/>
    <n v="543"/>
    <n v="765"/>
    <n v="1308"/>
    <n v="559"/>
    <n v="334"/>
    <n v="893"/>
    <n v="55252"/>
    <n v="2.367"/>
    <n v="1.6160000000000001"/>
    <n v="52104"/>
    <n v="2.5099999999999998"/>
    <n v="1.714"/>
  </r>
  <r>
    <x v="3"/>
    <x v="8"/>
    <s v="S12000028"/>
    <n v="691"/>
    <n v="784"/>
    <n v="1475"/>
    <n v="697"/>
    <n v="405"/>
    <n v="1102"/>
    <n v="54942"/>
    <n v="2.6850000000000001"/>
    <n v="2.0059999999999998"/>
    <n v="51923"/>
    <n v="2.8410000000000002"/>
    <n v="2.1219999999999999"/>
  </r>
  <r>
    <x v="2"/>
    <x v="8"/>
    <s v="S12000028"/>
    <n v="657"/>
    <n v="731"/>
    <n v="1388"/>
    <n v="688"/>
    <n v="380"/>
    <n v="1068"/>
    <n v="54635"/>
    <n v="2.54"/>
    <n v="1.9550000000000001"/>
    <n v="51912"/>
    <n v="2.6739999999999999"/>
    <n v="2.0569999999999999"/>
  </r>
  <r>
    <x v="2"/>
    <x v="9"/>
    <s v="S12000033"/>
    <n v="572"/>
    <n v="2074"/>
    <n v="2646"/>
    <n v="538"/>
    <n v="281"/>
    <n v="819"/>
    <n v="114234"/>
    <n v="2.3159999999999998"/>
    <n v="0.71699999999999997"/>
    <n v="105311"/>
    <n v="2.5129999999999999"/>
    <n v="0.77800000000000002"/>
  </r>
  <r>
    <x v="3"/>
    <x v="9"/>
    <s v="S12000033"/>
    <n v="466"/>
    <n v="1427"/>
    <n v="1893"/>
    <n v="374"/>
    <n v="299"/>
    <n v="673"/>
    <n v="115080"/>
    <n v="1.645"/>
    <n v="0.58499999999999996"/>
    <n v="106749"/>
    <n v="1.7730000000000001"/>
    <n v="0.63"/>
  </r>
  <r>
    <x v="4"/>
    <x v="9"/>
    <s v="S12000033"/>
    <n v="478"/>
    <n v="1669"/>
    <n v="2147"/>
    <n v="432"/>
    <n v="260"/>
    <n v="692"/>
    <n v="116821"/>
    <n v="1.8380000000000001"/>
    <n v="0.59199999999999997"/>
    <n v="106802"/>
    <n v="2.0099999999999998"/>
    <n v="0.64800000000000002"/>
  </r>
  <r>
    <x v="5"/>
    <x v="9"/>
    <s v="S12000033"/>
    <n v="569"/>
    <n v="2176"/>
    <n v="2745"/>
    <n v="546"/>
    <n v="278"/>
    <n v="824"/>
    <n v="118131"/>
    <n v="2.3239999999999998"/>
    <n v="0.69799999999999995"/>
    <n v="107586"/>
    <n v="2.5510000000000002"/>
    <n v="0.76600000000000001"/>
  </r>
  <r>
    <x v="0"/>
    <x v="9"/>
    <s v="S12000033"/>
    <n v="492"/>
    <n v="1898"/>
    <n v="2390"/>
    <n v="419"/>
    <n v="245"/>
    <n v="664"/>
    <n v="112713"/>
    <n v="2.12"/>
    <n v="0.58899999999999997"/>
    <n v="105047"/>
    <n v="2.2749999999999999"/>
    <n v="0.63200000000000001"/>
  </r>
  <r>
    <x v="6"/>
    <x v="9"/>
    <s v="S12000033"/>
    <n v="392"/>
    <n v="2273"/>
    <n v="2665"/>
    <n v="391"/>
    <n v="199"/>
    <n v="590"/>
    <n v="119523"/>
    <n v="2.23"/>
    <n v="0.49399999999999999"/>
    <n v="108381"/>
    <n v="2.4590000000000001"/>
    <n v="0.54400000000000004"/>
  </r>
  <r>
    <x v="1"/>
    <x v="9"/>
    <s v="S12000033"/>
    <n v="524"/>
    <n v="1951"/>
    <n v="2475"/>
    <n v="469"/>
    <n v="283"/>
    <n v="752"/>
    <n v="113508"/>
    <n v="2.1800000000000002"/>
    <n v="0.66300000000000003"/>
    <n v="105287"/>
    <n v="2.351"/>
    <n v="0.71399999999999997"/>
  </r>
  <r>
    <x v="7"/>
    <x v="9"/>
    <s v="S12000033"/>
    <n v="130"/>
    <n v="406"/>
    <n v="536"/>
    <n v="135"/>
    <n v="54"/>
    <n v="189"/>
    <n v="120980"/>
    <n v="0.443"/>
    <n v="0.156"/>
    <n v="108893"/>
    <n v="0.49199999999999999"/>
    <n v="0.17399999999999999"/>
  </r>
  <r>
    <x v="8"/>
    <x v="9"/>
    <s v="S12000033"/>
    <m/>
    <m/>
    <n v="1463"/>
    <m/>
    <m/>
    <m/>
    <n v="122242"/>
    <n v="1.1970000000000001"/>
    <m/>
    <n v="108844"/>
    <n v="1.3439999999999999"/>
    <m/>
  </r>
  <r>
    <x v="9"/>
    <x v="9"/>
    <s v="S12000033"/>
    <m/>
    <m/>
    <n v="1645"/>
    <m/>
    <m/>
    <m/>
    <n v="123363"/>
    <n v="1.333"/>
    <m/>
    <n v="109827"/>
    <n v="1.498"/>
    <m/>
  </r>
  <r>
    <x v="10"/>
    <x v="9"/>
    <m/>
    <n v="158"/>
    <n v="1521"/>
    <n v="1679"/>
    <n v="349"/>
    <n v="132"/>
    <n v="481"/>
    <n v="124369"/>
    <n v="1.35"/>
    <n v="0.38700000000000001"/>
    <n v="111024"/>
    <n v="1.512"/>
    <n v="0.433"/>
  </r>
  <r>
    <x v="10"/>
    <x v="9"/>
    <m/>
    <n v="158"/>
    <n v="1521"/>
    <n v="1679"/>
    <n v="349"/>
    <n v="132"/>
    <n v="481"/>
    <n v="126846"/>
    <n v="1.3240000000000001"/>
    <n v="0.379"/>
    <n v="111024"/>
    <n v="1.512"/>
    <n v="0.433"/>
  </r>
  <r>
    <x v="10"/>
    <x v="10"/>
    <m/>
    <n v="134"/>
    <n v="1306"/>
    <n v="1440"/>
    <n v="158"/>
    <n v="117"/>
    <n v="275"/>
    <n v="77323"/>
    <n v="1.8620000000000001"/>
    <n v="0.35599999999999998"/>
    <n v="70409"/>
    <n v="2.0449999999999999"/>
    <n v="0.39100000000000001"/>
  </r>
  <r>
    <x v="10"/>
    <x v="10"/>
    <m/>
    <n v="134"/>
    <n v="1306"/>
    <n v="1440"/>
    <n v="158"/>
    <n v="117"/>
    <n v="275"/>
    <n v="76306"/>
    <n v="1.887"/>
    <n v="0.36"/>
    <n v="70409"/>
    <n v="2.0449999999999999"/>
    <n v="0.39100000000000001"/>
  </r>
  <r>
    <x v="9"/>
    <x v="10"/>
    <s v="S12000042"/>
    <m/>
    <m/>
    <n v="1763"/>
    <m/>
    <m/>
    <m/>
    <n v="75840"/>
    <n v="2.3250000000000002"/>
    <m/>
    <n v="71701"/>
    <n v="2.4590000000000001"/>
    <m/>
  </r>
  <r>
    <x v="8"/>
    <x v="10"/>
    <s v="S12000042"/>
    <m/>
    <m/>
    <n v="1766"/>
    <m/>
    <m/>
    <m/>
    <n v="75453"/>
    <n v="2.3410000000000002"/>
    <m/>
    <n v="71224"/>
    <n v="2.48"/>
    <m/>
  </r>
  <r>
    <x v="7"/>
    <x v="10"/>
    <s v="S12000042"/>
    <n v="286"/>
    <n v="637"/>
    <n v="923"/>
    <n v="280"/>
    <n v="166"/>
    <n v="446"/>
    <n v="75027"/>
    <n v="1.23"/>
    <n v="0.59399999999999997"/>
    <n v="70689"/>
    <n v="1.306"/>
    <n v="0.63100000000000001"/>
  </r>
  <r>
    <x v="1"/>
    <x v="10"/>
    <s v="S12000042"/>
    <n v="698"/>
    <n v="3024"/>
    <n v="3722"/>
    <n v="677"/>
    <n v="308"/>
    <n v="985"/>
    <n v="73575"/>
    <n v="5.0590000000000002"/>
    <n v="1.339"/>
    <n v="69610"/>
    <n v="5.3469999999999995"/>
    <n v="1.415"/>
  </r>
  <r>
    <x v="6"/>
    <x v="10"/>
    <s v="S12000042"/>
    <n v="577"/>
    <n v="2144"/>
    <n v="2721"/>
    <n v="510"/>
    <n v="327"/>
    <n v="837"/>
    <n v="74891"/>
    <n v="3.633"/>
    <n v="1.1179999999999999"/>
    <n v="70685"/>
    <n v="3.8490000000000002"/>
    <n v="1.1839999999999999"/>
  </r>
  <r>
    <x v="0"/>
    <x v="10"/>
    <s v="S12000042"/>
    <n v="1038"/>
    <n v="6335"/>
    <n v="7373"/>
    <n v="936"/>
    <n v="496"/>
    <n v="1432"/>
    <n v="73560"/>
    <n v="10.023"/>
    <n v="1.9470000000000001"/>
    <n v="69500"/>
    <n v="10.609"/>
    <n v="2.06"/>
  </r>
  <r>
    <x v="5"/>
    <x v="10"/>
    <s v="S12000042"/>
    <n v="692"/>
    <n v="2702"/>
    <n v="3394"/>
    <n v="680"/>
    <n v="318"/>
    <n v="998"/>
    <n v="74531"/>
    <n v="4.5540000000000003"/>
    <n v="1.339"/>
    <n v="70337"/>
    <n v="4.8250000000000002"/>
    <n v="1.419"/>
  </r>
  <r>
    <x v="4"/>
    <x v="10"/>
    <s v="S12000042"/>
    <n v="661"/>
    <n v="2303"/>
    <n v="2964"/>
    <n v="624"/>
    <n v="289"/>
    <n v="913"/>
    <n v="74354"/>
    <n v="3.9859999999999998"/>
    <n v="1.228"/>
    <n v="70049"/>
    <n v="4.2309999999999999"/>
    <n v="1.3029999999999999"/>
  </r>
  <r>
    <x v="3"/>
    <x v="10"/>
    <s v="S12000042"/>
    <n v="870"/>
    <n v="3053"/>
    <n v="3923"/>
    <n v="823"/>
    <n v="377"/>
    <n v="1200"/>
    <n v="74026"/>
    <n v="5.2990000000000004"/>
    <n v="1.621"/>
    <n v="69635"/>
    <n v="5.6340000000000003"/>
    <n v="1.7229999999999999"/>
  </r>
  <r>
    <x v="2"/>
    <x v="10"/>
    <s v="S12000042"/>
    <n v="849"/>
    <n v="3502"/>
    <n v="4351"/>
    <n v="818"/>
    <n v="370"/>
    <n v="1188"/>
    <n v="73689"/>
    <n v="5.9050000000000002"/>
    <n v="1.6120000000000001"/>
    <n v="69534"/>
    <n v="6.2569999999999997"/>
    <n v="1.7090000000000001"/>
  </r>
  <r>
    <x v="2"/>
    <x v="11"/>
    <s v="S12000008"/>
    <n v="509"/>
    <n v="828"/>
    <n v="1337"/>
    <n v="543"/>
    <n v="320"/>
    <n v="863"/>
    <n v="57654"/>
    <n v="2.319"/>
    <n v="1.4969999999999999"/>
    <n v="54570"/>
    <n v="2.4500000000000002"/>
    <n v="1.581"/>
  </r>
  <r>
    <x v="3"/>
    <x v="11"/>
    <s v="S12000008"/>
    <n v="574"/>
    <n v="681"/>
    <n v="1255"/>
    <n v="584"/>
    <n v="364"/>
    <n v="948"/>
    <n v="57873"/>
    <n v="2.169"/>
    <n v="1.6379999999999999"/>
    <n v="54748"/>
    <n v="2.2919999999999998"/>
    <n v="1.732"/>
  </r>
  <r>
    <x v="4"/>
    <x v="11"/>
    <s v="S12000008"/>
    <n v="485"/>
    <n v="664"/>
    <n v="1149"/>
    <n v="538"/>
    <n v="276"/>
    <n v="814"/>
    <n v="58158"/>
    <n v="1.976"/>
    <n v="1.4"/>
    <n v="54873"/>
    <n v="2.0939999999999999"/>
    <n v="1.4830000000000001"/>
  </r>
  <r>
    <x v="5"/>
    <x v="11"/>
    <s v="S12000008"/>
    <n v="421"/>
    <n v="656"/>
    <n v="1077"/>
    <n v="446"/>
    <n v="251"/>
    <n v="697"/>
    <n v="58453"/>
    <n v="1.843"/>
    <n v="1.1919999999999999"/>
    <n v="55107"/>
    <n v="1.954"/>
    <n v="1.2650000000000001"/>
  </r>
  <r>
    <x v="0"/>
    <x v="11"/>
    <s v="S12000008"/>
    <n v="582"/>
    <n v="1242"/>
    <n v="1824"/>
    <n v="662"/>
    <n v="298"/>
    <n v="960"/>
    <n v="57172"/>
    <n v="3.19"/>
    <n v="1.679"/>
    <n v="54453"/>
    <n v="3.35"/>
    <n v="1.7629999999999999"/>
  </r>
  <r>
    <x v="6"/>
    <x v="11"/>
    <s v="S12000008"/>
    <n v="423"/>
    <n v="680"/>
    <n v="1103"/>
    <n v="487"/>
    <n v="216"/>
    <n v="703"/>
    <n v="58628"/>
    <n v="1.881"/>
    <n v="1.1990000000000001"/>
    <n v="55387"/>
    <n v="1.9910000000000001"/>
    <n v="1.2690000000000001"/>
  </r>
  <r>
    <x v="1"/>
    <x v="11"/>
    <s v="S12000008"/>
    <n v="467"/>
    <n v="836"/>
    <n v="1303"/>
    <n v="506"/>
    <n v="256"/>
    <n v="762"/>
    <n v="57324"/>
    <n v="2.2730000000000001"/>
    <n v="1.329"/>
    <n v="54401"/>
    <n v="2.395"/>
    <n v="1.401"/>
  </r>
  <r>
    <x v="7"/>
    <x v="11"/>
    <s v="S12000008"/>
    <n v="172"/>
    <n v="315"/>
    <n v="487"/>
    <n v="222"/>
    <n v="77"/>
    <n v="299"/>
    <n v="58821"/>
    <n v="0.82799999999999996"/>
    <n v="0.50800000000000001"/>
    <n v="55564"/>
    <n v="0.876"/>
    <n v="0.53800000000000003"/>
  </r>
  <r>
    <x v="8"/>
    <x v="11"/>
    <s v="S12000008"/>
    <m/>
    <m/>
    <n v="1194"/>
    <m/>
    <m/>
    <m/>
    <n v="58973"/>
    <n v="2.0249999999999999"/>
    <m/>
    <n v="56149"/>
    <n v="2.1259999999999999"/>
    <m/>
  </r>
  <r>
    <x v="9"/>
    <x v="11"/>
    <s v="S12000008"/>
    <m/>
    <m/>
    <n v="1109"/>
    <m/>
    <m/>
    <m/>
    <n v="59305"/>
    <n v="1.87"/>
    <m/>
    <n v="56621"/>
    <n v="1.9590000000000001"/>
    <m/>
  </r>
  <r>
    <x v="10"/>
    <x v="11"/>
    <m/>
    <n v="264"/>
    <n v="829"/>
    <n v="1093"/>
    <n v="597"/>
    <n v="105"/>
    <n v="702"/>
    <n v="59737"/>
    <n v="1.83"/>
    <n v="1.175"/>
    <n v="55811"/>
    <n v="1.958"/>
    <n v="1.258"/>
  </r>
  <r>
    <x v="10"/>
    <x v="11"/>
    <m/>
    <n v="264"/>
    <n v="829"/>
    <n v="1093"/>
    <n v="597"/>
    <n v="105"/>
    <n v="702"/>
    <n v="60223"/>
    <n v="1.8149999999999999"/>
    <n v="1.1659999999999999"/>
    <n v="55811"/>
    <n v="1.958"/>
    <n v="1.258"/>
  </r>
  <r>
    <x v="10"/>
    <x v="12"/>
    <m/>
    <n v="126"/>
    <n v="678"/>
    <n v="804"/>
    <n v="275"/>
    <n v="91"/>
    <n v="366"/>
    <n v="77222"/>
    <n v="1.0409999999999999"/>
    <n v="0.47399999999999998"/>
    <n v="72907"/>
    <n v="1.103"/>
    <n v="0.502"/>
  </r>
  <r>
    <x v="10"/>
    <x v="12"/>
    <m/>
    <n v="126"/>
    <n v="678"/>
    <n v="804"/>
    <n v="275"/>
    <n v="91"/>
    <n v="366"/>
    <n v="76689"/>
    <n v="1.048"/>
    <n v="0.47699999999999998"/>
    <n v="72907"/>
    <n v="1.103"/>
    <n v="0.502"/>
  </r>
  <r>
    <x v="10"/>
    <x v="4"/>
    <m/>
    <n v="166"/>
    <n v="855"/>
    <n v="1021"/>
    <n v="316"/>
    <n v="101"/>
    <n v="417"/>
    <n v="48397"/>
    <n v="2.11"/>
    <n v="0.86199999999999999"/>
    <n v="46610"/>
    <n v="2.1909999999999998"/>
    <n v="0.89500000000000002"/>
  </r>
  <r>
    <x v="10"/>
    <x v="13"/>
    <m/>
    <n v="484"/>
    <n v="1848"/>
    <n v="2332"/>
    <n v="832"/>
    <n v="385"/>
    <n v="1217"/>
    <n v="184628"/>
    <n v="1.2629999999999999"/>
    <n v="0.65900000000000003"/>
    <n v="170982"/>
    <n v="1.3639999999999999"/>
    <n v="0.71199999999999997"/>
  </r>
  <r>
    <x v="10"/>
    <x v="13"/>
    <m/>
    <n v="484"/>
    <n v="1848"/>
    <n v="2332"/>
    <n v="832"/>
    <n v="385"/>
    <n v="1217"/>
    <n v="182775"/>
    <n v="1.276"/>
    <n v="0.66600000000000004"/>
    <n v="170982"/>
    <n v="1.3639999999999999"/>
    <n v="0.71199999999999997"/>
  </r>
  <r>
    <x v="9"/>
    <x v="13"/>
    <s v="S12000015"/>
    <m/>
    <m/>
    <n v="2647"/>
    <m/>
    <m/>
    <m/>
    <n v="181405"/>
    <n v="1.4590000000000001"/>
    <m/>
    <n v="172287"/>
    <n v="1.536"/>
    <m/>
  </r>
  <r>
    <x v="8"/>
    <x v="13"/>
    <s v="S12000015"/>
    <m/>
    <m/>
    <n v="3158"/>
    <m/>
    <m/>
    <m/>
    <n v="180234"/>
    <n v="1.752"/>
    <m/>
    <n v="171086"/>
    <n v="1.8460000000000001"/>
    <m/>
  </r>
  <r>
    <x v="7"/>
    <x v="13"/>
    <s v="S12000015"/>
    <n v="580"/>
    <n v="716"/>
    <n v="1296"/>
    <n v="652"/>
    <n v="329"/>
    <n v="981"/>
    <n v="179232"/>
    <n v="0.72299999999999998"/>
    <n v="0.54700000000000004"/>
    <n v="169886"/>
    <n v="0.76300000000000001"/>
    <n v="0.57699999999999996"/>
  </r>
  <r>
    <x v="6"/>
    <x v="13"/>
    <s v="S12000015"/>
    <n v="2533"/>
    <n v="3908"/>
    <n v="6441"/>
    <n v="2725"/>
    <n v="1258"/>
    <n v="3983"/>
    <n v="178183"/>
    <n v="3.6150000000000002"/>
    <n v="2.2349999999999999"/>
    <n v="169239"/>
    <n v="3.806"/>
    <n v="2.3529999999999998"/>
  </r>
  <r>
    <x v="5"/>
    <x v="13"/>
    <s v="S12000015"/>
    <n v="2778"/>
    <n v="3429"/>
    <n v="6207"/>
    <n v="2925"/>
    <n v="1478"/>
    <n v="4403"/>
    <n v="177084"/>
    <n v="3.5049999999999999"/>
    <n v="2.4859999999999998"/>
    <n v="167944"/>
    <n v="3.6959999999999997"/>
    <n v="2.6219999999999999"/>
  </r>
  <r>
    <x v="4"/>
    <x v="13"/>
    <s v="S12000015"/>
    <n v="3137"/>
    <n v="3401"/>
    <n v="6538"/>
    <n v="3292"/>
    <n v="1655"/>
    <n v="4947"/>
    <n v="175915"/>
    <n v="3.7170000000000001"/>
    <n v="2.8120000000000003"/>
    <n v="166960"/>
    <n v="3.9159999999999999"/>
    <n v="2.9630000000000001"/>
  </r>
  <r>
    <x v="3"/>
    <x v="13"/>
    <s v="S12000015"/>
    <n v="3392"/>
    <n v="3061"/>
    <n v="6453"/>
    <n v="3462"/>
    <n v="1853"/>
    <n v="5315"/>
    <n v="174528"/>
    <n v="3.6970000000000001"/>
    <n v="3.0449999999999999"/>
    <n v="165833"/>
    <n v="3.891"/>
    <n v="3.2050000000000001"/>
  </r>
  <r>
    <x v="2"/>
    <x v="13"/>
    <s v="S12000015"/>
    <n v="3204"/>
    <n v="3874"/>
    <n v="7078"/>
    <n v="3231"/>
    <n v="1803"/>
    <n v="5034"/>
    <n v="173366"/>
    <n v="4.0830000000000002"/>
    <n v="2.9039999999999999"/>
    <n v="164705"/>
    <n v="4.2969999999999997"/>
    <n v="3.056"/>
  </r>
  <r>
    <x v="1"/>
    <x v="13"/>
    <s v="S12000015"/>
    <n v="3404"/>
    <n v="3462"/>
    <n v="6866"/>
    <n v="3640"/>
    <n v="1737"/>
    <n v="5377"/>
    <n v="172425"/>
    <n v="3.9820000000000002"/>
    <n v="3.1179999999999999"/>
    <n v="163958"/>
    <n v="4.1879999999999997"/>
    <n v="3.2789999999999999"/>
  </r>
  <r>
    <x v="0"/>
    <x v="13"/>
    <s v="S12000015"/>
    <n v="3531"/>
    <n v="3068"/>
    <n v="6599"/>
    <n v="3943"/>
    <n v="1691"/>
    <n v="5634"/>
    <n v="171560"/>
    <n v="3.8460000000000001"/>
    <n v="3.2839999999999998"/>
    <n v="162200"/>
    <n v="4.0679999999999996"/>
    <n v="3.4729999999999999"/>
  </r>
  <r>
    <x v="0"/>
    <x v="14"/>
    <s v="S12000019"/>
    <n v="569"/>
    <n v="411"/>
    <n v="980"/>
    <n v="405"/>
    <n v="452"/>
    <n v="857"/>
    <n v="37503"/>
    <n v="2.613"/>
    <n v="2.2850000000000001"/>
    <n v="36009"/>
    <n v="2.722"/>
    <n v="2.38"/>
  </r>
  <r>
    <x v="1"/>
    <x v="14"/>
    <s v="S12000019"/>
    <n v="479"/>
    <n v="491"/>
    <n v="970"/>
    <n v="465"/>
    <n v="272"/>
    <n v="737"/>
    <n v="38159"/>
    <n v="2.5419999999999998"/>
    <n v="1.931"/>
    <n v="36602"/>
    <n v="2.65"/>
    <n v="2.0139999999999998"/>
  </r>
  <r>
    <x v="2"/>
    <x v="14"/>
    <s v="S12000019"/>
    <n v="574"/>
    <n v="527"/>
    <n v="1101"/>
    <n v="474"/>
    <n v="435"/>
    <n v="909"/>
    <n v="38675"/>
    <n v="2.847"/>
    <n v="2.35"/>
    <n v="37069"/>
    <n v="2.9699999999999998"/>
    <n v="2.452"/>
  </r>
  <r>
    <x v="3"/>
    <x v="14"/>
    <s v="S12000019"/>
    <n v="528"/>
    <n v="438"/>
    <n v="966"/>
    <n v="416"/>
    <n v="424"/>
    <n v="840"/>
    <n v="39297"/>
    <n v="2.4580000000000002"/>
    <n v="2.1379999999999999"/>
    <n v="37766"/>
    <n v="2.5579999999999998"/>
    <n v="2.2240000000000002"/>
  </r>
  <r>
    <x v="4"/>
    <x v="14"/>
    <s v="S12000019"/>
    <n v="489"/>
    <n v="509"/>
    <n v="998"/>
    <n v="349"/>
    <n v="448"/>
    <n v="797"/>
    <n v="39937"/>
    <n v="2.4990000000000001"/>
    <n v="1.996"/>
    <n v="38557"/>
    <n v="2.5880000000000001"/>
    <n v="2.0670000000000002"/>
  </r>
  <r>
    <x v="5"/>
    <x v="14"/>
    <s v="S12000019"/>
    <n v="394"/>
    <n v="606"/>
    <n v="1000"/>
    <n v="353"/>
    <n v="267"/>
    <n v="620"/>
    <n v="40612"/>
    <n v="2.4620000000000002"/>
    <n v="1.5270000000000001"/>
    <n v="39122"/>
    <n v="2.556"/>
    <n v="1.585"/>
  </r>
  <r>
    <x v="6"/>
    <x v="14"/>
    <s v="S12000019"/>
    <n v="338"/>
    <n v="669"/>
    <n v="1007"/>
    <n v="303"/>
    <n v="225"/>
    <n v="528"/>
    <n v="41226"/>
    <n v="2.4430000000000001"/>
    <n v="1.2810000000000001"/>
    <n v="39733"/>
    <n v="2.5339999999999998"/>
    <n v="1.329"/>
  </r>
  <r>
    <x v="7"/>
    <x v="14"/>
    <s v="S12000019"/>
    <n v="103"/>
    <n v="196"/>
    <n v="299"/>
    <n v="110"/>
    <n v="58"/>
    <n v="168"/>
    <n v="41657"/>
    <n v="0.71799999999999997"/>
    <n v="0.40300000000000002"/>
    <n v="40137"/>
    <n v="0.745"/>
    <n v="0.41899999999999998"/>
  </r>
  <r>
    <x v="8"/>
    <x v="14"/>
    <s v="S12000019"/>
    <m/>
    <m/>
    <n v="577"/>
    <m/>
    <m/>
    <m/>
    <n v="42492"/>
    <n v="1.3580000000000001"/>
    <m/>
    <n v="40876"/>
    <n v="1.4119999999999999"/>
    <m/>
  </r>
  <r>
    <x v="9"/>
    <x v="14"/>
    <s v="S12000019"/>
    <m/>
    <m/>
    <n v="443"/>
    <m/>
    <m/>
    <m/>
    <n v="43231"/>
    <n v="1.0249999999999999"/>
    <m/>
    <n v="41676"/>
    <n v="1.0629999999999999"/>
    <m/>
  </r>
  <r>
    <x v="10"/>
    <x v="14"/>
    <m/>
    <n v="68"/>
    <n v="350"/>
    <n v="418"/>
    <n v="133"/>
    <n v="47"/>
    <n v="180"/>
    <n v="44052"/>
    <n v="0.94899999999999995"/>
    <n v="0.40899999999999997"/>
    <n v="41958"/>
    <n v="0.996"/>
    <n v="0.42899999999999999"/>
  </r>
  <r>
    <x v="10"/>
    <x v="14"/>
    <m/>
    <n v="68"/>
    <n v="350"/>
    <n v="418"/>
    <n v="133"/>
    <n v="47"/>
    <n v="180"/>
    <n v="45527"/>
    <n v="0.91800000000000004"/>
    <n v="0.39500000000000002"/>
    <n v="41958"/>
    <n v="0.996"/>
    <n v="0.42899999999999999"/>
  </r>
  <r>
    <x v="0"/>
    <x v="15"/>
    <s v="S12000005"/>
    <n v="354"/>
    <n v="518"/>
    <n v="872"/>
    <n v="391"/>
    <n v="151"/>
    <n v="542"/>
    <n v="23894"/>
    <n v="3.649"/>
    <n v="2.2679999999999998"/>
    <n v="22978"/>
    <n v="3.7949999999999999"/>
    <n v="2.359"/>
  </r>
  <r>
    <x v="1"/>
    <x v="15"/>
    <s v="S12000005"/>
    <n v="273"/>
    <n v="511"/>
    <n v="784"/>
    <n v="314"/>
    <n v="87"/>
    <n v="401"/>
    <n v="23995"/>
    <n v="3.2669999999999999"/>
    <n v="1.671"/>
    <n v="23217"/>
    <n v="3.3769999999999998"/>
    <n v="1.7269999999999999"/>
  </r>
  <r>
    <x v="2"/>
    <x v="15"/>
    <s v="S12000005"/>
    <n v="243"/>
    <n v="382"/>
    <n v="625"/>
    <n v="229"/>
    <n v="130"/>
    <n v="359"/>
    <n v="24114"/>
    <n v="2.5920000000000001"/>
    <n v="1.4889999999999999"/>
    <n v="23333"/>
    <n v="2.6790000000000003"/>
    <n v="1.5390000000000001"/>
  </r>
  <r>
    <x v="3"/>
    <x v="15"/>
    <s v="S12000005"/>
    <n v="270"/>
    <n v="361"/>
    <n v="631"/>
    <n v="281"/>
    <n v="120"/>
    <n v="401"/>
    <n v="24221"/>
    <n v="2.605"/>
    <n v="1.6560000000000001"/>
    <n v="23401"/>
    <n v="2.6959999999999997"/>
    <n v="1.714"/>
  </r>
  <r>
    <x v="4"/>
    <x v="15"/>
    <s v="S12000005"/>
    <n v="205"/>
    <n v="360"/>
    <n v="565"/>
    <n v="233"/>
    <n v="85"/>
    <n v="318"/>
    <n v="24377"/>
    <n v="2.3180000000000001"/>
    <n v="1.3049999999999999"/>
    <n v="23563"/>
    <n v="2.3980000000000001"/>
    <n v="1.35"/>
  </r>
  <r>
    <x v="5"/>
    <x v="15"/>
    <s v="S12000005"/>
    <n v="219"/>
    <n v="372"/>
    <n v="591"/>
    <n v="235"/>
    <n v="82"/>
    <n v="317"/>
    <n v="24524"/>
    <n v="2.41"/>
    <n v="1.2929999999999999"/>
    <n v="23674"/>
    <n v="2.496"/>
    <n v="1.339"/>
  </r>
  <r>
    <x v="6"/>
    <x v="15"/>
    <s v="S12000005"/>
    <n v="292"/>
    <n v="379"/>
    <n v="671"/>
    <n v="445"/>
    <n v="50"/>
    <n v="495"/>
    <n v="24716"/>
    <n v="2.7149999999999999"/>
    <n v="2.0030000000000001"/>
    <n v="23890"/>
    <n v="2.8090000000000002"/>
    <n v="2.0720000000000001"/>
  </r>
  <r>
    <x v="7"/>
    <x v="15"/>
    <s v="S12000005"/>
    <n v="63"/>
    <n v="100"/>
    <n v="163"/>
    <n v="94"/>
    <n v="28"/>
    <n v="122"/>
    <n v="24838"/>
    <n v="0.65600000000000003"/>
    <n v="0.49099999999999999"/>
    <n v="24066"/>
    <n v="0.67700000000000005"/>
    <n v="0.50700000000000001"/>
  </r>
  <r>
    <x v="8"/>
    <x v="15"/>
    <s v="S12000005"/>
    <m/>
    <m/>
    <n v="520"/>
    <m/>
    <m/>
    <m/>
    <n v="24931"/>
    <n v="2.0859999999999999"/>
    <m/>
    <n v="24077"/>
    <n v="2.16"/>
    <m/>
  </r>
  <r>
    <x v="9"/>
    <x v="15"/>
    <s v="S12000005"/>
    <m/>
    <m/>
    <n v="428"/>
    <m/>
    <m/>
    <m/>
    <n v="25109"/>
    <n v="1.7050000000000001"/>
    <m/>
    <n v="24157"/>
    <n v="1.772"/>
    <m/>
  </r>
  <r>
    <x v="10"/>
    <x v="15"/>
    <m/>
    <n v="58"/>
    <n v="398"/>
    <n v="456"/>
    <n v="88"/>
    <n v="43"/>
    <n v="131"/>
    <n v="25277"/>
    <n v="1.804"/>
    <n v="0.51800000000000002"/>
    <n v="24305"/>
    <n v="1.8759999999999999"/>
    <n v="0.53900000000000003"/>
  </r>
  <r>
    <x v="10"/>
    <x v="15"/>
    <m/>
    <n v="58"/>
    <n v="398"/>
    <n v="456"/>
    <n v="88"/>
    <n v="43"/>
    <n v="131"/>
    <n v="25328"/>
    <n v="1.8"/>
    <n v="0.51700000000000002"/>
    <n v="24305"/>
    <n v="1.8759999999999999"/>
    <n v="0.53900000000000003"/>
  </r>
  <r>
    <x v="10"/>
    <x v="16"/>
    <m/>
    <n v="159"/>
    <n v="487"/>
    <n v="646"/>
    <n v="314"/>
    <n v="68"/>
    <n v="382"/>
    <n v="41304"/>
    <n v="1.5640000000000001"/>
    <n v="0.92500000000000004"/>
    <n v="40260"/>
    <n v="1.605"/>
    <n v="0.94899999999999995"/>
  </r>
  <r>
    <x v="10"/>
    <x v="16"/>
    <m/>
    <n v="159"/>
    <n v="487"/>
    <n v="646"/>
    <n v="314"/>
    <n v="68"/>
    <n v="382"/>
    <n v="40849"/>
    <n v="1.581"/>
    <n v="0.93500000000000005"/>
    <n v="40260"/>
    <n v="1.605"/>
    <n v="0.94899999999999995"/>
  </r>
  <r>
    <x v="9"/>
    <x v="16"/>
    <s v="S12000011"/>
    <m/>
    <m/>
    <n v="679"/>
    <m/>
    <m/>
    <m/>
    <n v="40507"/>
    <n v="1.6760000000000002"/>
    <m/>
    <n v="40697"/>
    <n v="1.6680000000000001"/>
    <m/>
  </r>
  <r>
    <x v="8"/>
    <x v="16"/>
    <s v="S12000011"/>
    <m/>
    <m/>
    <n v="645"/>
    <m/>
    <m/>
    <m/>
    <n v="39909"/>
    <n v="1.6160000000000001"/>
    <m/>
    <n v="40081"/>
    <n v="1.609"/>
    <m/>
  </r>
  <r>
    <x v="7"/>
    <x v="16"/>
    <s v="S12000011"/>
    <n v="204"/>
    <n v="172"/>
    <n v="376"/>
    <n v="222"/>
    <n v="100"/>
    <n v="322"/>
    <n v="39453"/>
    <n v="0.95299999999999996"/>
    <n v="0.81599999999999995"/>
    <n v="39586"/>
    <n v="0.95"/>
    <n v="0.81299999999999994"/>
  </r>
  <r>
    <x v="6"/>
    <x v="16"/>
    <s v="S12000011"/>
    <n v="366"/>
    <n v="587"/>
    <n v="953"/>
    <n v="397"/>
    <n v="172"/>
    <n v="569"/>
    <n v="39144"/>
    <n v="2.4350000000000001"/>
    <n v="1.454"/>
    <n v="39345"/>
    <n v="2.4220000000000002"/>
    <n v="1.446"/>
  </r>
  <r>
    <x v="5"/>
    <x v="16"/>
    <s v="S12000011"/>
    <n v="445"/>
    <n v="651"/>
    <n v="1096"/>
    <n v="492"/>
    <n v="194"/>
    <n v="686"/>
    <n v="38902"/>
    <n v="2.8170000000000002"/>
    <n v="1.7629999999999999"/>
    <n v="39108"/>
    <n v="2.802"/>
    <n v="1.754"/>
  </r>
  <r>
    <x v="4"/>
    <x v="16"/>
    <s v="S12000011"/>
    <n v="604"/>
    <n v="662"/>
    <n v="1266"/>
    <n v="700"/>
    <n v="194"/>
    <n v="894"/>
    <n v="38677"/>
    <n v="3.2730000000000001"/>
    <n v="2.3109999999999999"/>
    <n v="38899"/>
    <n v="3.2549999999999999"/>
    <n v="2.298"/>
  </r>
  <r>
    <x v="3"/>
    <x v="16"/>
    <s v="S12000011"/>
    <n v="644"/>
    <n v="916"/>
    <n v="1560"/>
    <n v="686"/>
    <n v="274"/>
    <n v="960"/>
    <n v="38389"/>
    <n v="4.0640000000000001"/>
    <n v="2.5009999999999999"/>
    <n v="38581"/>
    <n v="4.0430000000000001"/>
    <n v="2.488"/>
  </r>
  <r>
    <x v="2"/>
    <x v="16"/>
    <s v="S12000011"/>
    <n v="587"/>
    <n v="1106"/>
    <n v="1693"/>
    <n v="640"/>
    <n v="250"/>
    <n v="890"/>
    <n v="38061"/>
    <n v="4.4480000000000004"/>
    <n v="2.3380000000000001"/>
    <n v="38270"/>
    <n v="4.4240000000000004"/>
    <n v="2.3260000000000001"/>
  </r>
  <r>
    <x v="1"/>
    <x v="16"/>
    <s v="S12000011"/>
    <n v="546"/>
    <n v="689"/>
    <n v="1235"/>
    <n v="549"/>
    <n v="267"/>
    <n v="816"/>
    <n v="37852"/>
    <n v="3.2629999999999999"/>
    <n v="2.1560000000000001"/>
    <n v="38048"/>
    <n v="3.246"/>
    <n v="2.145"/>
  </r>
  <r>
    <x v="0"/>
    <x v="16"/>
    <s v="S12000011"/>
    <n v="492"/>
    <n v="448"/>
    <n v="940"/>
    <n v="603"/>
    <n v="198"/>
    <n v="801"/>
    <n v="37639"/>
    <n v="2.4969999999999999"/>
    <n v="2.1280000000000001"/>
    <n v="37804"/>
    <n v="2.4870000000000001"/>
    <n v="2.1189999999999998"/>
  </r>
  <r>
    <x v="0"/>
    <x v="17"/>
    <s v="S12000020"/>
    <n v="332"/>
    <n v="299"/>
    <n v="631"/>
    <n v="317"/>
    <n v="264"/>
    <n v="581"/>
    <n v="43495"/>
    <n v="1.4510000000000001"/>
    <n v="1.3360000000000001"/>
    <n v="40839"/>
    <n v="1.5449999999999999"/>
    <n v="1.423"/>
  </r>
  <r>
    <x v="1"/>
    <x v="17"/>
    <s v="S12000020"/>
    <n v="372"/>
    <n v="356"/>
    <n v="728"/>
    <n v="336"/>
    <n v="293"/>
    <n v="629"/>
    <n v="43788"/>
    <n v="1.663"/>
    <n v="1.4359999999999999"/>
    <n v="41288"/>
    <n v="1.7629999999999999"/>
    <n v="1.5230000000000001"/>
  </r>
  <r>
    <x v="2"/>
    <x v="17"/>
    <s v="S12000020"/>
    <n v="426"/>
    <n v="479"/>
    <n v="905"/>
    <n v="383"/>
    <n v="384"/>
    <n v="767"/>
    <n v="44096"/>
    <n v="2.052"/>
    <n v="1.7389999999999999"/>
    <n v="41641"/>
    <n v="2.173"/>
    <n v="1.8420000000000001"/>
  </r>
  <r>
    <x v="3"/>
    <x v="17"/>
    <s v="S12000020"/>
    <n v="768"/>
    <n v="1016"/>
    <n v="1784"/>
    <n v="709"/>
    <n v="647"/>
    <n v="1356"/>
    <n v="44454"/>
    <n v="4.0129999999999999"/>
    <n v="3.05"/>
    <n v="41961"/>
    <n v="4.2519999999999998"/>
    <n v="3.2320000000000002"/>
  </r>
  <r>
    <x v="4"/>
    <x v="17"/>
    <s v="S12000020"/>
    <n v="609"/>
    <n v="826"/>
    <n v="1435"/>
    <n v="554"/>
    <n v="522"/>
    <n v="1076"/>
    <n v="44838"/>
    <n v="3.2"/>
    <n v="2.4"/>
    <n v="42269"/>
    <n v="3.395"/>
    <n v="2.5460000000000003"/>
  </r>
  <r>
    <x v="5"/>
    <x v="17"/>
    <s v="S12000020"/>
    <n v="516"/>
    <n v="1149"/>
    <n v="1665"/>
    <n v="399"/>
    <n v="473"/>
    <n v="872"/>
    <n v="45209"/>
    <n v="3.6829999999999998"/>
    <n v="1.929"/>
    <n v="42554"/>
    <n v="3.9130000000000003"/>
    <n v="2.0489999999999999"/>
  </r>
  <r>
    <x v="6"/>
    <x v="17"/>
    <s v="S12000020"/>
    <n v="483"/>
    <n v="1205"/>
    <n v="1688"/>
    <n v="500"/>
    <n v="377"/>
    <n v="877"/>
    <n v="45630"/>
    <n v="3.6989999999999998"/>
    <n v="1.9220000000000002"/>
    <n v="42932"/>
    <n v="3.9319999999999999"/>
    <n v="2.0430000000000001"/>
  </r>
  <r>
    <x v="7"/>
    <x v="17"/>
    <s v="S12000020"/>
    <n v="86"/>
    <n v="260"/>
    <n v="346"/>
    <n v="97"/>
    <n v="61"/>
    <n v="158"/>
    <n v="45838"/>
    <n v="0.755"/>
    <n v="0.34499999999999997"/>
    <n v="43175"/>
    <n v="0.80100000000000005"/>
    <n v="0.36599999999999999"/>
  </r>
  <r>
    <x v="8"/>
    <x v="17"/>
    <s v="S12000020"/>
    <m/>
    <m/>
    <n v="931"/>
    <m/>
    <m/>
    <m/>
    <n v="46166"/>
    <n v="2.0169999999999999"/>
    <m/>
    <n v="43590"/>
    <n v="2.1360000000000001"/>
    <m/>
  </r>
  <r>
    <x v="9"/>
    <x v="17"/>
    <s v="S12000020"/>
    <m/>
    <m/>
    <n v="687"/>
    <m/>
    <m/>
    <m/>
    <n v="46585"/>
    <n v="1.4750000000000001"/>
    <m/>
    <n v="43995"/>
    <n v="1.5620000000000001"/>
    <m/>
  </r>
  <r>
    <x v="10"/>
    <x v="17"/>
    <m/>
    <n v="58"/>
    <n v="619"/>
    <n v="677"/>
    <n v="104"/>
    <n v="71"/>
    <n v="175"/>
    <n v="47060"/>
    <n v="1.4390000000000001"/>
    <n v="0.372"/>
    <n v="43891"/>
    <n v="1.542"/>
    <n v="0.39900000000000002"/>
  </r>
  <r>
    <x v="10"/>
    <x v="17"/>
    <m/>
    <n v="58"/>
    <n v="619"/>
    <n v="677"/>
    <n v="104"/>
    <n v="71"/>
    <n v="175"/>
    <n v="47804"/>
    <n v="1.4159999999999999"/>
    <n v="0.36599999999999999"/>
    <n v="43891"/>
    <n v="1.542"/>
    <n v="0.39900000000000002"/>
  </r>
  <r>
    <x v="10"/>
    <x v="18"/>
    <m/>
    <n v="356"/>
    <n v="1712"/>
    <n v="2068"/>
    <n v="746"/>
    <n v="208"/>
    <n v="954"/>
    <n v="161718"/>
    <n v="1.2789999999999999"/>
    <n v="0.59"/>
    <n v="152653"/>
    <n v="1.355"/>
    <n v="0.625"/>
  </r>
  <r>
    <x v="10"/>
    <x v="18"/>
    <m/>
    <n v="356"/>
    <n v="1712"/>
    <n v="2068"/>
    <n v="746"/>
    <n v="208"/>
    <n v="954"/>
    <n v="160560"/>
    <n v="1.288"/>
    <n v="0.59399999999999997"/>
    <n v="152653"/>
    <n v="1.355"/>
    <n v="0.625"/>
  </r>
  <r>
    <x v="0"/>
    <x v="19"/>
    <s v="S12000010"/>
    <n v="649"/>
    <n v="366"/>
    <n v="1015"/>
    <n v="611"/>
    <n v="496"/>
    <n v="1107"/>
    <n v="45613"/>
    <n v="2.2250000000000001"/>
    <n v="2.427"/>
    <n v="43682"/>
    <n v="2.3239999999999998"/>
    <n v="2.5339999999999998"/>
  </r>
  <r>
    <x v="1"/>
    <x v="19"/>
    <s v="S12000010"/>
    <n v="737"/>
    <n v="511"/>
    <n v="1248"/>
    <n v="708"/>
    <n v="526"/>
    <n v="1234"/>
    <n v="45968"/>
    <n v="2.7149999999999999"/>
    <n v="2.6840000000000002"/>
    <n v="43981"/>
    <n v="2.8380000000000001"/>
    <n v="2.806"/>
  </r>
  <r>
    <x v="2"/>
    <x v="19"/>
    <s v="S12000010"/>
    <n v="716"/>
    <n v="704"/>
    <n v="1420"/>
    <n v="715"/>
    <n v="505"/>
    <n v="1220"/>
    <n v="46332"/>
    <n v="3.0649999999999999"/>
    <n v="2.633"/>
    <n v="44384"/>
    <n v="3.1989999999999998"/>
    <n v="2.7490000000000001"/>
  </r>
  <r>
    <x v="3"/>
    <x v="19"/>
    <s v="S12000010"/>
    <n v="596"/>
    <n v="578"/>
    <n v="1174"/>
    <n v="608"/>
    <n v="364"/>
    <n v="972"/>
    <n v="46672"/>
    <n v="2.5150000000000001"/>
    <n v="2.0830000000000002"/>
    <n v="44749"/>
    <n v="2.6240000000000001"/>
    <n v="2.1720000000000002"/>
  </r>
  <r>
    <x v="4"/>
    <x v="19"/>
    <s v="S12000010"/>
    <n v="540"/>
    <n v="494"/>
    <n v="1034"/>
    <n v="544"/>
    <n v="339"/>
    <n v="883"/>
    <n v="47407"/>
    <n v="2.181"/>
    <n v="1.863"/>
    <n v="45301"/>
    <n v="2.2829999999999999"/>
    <n v="1.9489999999999998"/>
  </r>
  <r>
    <x v="5"/>
    <x v="19"/>
    <s v="S12000010"/>
    <n v="440"/>
    <n v="524"/>
    <n v="964"/>
    <n v="530"/>
    <n v="193"/>
    <n v="723"/>
    <n v="48055"/>
    <n v="2.0059999999999998"/>
    <n v="1.5049999999999999"/>
    <n v="45975"/>
    <n v="2.097"/>
    <n v="1.573"/>
  </r>
  <r>
    <x v="6"/>
    <x v="19"/>
    <s v="S12000010"/>
    <n v="372"/>
    <n v="530"/>
    <n v="902"/>
    <n v="448"/>
    <n v="151"/>
    <n v="599"/>
    <n v="48851"/>
    <n v="1.8460000000000001"/>
    <n v="1.226"/>
    <n v="46771"/>
    <n v="1.929"/>
    <n v="1.2810000000000001"/>
  </r>
  <r>
    <x v="7"/>
    <x v="19"/>
    <s v="S12000010"/>
    <n v="124"/>
    <n v="154"/>
    <n v="278"/>
    <n v="162"/>
    <n v="64"/>
    <n v="226"/>
    <n v="49642"/>
    <n v="0.56000000000000005"/>
    <n v="0.45500000000000002"/>
    <n v="47482"/>
    <n v="0.58499999999999996"/>
    <n v="0.47599999999999998"/>
  </r>
  <r>
    <x v="8"/>
    <x v="19"/>
    <s v="S12000010"/>
    <m/>
    <m/>
    <n v="646"/>
    <m/>
    <m/>
    <m/>
    <n v="50641"/>
    <n v="1.276"/>
    <m/>
    <n v="48440"/>
    <n v="1.3340000000000001"/>
    <m/>
  </r>
  <r>
    <x v="9"/>
    <x v="19"/>
    <s v="S12000010"/>
    <m/>
    <m/>
    <n v="520"/>
    <m/>
    <m/>
    <m/>
    <n v="51409"/>
    <n v="1.0109999999999999"/>
    <m/>
    <n v="49220"/>
    <n v="1.056"/>
    <m/>
  </r>
  <r>
    <x v="10"/>
    <x v="19"/>
    <m/>
    <n v="65"/>
    <n v="558"/>
    <n v="623"/>
    <n v="123"/>
    <n v="39"/>
    <n v="162"/>
    <n v="52327"/>
    <n v="1.1910000000000001"/>
    <n v="0.31"/>
    <n v="49686"/>
    <n v="1.254"/>
    <n v="0.32600000000000001"/>
  </r>
  <r>
    <x v="10"/>
    <x v="19"/>
    <m/>
    <n v="65"/>
    <n v="558"/>
    <n v="623"/>
    <n v="123"/>
    <n v="39"/>
    <n v="162"/>
    <n v="54314"/>
    <n v="1.147"/>
    <n v="0.29799999999999999"/>
    <n v="49686"/>
    <n v="1.254"/>
    <n v="0.32600000000000001"/>
  </r>
  <r>
    <x v="10"/>
    <x v="20"/>
    <m/>
    <n v="145"/>
    <n v="1925"/>
    <n v="2070"/>
    <n v="233"/>
    <n v="226"/>
    <n v="459"/>
    <n v="125736"/>
    <n v="1.6459999999999999"/>
    <n v="0.36499999999999999"/>
    <n v="112857"/>
    <n v="1.8340000000000001"/>
    <n v="0.40699999999999997"/>
  </r>
  <r>
    <x v="10"/>
    <x v="20"/>
    <m/>
    <n v="145"/>
    <n v="1925"/>
    <n v="2070"/>
    <n v="233"/>
    <n v="226"/>
    <n v="459"/>
    <n v="123568"/>
    <n v="1.675"/>
    <n v="0.371"/>
    <n v="112857"/>
    <n v="1.8340000000000001"/>
    <n v="0.40699999999999997"/>
  </r>
  <r>
    <x v="9"/>
    <x v="20"/>
    <s v="S12000017"/>
    <m/>
    <m/>
    <n v="2133"/>
    <m/>
    <m/>
    <m/>
    <n v="122235"/>
    <n v="1.7450000000000001"/>
    <m/>
    <n v="111633"/>
    <n v="1.911"/>
    <m/>
  </r>
  <r>
    <x v="8"/>
    <x v="20"/>
    <s v="S12000017"/>
    <m/>
    <m/>
    <n v="2214"/>
    <m/>
    <m/>
    <m/>
    <n v="120785"/>
    <n v="1.833"/>
    <m/>
    <n v="110743"/>
    <n v="1.9990000000000001"/>
    <m/>
  </r>
  <r>
    <x v="7"/>
    <x v="20"/>
    <s v="S12000017"/>
    <n v="164"/>
    <n v="631"/>
    <n v="795"/>
    <n v="167"/>
    <n v="166"/>
    <n v="333"/>
    <n v="119918"/>
    <n v="0.66300000000000003"/>
    <n v="0.27800000000000002"/>
    <n v="110084"/>
    <n v="0.72199999999999998"/>
    <n v="0.30199999999999999"/>
  </r>
  <r>
    <x v="6"/>
    <x v="20"/>
    <s v="S12000017"/>
    <n v="592"/>
    <n v="2276"/>
    <n v="2868"/>
    <n v="522"/>
    <n v="464"/>
    <n v="986"/>
    <n v="119061"/>
    <n v="2.4089999999999998"/>
    <n v="0.82799999999999996"/>
    <n v="109514"/>
    <n v="2.6189999999999998"/>
    <n v="0.9"/>
  </r>
  <r>
    <x v="5"/>
    <x v="20"/>
    <s v="S12000017"/>
    <n v="813"/>
    <n v="2969"/>
    <n v="3782"/>
    <n v="818"/>
    <n v="537"/>
    <n v="1355"/>
    <n v="118117"/>
    <n v="3.202"/>
    <n v="1.147"/>
    <n v="108878"/>
    <n v="3.4740000000000002"/>
    <n v="1.2450000000000001"/>
  </r>
  <r>
    <x v="4"/>
    <x v="20"/>
    <s v="S12000017"/>
    <n v="1288"/>
    <n v="3927"/>
    <n v="5215"/>
    <n v="1385"/>
    <n v="742"/>
    <n v="2127"/>
    <n v="117291"/>
    <n v="4.4459999999999997"/>
    <n v="1.8129999999999999"/>
    <n v="108319"/>
    <n v="4.8140000000000001"/>
    <n v="1.964"/>
  </r>
  <r>
    <x v="3"/>
    <x v="20"/>
    <s v="S12000017"/>
    <n v="1215"/>
    <n v="3439"/>
    <n v="4654"/>
    <n v="1204"/>
    <n v="702"/>
    <n v="1906"/>
    <n v="116453"/>
    <n v="3.996"/>
    <n v="1.637"/>
    <n v="107573"/>
    <n v="4.3259999999999996"/>
    <n v="1.772"/>
  </r>
  <r>
    <x v="2"/>
    <x v="20"/>
    <s v="S12000017"/>
    <n v="1073"/>
    <n v="2605"/>
    <n v="3678"/>
    <n v="1225"/>
    <n v="526"/>
    <n v="1751"/>
    <n v="115538"/>
    <n v="3.1829999999999998"/>
    <n v="1.516"/>
    <n v="106834"/>
    <n v="3.4430000000000001"/>
    <n v="1.639"/>
  </r>
  <r>
    <x v="1"/>
    <x v="20"/>
    <s v="S12000017"/>
    <n v="962"/>
    <n v="2623"/>
    <n v="3585"/>
    <n v="1042"/>
    <n v="500"/>
    <n v="1542"/>
    <n v="114603"/>
    <n v="3.1280000000000001"/>
    <n v="1.3460000000000001"/>
    <n v="105711"/>
    <n v="3.391"/>
    <n v="1.4590000000000001"/>
  </r>
  <r>
    <x v="0"/>
    <x v="20"/>
    <s v="S12000017"/>
    <n v="1287"/>
    <n v="2547"/>
    <n v="3834"/>
    <n v="1317"/>
    <n v="724"/>
    <n v="2041"/>
    <n v="113703"/>
    <n v="3.3719999999999999"/>
    <n v="1.7949999999999999"/>
    <n v="104445"/>
    <n v="3.6710000000000003"/>
    <n v="1.954"/>
  </r>
  <r>
    <x v="0"/>
    <x v="21"/>
    <s v="S12000013"/>
    <n v="123"/>
    <n v="226"/>
    <n v="349"/>
    <n v="181"/>
    <n v="15"/>
    <n v="196"/>
    <n v="14490"/>
    <n v="2.4089999999999998"/>
    <n v="1.353"/>
    <n v="12924"/>
    <n v="2.7"/>
    <n v="1.5169999999999999"/>
  </r>
  <r>
    <x v="1"/>
    <x v="21"/>
    <s v="S12000013"/>
    <n v="93"/>
    <n v="199"/>
    <n v="292"/>
    <n v="116"/>
    <n v="30"/>
    <n v="146"/>
    <n v="14520"/>
    <n v="2.0110000000000001"/>
    <n v="1.006"/>
    <n v="12920"/>
    <n v="2.2599999999999998"/>
    <n v="1.1299999999999999"/>
  </r>
  <r>
    <x v="2"/>
    <x v="21"/>
    <s v="S12000013"/>
    <n v="114"/>
    <n v="205"/>
    <n v="319"/>
    <n v="144"/>
    <n v="41"/>
    <n v="185"/>
    <n v="14577"/>
    <n v="2.1880000000000002"/>
    <n v="1.2690000000000001"/>
    <n v="12968"/>
    <n v="2.46"/>
    <n v="1.427"/>
  </r>
  <r>
    <x v="3"/>
    <x v="21"/>
    <s v="S12000013"/>
    <n v="94"/>
    <n v="249"/>
    <n v="343"/>
    <n v="95"/>
    <n v="46"/>
    <n v="141"/>
    <n v="14599"/>
    <n v="2.3490000000000002"/>
    <n v="0.96599999999999997"/>
    <n v="12951"/>
    <n v="2.6480000000000001"/>
    <n v="1.089"/>
  </r>
  <r>
    <x v="4"/>
    <x v="21"/>
    <s v="S12000013"/>
    <n v="125"/>
    <n v="223"/>
    <n v="348"/>
    <n v="171"/>
    <n v="11"/>
    <n v="182"/>
    <n v="14714"/>
    <n v="2.3650000000000002"/>
    <n v="1.2370000000000001"/>
    <n v="12805"/>
    <n v="2.718"/>
    <n v="1.421"/>
  </r>
  <r>
    <x v="5"/>
    <x v="21"/>
    <s v="S12000013"/>
    <n v="112"/>
    <n v="274"/>
    <n v="386"/>
    <n v="132"/>
    <n v="29"/>
    <n v="161"/>
    <n v="14706"/>
    <n v="2.625"/>
    <n v="1.095"/>
    <n v="12773"/>
    <n v="3.0219999999999998"/>
    <n v="1.26"/>
  </r>
  <r>
    <x v="6"/>
    <x v="21"/>
    <s v="S12000013"/>
    <n v="67"/>
    <n v="235"/>
    <n v="302"/>
    <n v="69"/>
    <n v="42"/>
    <n v="111"/>
    <n v="14734"/>
    <n v="2.0499999999999998"/>
    <n v="0.753"/>
    <n v="12833"/>
    <n v="2.3529999999999998"/>
    <n v="0.86499999999999999"/>
  </r>
  <r>
    <x v="7"/>
    <x v="21"/>
    <s v="S12000013"/>
    <n v="23"/>
    <n v="34"/>
    <n v="57"/>
    <n v="26"/>
    <n v="12"/>
    <n v="38"/>
    <n v="14764"/>
    <n v="0.38600000000000001"/>
    <n v="0.25700000000000001"/>
    <n v="12849"/>
    <n v="0.44400000000000001"/>
    <n v="0.29599999999999999"/>
  </r>
  <r>
    <x v="8"/>
    <x v="21"/>
    <s v="S12000013"/>
    <m/>
    <m/>
    <n v="242"/>
    <m/>
    <m/>
    <m/>
    <n v="14856"/>
    <n v="1.629"/>
    <m/>
    <n v="12925"/>
    <n v="1.8719999999999999"/>
    <m/>
  </r>
  <r>
    <x v="9"/>
    <x v="21"/>
    <s v="S12000013"/>
    <m/>
    <m/>
    <n v="134"/>
    <m/>
    <m/>
    <m/>
    <n v="14975"/>
    <n v="0.89500000000000002"/>
    <m/>
    <n v="12986"/>
    <n v="1.032"/>
    <m/>
  </r>
  <r>
    <x v="10"/>
    <x v="21"/>
    <m/>
    <n v="12"/>
    <n v="90"/>
    <n v="102"/>
    <n v="28"/>
    <n v="18"/>
    <n v="46"/>
    <n v="15097"/>
    <n v="0.67600000000000005"/>
    <n v="0.30499999999999999"/>
    <n v="12806"/>
    <n v="0.79700000000000004"/>
    <n v="0.35899999999999999"/>
  </r>
  <r>
    <x v="10"/>
    <x v="21"/>
    <m/>
    <n v="12"/>
    <n v="90"/>
    <n v="102"/>
    <n v="28"/>
    <n v="18"/>
    <n v="46"/>
    <n v="15353"/>
    <n v="0.66400000000000003"/>
    <n v="0.3"/>
    <n v="12806"/>
    <n v="0.79700000000000004"/>
    <n v="0.35899999999999999"/>
  </r>
  <r>
    <x v="10"/>
    <x v="22"/>
    <m/>
    <n v="342"/>
    <n v="826"/>
    <n v="1168"/>
    <n v="726"/>
    <n v="131"/>
    <n v="857"/>
    <n v="91995"/>
    <n v="1.27"/>
    <n v="0.93200000000000005"/>
    <n v="87576"/>
    <n v="1.3340000000000001"/>
    <n v="0.97899999999999998"/>
  </r>
  <r>
    <x v="10"/>
    <x v="22"/>
    <m/>
    <n v="342"/>
    <n v="826"/>
    <n v="1168"/>
    <n v="726"/>
    <n v="131"/>
    <n v="857"/>
    <n v="91192"/>
    <n v="1.2810000000000001"/>
    <n v="0.94"/>
    <n v="87576"/>
    <n v="1.3340000000000001"/>
    <n v="0.97899999999999998"/>
  </r>
  <r>
    <x v="9"/>
    <x v="12"/>
    <s v="S12000014"/>
    <m/>
    <m/>
    <n v="930"/>
    <m/>
    <m/>
    <m/>
    <n v="76359"/>
    <n v="1.218"/>
    <m/>
    <n v="73646"/>
    <n v="1.2629999999999999"/>
    <m/>
  </r>
  <r>
    <x v="8"/>
    <x v="12"/>
    <s v="S12000014"/>
    <m/>
    <m/>
    <n v="1070"/>
    <m/>
    <m/>
    <m/>
    <n v="75942"/>
    <n v="1.409"/>
    <m/>
    <n v="73375"/>
    <n v="1.458"/>
    <m/>
  </r>
  <r>
    <x v="7"/>
    <x v="12"/>
    <s v="S12000014"/>
    <n v="157"/>
    <n v="297"/>
    <n v="454"/>
    <n v="179"/>
    <n v="71"/>
    <n v="250"/>
    <n v="75595"/>
    <n v="0.60099999999999998"/>
    <n v="0.33100000000000002"/>
    <n v="72994"/>
    <n v="0.622"/>
    <n v="0.34200000000000003"/>
  </r>
  <r>
    <x v="6"/>
    <x v="12"/>
    <s v="S12000014"/>
    <n v="511"/>
    <n v="1174"/>
    <n v="1685"/>
    <n v="590"/>
    <n v="172"/>
    <n v="762"/>
    <n v="75226"/>
    <n v="2.2400000000000002"/>
    <n v="1.0129999999999999"/>
    <n v="72672"/>
    <n v="2.319"/>
    <n v="1.0489999999999999"/>
  </r>
  <r>
    <x v="0"/>
    <x v="12"/>
    <s v="S12000014"/>
    <n v="552"/>
    <n v="1169"/>
    <n v="1721"/>
    <n v="614"/>
    <n v="186"/>
    <n v="800"/>
    <n v="72128"/>
    <n v="2.3860000000000001"/>
    <n v="1.109"/>
    <n v="69443"/>
    <n v="2.4779999999999998"/>
    <n v="1.1519999999999999"/>
  </r>
  <r>
    <x v="5"/>
    <x v="12"/>
    <s v="S12000014"/>
    <n v="533"/>
    <n v="1326"/>
    <n v="1859"/>
    <n v="606"/>
    <n v="192"/>
    <n v="798"/>
    <n v="74826"/>
    <n v="2.484"/>
    <n v="1.0660000000000001"/>
    <n v="72267"/>
    <n v="2.5720000000000001"/>
    <n v="1.1040000000000001"/>
  </r>
  <r>
    <x v="4"/>
    <x v="12"/>
    <s v="S12000014"/>
    <n v="512"/>
    <n v="1083"/>
    <n v="1595"/>
    <n v="530"/>
    <n v="280"/>
    <n v="810"/>
    <n v="74361"/>
    <n v="2.145"/>
    <n v="1.089"/>
    <n v="71800"/>
    <n v="2.2210000000000001"/>
    <n v="1.1280000000000001"/>
  </r>
  <r>
    <x v="3"/>
    <x v="12"/>
    <s v="S12000014"/>
    <n v="570"/>
    <n v="980"/>
    <n v="1550"/>
    <n v="612"/>
    <n v="266"/>
    <n v="878"/>
    <n v="73767"/>
    <n v="2.101"/>
    <n v="1.19"/>
    <n v="71072"/>
    <n v="2.181"/>
    <n v="1.2349999999999999"/>
  </r>
  <r>
    <x v="2"/>
    <x v="12"/>
    <s v="S12000014"/>
    <n v="552"/>
    <n v="1153"/>
    <n v="1705"/>
    <n v="631"/>
    <n v="207"/>
    <n v="838"/>
    <n v="73290"/>
    <n v="2.3260000000000001"/>
    <n v="1.143"/>
    <n v="70431"/>
    <n v="2.4209999999999998"/>
    <n v="1.19"/>
  </r>
  <r>
    <x v="1"/>
    <x v="12"/>
    <s v="S12000014"/>
    <n v="533"/>
    <n v="1084"/>
    <n v="1617"/>
    <n v="573"/>
    <n v="201"/>
    <n v="774"/>
    <n v="72624"/>
    <n v="2.2269999999999999"/>
    <n v="1.0660000000000001"/>
    <n v="69693"/>
    <n v="2.3199999999999998"/>
    <n v="1.111"/>
  </r>
  <r>
    <x v="1"/>
    <x v="23"/>
    <s v="S12000046"/>
    <n v="2493"/>
    <n v="3638"/>
    <n v="6131"/>
    <n v="2836"/>
    <n v="867"/>
    <n v="3703"/>
    <n v="301891"/>
    <n v="2.0310000000000001"/>
    <n v="1.2270000000000001"/>
    <n v="286377"/>
    <n v="2.141"/>
    <n v="1.2929999999999999"/>
  </r>
  <r>
    <x v="2"/>
    <x v="23"/>
    <s v="S12000046"/>
    <n v="2649"/>
    <n v="3737"/>
    <n v="6386"/>
    <n v="2864"/>
    <n v="956"/>
    <n v="3820"/>
    <n v="304013"/>
    <n v="2.101"/>
    <n v="1.2570000000000001"/>
    <n v="287862"/>
    <n v="2.218"/>
    <n v="1.327"/>
  </r>
  <r>
    <x v="3"/>
    <x v="23"/>
    <s v="S12000046"/>
    <n v="2485"/>
    <n v="3499"/>
    <n v="5984"/>
    <n v="2530"/>
    <n v="949"/>
    <n v="3479"/>
    <n v="306000"/>
    <n v="1.956"/>
    <n v="1.137"/>
    <n v="289399"/>
    <n v="2.0680000000000001"/>
    <n v="1.202"/>
  </r>
  <r>
    <x v="4"/>
    <x v="23"/>
    <s v="S12000046"/>
    <n v="2973"/>
    <n v="5059"/>
    <n v="8032"/>
    <n v="3089"/>
    <n v="982"/>
    <n v="4071"/>
    <n v="308293"/>
    <n v="2.605"/>
    <n v="1.32"/>
    <n v="291115"/>
    <n v="2.7589999999999999"/>
    <n v="1.3980000000000001"/>
  </r>
  <r>
    <x v="5"/>
    <x v="23"/>
    <s v="S12000046"/>
    <n v="2993"/>
    <n v="7060"/>
    <n v="10053"/>
    <n v="3265"/>
    <n v="886"/>
    <n v="4151"/>
    <n v="311447"/>
    <n v="3.2280000000000002"/>
    <n v="1.333"/>
    <n v="292619"/>
    <n v="3.4359999999999999"/>
    <n v="1.419"/>
  </r>
  <r>
    <x v="0"/>
    <x v="23"/>
    <s v="S12000046"/>
    <n v="2763"/>
    <n v="3336"/>
    <n v="6099"/>
    <n v="3186"/>
    <n v="954"/>
    <n v="4140"/>
    <n v="301633"/>
    <n v="2.0219999999999998"/>
    <n v="1.373"/>
    <n v="285346"/>
    <n v="2.137"/>
    <n v="1.4510000000000001"/>
  </r>
  <r>
    <x v="6"/>
    <x v="23"/>
    <s v="S12000046"/>
    <n v="2529"/>
    <n v="7410"/>
    <n v="9939"/>
    <n v="2783"/>
    <n v="753"/>
    <n v="3536"/>
    <n v="314604"/>
    <n v="3.1589999999999998"/>
    <n v="1.1240000000000001"/>
    <n v="294622"/>
    <n v="3.3730000000000002"/>
    <n v="1.2"/>
  </r>
  <r>
    <x v="7"/>
    <x v="23"/>
    <s v="S12000046"/>
    <n v="767"/>
    <n v="1321"/>
    <n v="2088"/>
    <n v="901"/>
    <n v="243"/>
    <n v="1144"/>
    <n v="317193"/>
    <n v="0.65800000000000003"/>
    <n v="0.36099999999999999"/>
    <n v="295761"/>
    <n v="0.70599999999999996"/>
    <n v="0.38700000000000001"/>
  </r>
  <r>
    <x v="8"/>
    <x v="23"/>
    <s v="S12000046"/>
    <m/>
    <m/>
    <n v="4705"/>
    <m/>
    <m/>
    <m/>
    <n v="319810"/>
    <n v="1.4710000000000001"/>
    <m/>
    <n v="298847"/>
    <n v="1.5739999999999998"/>
    <m/>
  </r>
  <r>
    <x v="9"/>
    <x v="23"/>
    <s v="S12000046"/>
    <m/>
    <m/>
    <n v="4422"/>
    <m/>
    <m/>
    <m/>
    <n v="322238"/>
    <n v="1.3719999999999999"/>
    <m/>
    <n v="300340"/>
    <n v="1.472"/>
    <m/>
  </r>
  <r>
    <x v="10"/>
    <x v="23"/>
    <m/>
    <n v="751"/>
    <n v="3363"/>
    <n v="4114"/>
    <n v="1394"/>
    <n v="534"/>
    <n v="1928"/>
    <n v="324431"/>
    <n v="1.268"/>
    <n v="0.59399999999999997"/>
    <n v="297386"/>
    <n v="1.383"/>
    <n v="0.64800000000000002"/>
  </r>
  <r>
    <x v="10"/>
    <x v="23"/>
    <m/>
    <n v="751"/>
    <n v="3363"/>
    <n v="4114"/>
    <n v="1394"/>
    <n v="534"/>
    <n v="1928"/>
    <n v="329581"/>
    <n v="1.248"/>
    <n v="0.58499999999999996"/>
    <n v="297386"/>
    <n v="1.383"/>
    <n v="0.64800000000000002"/>
  </r>
  <r>
    <x v="10"/>
    <x v="24"/>
    <m/>
    <n v="177"/>
    <n v="315"/>
    <n v="492"/>
    <n v="328"/>
    <n v="116"/>
    <n v="444"/>
    <n v="39788"/>
    <n v="1.2370000000000001"/>
    <n v="1.1160000000000001"/>
    <n v="37556"/>
    <n v="1.31"/>
    <n v="1.1819999999999999"/>
  </r>
  <r>
    <x v="10"/>
    <x v="24"/>
    <m/>
    <n v="177"/>
    <n v="315"/>
    <n v="492"/>
    <n v="328"/>
    <n v="116"/>
    <n v="444"/>
    <n v="39913"/>
    <n v="1.2330000000000001"/>
    <n v="1.1120000000000001"/>
    <n v="37556"/>
    <n v="1.31"/>
    <n v="1.1819999999999999"/>
  </r>
  <r>
    <x v="9"/>
    <x v="24"/>
    <s v="S12000018"/>
    <m/>
    <m/>
    <n v="592"/>
    <m/>
    <m/>
    <m/>
    <n v="39776"/>
    <n v="1.488"/>
    <m/>
    <n v="38218"/>
    <n v="1.5489999999999999"/>
    <m/>
  </r>
  <r>
    <x v="8"/>
    <x v="24"/>
    <s v="S12000018"/>
    <m/>
    <m/>
    <n v="871"/>
    <m/>
    <m/>
    <m/>
    <n v="39446"/>
    <n v="2.2080000000000002"/>
    <m/>
    <n v="37958"/>
    <n v="2.2949999999999999"/>
    <m/>
  </r>
  <r>
    <x v="7"/>
    <x v="24"/>
    <s v="S12000018"/>
    <n v="292"/>
    <n v="201"/>
    <n v="493"/>
    <n v="339"/>
    <n v="129"/>
    <n v="468"/>
    <n v="39107"/>
    <n v="1.2610000000000001"/>
    <n v="1.1970000000000001"/>
    <n v="37646"/>
    <n v="1.31"/>
    <n v="1.2429999999999999"/>
  </r>
  <r>
    <x v="6"/>
    <x v="24"/>
    <s v="S12000018"/>
    <n v="631"/>
    <n v="773"/>
    <n v="1404"/>
    <n v="603"/>
    <n v="338"/>
    <n v="941"/>
    <n v="38977"/>
    <n v="3.6019999999999999"/>
    <n v="2.4140000000000001"/>
    <n v="37614"/>
    <n v="3.7330000000000001"/>
    <n v="2.5019999999999998"/>
  </r>
  <r>
    <x v="0"/>
    <x v="24"/>
    <s v="S12000018"/>
    <n v="649"/>
    <n v="595"/>
    <n v="1244"/>
    <n v="626"/>
    <n v="354"/>
    <n v="980"/>
    <n v="38791"/>
    <n v="3.2069999999999999"/>
    <n v="2.5259999999999998"/>
    <n v="37337"/>
    <n v="3.3319999999999999"/>
    <n v="2.625"/>
  </r>
  <r>
    <x v="5"/>
    <x v="24"/>
    <s v="S12000018"/>
    <n v="635"/>
    <n v="894"/>
    <n v="1529"/>
    <n v="575"/>
    <n v="360"/>
    <n v="935"/>
    <n v="38985"/>
    <n v="3.9220000000000002"/>
    <n v="2.3980000000000001"/>
    <n v="37640"/>
    <n v="4.0620000000000003"/>
    <n v="2.484"/>
  </r>
  <r>
    <x v="4"/>
    <x v="24"/>
    <s v="S12000018"/>
    <n v="712"/>
    <n v="762"/>
    <n v="1474"/>
    <n v="621"/>
    <n v="402"/>
    <n v="1023"/>
    <n v="38848"/>
    <n v="3.794"/>
    <n v="2.633"/>
    <n v="37651"/>
    <n v="3.915"/>
    <n v="2.7170000000000001"/>
  </r>
  <r>
    <x v="3"/>
    <x v="24"/>
    <s v="S12000018"/>
    <n v="797"/>
    <n v="1003"/>
    <n v="1800"/>
    <n v="621"/>
    <n v="567"/>
    <n v="1188"/>
    <n v="38835"/>
    <n v="4.6349999999999998"/>
    <n v="3.0590000000000002"/>
    <n v="37586"/>
    <n v="4.7889999999999997"/>
    <n v="3.161"/>
  </r>
  <r>
    <x v="2"/>
    <x v="24"/>
    <s v="S12000018"/>
    <n v="758"/>
    <n v="936"/>
    <n v="1694"/>
    <n v="685"/>
    <n v="396"/>
    <n v="1081"/>
    <n v="38787"/>
    <n v="4.367"/>
    <n v="2.7869999999999999"/>
    <n v="37426"/>
    <n v="4.5259999999999998"/>
    <n v="2.8879999999999999"/>
  </r>
  <r>
    <x v="1"/>
    <x v="24"/>
    <s v="S12000018"/>
    <n v="673"/>
    <n v="631"/>
    <n v="1304"/>
    <n v="636"/>
    <n v="386"/>
    <n v="1022"/>
    <n v="38699"/>
    <n v="3.37"/>
    <n v="2.641"/>
    <n v="37384"/>
    <n v="3.488"/>
    <n v="2.734"/>
  </r>
  <r>
    <x v="1"/>
    <x v="25"/>
    <s v="S12000021"/>
    <n v="901"/>
    <n v="964"/>
    <n v="1865"/>
    <n v="932"/>
    <n v="551"/>
    <n v="1483"/>
    <n v="67204"/>
    <n v="2.7749999999999999"/>
    <n v="2.2069999999999999"/>
    <n v="62802"/>
    <n v="2.9699999999999998"/>
    <n v="2.3609999999999998"/>
  </r>
  <r>
    <x v="2"/>
    <x v="25"/>
    <s v="S12000021"/>
    <n v="932"/>
    <n v="1137"/>
    <n v="2069"/>
    <n v="954"/>
    <n v="531"/>
    <n v="1485"/>
    <n v="67590"/>
    <n v="3.0609999999999999"/>
    <n v="2.1970000000000001"/>
    <n v="63189"/>
    <n v="3.274"/>
    <n v="2.35"/>
  </r>
  <r>
    <x v="3"/>
    <x v="25"/>
    <s v="S12000021"/>
    <n v="905"/>
    <n v="1053"/>
    <n v="1958"/>
    <n v="831"/>
    <n v="575"/>
    <n v="1406"/>
    <n v="67800"/>
    <n v="2.8879999999999999"/>
    <n v="2.0739999999999998"/>
    <n v="63440"/>
    <n v="3.0859999999999999"/>
    <n v="2.2160000000000002"/>
  </r>
  <r>
    <x v="4"/>
    <x v="25"/>
    <s v="S12000021"/>
    <n v="805"/>
    <n v="932"/>
    <n v="1737"/>
    <n v="822"/>
    <n v="457"/>
    <n v="1279"/>
    <n v="67960"/>
    <n v="2.556"/>
    <n v="1.8820000000000001"/>
    <n v="63756"/>
    <n v="2.7240000000000002"/>
    <n v="2.0059999999999998"/>
  </r>
  <r>
    <x v="5"/>
    <x v="25"/>
    <s v="S12000021"/>
    <n v="701"/>
    <n v="879"/>
    <n v="1580"/>
    <n v="725"/>
    <n v="449"/>
    <n v="1174"/>
    <n v="68158"/>
    <n v="2.3180000000000001"/>
    <n v="1.722"/>
    <n v="63935"/>
    <n v="2.4710000000000001"/>
    <n v="1.8359999999999999"/>
  </r>
  <r>
    <x v="9"/>
    <x v="22"/>
    <s v="S12000038"/>
    <m/>
    <m/>
    <n v="1179"/>
    <m/>
    <m/>
    <m/>
    <n v="90485"/>
    <n v="1.3029999999999999"/>
    <m/>
    <n v="88749"/>
    <n v="1.3280000000000001"/>
    <m/>
  </r>
  <r>
    <x v="8"/>
    <x v="22"/>
    <s v="S12000038"/>
    <m/>
    <m/>
    <n v="1377"/>
    <m/>
    <m/>
    <m/>
    <n v="89571"/>
    <n v="1.5369999999999999"/>
    <m/>
    <n v="87910"/>
    <n v="1.5659999999999998"/>
    <m/>
  </r>
  <r>
    <x v="7"/>
    <x v="22"/>
    <s v="S12000038"/>
    <n v="333"/>
    <n v="352"/>
    <n v="685"/>
    <n v="424"/>
    <n v="124"/>
    <n v="548"/>
    <n v="88624"/>
    <n v="0.77300000000000002"/>
    <n v="0.61799999999999999"/>
    <n v="87241"/>
    <n v="0.78500000000000003"/>
    <n v="0.628"/>
  </r>
  <r>
    <x v="6"/>
    <x v="22"/>
    <s v="S12000038"/>
    <n v="774"/>
    <n v="1023"/>
    <n v="1797"/>
    <n v="786"/>
    <n v="396"/>
    <n v="1182"/>
    <n v="88086"/>
    <n v="2.04"/>
    <n v="1.3420000000000001"/>
    <n v="86683"/>
    <n v="2.073"/>
    <n v="1.3639999999999999"/>
  </r>
  <r>
    <x v="5"/>
    <x v="22"/>
    <s v="S12000038"/>
    <n v="848"/>
    <n v="1039"/>
    <n v="1887"/>
    <n v="803"/>
    <n v="475"/>
    <n v="1278"/>
    <n v="87265"/>
    <n v="2.1619999999999999"/>
    <n v="1.4650000000000001"/>
    <n v="85745"/>
    <n v="2.2010000000000001"/>
    <n v="1.49"/>
  </r>
  <r>
    <x v="4"/>
    <x v="22"/>
    <s v="S12000038"/>
    <n v="1137"/>
    <n v="1411"/>
    <n v="2548"/>
    <n v="1077"/>
    <n v="656"/>
    <n v="1733"/>
    <n v="86449"/>
    <n v="2.9470000000000001"/>
    <n v="2.0049999999999999"/>
    <n v="84938"/>
    <n v="3"/>
    <n v="2.04"/>
  </r>
  <r>
    <x v="3"/>
    <x v="22"/>
    <s v="S12000038"/>
    <n v="1030"/>
    <n v="1105"/>
    <n v="2135"/>
    <n v="905"/>
    <n v="674"/>
    <n v="1579"/>
    <n v="85724"/>
    <n v="2.4910000000000001"/>
    <n v="1.8420000000000001"/>
    <n v="84025"/>
    <n v="2.5409999999999999"/>
    <n v="1.879"/>
  </r>
  <r>
    <x v="2"/>
    <x v="22"/>
    <s v="S12000038"/>
    <n v="794"/>
    <n v="944"/>
    <n v="1738"/>
    <n v="865"/>
    <n v="399"/>
    <n v="1264"/>
    <n v="84997"/>
    <n v="2.0449999999999999"/>
    <n v="1.4870000000000001"/>
    <n v="83245"/>
    <n v="2.0880000000000001"/>
    <n v="1.518"/>
  </r>
  <r>
    <x v="1"/>
    <x v="22"/>
    <s v="S12000038"/>
    <n v="884"/>
    <n v="1268"/>
    <n v="2152"/>
    <n v="1019"/>
    <n v="425"/>
    <n v="1444"/>
    <n v="84442"/>
    <n v="2.548"/>
    <n v="1.71"/>
    <n v="82385"/>
    <n v="2.6120000000000001"/>
    <n v="1.7530000000000001"/>
  </r>
  <r>
    <x v="0"/>
    <x v="22"/>
    <s v="S12000038"/>
    <n v="1045"/>
    <n v="832"/>
    <n v="1877"/>
    <n v="1240"/>
    <n v="486"/>
    <n v="1726"/>
    <n v="83933"/>
    <n v="2.2359999999999998"/>
    <n v="2.056"/>
    <n v="81787"/>
    <n v="2.2949999999999999"/>
    <n v="2.11"/>
  </r>
  <r>
    <x v="0"/>
    <x v="26"/>
    <s v="S12000027"/>
    <n v="73"/>
    <n v="218"/>
    <n v="291"/>
    <n v="69"/>
    <n v="56"/>
    <n v="125"/>
    <n v="10852"/>
    <n v="2.6819999999999999"/>
    <n v="1.1519999999999999"/>
    <n v="10135"/>
    <n v="2.871"/>
    <n v="1.2330000000000001"/>
  </r>
  <r>
    <x v="1"/>
    <x v="26"/>
    <s v="S12000027"/>
    <n v="55"/>
    <n v="168"/>
    <n v="223"/>
    <n v="60"/>
    <n v="42"/>
    <n v="102"/>
    <n v="10950"/>
    <n v="2.0369999999999999"/>
    <n v="0.93200000000000005"/>
    <n v="10166"/>
    <n v="2.194"/>
    <n v="1.0029999999999999"/>
  </r>
  <r>
    <x v="2"/>
    <x v="26"/>
    <s v="S12000027"/>
    <n v="100"/>
    <n v="177"/>
    <n v="277"/>
    <n v="101"/>
    <n v="94"/>
    <n v="195"/>
    <n v="11021"/>
    <n v="2.5129999999999999"/>
    <n v="1.7690000000000001"/>
    <n v="10235"/>
    <n v="2.706"/>
    <n v="1.905"/>
  </r>
  <r>
    <x v="3"/>
    <x v="26"/>
    <s v="S12000027"/>
    <n v="86"/>
    <n v="283"/>
    <n v="369"/>
    <n v="90"/>
    <n v="70"/>
    <n v="160"/>
    <n v="11109"/>
    <n v="3.3220000000000001"/>
    <n v="1.44"/>
    <n v="10283"/>
    <n v="3.5880000000000001"/>
    <n v="1.556"/>
  </r>
  <r>
    <x v="4"/>
    <x v="26"/>
    <s v="S12000027"/>
    <n v="113"/>
    <n v="212"/>
    <n v="325"/>
    <n v="128"/>
    <n v="76"/>
    <n v="204"/>
    <n v="11180"/>
    <n v="2.907"/>
    <n v="1.825"/>
    <n v="10341"/>
    <n v="3.1429999999999998"/>
    <n v="1.9729999999999999"/>
  </r>
  <r>
    <x v="5"/>
    <x v="26"/>
    <s v="S12000027"/>
    <n v="87"/>
    <n v="209"/>
    <n v="296"/>
    <n v="85"/>
    <n v="74"/>
    <n v="159"/>
    <n v="11270"/>
    <n v="2.6259999999999999"/>
    <n v="1.411"/>
    <n v="10384"/>
    <n v="2.851"/>
    <n v="1.5310000000000001"/>
  </r>
  <r>
    <x v="6"/>
    <x v="26"/>
    <s v="S12000027"/>
    <n v="156"/>
    <n v="407"/>
    <n v="563"/>
    <n v="141"/>
    <n v="112"/>
    <n v="253"/>
    <n v="11305"/>
    <n v="4.9800000000000004"/>
    <n v="2.238"/>
    <n v="10439"/>
    <n v="5.3929999999999998"/>
    <n v="2.4239999999999999"/>
  </r>
  <r>
    <x v="7"/>
    <x v="26"/>
    <s v="S12000027"/>
    <n v="17"/>
    <n v="59"/>
    <n v="76"/>
    <n v="8"/>
    <n v="26"/>
    <n v="34"/>
    <n v="11374"/>
    <n v="0.66800000000000004"/>
    <n v="0.29899999999999999"/>
    <n v="10461"/>
    <n v="0.72699999999999998"/>
    <n v="0.32500000000000001"/>
  </r>
  <r>
    <x v="8"/>
    <x v="26"/>
    <s v="S12000027"/>
    <m/>
    <m/>
    <n v="342"/>
    <m/>
    <m/>
    <m/>
    <n v="11462"/>
    <n v="2.984"/>
    <m/>
    <n v="10554"/>
    <n v="3.24"/>
    <m/>
  </r>
  <r>
    <x v="9"/>
    <x v="26"/>
    <s v="S12000027"/>
    <m/>
    <m/>
    <n v="228"/>
    <m/>
    <m/>
    <m/>
    <n v="11544"/>
    <n v="1.9750000000000001"/>
    <m/>
    <n v="10633"/>
    <n v="2.1440000000000001"/>
    <m/>
  </r>
  <r>
    <x v="10"/>
    <x v="26"/>
    <m/>
    <n v="23"/>
    <n v="193"/>
    <n v="216"/>
    <n v="19"/>
    <n v="53"/>
    <n v="72"/>
    <n v="11629"/>
    <n v="1.857"/>
    <n v="0.61899999999999999"/>
    <n v="10621"/>
    <n v="2.0339999999999998"/>
    <n v="0.67800000000000005"/>
  </r>
  <r>
    <x v="10"/>
    <x v="26"/>
    <m/>
    <n v="23"/>
    <n v="193"/>
    <n v="216"/>
    <n v="19"/>
    <n v="53"/>
    <n v="72"/>
    <n v="11702"/>
    <n v="1.8460000000000001"/>
    <n v="0.61499999999999999"/>
    <n v="10621"/>
    <n v="2.0339999999999998"/>
    <n v="0.67800000000000005"/>
  </r>
  <r>
    <x v="9"/>
    <x v="18"/>
    <s v="S12000044"/>
    <m/>
    <m/>
    <n v="2568"/>
    <m/>
    <m/>
    <m/>
    <n v="159586"/>
    <n v="1.609"/>
    <m/>
    <n v="154382"/>
    <n v="1.663"/>
    <m/>
  </r>
  <r>
    <x v="8"/>
    <x v="18"/>
    <s v="S12000044"/>
    <m/>
    <m/>
    <n v="3283"/>
    <m/>
    <m/>
    <m/>
    <n v="158456"/>
    <n v="2.0720000000000001"/>
    <m/>
    <n v="153643"/>
    <n v="2.137"/>
    <m/>
  </r>
  <r>
    <x v="7"/>
    <x v="18"/>
    <s v="S12000044"/>
    <n v="678"/>
    <n v="1189"/>
    <n v="1867"/>
    <n v="858"/>
    <n v="263"/>
    <n v="1121"/>
    <n v="157625"/>
    <n v="1.1839999999999999"/>
    <n v="0.71099999999999997"/>
    <n v="152910"/>
    <n v="1.2210000000000001"/>
    <n v="0.73299999999999998"/>
  </r>
  <r>
    <x v="6"/>
    <x v="18"/>
    <s v="S12000044"/>
    <n v="1328"/>
    <n v="2916"/>
    <n v="4244"/>
    <n v="1742"/>
    <n v="411"/>
    <n v="2153"/>
    <n v="156694"/>
    <n v="2.7080000000000002"/>
    <n v="1.3740000000000001"/>
    <n v="152443"/>
    <n v="2.7839999999999998"/>
    <n v="1.4119999999999999"/>
  </r>
  <r>
    <x v="5"/>
    <x v="18"/>
    <s v="S12000044"/>
    <n v="1248"/>
    <n v="2019"/>
    <n v="3267"/>
    <n v="1614"/>
    <n v="428"/>
    <n v="2042"/>
    <n v="155364"/>
    <n v="2.1030000000000002"/>
    <n v="1.3140000000000001"/>
    <n v="151744"/>
    <n v="2.153"/>
    <n v="1.3460000000000001"/>
  </r>
  <r>
    <x v="4"/>
    <x v="18"/>
    <s v="S12000044"/>
    <n v="1327"/>
    <n v="1990"/>
    <n v="3317"/>
    <n v="1744"/>
    <n v="446"/>
    <n v="2190"/>
    <n v="154286"/>
    <n v="2.15"/>
    <n v="1.419"/>
    <n v="151155"/>
    <n v="2.194"/>
    <n v="1.4490000000000001"/>
  </r>
  <r>
    <x v="3"/>
    <x v="18"/>
    <s v="S12000044"/>
    <n v="1400"/>
    <n v="2084"/>
    <n v="3484"/>
    <n v="1722"/>
    <n v="548"/>
    <n v="2270"/>
    <n v="153388"/>
    <n v="2.2709999999999999"/>
    <n v="1.48"/>
    <n v="150364"/>
    <n v="2.3170000000000002"/>
    <n v="1.51"/>
  </r>
  <r>
    <x v="2"/>
    <x v="18"/>
    <s v="S12000044"/>
    <n v="1654"/>
    <n v="2505"/>
    <n v="4159"/>
    <n v="2213"/>
    <n v="542"/>
    <n v="2755"/>
    <n v="152293"/>
    <n v="2.7309999999999999"/>
    <n v="1.8090000000000002"/>
    <n v="149282"/>
    <n v="2.786"/>
    <n v="1.8460000000000001"/>
  </r>
  <r>
    <x v="1"/>
    <x v="18"/>
    <s v="S12000044"/>
    <n v="1427"/>
    <n v="2067"/>
    <n v="3494"/>
    <n v="1929"/>
    <n v="499"/>
    <n v="2428"/>
    <n v="151424"/>
    <n v="2.3069999999999999"/>
    <n v="1.603"/>
    <n v="148610"/>
    <n v="2.351"/>
    <n v="1.6339999999999999"/>
  </r>
  <r>
    <x v="0"/>
    <x v="18"/>
    <s v="S12000044"/>
    <n v="1381"/>
    <n v="1452"/>
    <n v="2833"/>
    <n v="1819"/>
    <n v="538"/>
    <n v="2357"/>
    <n v="150541"/>
    <n v="1.8820000000000001"/>
    <n v="1.5659999999999998"/>
    <n v="147554"/>
    <n v="1.92"/>
    <n v="1.597"/>
  </r>
  <r>
    <x v="0"/>
    <x v="27"/>
    <s v="S12000026"/>
    <n v="1252"/>
    <n v="1347"/>
    <n v="2599"/>
    <n v="948"/>
    <n v="1046"/>
    <n v="1994"/>
    <n v="57097"/>
    <n v="4.5519999999999996"/>
    <n v="3.492"/>
    <n v="52934"/>
    <n v="4.91"/>
    <n v="3.7669999999999999"/>
  </r>
  <r>
    <x v="1"/>
    <x v="27"/>
    <s v="S12000026"/>
    <n v="1229"/>
    <n v="1194"/>
    <n v="2423"/>
    <n v="844"/>
    <n v="1072"/>
    <n v="1916"/>
    <n v="57274"/>
    <n v="4.2309999999999999"/>
    <n v="3.3449999999999998"/>
    <n v="53157"/>
    <n v="4.5579999999999998"/>
    <n v="3.6040000000000001"/>
  </r>
  <r>
    <x v="2"/>
    <x v="27"/>
    <s v="S12000026"/>
    <n v="1347"/>
    <n v="1196"/>
    <n v="2543"/>
    <n v="802"/>
    <n v="1330"/>
    <n v="2132"/>
    <n v="57628"/>
    <n v="4.4130000000000003"/>
    <n v="3.7"/>
    <n v="53351"/>
    <n v="4.7670000000000003"/>
    <n v="3.996"/>
  </r>
  <r>
    <x v="3"/>
    <x v="27"/>
    <s v="S12000026"/>
    <n v="1359"/>
    <n v="1477"/>
    <n v="2836"/>
    <n v="832"/>
    <n v="1288"/>
    <n v="2120"/>
    <n v="57940"/>
    <n v="4.8949999999999996"/>
    <n v="3.6589999999999998"/>
    <n v="53787"/>
    <n v="5.2729999999999997"/>
    <n v="3.9409999999999998"/>
  </r>
  <r>
    <x v="4"/>
    <x v="27"/>
    <s v="S12000026"/>
    <n v="1121"/>
    <n v="1263"/>
    <n v="2384"/>
    <n v="779"/>
    <n v="941"/>
    <n v="1720"/>
    <n v="58167"/>
    <n v="4.0990000000000002"/>
    <n v="2.9569999999999999"/>
    <n v="54306"/>
    <n v="4.3899999999999997"/>
    <n v="3.1669999999999998"/>
  </r>
  <r>
    <x v="5"/>
    <x v="27"/>
    <s v="S12000026"/>
    <n v="920"/>
    <n v="1208"/>
    <n v="2128"/>
    <n v="740"/>
    <n v="673"/>
    <n v="1413"/>
    <n v="58425"/>
    <n v="3.6419999999999999"/>
    <n v="2.4180000000000001"/>
    <n v="54413"/>
    <n v="3.911"/>
    <n v="2.597"/>
  </r>
  <r>
    <x v="6"/>
    <x v="27"/>
    <s v="S12000026"/>
    <n v="869"/>
    <n v="1387"/>
    <n v="2256"/>
    <n v="798"/>
    <n v="632"/>
    <n v="1430"/>
    <n v="58671"/>
    <n v="3.8449999999999998"/>
    <n v="2.4369999999999998"/>
    <n v="54715"/>
    <n v="4.1230000000000002"/>
    <n v="2.6139999999999999"/>
  </r>
  <r>
    <x v="7"/>
    <x v="27"/>
    <s v="S12000026"/>
    <n v="265"/>
    <n v="374"/>
    <n v="639"/>
    <n v="252"/>
    <n v="193"/>
    <n v="445"/>
    <n v="58814"/>
    <n v="1.0860000000000001"/>
    <n v="0.75700000000000001"/>
    <n v="54796"/>
    <n v="1.1659999999999999"/>
    <n v="0.81200000000000006"/>
  </r>
  <r>
    <x v="8"/>
    <x v="27"/>
    <s v="S12000026"/>
    <m/>
    <m/>
    <n v="1001"/>
    <m/>
    <m/>
    <m/>
    <n v="59126"/>
    <n v="1.6930000000000001"/>
    <m/>
    <n v="55296"/>
    <n v="1.81"/>
    <m/>
  </r>
  <r>
    <x v="9"/>
    <x v="27"/>
    <s v="S12000026"/>
    <m/>
    <m/>
    <n v="859"/>
    <m/>
    <m/>
    <m/>
    <n v="59557"/>
    <n v="1.4419999999999999"/>
    <m/>
    <n v="55660"/>
    <n v="1.5430000000000001"/>
    <m/>
  </r>
  <r>
    <x v="10"/>
    <x v="27"/>
    <m/>
    <n v="129"/>
    <n v="775"/>
    <n v="904"/>
    <n v="261"/>
    <n v="97"/>
    <n v="358"/>
    <n v="59974"/>
    <n v="1.5070000000000001"/>
    <n v="0.59699999999999998"/>
    <n v="55826"/>
    <n v="1.619"/>
    <n v="0.64100000000000001"/>
  </r>
  <r>
    <x v="10"/>
    <x v="27"/>
    <m/>
    <n v="129"/>
    <n v="775"/>
    <n v="904"/>
    <n v="261"/>
    <n v="97"/>
    <n v="358"/>
    <n v="60195"/>
    <n v="1.502"/>
    <n v="0.59499999999999997"/>
    <n v="55826"/>
    <n v="1.619"/>
    <n v="0.64100000000000001"/>
  </r>
  <r>
    <x v="10"/>
    <x v="28"/>
    <m/>
    <n v="103"/>
    <n v="516"/>
    <n v="619"/>
    <n v="181"/>
    <n v="85"/>
    <n v="266"/>
    <n v="43489"/>
    <n v="1.423"/>
    <n v="0.61199999999999999"/>
    <n v="40810"/>
    <n v="1.5169999999999999"/>
    <n v="0.65200000000000002"/>
  </r>
  <r>
    <x v="10"/>
    <x v="28"/>
    <m/>
    <n v="103"/>
    <n v="516"/>
    <n v="619"/>
    <n v="181"/>
    <n v="85"/>
    <n v="266"/>
    <n v="42990"/>
    <n v="1.44"/>
    <n v="0.61899999999999999"/>
    <n v="40810"/>
    <n v="1.5169999999999999"/>
    <n v="0.65200000000000002"/>
  </r>
  <r>
    <x v="9"/>
    <x v="28"/>
    <s v="S12000030"/>
    <m/>
    <m/>
    <n v="450"/>
    <m/>
    <m/>
    <m/>
    <n v="42644"/>
    <n v="1.0549999999999999"/>
    <m/>
    <n v="40609"/>
    <n v="1.1080000000000001"/>
    <m/>
  </r>
  <r>
    <x v="8"/>
    <x v="28"/>
    <s v="S12000030"/>
    <m/>
    <m/>
    <n v="479"/>
    <m/>
    <m/>
    <m/>
    <n v="42140"/>
    <n v="1.137"/>
    <m/>
    <n v="40174"/>
    <n v="1.1919999999999999"/>
    <m/>
  </r>
  <r>
    <x v="7"/>
    <x v="28"/>
    <s v="S12000030"/>
    <n v="63"/>
    <n v="108"/>
    <n v="171"/>
    <n v="76"/>
    <n v="44"/>
    <n v="120"/>
    <n v="41950"/>
    <n v="0.40799999999999997"/>
    <n v="0.28599999999999998"/>
    <n v="39896"/>
    <n v="0.42899999999999999"/>
    <n v="0.30099999999999999"/>
  </r>
  <r>
    <x v="6"/>
    <x v="28"/>
    <s v="S12000030"/>
    <n v="311"/>
    <n v="590"/>
    <n v="901"/>
    <n v="360"/>
    <n v="153"/>
    <n v="513"/>
    <n v="41638"/>
    <n v="2.1640000000000001"/>
    <n v="1.232"/>
    <n v="39654"/>
    <n v="2.2720000000000002"/>
    <n v="1.294"/>
  </r>
  <r>
    <x v="5"/>
    <x v="28"/>
    <s v="S12000030"/>
    <n v="323"/>
    <n v="611"/>
    <n v="934"/>
    <n v="329"/>
    <n v="182"/>
    <n v="511"/>
    <n v="41443"/>
    <n v="2.254"/>
    <n v="1.2330000000000001"/>
    <n v="39440"/>
    <n v="2.3679999999999999"/>
    <n v="1.296"/>
  </r>
  <r>
    <x v="4"/>
    <x v="28"/>
    <s v="S12000030"/>
    <n v="335"/>
    <n v="625"/>
    <n v="960"/>
    <n v="315"/>
    <n v="213"/>
    <n v="528"/>
    <n v="41250"/>
    <n v="2.327"/>
    <n v="1.28"/>
    <n v="39285"/>
    <n v="2.444"/>
    <n v="1.3439999999999999"/>
  </r>
  <r>
    <x v="3"/>
    <x v="28"/>
    <s v="S12000030"/>
    <n v="336"/>
    <n v="720"/>
    <n v="1056"/>
    <n v="334"/>
    <n v="201"/>
    <n v="535"/>
    <n v="40998"/>
    <n v="2.5760000000000001"/>
    <n v="1.3049999999999999"/>
    <n v="38951"/>
    <n v="2.7109999999999999"/>
    <n v="1.3740000000000001"/>
  </r>
  <r>
    <x v="2"/>
    <x v="28"/>
    <s v="S12000030"/>
    <n v="358"/>
    <n v="653"/>
    <n v="1011"/>
    <n v="384"/>
    <n v="181"/>
    <n v="565"/>
    <n v="40646"/>
    <n v="2.4870000000000001"/>
    <n v="1.3900000000000001"/>
    <n v="38665"/>
    <n v="2.6150000000000002"/>
    <n v="1.4610000000000001"/>
  </r>
  <r>
    <x v="1"/>
    <x v="28"/>
    <s v="S12000030"/>
    <n v="352"/>
    <n v="667"/>
    <n v="1019"/>
    <n v="391"/>
    <n v="166"/>
    <n v="557"/>
    <n v="40320"/>
    <n v="2.5270000000000001"/>
    <n v="1.381"/>
    <n v="38310"/>
    <n v="2.66"/>
    <n v="1.454"/>
  </r>
  <r>
    <x v="0"/>
    <x v="28"/>
    <s v="S12000030"/>
    <n v="265"/>
    <n v="607"/>
    <n v="872"/>
    <n v="297"/>
    <n v="113"/>
    <n v="410"/>
    <n v="39965"/>
    <n v="2.1819999999999999"/>
    <n v="1.026"/>
    <n v="38056"/>
    <n v="2.2909999999999999"/>
    <n v="1.077"/>
  </r>
  <r>
    <x v="0"/>
    <x v="25"/>
    <s v="S12000021"/>
    <n v="958"/>
    <n v="660"/>
    <n v="1618"/>
    <n v="972"/>
    <n v="661"/>
    <n v="1633"/>
    <n v="67082"/>
    <n v="2.4119999999999999"/>
    <n v="2.4340000000000002"/>
    <n v="62613"/>
    <n v="2.5840000000000001"/>
    <n v="2.6080000000000001"/>
  </r>
  <r>
    <x v="6"/>
    <x v="25"/>
    <s v="S12000021"/>
    <n v="716"/>
    <n v="969"/>
    <n v="1685"/>
    <n v="784"/>
    <n v="366"/>
    <n v="1150"/>
    <n v="68496"/>
    <n v="2.46"/>
    <n v="1.679"/>
    <n v="64140"/>
    <n v="2.6269999999999998"/>
    <n v="1.7930000000000001"/>
  </r>
  <r>
    <x v="7"/>
    <x v="25"/>
    <s v="S12000021"/>
    <n v="230"/>
    <n v="321"/>
    <n v="551"/>
    <n v="255"/>
    <n v="150"/>
    <n v="405"/>
    <n v="68843"/>
    <n v="0.8"/>
    <n v="0.58799999999999997"/>
    <n v="64415"/>
    <n v="0.85499999999999998"/>
    <n v="0.629"/>
  </r>
  <r>
    <x v="8"/>
    <x v="25"/>
    <s v="S12000021"/>
    <m/>
    <m/>
    <n v="1177"/>
    <m/>
    <m/>
    <m/>
    <n v="69175"/>
    <n v="1.7010000000000001"/>
    <m/>
    <n v="64886"/>
    <n v="1.8140000000000001"/>
    <m/>
  </r>
  <r>
    <x v="9"/>
    <x v="25"/>
    <s v="S12000021"/>
    <m/>
    <m/>
    <n v="944"/>
    <m/>
    <m/>
    <m/>
    <n v="69747"/>
    <n v="1.353"/>
    <m/>
    <n v="65237"/>
    <n v="1.4470000000000001"/>
    <m/>
  </r>
  <r>
    <x v="10"/>
    <x v="25"/>
    <m/>
    <n v="202"/>
    <n v="665"/>
    <n v="867"/>
    <n v="314"/>
    <n v="176"/>
    <n v="490"/>
    <n v="70223"/>
    <n v="1.2349999999999999"/>
    <n v="0.69799999999999995"/>
    <n v="64633"/>
    <n v="1.341"/>
    <n v="0.75800000000000001"/>
  </r>
  <r>
    <x v="10"/>
    <x v="25"/>
    <m/>
    <n v="202"/>
    <n v="665"/>
    <n v="867"/>
    <n v="314"/>
    <n v="176"/>
    <n v="490"/>
    <n v="70686"/>
    <n v="1.2270000000000001"/>
    <n v="0.69299999999999995"/>
    <n v="64633"/>
    <n v="1.341"/>
    <n v="0.75800000000000001"/>
  </r>
  <r>
    <x v="4"/>
    <x v="29"/>
    <s v="S12000029"/>
    <n v="1336"/>
    <n v="2180"/>
    <n v="3516"/>
    <n v="1607"/>
    <n v="503"/>
    <n v="2110"/>
    <n v="149972"/>
    <n v="2.3439999999999999"/>
    <n v="1.407"/>
    <n v="145182"/>
    <n v="2.4220000000000002"/>
    <n v="1.4530000000000001"/>
  </r>
  <r>
    <x v="3"/>
    <x v="29"/>
    <s v="S12000029"/>
    <n v="1304"/>
    <n v="2091"/>
    <n v="3395"/>
    <n v="1516"/>
    <n v="593"/>
    <n v="2109"/>
    <n v="148771"/>
    <n v="2.282"/>
    <n v="1.4179999999999999"/>
    <n v="144148"/>
    <n v="2.355"/>
    <n v="1.4630000000000001"/>
  </r>
  <r>
    <x v="2"/>
    <x v="29"/>
    <s v="S12000029"/>
    <n v="1189"/>
    <n v="2143"/>
    <n v="3332"/>
    <n v="1396"/>
    <n v="511"/>
    <n v="1907"/>
    <n v="147849"/>
    <n v="2.254"/>
    <n v="1.29"/>
    <n v="143313"/>
    <n v="2.3250000000000002"/>
    <n v="1.331"/>
  </r>
  <r>
    <x v="1"/>
    <x v="29"/>
    <s v="S12000029"/>
    <n v="1155"/>
    <n v="1979"/>
    <n v="3134"/>
    <n v="1410"/>
    <n v="474"/>
    <n v="1884"/>
    <n v="146925"/>
    <n v="2.133"/>
    <n v="1.282"/>
    <n v="142286"/>
    <n v="2.2029999999999998"/>
    <n v="1.3240000000000001"/>
  </r>
  <r>
    <x v="6"/>
    <x v="29"/>
    <s v="S12000029"/>
    <n v="1364"/>
    <n v="2345"/>
    <n v="3709"/>
    <n v="1628"/>
    <n v="551"/>
    <n v="2179"/>
    <n v="152998"/>
    <n v="2.4239999999999999"/>
    <n v="1.4239999999999999"/>
    <n v="147434"/>
    <n v="2.516"/>
    <n v="1.478"/>
  </r>
  <r>
    <x v="0"/>
    <x v="29"/>
    <s v="S12000029"/>
    <n v="1230"/>
    <n v="1647"/>
    <n v="2877"/>
    <n v="1474"/>
    <n v="585"/>
    <n v="2059"/>
    <n v="146110"/>
    <n v="1.9689999999999999"/>
    <n v="1.409"/>
    <n v="141129"/>
    <n v="2.0390000000000001"/>
    <n v="1.4590000000000001"/>
  </r>
  <r>
    <x v="5"/>
    <x v="29"/>
    <s v="S12000029"/>
    <n v="1352"/>
    <n v="2193"/>
    <n v="3545"/>
    <n v="1663"/>
    <n v="484"/>
    <n v="2147"/>
    <n v="151352"/>
    <n v="2.3420000000000001"/>
    <n v="1.419"/>
    <n v="146173"/>
    <n v="2.4249999999999998"/>
    <n v="1.4689999999999999"/>
  </r>
  <r>
    <x v="7"/>
    <x v="29"/>
    <s v="S12000029"/>
    <n v="578"/>
    <n v="758"/>
    <n v="1336"/>
    <n v="744"/>
    <n v="232"/>
    <n v="976"/>
    <n v="153863"/>
    <n v="0.86799999999999999"/>
    <n v="0.63400000000000001"/>
    <n v="148483"/>
    <n v="0.9"/>
    <n v="0.65700000000000003"/>
  </r>
  <r>
    <x v="9"/>
    <x v="29"/>
    <s v="S12000029"/>
    <m/>
    <m/>
    <n v="2707"/>
    <m/>
    <m/>
    <m/>
    <n v="157277"/>
    <n v="1.7210000000000001"/>
    <m/>
    <n v="151587"/>
    <n v="1.786"/>
    <m/>
  </r>
  <r>
    <x v="8"/>
    <x v="29"/>
    <s v="S12000029"/>
    <m/>
    <m/>
    <n v="3086"/>
    <m/>
    <m/>
    <m/>
    <n v="155373"/>
    <n v="1.986"/>
    <m/>
    <n v="149864"/>
    <n v="2.0590000000000002"/>
    <m/>
  </r>
  <r>
    <x v="10"/>
    <x v="29"/>
    <m/>
    <n v="424"/>
    <n v="1895"/>
    <n v="2319"/>
    <n v="943"/>
    <n v="264"/>
    <n v="1207"/>
    <n v="160843"/>
    <n v="1.4419999999999999"/>
    <n v="0.75"/>
    <n v="149454"/>
    <n v="1.552"/>
    <n v="0.80800000000000005"/>
  </r>
  <r>
    <x v="10"/>
    <x v="29"/>
    <m/>
    <n v="424"/>
    <n v="1895"/>
    <n v="2319"/>
    <n v="943"/>
    <n v="264"/>
    <n v="1207"/>
    <n v="158594"/>
    <n v="1.462"/>
    <n v="0.76100000000000001"/>
    <n v="149454"/>
    <n v="1.552"/>
    <n v="0.80800000000000005"/>
  </r>
  <r>
    <x v="10"/>
    <x v="30"/>
    <m/>
    <n v="194"/>
    <n v="749"/>
    <n v="943"/>
    <n v="268"/>
    <n v="137"/>
    <n v="405"/>
    <n v="46068"/>
    <n v="2.0470000000000002"/>
    <n v="0.879"/>
    <n v="42822"/>
    <n v="2.202"/>
    <n v="0.94599999999999995"/>
  </r>
  <r>
    <x v="10"/>
    <x v="30"/>
    <m/>
    <n v="194"/>
    <n v="749"/>
    <n v="943"/>
    <n v="268"/>
    <n v="137"/>
    <n v="405"/>
    <n v="46216"/>
    <n v="2.04"/>
    <n v="0.876"/>
    <n v="42822"/>
    <n v="2.202"/>
    <n v="0.94599999999999995"/>
  </r>
  <r>
    <x v="8"/>
    <x v="30"/>
    <s v="S12000039"/>
    <m/>
    <m/>
    <n v="1111"/>
    <m/>
    <m/>
    <m/>
    <n v="45607"/>
    <n v="2.4359999999999999"/>
    <m/>
    <n v="43364"/>
    <n v="2.5620000000000003"/>
    <m/>
  </r>
  <r>
    <x v="9"/>
    <x v="30"/>
    <s v="S12000039"/>
    <m/>
    <m/>
    <n v="928"/>
    <m/>
    <m/>
    <m/>
    <n v="45846"/>
    <n v="2.024"/>
    <m/>
    <n v="43481"/>
    <n v="2.1339999999999999"/>
    <m/>
  </r>
  <r>
    <x v="7"/>
    <x v="30"/>
    <s v="S12000039"/>
    <n v="222"/>
    <n v="355"/>
    <n v="577"/>
    <n v="269"/>
    <n v="67"/>
    <n v="336"/>
    <n v="45148"/>
    <n v="1.278"/>
    <n v="0.74399999999999999"/>
    <n v="43164"/>
    <n v="1.337"/>
    <n v="0.77800000000000002"/>
  </r>
  <r>
    <x v="5"/>
    <x v="30"/>
    <s v="S12000039"/>
    <n v="556"/>
    <n v="1008"/>
    <n v="1564"/>
    <n v="642"/>
    <n v="185"/>
    <n v="827"/>
    <n v="45228"/>
    <n v="3.4580000000000002"/>
    <n v="1.829"/>
    <n v="42868"/>
    <n v="3.6480000000000001"/>
    <n v="1.929"/>
  </r>
  <r>
    <x v="0"/>
    <x v="30"/>
    <s v="S12000039"/>
    <n v="436"/>
    <n v="496"/>
    <n v="932"/>
    <n v="473"/>
    <n v="195"/>
    <n v="668"/>
    <n v="44880"/>
    <n v="2.077"/>
    <n v="1.488"/>
    <n v="42097"/>
    <n v="2.214"/>
    <n v="1.587"/>
  </r>
  <r>
    <x v="6"/>
    <x v="30"/>
    <s v="S12000039"/>
    <n v="468"/>
    <n v="931"/>
    <n v="1399"/>
    <n v="550"/>
    <n v="172"/>
    <n v="722"/>
    <n v="45357"/>
    <n v="3.0840000000000001"/>
    <n v="1.5920000000000001"/>
    <n v="43030"/>
    <n v="3.2509999999999999"/>
    <n v="1.6779999999999999"/>
  </r>
  <r>
    <x v="1"/>
    <x v="30"/>
    <s v="S12000039"/>
    <n v="402"/>
    <n v="519"/>
    <n v="921"/>
    <n v="471"/>
    <n v="160"/>
    <n v="631"/>
    <n v="44734"/>
    <n v="2.0590000000000002"/>
    <n v="1.411"/>
    <n v="42353"/>
    <n v="2.1749999999999998"/>
    <n v="1.49"/>
  </r>
  <r>
    <x v="2"/>
    <x v="30"/>
    <s v="S12000039"/>
    <n v="470"/>
    <n v="934"/>
    <n v="1404"/>
    <n v="586"/>
    <n v="154"/>
    <n v="740"/>
    <n v="45056"/>
    <n v="3.1160000000000001"/>
    <n v="1.6419999999999999"/>
    <n v="42571"/>
    <n v="3.298"/>
    <n v="1.738"/>
  </r>
  <r>
    <x v="3"/>
    <x v="30"/>
    <s v="S12000039"/>
    <n v="558"/>
    <n v="1036"/>
    <n v="1594"/>
    <n v="620"/>
    <n v="238"/>
    <n v="858"/>
    <n v="45104"/>
    <n v="3.5339999999999998"/>
    <n v="1.9020000000000001"/>
    <n v="42657"/>
    <n v="3.7370000000000001"/>
    <n v="2.0110000000000001"/>
  </r>
  <r>
    <x v="4"/>
    <x v="30"/>
    <s v="S12000039"/>
    <n v="654"/>
    <n v="1023"/>
    <n v="1677"/>
    <n v="714"/>
    <n v="285"/>
    <n v="999"/>
    <n v="45093"/>
    <n v="3.7189999999999999"/>
    <n v="2.2149999999999999"/>
    <n v="42746"/>
    <n v="3.923"/>
    <n v="2.3370000000000002"/>
  </r>
  <r>
    <x v="4"/>
    <x v="31"/>
    <s v="S12000040"/>
    <n v="963"/>
    <n v="1092"/>
    <n v="2055"/>
    <n v="850"/>
    <n v="604"/>
    <n v="1454"/>
    <n v="79112"/>
    <n v="2.5979999999999999"/>
    <n v="1.8380000000000001"/>
    <n v="77369"/>
    <n v="2.6560000000000001"/>
    <n v="1.879"/>
  </r>
  <r>
    <x v="3"/>
    <x v="31"/>
    <s v="S12000040"/>
    <n v="972"/>
    <n v="766"/>
    <n v="1738"/>
    <n v="837"/>
    <n v="665"/>
    <n v="1502"/>
    <n v="78604"/>
    <n v="2.2109999999999999"/>
    <n v="1.911"/>
    <n v="76630"/>
    <n v="2.2679999999999998"/>
    <n v="1.96"/>
  </r>
  <r>
    <x v="2"/>
    <x v="31"/>
    <s v="S12000040"/>
    <n v="1092"/>
    <n v="779"/>
    <n v="1871"/>
    <n v="1051"/>
    <n v="659"/>
    <n v="1710"/>
    <n v="77834"/>
    <n v="2.4039999999999999"/>
    <n v="2.1970000000000001"/>
    <n v="75782"/>
    <n v="2.4689999999999999"/>
    <n v="2.2560000000000002"/>
  </r>
  <r>
    <x v="1"/>
    <x v="31"/>
    <s v="S12000040"/>
    <n v="1103"/>
    <n v="638"/>
    <n v="1741"/>
    <n v="967"/>
    <n v="813"/>
    <n v="1780"/>
    <n v="77186"/>
    <n v="2.2560000000000002"/>
    <n v="2.306"/>
    <n v="75035"/>
    <n v="2.3199999999999998"/>
    <n v="2.3719999999999999"/>
  </r>
  <r>
    <x v="6"/>
    <x v="31"/>
    <s v="S12000040"/>
    <n v="658"/>
    <n v="1193"/>
    <n v="1851"/>
    <n v="631"/>
    <n v="327"/>
    <n v="958"/>
    <n v="80911"/>
    <n v="2.2879999999999998"/>
    <n v="1.1839999999999999"/>
    <n v="78966"/>
    <n v="2.3439999999999999"/>
    <n v="1.2130000000000001"/>
  </r>
  <r>
    <x v="0"/>
    <x v="31"/>
    <s v="S12000040"/>
    <n v="1381"/>
    <n v="546"/>
    <n v="1927"/>
    <n v="1141"/>
    <n v="1121"/>
    <n v="2262"/>
    <n v="76473"/>
    <n v="2.52"/>
    <n v="2.9580000000000002"/>
    <n v="74335"/>
    <n v="2.5920000000000001"/>
    <n v="3.0430000000000001"/>
  </r>
  <r>
    <x v="5"/>
    <x v="31"/>
    <s v="S12000040"/>
    <n v="851"/>
    <n v="1470"/>
    <n v="2321"/>
    <n v="780"/>
    <n v="506"/>
    <n v="1286"/>
    <n v="79854"/>
    <n v="2.907"/>
    <n v="1.6099999999999999"/>
    <n v="77953"/>
    <n v="2.9769999999999999"/>
    <n v="1.65"/>
  </r>
  <r>
    <x v="7"/>
    <x v="31"/>
    <s v="S12000040"/>
    <n v="272"/>
    <n v="405"/>
    <n v="677"/>
    <n v="260"/>
    <n v="158"/>
    <n v="418"/>
    <n v="81723"/>
    <n v="0.82799999999999996"/>
    <n v="0.51100000000000001"/>
    <n v="79892"/>
    <n v="0.84699999999999998"/>
    <n v="0.52300000000000002"/>
  </r>
  <r>
    <x v="9"/>
    <x v="31"/>
    <s v="S12000040"/>
    <m/>
    <m/>
    <n v="1240"/>
    <m/>
    <m/>
    <m/>
    <n v="83624"/>
    <n v="1.4830000000000001"/>
    <m/>
    <n v="81779"/>
    <n v="1.516"/>
    <m/>
  </r>
  <r>
    <x v="8"/>
    <x v="31"/>
    <s v="S12000040"/>
    <m/>
    <m/>
    <n v="1287"/>
    <m/>
    <m/>
    <m/>
    <n v="82591"/>
    <n v="1.5580000000000001"/>
    <m/>
    <n v="80932"/>
    <n v="1.5899999999999999"/>
    <m/>
  </r>
  <r>
    <x v="10"/>
    <x v="31"/>
    <m/>
    <n v="229"/>
    <n v="1062"/>
    <n v="1291"/>
    <n v="626"/>
    <n v="164"/>
    <n v="790"/>
    <n v="86258"/>
    <n v="1.4969999999999999"/>
    <n v="0.91600000000000004"/>
    <n v="81029"/>
    <n v="1.593"/>
    <n v="0.97499999999999998"/>
  </r>
  <r>
    <x v="10"/>
    <x v="31"/>
    <m/>
    <n v="229"/>
    <n v="1062"/>
    <n v="1291"/>
    <n v="626"/>
    <n v="164"/>
    <n v="790"/>
    <n v="84929"/>
    <n v="1.52"/>
    <n v="0.93"/>
    <n v="81029"/>
    <n v="1.593"/>
    <n v="0.97499999999999998"/>
  </r>
  <r>
    <x v="11"/>
    <x v="1"/>
    <m/>
    <n v="70"/>
    <n v="543"/>
    <n v="613"/>
    <n v="151"/>
    <n v="71"/>
    <n v="224"/>
    <n v="49697"/>
    <n v="1.2330000000000001"/>
    <n v="0.45100000000000001"/>
    <n v="42831.175905558739"/>
    <n v="1.431"/>
    <n v="0.52300000000000002"/>
  </r>
  <r>
    <x v="11"/>
    <x v="0"/>
    <m/>
    <n v="86"/>
    <n v="628"/>
    <n v="714"/>
    <n v="149"/>
    <n v="65"/>
    <n v="227"/>
    <n v="58435"/>
    <n v="1.222"/>
    <n v="0.38800000000000001"/>
    <n v="54997.612762941659"/>
    <n v="1.298"/>
    <n v="0.41299999999999998"/>
  </r>
  <r>
    <x v="11"/>
    <x v="19"/>
    <m/>
    <n v="52"/>
    <n v="415"/>
    <n v="467"/>
    <n v="114"/>
    <n v="20"/>
    <n v="138"/>
    <n v="53502"/>
    <n v="0.873"/>
    <n v="0.25800000000000001"/>
    <n v="50562.133092692835"/>
    <n v="0.92400000000000004"/>
    <n v="0.27300000000000002"/>
  </r>
  <r>
    <x v="11"/>
    <x v="26"/>
    <m/>
    <n v="20"/>
    <n v="162"/>
    <n v="182"/>
    <n v="42"/>
    <n v="30"/>
    <n v="72"/>
    <n v="11667"/>
    <n v="1.56"/>
    <n v="0.61699999999999999"/>
    <n v="10763.196157324961"/>
    <n v="1.6909999999999998"/>
    <n v="0.66900000000000004"/>
  </r>
  <r>
    <x v="11"/>
    <x v="20"/>
    <m/>
    <n v="93"/>
    <n v="1632"/>
    <n v="1725"/>
    <n v="156"/>
    <n v="111"/>
    <n v="270"/>
    <n v="124812"/>
    <n v="1.3820000000000001"/>
    <n v="0.216"/>
    <n v="113906.20821736612"/>
    <n v="1.514"/>
    <n v="0.23699999999999999"/>
  </r>
  <r>
    <x v="11"/>
    <x v="22"/>
    <m/>
    <n v="290"/>
    <n v="789"/>
    <n v="1079"/>
    <n v="514"/>
    <n v="148"/>
    <n v="700"/>
    <n v="91736"/>
    <n v="1.1759999999999999"/>
    <n v="0.76300000000000001"/>
    <n v="87749.395499301856"/>
    <n v="1.23"/>
    <n v="0.79800000000000004"/>
  </r>
  <r>
    <x v="11"/>
    <x v="21"/>
    <m/>
    <n v="5"/>
    <n v="100"/>
    <n v="105"/>
    <n v="-14"/>
    <n v="18"/>
    <n v="5"/>
    <n v="15254"/>
    <n v="0.68799999999999994"/>
    <n v="3.3000000000000002E-2"/>
    <n v="12887.857898960023"/>
    <n v="0.81499999999999995"/>
    <n v="3.9E-2"/>
  </r>
  <r>
    <x v="11"/>
    <x v="2"/>
    <m/>
    <n v="203"/>
    <n v="2451"/>
    <n v="2654"/>
    <n v="222"/>
    <n v="216"/>
    <n v="471"/>
    <n v="266309"/>
    <n v="0.997"/>
    <n v="0.17699999999999999"/>
    <n v="244791.4683634642"/>
    <n v="1.0840000000000001"/>
    <n v="0.192"/>
  </r>
  <r>
    <x v="11"/>
    <x v="14"/>
    <m/>
    <n v="59"/>
    <n v="318"/>
    <n v="377"/>
    <n v="103"/>
    <n v="66"/>
    <n v="172"/>
    <n v="44858"/>
    <n v="0.84"/>
    <n v="0.38300000000000001"/>
    <n v="42739.113676722816"/>
    <n v="0.88200000000000001"/>
    <n v="0.40200000000000002"/>
  </r>
  <r>
    <x v="11"/>
    <x v="3"/>
    <m/>
    <n v="178"/>
    <n v="712"/>
    <n v="890"/>
    <n v="381"/>
    <n v="114"/>
    <n v="540"/>
    <n v="76535"/>
    <n v="1.163"/>
    <n v="0.70599999999999996"/>
    <n v="70971.815561576936"/>
    <n v="1.254"/>
    <n v="0.76100000000000001"/>
  </r>
  <r>
    <x v="11"/>
    <x v="13"/>
    <m/>
    <n v="328"/>
    <n v="1667"/>
    <n v="1995"/>
    <n v="524"/>
    <n v="251"/>
    <n v="822"/>
    <n v="183686"/>
    <n v="1.0860000000000001"/>
    <n v="0.44800000000000001"/>
    <n v="171913.40662763728"/>
    <n v="1.1599999999999999"/>
    <n v="0.47799999999999998"/>
  </r>
  <r>
    <x v="11"/>
    <x v="4"/>
    <m/>
    <n v="113"/>
    <n v="675"/>
    <n v="788"/>
    <n v="199"/>
    <n v="81"/>
    <n v="313"/>
    <n v="48273"/>
    <n v="1.6320000000000001"/>
    <n v="0.64800000000000002"/>
    <n v="46742.806549922221"/>
    <n v="1.6859999999999999"/>
    <n v="0.67"/>
  </r>
  <r>
    <x v="11"/>
    <x v="16"/>
    <m/>
    <n v="118"/>
    <n v="530"/>
    <n v="648"/>
    <n v="244"/>
    <n v="39"/>
    <n v="294"/>
    <n v="41063"/>
    <n v="1.5779999999999998"/>
    <n v="0.71599999999999997"/>
    <n v="40540.754458151241"/>
    <n v="1.5979999999999999"/>
    <n v="0.72499999999999998"/>
  </r>
  <r>
    <x v="11"/>
    <x v="27"/>
    <m/>
    <n v="122"/>
    <n v="586"/>
    <n v="708"/>
    <n v="184"/>
    <n v="95"/>
    <n v="327"/>
    <n v="60064"/>
    <n v="1.179"/>
    <n v="0.54400000000000004"/>
    <n v="56084.6598177981"/>
    <n v="1.262"/>
    <n v="0.58299999999999996"/>
  </r>
  <r>
    <x v="11"/>
    <x v="17"/>
    <m/>
    <n v="48"/>
    <n v="488"/>
    <n v="536"/>
    <n v="85"/>
    <n v="37"/>
    <n v="124"/>
    <n v="47471"/>
    <n v="1.129"/>
    <n v="0.26100000000000001"/>
    <n v="44291.343786430371"/>
    <n v="1.21"/>
    <n v="0.28000000000000003"/>
  </r>
  <r>
    <x v="11"/>
    <x v="15"/>
    <m/>
    <n v="29"/>
    <n v="331"/>
    <n v="360"/>
    <n v="32"/>
    <n v="16"/>
    <n v="53"/>
    <n v="25295"/>
    <n v="1.423"/>
    <n v="0.21"/>
    <n v="24437.594766831102"/>
    <n v="1.4729999999999999"/>
    <n v="0.217"/>
  </r>
  <r>
    <x v="11"/>
    <x v="18"/>
    <m/>
    <n v="183"/>
    <n v="1674"/>
    <n v="1857"/>
    <n v="441"/>
    <n v="99"/>
    <n v="629"/>
    <n v="161228"/>
    <n v="1.1519999999999999"/>
    <n v="0.39"/>
    <n v="153004.37421296784"/>
    <n v="1.214"/>
    <n v="0.41099999999999998"/>
  </r>
  <r>
    <x v="11"/>
    <x v="28"/>
    <m/>
    <n v="86"/>
    <n v="477"/>
    <n v="563"/>
    <n v="172"/>
    <n v="50"/>
    <n v="232"/>
    <n v="43214"/>
    <n v="1.3029999999999999"/>
    <n v="0.53700000000000003"/>
    <n v="41103.45535551112"/>
    <n v="1.37"/>
    <n v="0.56399999999999995"/>
  </r>
  <r>
    <x v="11"/>
    <x v="7"/>
    <m/>
    <n v="58"/>
    <n v="528"/>
    <n v="586"/>
    <n v="118"/>
    <n v="29"/>
    <n v="167"/>
    <n v="76762"/>
    <n v="0.76300000000000001"/>
    <n v="0.218"/>
    <n v="71441.31977787464"/>
    <n v="0.82"/>
    <n v="0.23400000000000001"/>
  </r>
  <r>
    <x v="11"/>
    <x v="8"/>
    <m/>
    <n v="77"/>
    <n v="523"/>
    <n v="600"/>
    <n v="147"/>
    <n v="47"/>
    <n v="209"/>
    <n v="56953"/>
    <n v="1.054"/>
    <n v="0.36699999999999999"/>
    <n v="53129.170261244602"/>
    <n v="1.129"/>
    <n v="0.39300000000000002"/>
  </r>
  <r>
    <x v="11"/>
    <x v="6"/>
    <m/>
    <n v="16"/>
    <n v="165"/>
    <n v="181"/>
    <n v="42"/>
    <n v="8"/>
    <n v="50"/>
    <n v="11833"/>
    <n v="1.53"/>
    <n v="0.42299999999999999"/>
    <n v="10886.945853525613"/>
    <n v="1.663"/>
    <n v="0.45900000000000002"/>
  </r>
  <r>
    <x v="11"/>
    <x v="5"/>
    <m/>
    <n v="84"/>
    <n v="891"/>
    <n v="975"/>
    <n v="147"/>
    <n v="94"/>
    <n v="246"/>
    <n v="123367"/>
    <n v="0.79"/>
    <n v="0.19900000000000001"/>
    <n v="117418.94062026255"/>
    <n v="0.83"/>
    <n v="0.21"/>
  </r>
  <r>
    <x v="11"/>
    <x v="23"/>
    <m/>
    <n v="509"/>
    <n v="4589"/>
    <n v="5098"/>
    <n v="898"/>
    <n v="281"/>
    <n v="1326"/>
    <n v="327869"/>
    <n v="1.5550000000000002"/>
    <n v="0.40400000000000003"/>
    <n v="298250.61170251353"/>
    <n v="1.7090000000000001"/>
    <n v="0.44500000000000001"/>
  </r>
  <r>
    <x v="11"/>
    <x v="11"/>
    <m/>
    <n v="166"/>
    <n v="747"/>
    <n v="913"/>
    <n v="323"/>
    <n v="68"/>
    <n v="421"/>
    <n v="60045"/>
    <n v="1.5209999999999999"/>
    <n v="0.70099999999999996"/>
    <n v="56161.646355943558"/>
    <n v="1.6259999999999999"/>
    <n v="0.75"/>
  </r>
  <r>
    <x v="11"/>
    <x v="24"/>
    <m/>
    <n v="131"/>
    <n v="309"/>
    <n v="440"/>
    <n v="261"/>
    <n v="46"/>
    <n v="316"/>
    <n v="39926"/>
    <n v="1.1020000000000001"/>
    <n v="0.79100000000000004"/>
    <n v="37614.524402442781"/>
    <n v="1.17"/>
    <n v="0.84"/>
  </r>
  <r>
    <x v="11"/>
    <x v="25"/>
    <m/>
    <n v="183"/>
    <n v="765"/>
    <n v="948"/>
    <n v="263"/>
    <n v="154"/>
    <n v="456"/>
    <n v="70256"/>
    <n v="1.349"/>
    <n v="0.64900000000000002"/>
    <n v="65107.059422716513"/>
    <n v="1.456"/>
    <n v="0.7"/>
  </r>
  <r>
    <x v="11"/>
    <x v="12"/>
    <m/>
    <n v="158"/>
    <n v="861"/>
    <n v="1019"/>
    <n v="315"/>
    <n v="93"/>
    <n v="465"/>
    <n v="76942"/>
    <n v="1.3240000000000001"/>
    <n v="0.60399999999999998"/>
    <n v="73237.002643969041"/>
    <n v="1.391"/>
    <n v="0.63500000000000001"/>
  </r>
  <r>
    <x v="11"/>
    <x v="10"/>
    <m/>
    <n v="92"/>
    <n v="1702"/>
    <n v="1794"/>
    <n v="176"/>
    <n v="80"/>
    <n v="264"/>
    <n v="76780"/>
    <n v="2.3370000000000002"/>
    <n v="0.34399999999999997"/>
    <n v="71097.765743088923"/>
    <n v="2.5230000000000001"/>
    <n v="0.371"/>
  </r>
  <r>
    <x v="11"/>
    <x v="29"/>
    <m/>
    <n v="270"/>
    <n v="1683"/>
    <n v="1953"/>
    <n v="579"/>
    <n v="157"/>
    <n v="846"/>
    <n v="159662"/>
    <n v="1.2230000000000001"/>
    <n v="0.53"/>
    <n v="150643.15462185504"/>
    <n v="1.296"/>
    <n v="0.56200000000000006"/>
  </r>
  <r>
    <x v="11"/>
    <x v="30"/>
    <m/>
    <n v="104"/>
    <n v="678"/>
    <n v="782"/>
    <n v="218"/>
    <n v="95"/>
    <n v="330"/>
    <n v="46198"/>
    <n v="1.6930000000000001"/>
    <n v="0.71399999999999997"/>
    <n v="43050.124248335145"/>
    <n v="1.8159999999999998"/>
    <n v="0.76700000000000002"/>
  </r>
  <r>
    <x v="11"/>
    <x v="9"/>
    <m/>
    <n v="106"/>
    <n v="1193"/>
    <n v="1299"/>
    <n v="216"/>
    <n v="95"/>
    <n v="320"/>
    <n v="125828"/>
    <n v="1.032"/>
    <n v="0.254"/>
    <n v="112386.7935874821"/>
    <n v="1.1559999999999999"/>
    <n v="0.28499999999999998"/>
  </r>
  <r>
    <x v="11"/>
    <x v="31"/>
    <m/>
    <n v="182"/>
    <n v="988"/>
    <n v="1170"/>
    <n v="468"/>
    <n v="133"/>
    <n v="607"/>
    <n v="85453"/>
    <n v="1.369"/>
    <n v="0.71"/>
    <n v="81644.803218683475"/>
    <n v="1.4330000000000001"/>
    <n v="0.74299999999999999"/>
  </r>
  <r>
    <x v="12"/>
    <x v="0"/>
    <m/>
    <n v="60"/>
    <n v="332"/>
    <n v="392"/>
    <m/>
    <m/>
    <n v="182"/>
    <n v="58769"/>
    <n v="0.66700000000000004"/>
    <n v="0.31"/>
    <n v="55268"/>
    <n v="0.70899999999999996"/>
    <n v="0.32900000000000001"/>
  </r>
  <r>
    <x v="12"/>
    <x v="1"/>
    <m/>
    <n v="77"/>
    <n v="311"/>
    <n v="388"/>
    <m/>
    <m/>
    <n v="256"/>
    <n v="49917"/>
    <n v="0.77700000000000002"/>
    <n v="0.51300000000000001"/>
    <n v="42778"/>
    <n v="0.90700000000000003"/>
    <n v="0.59799999999999998"/>
  </r>
  <r>
    <x v="12"/>
    <x v="5"/>
    <m/>
    <n v="65"/>
    <n v="500"/>
    <n v="565"/>
    <m/>
    <m/>
    <n v="186"/>
    <n v="124154"/>
    <n v="0.45500000000000002"/>
    <n v="0.15"/>
    <n v="118212"/>
    <n v="0.47799999999999998"/>
    <n v="0.157"/>
  </r>
  <r>
    <x v="12"/>
    <x v="6"/>
    <m/>
    <n v="21"/>
    <n v="128"/>
    <n v="149"/>
    <m/>
    <m/>
    <n v="72"/>
    <n v="11896"/>
    <n v="1.2530000000000001"/>
    <n v="0.60499999999999998"/>
    <n v="10973"/>
    <n v="1.3580000000000001"/>
    <n v="0.65600000000000003"/>
  </r>
  <r>
    <x v="12"/>
    <x v="7"/>
    <m/>
    <n v="41"/>
    <n v="442"/>
    <n v="483"/>
    <m/>
    <m/>
    <n v="128"/>
    <n v="77337"/>
    <n v="0.625"/>
    <n v="0.16600000000000001"/>
    <n v="72120"/>
    <n v="0.67"/>
    <n v="0.17699999999999999"/>
  </r>
  <r>
    <x v="12"/>
    <x v="8"/>
    <m/>
    <n v="68"/>
    <n v="372"/>
    <n v="440"/>
    <m/>
    <m/>
    <n v="191"/>
    <n v="57312"/>
    <n v="0.76800000000000002"/>
    <n v="0.33300000000000002"/>
    <n v="53403"/>
    <n v="0.82399999999999995"/>
    <n v="0.35799999999999998"/>
  </r>
  <r>
    <x v="12"/>
    <x v="2"/>
    <m/>
    <n v="187"/>
    <n v="1050"/>
    <n v="1237"/>
    <m/>
    <m/>
    <n v="473"/>
    <n v="269306"/>
    <n v="0.45900000000000002"/>
    <n v="0.17599999999999999"/>
    <n v="247435"/>
    <n v="0.5"/>
    <n v="0.191"/>
  </r>
  <r>
    <x v="12"/>
    <x v="3"/>
    <m/>
    <n v="223"/>
    <n v="465"/>
    <n v="688"/>
    <m/>
    <m/>
    <n v="780"/>
    <n v="76696"/>
    <n v="0.89700000000000002"/>
    <n v="1.0169999999999999"/>
    <n v="71326"/>
    <n v="0.96499999999999997"/>
    <n v="1.0940000000000001"/>
  </r>
  <r>
    <x v="12"/>
    <x v="4"/>
    <m/>
    <n v="106"/>
    <n v="263"/>
    <n v="369"/>
    <m/>
    <m/>
    <n v="350"/>
    <n v="48397"/>
    <n v="0.76200000000000001"/>
    <n v="0.72299999999999998"/>
    <n v="46931"/>
    <n v="0.78600000000000003"/>
    <n v="0.746"/>
  </r>
  <r>
    <x v="12"/>
    <x v="13"/>
    <m/>
    <n v="301"/>
    <n v="914"/>
    <n v="1215"/>
    <m/>
    <m/>
    <n v="1025"/>
    <n v="184628"/>
    <n v="0.65800000000000003"/>
    <n v="0.55500000000000005"/>
    <n v="173024"/>
    <n v="0.70199999999999996"/>
    <n v="0.59199999999999997"/>
  </r>
  <r>
    <x v="12"/>
    <x v="14"/>
    <m/>
    <n v="65"/>
    <n v="209"/>
    <n v="274"/>
    <m/>
    <m/>
    <n v="176"/>
    <n v="45527"/>
    <n v="0.60199999999999998"/>
    <n v="0.38700000000000001"/>
    <n v="43412"/>
    <n v="0.63100000000000001"/>
    <n v="0.40500000000000003"/>
  </r>
  <r>
    <x v="12"/>
    <x v="19"/>
    <m/>
    <n v="56"/>
    <n v="314"/>
    <n v="370"/>
    <m/>
    <m/>
    <n v="139"/>
    <n v="54314"/>
    <n v="0.68100000000000005"/>
    <n v="0.25600000000000001"/>
    <n v="51575"/>
    <n v="0.71699999999999997"/>
    <n v="0.27"/>
  </r>
  <r>
    <x v="12"/>
    <x v="20"/>
    <m/>
    <n v="42"/>
    <n v="1074"/>
    <n v="1116"/>
    <m/>
    <m/>
    <n v="91"/>
    <n v="125736"/>
    <n v="0.88800000000000001"/>
    <n v="7.1999999999999995E-2"/>
    <n v="114817"/>
    <n v="0.97199999999999998"/>
    <n v="7.9000000000000001E-2"/>
  </r>
  <r>
    <x v="12"/>
    <x v="21"/>
    <m/>
    <n v="3"/>
    <n v="28"/>
    <n v="31"/>
    <m/>
    <m/>
    <n v="9"/>
    <n v="15353"/>
    <n v="0.20200000000000001"/>
    <n v="5.8999999999999997E-2"/>
    <n v="12926"/>
    <n v="0.24"/>
    <n v="7.0000000000000007E-2"/>
  </r>
  <r>
    <x v="12"/>
    <x v="22"/>
    <m/>
    <n v="226"/>
    <n v="501"/>
    <n v="727"/>
    <m/>
    <m/>
    <n v="703"/>
    <n v="91995"/>
    <n v="0.79"/>
    <n v="0.76400000000000001"/>
    <n v="88551"/>
    <n v="0.82099999999999995"/>
    <n v="0.79400000000000004"/>
  </r>
  <r>
    <x v="12"/>
    <x v="26"/>
    <m/>
    <n v="13"/>
    <n v="66"/>
    <n v="79"/>
    <m/>
    <m/>
    <n v="56"/>
    <n v="11702"/>
    <n v="0.67500000000000004"/>
    <n v="0.47899999999999998"/>
    <n v="10820"/>
    <n v="0.73"/>
    <n v="0.51800000000000002"/>
  </r>
  <r>
    <x v="12"/>
    <x v="15"/>
    <m/>
    <n v="37"/>
    <n v="159"/>
    <n v="196"/>
    <m/>
    <m/>
    <n v="98"/>
    <n v="25328"/>
    <n v="0.77400000000000002"/>
    <n v="0.38700000000000001"/>
    <n v="24474"/>
    <n v="0.80100000000000005"/>
    <n v="0.4"/>
  </r>
  <r>
    <x v="12"/>
    <x v="16"/>
    <m/>
    <n v="68"/>
    <n v="303"/>
    <n v="371"/>
    <m/>
    <m/>
    <n v="203"/>
    <n v="41304"/>
    <n v="0.89800000000000002"/>
    <n v="0.49099999999999999"/>
    <n v="40781"/>
    <n v="0.91"/>
    <n v="0.498"/>
  </r>
  <r>
    <x v="12"/>
    <x v="17"/>
    <m/>
    <n v="22"/>
    <n v="269"/>
    <n v="291"/>
    <m/>
    <m/>
    <n v="61"/>
    <n v="47804"/>
    <n v="0.60899999999999999"/>
    <n v="0.128"/>
    <n v="44699"/>
    <n v="0.65100000000000002"/>
    <n v="0.13600000000000001"/>
  </r>
  <r>
    <x v="12"/>
    <x v="18"/>
    <m/>
    <n v="236"/>
    <n v="905"/>
    <n v="1141"/>
    <m/>
    <m/>
    <n v="818"/>
    <n v="161718"/>
    <n v="0.70599999999999996"/>
    <n v="0.50600000000000001"/>
    <n v="153883"/>
    <n v="0.74099999999999999"/>
    <n v="0.53200000000000003"/>
  </r>
  <r>
    <x v="12"/>
    <x v="27"/>
    <m/>
    <n v="128"/>
    <n v="463"/>
    <n v="591"/>
    <m/>
    <m/>
    <n v="361"/>
    <n v="60195"/>
    <n v="0.98199999999999998"/>
    <n v="0.6"/>
    <n v="56421"/>
    <n v="1.0469999999999999"/>
    <n v="0.64"/>
  </r>
  <r>
    <x v="12"/>
    <x v="28"/>
    <m/>
    <n v="41"/>
    <n v="207"/>
    <n v="248"/>
    <m/>
    <m/>
    <n v="126"/>
    <n v="43489"/>
    <n v="0.56999999999999995"/>
    <n v="0.28999999999999998"/>
    <n v="41302"/>
    <n v="0.6"/>
    <n v="0.30499999999999999"/>
  </r>
  <r>
    <x v="12"/>
    <x v="9"/>
    <m/>
    <n v="32"/>
    <n v="561"/>
    <n v="593"/>
    <m/>
    <m/>
    <n v="89"/>
    <n v="126846"/>
    <n v="0.46700000000000003"/>
    <n v="7.0000000000000007E-2"/>
    <n v="113057"/>
    <n v="0.52500000000000002"/>
    <n v="7.9000000000000001E-2"/>
  </r>
  <r>
    <x v="12"/>
    <x v="10"/>
    <m/>
    <n v="72"/>
    <n v="698"/>
    <n v="770"/>
    <m/>
    <m/>
    <n v="179"/>
    <n v="77323"/>
    <n v="0.996"/>
    <n v="0.23100000000000001"/>
    <n v="71645"/>
    <n v="1.075"/>
    <n v="0.25"/>
  </r>
  <r>
    <x v="12"/>
    <x v="11"/>
    <m/>
    <n v="118"/>
    <n v="593"/>
    <n v="711"/>
    <m/>
    <m/>
    <n v="313"/>
    <n v="60223"/>
    <n v="1.181"/>
    <n v="0.52"/>
    <n v="56480"/>
    <n v="1.2589999999999999"/>
    <n v="0.55400000000000005"/>
  </r>
  <r>
    <x v="12"/>
    <x v="12"/>
    <m/>
    <n v="90"/>
    <n v="358"/>
    <n v="448"/>
    <m/>
    <m/>
    <n v="288"/>
    <n v="77222"/>
    <n v="0.57999999999999996"/>
    <n v="0.373"/>
    <n v="73471"/>
    <n v="0.61"/>
    <n v="0.39200000000000002"/>
  </r>
  <r>
    <x v="12"/>
    <x v="23"/>
    <m/>
    <n v="416"/>
    <n v="2912"/>
    <n v="3328"/>
    <m/>
    <m/>
    <n v="1203"/>
    <n v="329581"/>
    <n v="1.01"/>
    <n v="0.36499999999999999"/>
    <n v="300114"/>
    <n v="1.109"/>
    <n v="0.40100000000000002"/>
  </r>
  <r>
    <x v="12"/>
    <x v="24"/>
    <m/>
    <n v="56"/>
    <n v="154"/>
    <n v="210"/>
    <m/>
    <m/>
    <n v="173"/>
    <n v="39788"/>
    <n v="0.52800000000000002"/>
    <n v="0.435"/>
    <n v="37703"/>
    <n v="0.55700000000000005"/>
    <n v="0.45900000000000002"/>
  </r>
  <r>
    <x v="12"/>
    <x v="25"/>
    <m/>
    <n v="122"/>
    <n v="677"/>
    <n v="799"/>
    <m/>
    <m/>
    <n v="325"/>
    <n v="70686"/>
    <n v="1.1299999999999999"/>
    <n v="0.46"/>
    <n v="65535"/>
    <n v="1.2190000000000001"/>
    <n v="0.496"/>
  </r>
  <r>
    <x v="12"/>
    <x v="29"/>
    <m/>
    <n v="300"/>
    <n v="953"/>
    <n v="1253"/>
    <m/>
    <m/>
    <n v="1052"/>
    <n v="160843"/>
    <n v="0.77900000000000003"/>
    <n v="0.65400000000000003"/>
    <n v="152030"/>
    <n v="0.82399999999999995"/>
    <n v="0.69199999999999995"/>
  </r>
  <r>
    <x v="12"/>
    <x v="30"/>
    <m/>
    <n v="73"/>
    <n v="262"/>
    <n v="335"/>
    <m/>
    <m/>
    <n v="237"/>
    <n v="46216"/>
    <n v="0.72499999999999998"/>
    <n v="0.51300000000000001"/>
    <n v="43256"/>
    <n v="0.77400000000000002"/>
    <n v="0.54800000000000004"/>
  </r>
  <r>
    <x v="12"/>
    <x v="31"/>
    <m/>
    <n v="116"/>
    <n v="499"/>
    <n v="615"/>
    <m/>
    <m/>
    <n v="397"/>
    <n v="86258"/>
    <n v="0.71299999999999997"/>
    <n v="0.46"/>
    <n v="82377"/>
    <n v="0.747"/>
    <n v="0.48199999999999998"/>
  </r>
</pivotCacheRecords>
</file>

<file path=xl/pivotCache/pivotCacheRecords60.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61">
  <r>
    <x v="0"/>
    <x v="0"/>
    <s v="NULL"/>
    <s v="NULL"/>
    <s v="NULL"/>
    <s v="NULL"/>
    <s v="NULL"/>
  </r>
  <r>
    <x v="1"/>
    <x v="1"/>
    <n v="5311"/>
    <n v="2914"/>
    <n v="54.9"/>
    <n v="0.55000000000000004"/>
    <n v="525964"/>
  </r>
  <r>
    <x v="1"/>
    <x v="2"/>
    <n v="7232"/>
    <n v="4166"/>
    <n v="57.6"/>
    <n v="0.83"/>
    <n v="504692"/>
  </r>
  <r>
    <x v="1"/>
    <x v="3"/>
    <n v="7001"/>
    <n v="3879"/>
    <n v="55.4"/>
    <n v="0.79"/>
    <n v="488191"/>
  </r>
  <r>
    <x v="1"/>
    <x v="4"/>
    <n v="7027"/>
    <n v="3984"/>
    <n v="56.7"/>
    <n v="0.85"/>
    <n v="467642"/>
  </r>
  <r>
    <x v="1"/>
    <x v="5"/>
    <n v="6863"/>
    <n v="3917"/>
    <n v="57.1"/>
    <n v="0.87"/>
    <n v="449892"/>
  </r>
  <r>
    <x v="2"/>
    <x v="1"/>
    <n v="5852"/>
    <n v="3156"/>
    <n v="53.9"/>
    <n v="0.6"/>
    <n v="528323"/>
  </r>
  <r>
    <x v="2"/>
    <x v="2"/>
    <n v="8111"/>
    <n v="4507"/>
    <n v="55.6"/>
    <n v="0.89"/>
    <n v="506910"/>
  </r>
  <r>
    <x v="2"/>
    <x v="3"/>
    <n v="7986"/>
    <n v="4448"/>
    <n v="55.7"/>
    <n v="0.91"/>
    <n v="490270"/>
  </r>
  <r>
    <x v="2"/>
    <x v="4"/>
    <n v="8176"/>
    <n v="4368"/>
    <n v="53.4"/>
    <n v="0.92"/>
    <n v="472964"/>
  </r>
  <r>
    <x v="2"/>
    <x v="5"/>
    <n v="7333"/>
    <n v="4100"/>
    <n v="55.9"/>
    <n v="0.9"/>
    <n v="453045"/>
  </r>
  <r>
    <x v="3"/>
    <x v="1"/>
    <n v="5988"/>
    <n v="3276"/>
    <n v="54.7"/>
    <n v="0.62"/>
    <n v="530637"/>
  </r>
  <r>
    <x v="3"/>
    <x v="2"/>
    <n v="8378"/>
    <n v="4745"/>
    <n v="56.6"/>
    <n v="0.93"/>
    <n v="509500"/>
  </r>
  <r>
    <x v="3"/>
    <x v="3"/>
    <n v="8563"/>
    <n v="4675"/>
    <n v="54.6"/>
    <n v="0.95"/>
    <n v="494416"/>
  </r>
  <r>
    <x v="3"/>
    <x v="4"/>
    <n v="8892"/>
    <n v="4750"/>
    <n v="53.4"/>
    <n v="0.99"/>
    <n v="479897"/>
  </r>
  <r>
    <x v="3"/>
    <x v="5"/>
    <n v="7902"/>
    <n v="4428"/>
    <n v="56"/>
    <n v="0.97"/>
    <n v="455604"/>
  </r>
  <r>
    <x v="4"/>
    <x v="1"/>
    <n v="6009"/>
    <n v="3169"/>
    <n v="52.7"/>
    <n v="0.6"/>
    <n v="532256"/>
  </r>
  <r>
    <x v="4"/>
    <x v="2"/>
    <n v="8141"/>
    <n v="4633"/>
    <n v="56.9"/>
    <n v="0.9"/>
    <n v="512529"/>
  </r>
  <r>
    <x v="4"/>
    <x v="3"/>
    <n v="8217"/>
    <n v="4491"/>
    <n v="54.7"/>
    <n v="0.9"/>
    <n v="498164"/>
  </r>
  <r>
    <x v="4"/>
    <x v="4"/>
    <n v="8475"/>
    <n v="4510"/>
    <n v="53.2"/>
    <n v="0.93"/>
    <n v="487395"/>
  </r>
  <r>
    <x v="4"/>
    <x v="5"/>
    <n v="7496"/>
    <n v="4264"/>
    <n v="56.9"/>
    <n v="0.93"/>
    <n v="459499"/>
  </r>
  <r>
    <x v="5"/>
    <x v="1"/>
    <n v="5680"/>
    <n v="2967"/>
    <n v="52.2"/>
    <n v="0.56000000000000005"/>
    <n v="534275"/>
  </r>
  <r>
    <x v="5"/>
    <x v="2"/>
    <n v="7500"/>
    <n v="4073"/>
    <n v="54.3"/>
    <n v="0.79"/>
    <n v="514316"/>
  </r>
  <r>
    <x v="5"/>
    <x v="3"/>
    <n v="7662"/>
    <n v="3983"/>
    <n v="52"/>
    <n v="0.8"/>
    <n v="500858"/>
  </r>
  <r>
    <x v="5"/>
    <x v="4"/>
    <n v="7415"/>
    <n v="3799"/>
    <n v="51.2"/>
    <n v="0.77"/>
    <n v="493970"/>
  </r>
  <r>
    <x v="5"/>
    <x v="5"/>
    <n v="7074"/>
    <n v="3690"/>
    <n v="52.2"/>
    <n v="0.8"/>
    <n v="463248"/>
  </r>
  <r>
    <x v="6"/>
    <x v="1"/>
    <n v="5596"/>
    <n v="2750"/>
    <n v="49.1"/>
    <n v="0.51"/>
    <n v="536037"/>
  </r>
  <r>
    <x v="6"/>
    <x v="2"/>
    <n v="7144"/>
    <n v="3747"/>
    <n v="52.4"/>
    <n v="0.72"/>
    <n v="518089"/>
  </r>
  <r>
    <x v="6"/>
    <x v="3"/>
    <n v="7292"/>
    <n v="3557"/>
    <n v="48.8"/>
    <n v="0.7"/>
    <n v="505001"/>
  </r>
  <r>
    <x v="6"/>
    <x v="4"/>
    <n v="7621"/>
    <n v="3533"/>
    <n v="46.4"/>
    <n v="0.7"/>
    <n v="501595"/>
  </r>
  <r>
    <x v="6"/>
    <x v="5"/>
    <n v="6942"/>
    <n v="3404"/>
    <n v="49"/>
    <n v="0.73"/>
    <n v="467052"/>
  </r>
  <r>
    <x v="7"/>
    <x v="1"/>
    <n v="1867"/>
    <n v="1040"/>
    <n v="55.7"/>
    <n v="0.19"/>
    <n v="536888"/>
  </r>
  <r>
    <x v="7"/>
    <x v="2"/>
    <n v="2345"/>
    <n v="1302"/>
    <n v="55.5"/>
    <n v="0.25"/>
    <n v="518933"/>
  </r>
  <r>
    <x v="7"/>
    <x v="3"/>
    <n v="2231"/>
    <n v="1194"/>
    <n v="53.5"/>
    <n v="0.24"/>
    <n v="507851"/>
  </r>
  <r>
    <x v="7"/>
    <x v="4"/>
    <n v="2290"/>
    <n v="1261"/>
    <n v="55.1"/>
    <n v="0.25"/>
    <n v="506063"/>
  </r>
  <r>
    <x v="7"/>
    <x v="5"/>
    <n v="2073"/>
    <n v="1177"/>
    <n v="56.8"/>
    <n v="0.25"/>
    <n v="469008"/>
  </r>
  <r>
    <x v="8"/>
    <x v="1"/>
    <s v="NULL"/>
    <s v="NULL"/>
    <s v="NULL"/>
    <s v="NULL"/>
    <s v="NULL"/>
  </r>
  <r>
    <x v="8"/>
    <x v="2"/>
    <s v="NULL"/>
    <s v="NULL"/>
    <s v="NULL"/>
    <s v="NULL"/>
    <s v="NULL"/>
  </r>
  <r>
    <x v="8"/>
    <x v="3"/>
    <s v="NULL"/>
    <s v="NULL"/>
    <s v="NULL"/>
    <s v="NULL"/>
    <s v="NULL"/>
  </r>
  <r>
    <x v="8"/>
    <x v="4"/>
    <s v="NULL"/>
    <s v="NULL"/>
    <s v="NULL"/>
    <s v="NULL"/>
    <s v="NULL"/>
  </r>
  <r>
    <x v="8"/>
    <x v="5"/>
    <s v="NULL"/>
    <s v="NULL"/>
    <s v="NULL"/>
    <s v="NULL"/>
    <s v="NULL"/>
  </r>
  <r>
    <x v="9"/>
    <x v="1"/>
    <s v="NULL"/>
    <s v="NULL"/>
    <s v="NULL"/>
    <s v="NULL"/>
    <s v="NULL"/>
  </r>
  <r>
    <x v="9"/>
    <x v="2"/>
    <s v="NULL"/>
    <s v="NULL"/>
    <s v="NULL"/>
    <s v="NULL"/>
    <s v="NULL"/>
  </r>
  <r>
    <x v="9"/>
    <x v="3"/>
    <s v="NULL"/>
    <s v="NULL"/>
    <s v="NULL"/>
    <s v="NULL"/>
    <s v="NULL"/>
  </r>
  <r>
    <x v="9"/>
    <x v="4"/>
    <s v="NULL"/>
    <s v="NULL"/>
    <s v="NULL"/>
    <s v="NULL"/>
    <s v="NULL"/>
  </r>
  <r>
    <x v="9"/>
    <x v="5"/>
    <s v="NULL"/>
    <s v="NULL"/>
    <s v="NULL"/>
    <s v="NULL"/>
    <s v="NULL"/>
  </r>
  <r>
    <x v="10"/>
    <x v="1"/>
    <n v="2789"/>
    <n v="989"/>
    <n v="35.5"/>
    <n v="0.18"/>
    <n v="544255"/>
  </r>
  <r>
    <x v="10"/>
    <x v="2"/>
    <n v="3964"/>
    <n v="1247"/>
    <n v="31.5"/>
    <n v="0.24"/>
    <n v="527943"/>
  </r>
  <r>
    <x v="10"/>
    <x v="3"/>
    <n v="3702"/>
    <n v="994"/>
    <n v="26.9"/>
    <n v="0.19"/>
    <n v="522313"/>
  </r>
  <r>
    <x v="10"/>
    <x v="4"/>
    <n v="3734"/>
    <n v="870"/>
    <n v="23.3"/>
    <n v="0.16"/>
    <n v="530772"/>
  </r>
  <r>
    <x v="10"/>
    <x v="5"/>
    <n v="3529"/>
    <n v="845"/>
    <n v="23.9"/>
    <n v="0.18"/>
    <n v="479297"/>
  </r>
  <r>
    <x v="11"/>
    <x v="1"/>
    <n v="2538"/>
    <n v="959"/>
    <n v="37.799999999999997"/>
    <n v="0.18"/>
    <n v="547426"/>
  </r>
  <r>
    <x v="11"/>
    <x v="2"/>
    <n v="3487"/>
    <n v="1110"/>
    <n v="31.8"/>
    <n v="0.21"/>
    <n v="531566"/>
  </r>
  <r>
    <x v="11"/>
    <x v="3"/>
    <n v="3154"/>
    <n v="958"/>
    <n v="30.4"/>
    <n v="0.18"/>
    <n v="525921"/>
  </r>
  <r>
    <x v="11"/>
    <x v="4"/>
    <n v="3262"/>
    <n v="813"/>
    <n v="24.9"/>
    <n v="0.15"/>
    <n v="537349"/>
  </r>
  <r>
    <x v="11"/>
    <x v="5"/>
    <n v="3111"/>
    <n v="757"/>
    <n v="24.3"/>
    <n v="0.16"/>
    <n v="481484"/>
  </r>
  <r>
    <x v="12"/>
    <x v="1"/>
    <n v="5723"/>
    <n v="2268"/>
    <n v="39.6"/>
    <n v="0.41"/>
    <n v="550140"/>
  </r>
  <r>
    <x v="12"/>
    <x v="2"/>
    <n v="4872"/>
    <n v="3115"/>
    <n v="63.9"/>
    <n v="0.57999999999999996"/>
    <n v="535927"/>
  </r>
  <r>
    <x v="12"/>
    <x v="3"/>
    <n v="3607"/>
    <n v="2646"/>
    <n v="73.400000000000006"/>
    <n v="0.5"/>
    <n v="530591"/>
  </r>
  <r>
    <x v="12"/>
    <x v="4"/>
    <n v="3028"/>
    <n v="2091"/>
    <n v="69.099999999999994"/>
    <n v="0.38"/>
    <n v="544716"/>
  </r>
  <r>
    <x v="12"/>
    <x v="5"/>
    <n v="2289"/>
    <n v="1760"/>
    <n v="76.900000000000006"/>
    <n v="0.36"/>
    <n v="485973"/>
  </r>
</pivotCacheRecords>
</file>

<file path=xl/pivotCache/pivotCacheRecords61.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6">
  <r>
    <x v="0"/>
    <n v="4206"/>
    <n v="3066"/>
    <m/>
    <n v="233"/>
    <n v="1114"/>
    <n v="437"/>
  </r>
  <r>
    <x v="1"/>
    <n v="4159"/>
    <n v="3052"/>
    <m/>
    <n v="234"/>
    <n v="1136"/>
    <n v="459"/>
  </r>
  <r>
    <x v="2"/>
    <n v="4151"/>
    <n v="3076"/>
    <m/>
    <n v="234"/>
    <n v="1086"/>
    <n v="417"/>
  </r>
  <r>
    <x v="3"/>
    <n v="4001"/>
    <n v="2940"/>
    <m/>
    <n v="223"/>
    <n v="961"/>
    <n v="359"/>
  </r>
  <r>
    <x v="4"/>
    <n v="3856"/>
    <n v="2950"/>
    <m/>
    <n v="230"/>
    <n v="867"/>
    <n v="382"/>
  </r>
  <r>
    <x v="5"/>
    <n v="3690"/>
    <n v="2870"/>
    <m/>
    <n v="203"/>
    <n v="828"/>
    <n v="342"/>
  </r>
  <r>
    <x v="6"/>
    <n v="3645"/>
    <n v="2870"/>
    <m/>
    <n v="165"/>
    <n v="838"/>
    <n v="320"/>
  </r>
  <r>
    <x v="7"/>
    <n v="3546"/>
    <n v="2863"/>
    <m/>
    <n v="189"/>
    <n v="846"/>
    <n v="336"/>
  </r>
  <r>
    <x v="8"/>
    <n v="3637"/>
    <n v="2935"/>
    <n v="18"/>
    <n v="207"/>
    <n v="792"/>
    <n v="321"/>
  </r>
  <r>
    <x v="9"/>
    <n v="3636"/>
    <n v="2937"/>
    <n v="36"/>
    <n v="188"/>
    <n v="817"/>
    <n v="315"/>
  </r>
  <r>
    <x v="10"/>
    <n v="3581"/>
    <n v="2872"/>
    <n v="54"/>
    <n v="182"/>
    <n v="835"/>
    <n v="303"/>
  </r>
  <r>
    <x v="11"/>
    <n v="3530"/>
    <n v="2758"/>
    <n v="53"/>
    <n v="174"/>
    <n v="920"/>
    <n v="277"/>
  </r>
  <r>
    <x v="12"/>
    <n v="3490"/>
    <n v="2735"/>
    <n v="55"/>
    <n v="172"/>
    <n v="901"/>
    <n v="266"/>
  </r>
  <r>
    <x v="13"/>
    <n v="3422"/>
    <n v="2708"/>
    <n v="55"/>
    <n v="171"/>
    <n v="887"/>
    <n v="269"/>
  </r>
  <r>
    <x v="14"/>
    <n v="3430"/>
    <n v="2705"/>
    <n v="60"/>
    <n v="171"/>
    <n v="917"/>
    <n v="273"/>
  </r>
  <r>
    <x v="15"/>
    <n v="3431"/>
    <n v="2747"/>
    <n v="60"/>
    <n v="177"/>
    <n v="922"/>
    <n v="252"/>
  </r>
</pivotCacheRecords>
</file>

<file path=xl/pivotCache/pivotCacheRecords62.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232">
  <r>
    <x v="0"/>
    <m/>
    <x v="0"/>
    <n v="75"/>
    <n v="7"/>
    <n v="8"/>
    <n v="7"/>
    <n v="23"/>
    <n v="9"/>
    <n v="129"/>
  </r>
  <r>
    <x v="1"/>
    <m/>
    <x v="0"/>
    <n v="72"/>
    <n v="6"/>
    <n v="8"/>
    <n v="7"/>
    <n v="20"/>
    <n v="10"/>
    <n v="123"/>
  </r>
  <r>
    <x v="2"/>
    <m/>
    <x v="0"/>
    <n v="80"/>
    <n v="6"/>
    <n v="7"/>
    <n v="7"/>
    <n v="20"/>
    <n v="10"/>
    <n v="130"/>
  </r>
  <r>
    <x v="3"/>
    <m/>
    <x v="0"/>
    <n v="75"/>
    <n v="6"/>
    <n v="4"/>
    <n v="7"/>
    <n v="20"/>
    <n v="12"/>
    <n v="124"/>
  </r>
  <r>
    <x v="4"/>
    <m/>
    <x v="0"/>
    <n v="72"/>
    <n v="6"/>
    <n v="4"/>
    <n v="8"/>
    <n v="20"/>
    <n v="13"/>
    <n v="123"/>
  </r>
  <r>
    <x v="5"/>
    <m/>
    <x v="0"/>
    <n v="74"/>
    <n v="5"/>
    <n v="4"/>
    <n v="8"/>
    <n v="20"/>
    <n v="11"/>
    <n v="122"/>
  </r>
  <r>
    <x v="6"/>
    <m/>
    <x v="0"/>
    <n v="146"/>
    <n v="10"/>
    <n v="8"/>
    <n v="16"/>
    <n v="40"/>
    <n v="22"/>
    <n v="242"/>
  </r>
  <r>
    <x v="7"/>
    <m/>
    <x v="0"/>
    <n v="73"/>
    <n v="5"/>
    <n v="3"/>
    <n v="8"/>
    <n v="22"/>
    <n v="11"/>
    <n v="122"/>
  </r>
  <r>
    <x v="0"/>
    <s v="S12000033"/>
    <x v="1"/>
    <n v="8"/>
    <n v="2"/>
    <n v="6"/>
    <n v="1"/>
    <n v="0"/>
    <n v="2"/>
    <n v="19"/>
  </r>
  <r>
    <x v="1"/>
    <s v="S12000033"/>
    <x v="1"/>
    <n v="9"/>
    <n v="1"/>
    <n v="6"/>
    <n v="1"/>
    <n v="0"/>
    <n v="4"/>
    <n v="21"/>
  </r>
  <r>
    <x v="2"/>
    <s v="S12000033"/>
    <x v="1"/>
    <n v="7"/>
    <n v="1"/>
    <n v="6"/>
    <n v="2"/>
    <n v="0"/>
    <n v="2"/>
    <n v="18"/>
  </r>
  <r>
    <x v="3"/>
    <s v="S12000033"/>
    <x v="1"/>
    <n v="7"/>
    <n v="1"/>
    <n v="4"/>
    <n v="2"/>
    <n v="0"/>
    <n v="4"/>
    <n v="18"/>
  </r>
  <r>
    <x v="4"/>
    <s v="S12000033"/>
    <x v="1"/>
    <n v="7"/>
    <n v="1"/>
    <n v="4"/>
    <n v="2"/>
    <n v="0"/>
    <n v="4"/>
    <n v="18"/>
  </r>
  <r>
    <x v="5"/>
    <s v="S12000033"/>
    <x v="1"/>
    <n v="7"/>
    <n v="1"/>
    <n v="3"/>
    <n v="2"/>
    <n v="0"/>
    <n v="4"/>
    <n v="17"/>
  </r>
  <r>
    <x v="6"/>
    <s v="S12000033"/>
    <x v="1"/>
    <n v="14"/>
    <n v="2"/>
    <n v="6"/>
    <n v="4"/>
    <n v="0"/>
    <n v="8"/>
    <n v="34"/>
  </r>
  <r>
    <x v="7"/>
    <s v="S12000033"/>
    <x v="1"/>
    <n v="7"/>
    <n v="1"/>
    <n v="3"/>
    <n v="2"/>
    <n v="0"/>
    <n v="4"/>
    <n v="17"/>
  </r>
  <r>
    <x v="0"/>
    <s v="S12000034"/>
    <x v="2"/>
    <n v="31"/>
    <n v="0"/>
    <n v="1"/>
    <n v="0"/>
    <n v="0"/>
    <n v="5"/>
    <n v="37"/>
  </r>
  <r>
    <x v="1"/>
    <s v="S12000034"/>
    <x v="2"/>
    <n v="31"/>
    <n v="0"/>
    <n v="1"/>
    <n v="1"/>
    <n v="0"/>
    <n v="5"/>
    <n v="38"/>
  </r>
  <r>
    <x v="2"/>
    <s v="S12000034"/>
    <x v="2"/>
    <n v="31"/>
    <n v="0"/>
    <n v="1"/>
    <n v="0"/>
    <n v="0"/>
    <n v="4"/>
    <n v="36"/>
  </r>
  <r>
    <x v="3"/>
    <s v="S12000034"/>
    <x v="2"/>
    <n v="31"/>
    <n v="0"/>
    <n v="1"/>
    <n v="0"/>
    <n v="0"/>
    <n v="4"/>
    <n v="36"/>
  </r>
  <r>
    <x v="4"/>
    <s v="S12000034"/>
    <x v="2"/>
    <n v="32"/>
    <n v="0"/>
    <n v="1"/>
    <n v="0"/>
    <n v="0"/>
    <n v="4"/>
    <n v="37"/>
  </r>
  <r>
    <x v="5"/>
    <s v="S12000034"/>
    <x v="2"/>
    <n v="31"/>
    <n v="0"/>
    <n v="1"/>
    <n v="0"/>
    <n v="0"/>
    <n v="3"/>
    <n v="35"/>
  </r>
  <r>
    <x v="6"/>
    <s v="S12000034"/>
    <x v="2"/>
    <n v="63"/>
    <n v="0"/>
    <n v="2"/>
    <n v="0"/>
    <n v="0"/>
    <n v="10"/>
    <n v="75"/>
  </r>
  <r>
    <x v="7"/>
    <s v="S12000034"/>
    <x v="2"/>
    <n v="31"/>
    <n v="0"/>
    <n v="1"/>
    <n v="0"/>
    <n v="0"/>
    <n v="6"/>
    <n v="38"/>
  </r>
  <r>
    <x v="0"/>
    <s v="S12000041"/>
    <x v="3"/>
    <n v="11"/>
    <n v="0"/>
    <n v="1"/>
    <n v="0"/>
    <n v="0"/>
    <n v="1"/>
    <n v="13"/>
  </r>
  <r>
    <x v="1"/>
    <s v="S12000041"/>
    <x v="3"/>
    <n v="11"/>
    <n v="0"/>
    <n v="1"/>
    <n v="0"/>
    <n v="0"/>
    <n v="1"/>
    <n v="13"/>
  </r>
  <r>
    <x v="2"/>
    <s v="S12000041"/>
    <x v="3"/>
    <n v="11"/>
    <n v="0"/>
    <n v="1"/>
    <n v="0"/>
    <n v="0"/>
    <n v="1"/>
    <n v="13"/>
  </r>
  <r>
    <x v="3"/>
    <s v="S12000041"/>
    <x v="3"/>
    <n v="11"/>
    <n v="0"/>
    <n v="1"/>
    <n v="0"/>
    <n v="0"/>
    <n v="1"/>
    <n v="13"/>
  </r>
  <r>
    <x v="4"/>
    <s v="S12000041"/>
    <x v="3"/>
    <n v="11"/>
    <n v="0"/>
    <n v="1"/>
    <n v="0"/>
    <n v="0"/>
    <n v="1"/>
    <n v="13"/>
  </r>
  <r>
    <x v="5"/>
    <s v="S12000041"/>
    <x v="3"/>
    <n v="12"/>
    <n v="0"/>
    <n v="1"/>
    <n v="0"/>
    <n v="0"/>
    <n v="1"/>
    <n v="14"/>
  </r>
  <r>
    <x v="6"/>
    <s v="S12000041"/>
    <x v="3"/>
    <n v="22"/>
    <n v="0"/>
    <n v="0"/>
    <n v="0"/>
    <n v="0"/>
    <n v="2"/>
    <n v="24"/>
  </r>
  <r>
    <x v="7"/>
    <s v="S12000041"/>
    <x v="3"/>
    <n v="11"/>
    <n v="0"/>
    <n v="1"/>
    <n v="0"/>
    <n v="0"/>
    <n v="1"/>
    <n v="13"/>
  </r>
  <r>
    <x v="0"/>
    <s v="S12000005"/>
    <x v="4"/>
    <n v="3"/>
    <n v="0"/>
    <n v="0"/>
    <n v="1"/>
    <n v="0"/>
    <n v="1"/>
    <n v="5"/>
  </r>
  <r>
    <x v="1"/>
    <s v="S12000005"/>
    <x v="4"/>
    <n v="2"/>
    <n v="0"/>
    <n v="0"/>
    <n v="1"/>
    <n v="0"/>
    <n v="1"/>
    <n v="4"/>
  </r>
  <r>
    <x v="2"/>
    <s v="S12000005"/>
    <x v="4"/>
    <n v="3"/>
    <n v="0"/>
    <n v="0"/>
    <n v="1"/>
    <n v="0"/>
    <n v="1"/>
    <n v="5"/>
  </r>
  <r>
    <x v="3"/>
    <s v="S12000005"/>
    <x v="4"/>
    <n v="3"/>
    <n v="0"/>
    <n v="0"/>
    <n v="1"/>
    <n v="0"/>
    <n v="1"/>
    <n v="5"/>
  </r>
  <r>
    <x v="4"/>
    <s v="S12000005"/>
    <x v="4"/>
    <n v="3"/>
    <n v="0"/>
    <n v="0"/>
    <n v="0"/>
    <n v="0"/>
    <n v="1"/>
    <n v="4"/>
  </r>
  <r>
    <x v="5"/>
    <s v="S12000005"/>
    <x v="4"/>
    <n v="3"/>
    <n v="0"/>
    <n v="0"/>
    <n v="0"/>
    <n v="0"/>
    <n v="1"/>
    <n v="4"/>
  </r>
  <r>
    <x v="6"/>
    <s v="S12000005"/>
    <x v="4"/>
    <n v="6"/>
    <n v="0"/>
    <n v="0"/>
    <n v="0"/>
    <n v="0"/>
    <n v="2"/>
    <n v="8"/>
  </r>
  <r>
    <x v="7"/>
    <s v="S12000005"/>
    <x v="4"/>
    <n v="3"/>
    <n v="0"/>
    <n v="0"/>
    <n v="0"/>
    <n v="0"/>
    <n v="1"/>
    <n v="4"/>
  </r>
  <r>
    <x v="0"/>
    <s v="S12000042"/>
    <x v="5"/>
    <n v="7"/>
    <n v="2"/>
    <n v="8"/>
    <n v="1"/>
    <n v="0"/>
    <n v="2"/>
    <n v="20"/>
  </r>
  <r>
    <x v="1"/>
    <s v="S12000042"/>
    <x v="5"/>
    <n v="7"/>
    <n v="2"/>
    <n v="7"/>
    <n v="1"/>
    <n v="0"/>
    <n v="2"/>
    <n v="19"/>
  </r>
  <r>
    <x v="2"/>
    <s v="S12000042"/>
    <x v="5"/>
    <n v="7"/>
    <n v="2"/>
    <n v="8"/>
    <n v="1"/>
    <n v="0"/>
    <n v="2"/>
    <n v="20"/>
  </r>
  <r>
    <x v="3"/>
    <s v="S12000042"/>
    <x v="5"/>
    <n v="7"/>
    <n v="2"/>
    <n v="2"/>
    <n v="1"/>
    <n v="0"/>
    <n v="7"/>
    <n v="19"/>
  </r>
  <r>
    <x v="4"/>
    <s v="S12000042"/>
    <x v="5"/>
    <n v="7"/>
    <n v="2"/>
    <n v="2"/>
    <n v="1"/>
    <n v="0"/>
    <n v="7"/>
    <n v="19"/>
  </r>
  <r>
    <x v="5"/>
    <s v="S12000042"/>
    <x v="5"/>
    <n v="7"/>
    <n v="1"/>
    <n v="2"/>
    <n v="1"/>
    <n v="0"/>
    <n v="7"/>
    <n v="18"/>
  </r>
  <r>
    <x v="6"/>
    <s v="S12000042"/>
    <x v="5"/>
    <n v="14"/>
    <n v="2"/>
    <n v="4"/>
    <n v="2"/>
    <n v="0"/>
    <n v="12"/>
    <n v="34"/>
  </r>
  <r>
    <x v="7"/>
    <s v="S12000042"/>
    <x v="5"/>
    <n v="7"/>
    <n v="1"/>
    <n v="1"/>
    <n v="1"/>
    <n v="0"/>
    <n v="6"/>
    <n v="16"/>
  </r>
  <r>
    <x v="0"/>
    <s v="S12000008"/>
    <x v="6"/>
    <n v="9"/>
    <n v="1"/>
    <n v="1"/>
    <n v="0"/>
    <n v="0"/>
    <n v="0"/>
    <n v="11"/>
  </r>
  <r>
    <x v="1"/>
    <s v="S12000008"/>
    <x v="6"/>
    <n v="9"/>
    <n v="1"/>
    <n v="1"/>
    <n v="0"/>
    <n v="0"/>
    <n v="0"/>
    <n v="11"/>
  </r>
  <r>
    <x v="2"/>
    <s v="S12000008"/>
    <x v="6"/>
    <n v="10"/>
    <n v="1"/>
    <n v="1"/>
    <n v="0"/>
    <n v="0"/>
    <n v="0"/>
    <n v="12"/>
  </r>
  <r>
    <x v="3"/>
    <s v="S12000008"/>
    <x v="6"/>
    <n v="9"/>
    <n v="1"/>
    <n v="1"/>
    <n v="0"/>
    <n v="0"/>
    <n v="0"/>
    <n v="11"/>
  </r>
  <r>
    <x v="4"/>
    <s v="S12000008"/>
    <x v="6"/>
    <n v="9"/>
    <n v="1"/>
    <n v="1"/>
    <n v="0"/>
    <n v="0"/>
    <n v="0"/>
    <n v="11"/>
  </r>
  <r>
    <x v="5"/>
    <s v="S12000008"/>
    <x v="6"/>
    <n v="9"/>
    <n v="1"/>
    <n v="1"/>
    <n v="0"/>
    <n v="0"/>
    <n v="0"/>
    <n v="11"/>
  </r>
  <r>
    <x v="6"/>
    <s v="S12000008"/>
    <x v="6"/>
    <n v="18"/>
    <n v="2"/>
    <n v="2"/>
    <n v="0"/>
    <n v="0"/>
    <n v="0"/>
    <n v="22"/>
  </r>
  <r>
    <x v="7"/>
    <s v="S12000008"/>
    <x v="6"/>
    <n v="10"/>
    <n v="1"/>
    <n v="1"/>
    <n v="0"/>
    <n v="0"/>
    <n v="0"/>
    <n v="12"/>
  </r>
  <r>
    <x v="0"/>
    <s v="S12000045"/>
    <x v="7"/>
    <n v="3"/>
    <n v="0"/>
    <n v="2"/>
    <n v="0"/>
    <n v="0"/>
    <n v="0"/>
    <n v="5"/>
  </r>
  <r>
    <x v="1"/>
    <s v="S12000045"/>
    <x v="7"/>
    <n v="3"/>
    <n v="0"/>
    <n v="2"/>
    <n v="0"/>
    <n v="0"/>
    <n v="0"/>
    <n v="5"/>
  </r>
  <r>
    <x v="2"/>
    <s v="S12000045"/>
    <x v="7"/>
    <n v="3"/>
    <n v="0"/>
    <n v="2"/>
    <n v="0"/>
    <n v="0"/>
    <n v="0"/>
    <n v="5"/>
  </r>
  <r>
    <x v="3"/>
    <s v="S12000045"/>
    <x v="7"/>
    <n v="3"/>
    <n v="0"/>
    <n v="2"/>
    <n v="0"/>
    <n v="0"/>
    <n v="0"/>
    <n v="5"/>
  </r>
  <r>
    <x v="4"/>
    <s v="S12000045"/>
    <x v="7"/>
    <n v="3"/>
    <n v="0"/>
    <n v="2"/>
    <n v="0"/>
    <n v="0"/>
    <n v="0"/>
    <n v="5"/>
  </r>
  <r>
    <x v="5"/>
    <s v="S12000045"/>
    <x v="7"/>
    <n v="3"/>
    <n v="0"/>
    <n v="2"/>
    <n v="0"/>
    <n v="0"/>
    <n v="1"/>
    <n v="6"/>
  </r>
  <r>
    <x v="6"/>
    <s v="S12000045"/>
    <x v="7"/>
    <n v="6"/>
    <n v="0"/>
    <n v="3"/>
    <n v="0"/>
    <n v="0"/>
    <n v="2"/>
    <n v="11"/>
  </r>
  <r>
    <x v="7"/>
    <s v="S12000045"/>
    <x v="7"/>
    <n v="3"/>
    <n v="0"/>
    <n v="1"/>
    <n v="0"/>
    <n v="0"/>
    <n v="1"/>
    <n v="5"/>
  </r>
  <r>
    <x v="0"/>
    <s v="S12000010"/>
    <x v="8"/>
    <n v="9"/>
    <n v="0"/>
    <n v="0"/>
    <n v="0"/>
    <n v="0"/>
    <n v="0"/>
    <n v="9"/>
  </r>
  <r>
    <x v="1"/>
    <s v="S12000010"/>
    <x v="8"/>
    <n v="9"/>
    <n v="0"/>
    <n v="0"/>
    <n v="0"/>
    <n v="0"/>
    <n v="1"/>
    <n v="10"/>
  </r>
  <r>
    <x v="2"/>
    <s v="S12000010"/>
    <x v="8"/>
    <n v="9"/>
    <n v="0"/>
    <n v="0"/>
    <n v="0"/>
    <n v="0"/>
    <n v="1"/>
    <n v="10"/>
  </r>
  <r>
    <x v="3"/>
    <s v="S12000010"/>
    <x v="8"/>
    <n v="8"/>
    <n v="0"/>
    <n v="0"/>
    <n v="0"/>
    <n v="0"/>
    <n v="1"/>
    <n v="9"/>
  </r>
  <r>
    <x v="4"/>
    <s v="S12000010"/>
    <x v="8"/>
    <n v="8"/>
    <n v="0"/>
    <n v="0"/>
    <n v="0"/>
    <n v="0"/>
    <n v="0"/>
    <n v="8"/>
  </r>
  <r>
    <x v="5"/>
    <s v="S12000010"/>
    <x v="8"/>
    <n v="8"/>
    <n v="0"/>
    <n v="0"/>
    <n v="0"/>
    <n v="0"/>
    <n v="0"/>
    <n v="8"/>
  </r>
  <r>
    <x v="6"/>
    <s v="S12000010"/>
    <x v="8"/>
    <n v="16"/>
    <n v="0"/>
    <n v="0"/>
    <n v="0"/>
    <n v="0"/>
    <n v="2"/>
    <n v="18"/>
  </r>
  <r>
    <x v="7"/>
    <s v="S12000010"/>
    <x v="8"/>
    <n v="8"/>
    <n v="0"/>
    <n v="0"/>
    <n v="0"/>
    <n v="0"/>
    <n v="2"/>
    <n v="10"/>
  </r>
  <r>
    <x v="0"/>
    <s v="S12000011"/>
    <x v="9"/>
    <n v="2"/>
    <n v="0"/>
    <n v="0"/>
    <n v="0"/>
    <n v="0"/>
    <n v="0"/>
    <n v="2"/>
  </r>
  <r>
    <x v="1"/>
    <s v="S12000011"/>
    <x v="9"/>
    <n v="2"/>
    <n v="0"/>
    <n v="0"/>
    <n v="0"/>
    <n v="0"/>
    <n v="0"/>
    <n v="2"/>
  </r>
  <r>
    <x v="2"/>
    <s v="S12000011"/>
    <x v="9"/>
    <n v="2"/>
    <n v="0"/>
    <n v="0"/>
    <n v="0"/>
    <n v="0"/>
    <n v="0"/>
    <n v="2"/>
  </r>
  <r>
    <x v="3"/>
    <s v="S12000011"/>
    <x v="9"/>
    <n v="2"/>
    <n v="0"/>
    <n v="0"/>
    <n v="0"/>
    <n v="0"/>
    <n v="1"/>
    <n v="3"/>
  </r>
  <r>
    <x v="4"/>
    <s v="S12000011"/>
    <x v="9"/>
    <n v="2"/>
    <n v="0"/>
    <n v="0"/>
    <n v="0"/>
    <n v="0"/>
    <n v="0"/>
    <n v="2"/>
  </r>
  <r>
    <x v="5"/>
    <s v="S12000011"/>
    <x v="9"/>
    <n v="2"/>
    <n v="0"/>
    <n v="0"/>
    <n v="0"/>
    <n v="0"/>
    <n v="0"/>
    <n v="2"/>
  </r>
  <r>
    <x v="6"/>
    <s v="S12000011"/>
    <x v="9"/>
    <n v="4"/>
    <n v="0"/>
    <n v="0"/>
    <n v="0"/>
    <n v="0"/>
    <n v="0"/>
    <n v="4"/>
  </r>
  <r>
    <x v="7"/>
    <s v="S12000011"/>
    <x v="9"/>
    <n v="2"/>
    <n v="0"/>
    <n v="0"/>
    <n v="0"/>
    <n v="0"/>
    <n v="0"/>
    <n v="2"/>
  </r>
  <r>
    <x v="0"/>
    <s v="S12000014"/>
    <x v="10"/>
    <n v="10"/>
    <n v="1"/>
    <n v="2"/>
    <n v="0"/>
    <n v="0"/>
    <n v="4"/>
    <n v="17"/>
  </r>
  <r>
    <x v="1"/>
    <s v="S12000014"/>
    <x v="10"/>
    <n v="9"/>
    <n v="2"/>
    <n v="2"/>
    <n v="0"/>
    <n v="0"/>
    <n v="5"/>
    <n v="18"/>
  </r>
  <r>
    <x v="2"/>
    <s v="S12000014"/>
    <x v="10"/>
    <n v="9"/>
    <n v="1"/>
    <n v="2"/>
    <n v="0"/>
    <n v="0"/>
    <n v="4"/>
    <n v="16"/>
  </r>
  <r>
    <x v="3"/>
    <s v="S12000014"/>
    <x v="10"/>
    <n v="9"/>
    <n v="1"/>
    <n v="1"/>
    <n v="0"/>
    <n v="0"/>
    <n v="5"/>
    <n v="16"/>
  </r>
  <r>
    <x v="4"/>
    <s v="S12000014"/>
    <x v="10"/>
    <n v="9"/>
    <n v="1"/>
    <n v="1"/>
    <n v="0"/>
    <n v="0"/>
    <n v="5"/>
    <n v="16"/>
  </r>
  <r>
    <x v="5"/>
    <s v="S12000014"/>
    <x v="10"/>
    <n v="9"/>
    <n v="1"/>
    <n v="1"/>
    <n v="0"/>
    <n v="0"/>
    <n v="5"/>
    <n v="16"/>
  </r>
  <r>
    <x v="6"/>
    <s v="S12000014"/>
    <x v="10"/>
    <n v="18"/>
    <n v="2"/>
    <n v="2"/>
    <n v="0"/>
    <n v="0"/>
    <n v="9"/>
    <n v="31"/>
  </r>
  <r>
    <x v="7"/>
    <s v="S12000014"/>
    <x v="10"/>
    <n v="9"/>
    <n v="1"/>
    <n v="1"/>
    <n v="0"/>
    <n v="0"/>
    <n v="3"/>
    <n v="14"/>
  </r>
  <r>
    <x v="0"/>
    <s v="S12000047"/>
    <x v="11"/>
    <n v="21"/>
    <n v="2"/>
    <n v="2"/>
    <n v="1"/>
    <n v="0"/>
    <n v="5"/>
    <n v="31"/>
  </r>
  <r>
    <x v="1"/>
    <s v="S12000047"/>
    <x v="11"/>
    <n v="19"/>
    <n v="2"/>
    <n v="2"/>
    <n v="2"/>
    <n v="0"/>
    <n v="5"/>
    <n v="30"/>
  </r>
  <r>
    <x v="2"/>
    <s v="S12000047"/>
    <x v="11"/>
    <n v="20"/>
    <n v="2"/>
    <n v="2"/>
    <n v="2"/>
    <n v="0"/>
    <n v="4"/>
    <n v="30"/>
  </r>
  <r>
    <x v="3"/>
    <s v="S12000047"/>
    <x v="11"/>
    <n v="21"/>
    <n v="2"/>
    <n v="0"/>
    <n v="2"/>
    <n v="0"/>
    <n v="6"/>
    <n v="31"/>
  </r>
  <r>
    <x v="4"/>
    <s v="S12000047"/>
    <x v="11"/>
    <n v="20"/>
    <n v="2"/>
    <n v="0"/>
    <n v="2"/>
    <n v="0"/>
    <n v="6"/>
    <n v="30"/>
  </r>
  <r>
    <x v="5"/>
    <s v="S12000047"/>
    <x v="11"/>
    <n v="18"/>
    <n v="1"/>
    <n v="0"/>
    <n v="2"/>
    <n v="0"/>
    <n v="5"/>
    <n v="26"/>
  </r>
  <r>
    <x v="6"/>
    <s v="S12000047"/>
    <x v="11"/>
    <n v="36"/>
    <n v="2"/>
    <n v="0"/>
    <n v="4"/>
    <n v="0"/>
    <n v="7"/>
    <n v="49"/>
  </r>
  <r>
    <x v="7"/>
    <s v="S12000047"/>
    <x v="11"/>
    <n v="18"/>
    <n v="1"/>
    <n v="0"/>
    <n v="2"/>
    <n v="0"/>
    <n v="2"/>
    <n v="23"/>
  </r>
  <r>
    <x v="0"/>
    <s v="S12000049"/>
    <x v="12"/>
    <n v="18"/>
    <n v="4"/>
    <n v="0"/>
    <n v="3"/>
    <n v="0"/>
    <n v="3"/>
    <n v="28"/>
  </r>
  <r>
    <x v="1"/>
    <s v="S12000049"/>
    <x v="12"/>
    <n v="19"/>
    <n v="3"/>
    <n v="0"/>
    <n v="3"/>
    <n v="0"/>
    <n v="3"/>
    <n v="28"/>
  </r>
  <r>
    <x v="2"/>
    <s v="S12000049"/>
    <x v="12"/>
    <n v="29"/>
    <n v="3"/>
    <n v="0"/>
    <n v="3"/>
    <n v="0"/>
    <n v="4"/>
    <n v="39"/>
  </r>
  <r>
    <x v="3"/>
    <s v="S12000049"/>
    <x v="12"/>
    <n v="19"/>
    <n v="3"/>
    <n v="0"/>
    <n v="3"/>
    <n v="0"/>
    <n v="6"/>
    <n v="31"/>
  </r>
  <r>
    <x v="4"/>
    <s v="S12000049"/>
    <x v="12"/>
    <n v="19"/>
    <n v="3"/>
    <n v="0"/>
    <n v="3"/>
    <n v="0"/>
    <n v="6"/>
    <n v="31"/>
  </r>
  <r>
    <x v="5"/>
    <s v="S12000049"/>
    <x v="12"/>
    <n v="17"/>
    <n v="2"/>
    <n v="0"/>
    <n v="3"/>
    <n v="0"/>
    <n v="5"/>
    <n v="27"/>
  </r>
  <r>
    <x v="6"/>
    <s v="S12000049"/>
    <x v="12"/>
    <n v="34"/>
    <n v="4"/>
    <n v="0"/>
    <n v="6"/>
    <n v="0"/>
    <n v="10"/>
    <n v="54"/>
  </r>
  <r>
    <x v="7"/>
    <s v="S12000049"/>
    <x v="12"/>
    <n v="17"/>
    <n v="2"/>
    <n v="0"/>
    <n v="3"/>
    <n v="0"/>
    <n v="4"/>
    <n v="26"/>
  </r>
  <r>
    <x v="0"/>
    <s v="S12000017"/>
    <x v="13"/>
    <n v="68"/>
    <n v="1"/>
    <n v="4"/>
    <n v="2"/>
    <n v="8"/>
    <n v="5"/>
    <n v="88"/>
  </r>
  <r>
    <x v="1"/>
    <s v="S12000017"/>
    <x v="13"/>
    <n v="65"/>
    <n v="2"/>
    <n v="3"/>
    <n v="3"/>
    <n v="8"/>
    <n v="2"/>
    <n v="83"/>
  </r>
  <r>
    <x v="2"/>
    <s v="S12000017"/>
    <x v="13"/>
    <n v="65"/>
    <n v="1"/>
    <n v="2"/>
    <n v="3"/>
    <n v="3"/>
    <n v="2"/>
    <n v="76"/>
  </r>
  <r>
    <x v="3"/>
    <s v="S12000017"/>
    <x v="13"/>
    <n v="65"/>
    <n v="1"/>
    <n v="1"/>
    <n v="3"/>
    <n v="2"/>
    <n v="2"/>
    <n v="74"/>
  </r>
  <r>
    <x v="4"/>
    <s v="S12000017"/>
    <x v="13"/>
    <n v="65"/>
    <n v="1"/>
    <n v="1"/>
    <n v="3"/>
    <n v="3"/>
    <n v="2"/>
    <n v="75"/>
  </r>
  <r>
    <x v="5"/>
    <s v="S12000017"/>
    <x v="13"/>
    <n v="64"/>
    <n v="1"/>
    <n v="2"/>
    <n v="3"/>
    <n v="6"/>
    <n v="2"/>
    <n v="78"/>
  </r>
  <r>
    <x v="6"/>
    <s v="S12000017"/>
    <x v="13"/>
    <n v="128"/>
    <n v="2"/>
    <n v="2"/>
    <n v="6"/>
    <n v="10"/>
    <n v="12"/>
    <n v="160"/>
  </r>
  <r>
    <x v="7"/>
    <s v="S12000017"/>
    <x v="13"/>
    <n v="63"/>
    <n v="1"/>
    <n v="1"/>
    <n v="3"/>
    <n v="5"/>
    <n v="6"/>
    <n v="79"/>
  </r>
  <r>
    <x v="0"/>
    <s v="S12000018"/>
    <x v="14"/>
    <n v="7"/>
    <n v="1"/>
    <n v="0"/>
    <n v="0"/>
    <n v="0"/>
    <n v="0"/>
    <n v="8"/>
  </r>
  <r>
    <x v="1"/>
    <s v="S12000018"/>
    <x v="14"/>
    <n v="6"/>
    <n v="1"/>
    <n v="0"/>
    <n v="0"/>
    <n v="0"/>
    <n v="0"/>
    <n v="7"/>
  </r>
  <r>
    <x v="2"/>
    <s v="S12000018"/>
    <x v="14"/>
    <n v="6"/>
    <n v="1"/>
    <n v="0"/>
    <n v="0"/>
    <n v="0"/>
    <n v="0"/>
    <n v="7"/>
  </r>
  <r>
    <x v="3"/>
    <s v="S12000018"/>
    <x v="14"/>
    <n v="6"/>
    <n v="1"/>
    <n v="0"/>
    <n v="0"/>
    <n v="0"/>
    <n v="0"/>
    <n v="7"/>
  </r>
  <r>
    <x v="4"/>
    <s v="S12000018"/>
    <x v="14"/>
    <n v="6"/>
    <n v="1"/>
    <n v="0"/>
    <n v="0"/>
    <n v="0"/>
    <n v="0"/>
    <n v="7"/>
  </r>
  <r>
    <x v="5"/>
    <s v="S12000018"/>
    <x v="14"/>
    <n v="6"/>
    <n v="1"/>
    <n v="0"/>
    <n v="0"/>
    <n v="0"/>
    <n v="0"/>
    <n v="7"/>
  </r>
  <r>
    <x v="6"/>
    <s v="S12000018"/>
    <x v="14"/>
    <n v="12"/>
    <n v="2"/>
    <n v="0"/>
    <n v="0"/>
    <n v="0"/>
    <n v="0"/>
    <n v="14"/>
  </r>
  <r>
    <x v="7"/>
    <s v="S12000018"/>
    <x v="14"/>
    <n v="6"/>
    <n v="1"/>
    <n v="0"/>
    <n v="0"/>
    <n v="0"/>
    <n v="0"/>
    <n v="7"/>
  </r>
  <r>
    <x v="0"/>
    <s v="S12000019"/>
    <x v="15"/>
    <n v="2"/>
    <n v="0"/>
    <n v="0"/>
    <n v="0"/>
    <n v="0"/>
    <n v="1"/>
    <n v="3"/>
  </r>
  <r>
    <x v="1"/>
    <s v="S12000019"/>
    <x v="15"/>
    <n v="2"/>
    <n v="0"/>
    <n v="0"/>
    <n v="0"/>
    <n v="0"/>
    <n v="1"/>
    <n v="3"/>
  </r>
  <r>
    <x v="2"/>
    <s v="S12000019"/>
    <x v="15"/>
    <n v="3"/>
    <n v="0"/>
    <n v="0"/>
    <n v="0"/>
    <n v="0"/>
    <n v="1"/>
    <n v="4"/>
  </r>
  <r>
    <x v="3"/>
    <s v="S12000019"/>
    <x v="15"/>
    <n v="2"/>
    <n v="0"/>
    <n v="0"/>
    <n v="0"/>
    <n v="0"/>
    <n v="1"/>
    <n v="3"/>
  </r>
  <r>
    <x v="4"/>
    <s v="S12000019"/>
    <x v="15"/>
    <n v="2"/>
    <n v="0"/>
    <n v="0"/>
    <n v="0"/>
    <n v="0"/>
    <n v="1"/>
    <n v="3"/>
  </r>
  <r>
    <x v="5"/>
    <s v="S12000019"/>
    <x v="15"/>
    <n v="2"/>
    <n v="0"/>
    <n v="0"/>
    <n v="0"/>
    <n v="0"/>
    <n v="1"/>
    <n v="3"/>
  </r>
  <r>
    <x v="6"/>
    <s v="S12000019"/>
    <x v="15"/>
    <n v="4"/>
    <n v="0"/>
    <n v="0"/>
    <n v="0"/>
    <n v="0"/>
    <n v="2"/>
    <n v="6"/>
  </r>
  <r>
    <x v="7"/>
    <s v="S12000019"/>
    <x v="15"/>
    <n v="2"/>
    <n v="0"/>
    <n v="0"/>
    <n v="0"/>
    <n v="0"/>
    <n v="1"/>
    <n v="3"/>
  </r>
  <r>
    <x v="0"/>
    <s v="S12000020"/>
    <x v="16"/>
    <n v="13"/>
    <n v="0"/>
    <n v="1"/>
    <n v="0"/>
    <n v="2"/>
    <n v="3"/>
    <n v="19"/>
  </r>
  <r>
    <x v="1"/>
    <s v="S12000020"/>
    <x v="16"/>
    <n v="13"/>
    <n v="0"/>
    <n v="1"/>
    <n v="1"/>
    <n v="2"/>
    <n v="3"/>
    <n v="20"/>
  </r>
  <r>
    <x v="2"/>
    <s v="S12000020"/>
    <x v="16"/>
    <n v="13"/>
    <n v="0"/>
    <n v="1"/>
    <n v="1"/>
    <n v="2"/>
    <n v="4"/>
    <n v="21"/>
  </r>
  <r>
    <x v="3"/>
    <s v="S12000020"/>
    <x v="16"/>
    <n v="13"/>
    <n v="0"/>
    <n v="1"/>
    <n v="1"/>
    <n v="2"/>
    <n v="4"/>
    <n v="21"/>
  </r>
  <r>
    <x v="4"/>
    <s v="S12000020"/>
    <x v="16"/>
    <n v="13"/>
    <n v="0"/>
    <n v="1"/>
    <n v="1"/>
    <n v="2"/>
    <n v="4"/>
    <n v="21"/>
  </r>
  <r>
    <x v="5"/>
    <s v="S12000020"/>
    <x v="16"/>
    <n v="13"/>
    <n v="0"/>
    <n v="1"/>
    <n v="1"/>
    <n v="2"/>
    <n v="3"/>
    <n v="20"/>
  </r>
  <r>
    <x v="6"/>
    <s v="S12000020"/>
    <x v="16"/>
    <n v="28"/>
    <n v="0"/>
    <n v="2"/>
    <n v="2"/>
    <n v="4"/>
    <n v="10"/>
    <n v="46"/>
  </r>
  <r>
    <x v="7"/>
    <s v="S12000020"/>
    <x v="16"/>
    <n v="13"/>
    <n v="0"/>
    <n v="1"/>
    <n v="1"/>
    <n v="2"/>
    <n v="5"/>
    <n v="22"/>
  </r>
  <r>
    <x v="0"/>
    <s v="S12000013"/>
    <x v="17"/>
    <n v="17"/>
    <n v="0"/>
    <n v="0"/>
    <n v="0"/>
    <n v="1"/>
    <n v="0"/>
    <n v="18"/>
  </r>
  <r>
    <x v="1"/>
    <s v="S12000013"/>
    <x v="17"/>
    <n v="16"/>
    <n v="0"/>
    <n v="0"/>
    <n v="0"/>
    <n v="1"/>
    <n v="0"/>
    <n v="17"/>
  </r>
  <r>
    <x v="2"/>
    <s v="S12000013"/>
    <x v="17"/>
    <n v="15"/>
    <n v="0"/>
    <n v="0"/>
    <n v="0"/>
    <n v="0"/>
    <n v="0"/>
    <n v="15"/>
  </r>
  <r>
    <x v="3"/>
    <s v="S12000013"/>
    <x v="17"/>
    <n v="16"/>
    <n v="0"/>
    <n v="0"/>
    <n v="0"/>
    <n v="0"/>
    <n v="1"/>
    <n v="17"/>
  </r>
  <r>
    <x v="4"/>
    <s v="S12000013"/>
    <x v="17"/>
    <n v="18"/>
    <n v="0"/>
    <n v="0"/>
    <n v="0"/>
    <n v="0"/>
    <n v="1"/>
    <n v="19"/>
  </r>
  <r>
    <x v="5"/>
    <s v="S12000013"/>
    <x v="17"/>
    <n v="16"/>
    <n v="0"/>
    <n v="0"/>
    <n v="0"/>
    <n v="0"/>
    <n v="1"/>
    <n v="17"/>
  </r>
  <r>
    <x v="6"/>
    <s v="S12000013"/>
    <x v="17"/>
    <n v="28"/>
    <n v="0"/>
    <n v="0"/>
    <n v="0"/>
    <n v="0"/>
    <n v="6"/>
    <n v="34"/>
  </r>
  <r>
    <x v="7"/>
    <s v="S12000013"/>
    <x v="17"/>
    <n v="16"/>
    <n v="0"/>
    <n v="0"/>
    <n v="0"/>
    <n v="0"/>
    <n v="3"/>
    <n v="19"/>
  </r>
  <r>
    <x v="0"/>
    <s v="S12000021"/>
    <x v="18"/>
    <n v="16"/>
    <n v="0"/>
    <n v="1"/>
    <n v="0"/>
    <n v="1"/>
    <n v="2"/>
    <n v="20"/>
  </r>
  <r>
    <x v="1"/>
    <s v="S12000021"/>
    <x v="18"/>
    <n v="16"/>
    <n v="0"/>
    <n v="1"/>
    <n v="0"/>
    <n v="1"/>
    <n v="2"/>
    <n v="20"/>
  </r>
  <r>
    <x v="2"/>
    <s v="S12000021"/>
    <x v="18"/>
    <n v="17"/>
    <n v="0"/>
    <n v="1"/>
    <n v="0"/>
    <n v="1"/>
    <n v="2"/>
    <n v="21"/>
  </r>
  <r>
    <x v="3"/>
    <s v="S12000021"/>
    <x v="18"/>
    <n v="16"/>
    <n v="0"/>
    <n v="1"/>
    <n v="0"/>
    <n v="1"/>
    <n v="2"/>
    <n v="20"/>
  </r>
  <r>
    <x v="4"/>
    <s v="S12000021"/>
    <x v="18"/>
    <n v="16"/>
    <n v="0"/>
    <n v="1"/>
    <n v="0"/>
    <n v="1"/>
    <n v="2"/>
    <n v="20"/>
  </r>
  <r>
    <x v="5"/>
    <s v="S12000021"/>
    <x v="18"/>
    <n v="16"/>
    <n v="0"/>
    <n v="0"/>
    <n v="0"/>
    <n v="1"/>
    <n v="2"/>
    <n v="19"/>
  </r>
  <r>
    <x v="6"/>
    <s v="S12000021"/>
    <x v="18"/>
    <n v="32"/>
    <n v="0"/>
    <n v="0"/>
    <n v="0"/>
    <n v="2"/>
    <n v="8"/>
    <n v="42"/>
  </r>
  <r>
    <x v="7"/>
    <s v="S12000021"/>
    <x v="18"/>
    <n v="15"/>
    <n v="0"/>
    <n v="0"/>
    <n v="0"/>
    <n v="2"/>
    <n v="3"/>
    <n v="20"/>
  </r>
  <r>
    <x v="0"/>
    <s v="S12000050"/>
    <x v="19"/>
    <n v="8"/>
    <n v="2"/>
    <n v="2"/>
    <n v="1"/>
    <n v="0"/>
    <n v="2"/>
    <n v="15"/>
  </r>
  <r>
    <x v="1"/>
    <s v="S12000050"/>
    <x v="19"/>
    <n v="8"/>
    <n v="1"/>
    <n v="2"/>
    <n v="1"/>
    <n v="0"/>
    <n v="3"/>
    <n v="15"/>
  </r>
  <r>
    <x v="2"/>
    <s v="S12000050"/>
    <x v="19"/>
    <n v="8"/>
    <n v="2"/>
    <n v="2"/>
    <n v="1"/>
    <n v="0"/>
    <n v="3"/>
    <n v="16"/>
  </r>
  <r>
    <x v="3"/>
    <s v="S12000050"/>
    <x v="19"/>
    <n v="9"/>
    <n v="2"/>
    <n v="2"/>
    <n v="1"/>
    <n v="0"/>
    <n v="4"/>
    <n v="18"/>
  </r>
  <r>
    <x v="4"/>
    <s v="S12000050"/>
    <x v="19"/>
    <n v="8"/>
    <n v="2"/>
    <n v="2"/>
    <n v="1"/>
    <n v="0"/>
    <n v="4"/>
    <n v="17"/>
  </r>
  <r>
    <x v="5"/>
    <s v="S12000050"/>
    <x v="19"/>
    <n v="9"/>
    <n v="1"/>
    <n v="1"/>
    <n v="1"/>
    <n v="0"/>
    <n v="4"/>
    <n v="16"/>
  </r>
  <r>
    <x v="6"/>
    <s v="S12000050"/>
    <x v="19"/>
    <n v="18"/>
    <n v="2"/>
    <n v="2"/>
    <n v="2"/>
    <n v="0"/>
    <n v="8"/>
    <n v="32"/>
  </r>
  <r>
    <x v="7"/>
    <s v="S12000050"/>
    <x v="19"/>
    <n v="10"/>
    <n v="1"/>
    <n v="1"/>
    <n v="1"/>
    <n v="0"/>
    <n v="4"/>
    <n v="17"/>
  </r>
  <r>
    <x v="0"/>
    <s v="S12000023"/>
    <x v="20"/>
    <n v="14"/>
    <n v="0"/>
    <n v="0"/>
    <n v="0"/>
    <n v="1"/>
    <n v="0"/>
    <n v="15"/>
  </r>
  <r>
    <x v="1"/>
    <s v="S12000023"/>
    <x v="20"/>
    <n v="16"/>
    <n v="0"/>
    <n v="0"/>
    <n v="0"/>
    <n v="1"/>
    <n v="0"/>
    <n v="17"/>
  </r>
  <r>
    <x v="2"/>
    <s v="S12000023"/>
    <x v="20"/>
    <n v="15"/>
    <n v="0"/>
    <n v="0"/>
    <n v="0"/>
    <n v="1"/>
    <n v="0"/>
    <n v="16"/>
  </r>
  <r>
    <x v="3"/>
    <s v="S12000023"/>
    <x v="20"/>
    <n v="15"/>
    <n v="0"/>
    <n v="0"/>
    <n v="0"/>
    <n v="2"/>
    <n v="0"/>
    <n v="17"/>
  </r>
  <r>
    <x v="4"/>
    <s v="S12000023"/>
    <x v="20"/>
    <n v="16"/>
    <n v="0"/>
    <n v="0"/>
    <n v="0"/>
    <n v="2"/>
    <n v="0"/>
    <n v="18"/>
  </r>
  <r>
    <x v="5"/>
    <s v="S12000023"/>
    <x v="20"/>
    <n v="14"/>
    <n v="0"/>
    <n v="0"/>
    <n v="0"/>
    <n v="3"/>
    <n v="0"/>
    <n v="17"/>
  </r>
  <r>
    <x v="6"/>
    <s v="S12000023"/>
    <x v="20"/>
    <n v="30"/>
    <n v="0"/>
    <n v="0"/>
    <n v="0"/>
    <n v="2"/>
    <n v="0"/>
    <n v="32"/>
  </r>
  <r>
    <x v="7"/>
    <s v="S12000023"/>
    <x v="20"/>
    <n v="13"/>
    <n v="0"/>
    <n v="0"/>
    <n v="0"/>
    <n v="1"/>
    <n v="0"/>
    <n v="14"/>
  </r>
  <r>
    <x v="0"/>
    <s v="S12000038"/>
    <x v="21"/>
    <n v="4"/>
    <n v="2"/>
    <n v="0"/>
    <n v="0"/>
    <n v="0"/>
    <n v="4"/>
    <n v="10"/>
  </r>
  <r>
    <x v="1"/>
    <s v="S12000038"/>
    <x v="21"/>
    <n v="4"/>
    <n v="2"/>
    <n v="0"/>
    <n v="0"/>
    <n v="0"/>
    <n v="3"/>
    <n v="9"/>
  </r>
  <r>
    <x v="2"/>
    <s v="S12000038"/>
    <x v="21"/>
    <n v="5"/>
    <n v="2"/>
    <n v="0"/>
    <n v="0"/>
    <n v="0"/>
    <n v="3"/>
    <n v="10"/>
  </r>
  <r>
    <x v="3"/>
    <s v="S12000038"/>
    <x v="21"/>
    <n v="4"/>
    <n v="2"/>
    <n v="0"/>
    <n v="0"/>
    <n v="0"/>
    <n v="2"/>
    <n v="8"/>
  </r>
  <r>
    <x v="4"/>
    <s v="S12000038"/>
    <x v="21"/>
    <n v="4"/>
    <n v="2"/>
    <n v="0"/>
    <n v="0"/>
    <n v="0"/>
    <n v="3"/>
    <n v="9"/>
  </r>
  <r>
    <x v="5"/>
    <s v="S12000038"/>
    <x v="21"/>
    <n v="5"/>
    <n v="1"/>
    <n v="0"/>
    <n v="0"/>
    <n v="0"/>
    <n v="3"/>
    <n v="9"/>
  </r>
  <r>
    <x v="6"/>
    <s v="S12000038"/>
    <x v="21"/>
    <n v="10"/>
    <n v="2"/>
    <n v="0"/>
    <n v="0"/>
    <n v="0"/>
    <n v="7"/>
    <n v="19"/>
  </r>
  <r>
    <x v="7"/>
    <s v="S12000038"/>
    <x v="21"/>
    <n v="5"/>
    <n v="1"/>
    <n v="0"/>
    <n v="0"/>
    <n v="0"/>
    <n v="4"/>
    <n v="10"/>
  </r>
  <r>
    <x v="0"/>
    <s v="S12000026"/>
    <x v="22"/>
    <n v="17"/>
    <n v="0"/>
    <n v="0"/>
    <n v="2"/>
    <n v="0"/>
    <n v="1"/>
    <n v="20"/>
  </r>
  <r>
    <x v="1"/>
    <s v="S12000026"/>
    <x v="22"/>
    <n v="17"/>
    <n v="0"/>
    <n v="0"/>
    <n v="2"/>
    <n v="0"/>
    <n v="1"/>
    <n v="20"/>
  </r>
  <r>
    <x v="2"/>
    <s v="S12000026"/>
    <x v="22"/>
    <n v="17"/>
    <n v="0"/>
    <n v="0"/>
    <n v="2"/>
    <n v="0"/>
    <n v="1"/>
    <n v="20"/>
  </r>
  <r>
    <x v="3"/>
    <s v="S12000026"/>
    <x v="22"/>
    <n v="19"/>
    <n v="0"/>
    <n v="0"/>
    <n v="2"/>
    <n v="0"/>
    <n v="1"/>
    <n v="22"/>
  </r>
  <r>
    <x v="4"/>
    <s v="S12000026"/>
    <x v="22"/>
    <n v="17"/>
    <n v="0"/>
    <n v="0"/>
    <n v="2"/>
    <n v="0"/>
    <n v="2"/>
    <n v="21"/>
  </r>
  <r>
    <x v="5"/>
    <s v="S12000026"/>
    <x v="22"/>
    <n v="18"/>
    <n v="0"/>
    <n v="0"/>
    <n v="2"/>
    <n v="0"/>
    <n v="2"/>
    <n v="22"/>
  </r>
  <r>
    <x v="6"/>
    <s v="S12000026"/>
    <x v="22"/>
    <n v="34"/>
    <n v="0"/>
    <n v="0"/>
    <n v="4"/>
    <n v="0"/>
    <n v="4"/>
    <n v="42"/>
  </r>
  <r>
    <x v="7"/>
    <s v="S12000026"/>
    <x v="22"/>
    <n v="17"/>
    <n v="0"/>
    <n v="0"/>
    <n v="2"/>
    <n v="0"/>
    <n v="2"/>
    <n v="21"/>
  </r>
  <r>
    <x v="0"/>
    <s v="S12000027"/>
    <x v="23"/>
    <n v="16"/>
    <n v="0"/>
    <n v="0"/>
    <n v="0"/>
    <n v="1"/>
    <n v="1"/>
    <n v="18"/>
  </r>
  <r>
    <x v="1"/>
    <s v="S12000027"/>
    <x v="23"/>
    <n v="14"/>
    <n v="0"/>
    <n v="0"/>
    <n v="0"/>
    <n v="1"/>
    <n v="1"/>
    <n v="16"/>
  </r>
  <r>
    <x v="2"/>
    <s v="S12000027"/>
    <x v="23"/>
    <n v="16"/>
    <n v="0"/>
    <n v="0"/>
    <n v="0"/>
    <n v="1"/>
    <n v="1"/>
    <n v="18"/>
  </r>
  <r>
    <x v="3"/>
    <s v="S12000027"/>
    <x v="23"/>
    <n v="15"/>
    <n v="0"/>
    <n v="0"/>
    <n v="0"/>
    <n v="1"/>
    <n v="1"/>
    <n v="17"/>
  </r>
  <r>
    <x v="4"/>
    <s v="S12000027"/>
    <x v="23"/>
    <n v="19"/>
    <n v="0"/>
    <n v="0"/>
    <n v="0"/>
    <n v="1"/>
    <n v="1"/>
    <n v="21"/>
  </r>
  <r>
    <x v="5"/>
    <s v="S12000027"/>
    <x v="23"/>
    <n v="16"/>
    <n v="0"/>
    <n v="0"/>
    <n v="0"/>
    <n v="1"/>
    <n v="1"/>
    <n v="18"/>
  </r>
  <r>
    <x v="6"/>
    <s v="S12000027"/>
    <x v="23"/>
    <n v="32"/>
    <n v="0"/>
    <n v="0"/>
    <n v="0"/>
    <n v="2"/>
    <n v="2"/>
    <n v="36"/>
  </r>
  <r>
    <x v="7"/>
    <s v="S12000027"/>
    <x v="23"/>
    <n v="16"/>
    <n v="0"/>
    <n v="0"/>
    <n v="0"/>
    <n v="1"/>
    <n v="1"/>
    <n v="18"/>
  </r>
  <r>
    <x v="0"/>
    <s v="S12000028"/>
    <x v="24"/>
    <n v="7"/>
    <n v="1"/>
    <n v="0"/>
    <n v="1"/>
    <n v="0"/>
    <n v="0"/>
    <n v="9"/>
  </r>
  <r>
    <x v="1"/>
    <s v="S12000028"/>
    <x v="24"/>
    <n v="7"/>
    <n v="1"/>
    <n v="0"/>
    <n v="1"/>
    <n v="0"/>
    <n v="0"/>
    <n v="9"/>
  </r>
  <r>
    <x v="2"/>
    <s v="S12000028"/>
    <x v="24"/>
    <n v="7"/>
    <n v="1"/>
    <n v="0"/>
    <n v="1"/>
    <n v="0"/>
    <n v="0"/>
    <n v="9"/>
  </r>
  <r>
    <x v="3"/>
    <s v="S12000028"/>
    <x v="24"/>
    <n v="7"/>
    <n v="1"/>
    <n v="0"/>
    <n v="1"/>
    <n v="0"/>
    <n v="0"/>
    <n v="9"/>
  </r>
  <r>
    <x v="4"/>
    <s v="S12000028"/>
    <x v="24"/>
    <n v="7"/>
    <n v="1"/>
    <n v="0"/>
    <n v="1"/>
    <n v="0"/>
    <n v="0"/>
    <n v="9"/>
  </r>
  <r>
    <x v="5"/>
    <s v="S12000028"/>
    <x v="24"/>
    <n v="8"/>
    <n v="0"/>
    <n v="0"/>
    <n v="1"/>
    <n v="0"/>
    <n v="0"/>
    <n v="9"/>
  </r>
  <r>
    <x v="6"/>
    <s v="S12000028"/>
    <x v="24"/>
    <n v="16"/>
    <n v="0"/>
    <n v="0"/>
    <n v="2"/>
    <n v="0"/>
    <n v="0"/>
    <n v="18"/>
  </r>
  <r>
    <x v="7"/>
    <s v="S12000028"/>
    <x v="24"/>
    <n v="8"/>
    <n v="0"/>
    <n v="0"/>
    <n v="1"/>
    <n v="0"/>
    <n v="0"/>
    <n v="9"/>
  </r>
  <r>
    <x v="0"/>
    <s v="S12000029"/>
    <x v="25"/>
    <n v="14"/>
    <n v="1"/>
    <n v="1"/>
    <n v="2"/>
    <n v="0"/>
    <n v="6"/>
    <n v="24"/>
  </r>
  <r>
    <x v="1"/>
    <s v="S12000029"/>
    <x v="25"/>
    <n v="14"/>
    <n v="1"/>
    <n v="1"/>
    <n v="2"/>
    <n v="0"/>
    <n v="5"/>
    <n v="23"/>
  </r>
  <r>
    <x v="2"/>
    <s v="S12000029"/>
    <x v="25"/>
    <n v="15"/>
    <n v="1"/>
    <n v="1"/>
    <n v="2"/>
    <n v="0"/>
    <n v="5"/>
    <n v="24"/>
  </r>
  <r>
    <x v="3"/>
    <s v="S12000029"/>
    <x v="25"/>
    <n v="14"/>
    <n v="1"/>
    <n v="1"/>
    <n v="2"/>
    <n v="0"/>
    <n v="6"/>
    <n v="24"/>
  </r>
  <r>
    <x v="4"/>
    <s v="S12000029"/>
    <x v="25"/>
    <n v="15"/>
    <n v="1"/>
    <n v="1"/>
    <n v="2"/>
    <n v="0"/>
    <n v="5"/>
    <n v="24"/>
  </r>
  <r>
    <x v="5"/>
    <s v="S12000029"/>
    <x v="25"/>
    <n v="15"/>
    <n v="0"/>
    <n v="1"/>
    <n v="2"/>
    <n v="0"/>
    <n v="5"/>
    <n v="23"/>
  </r>
  <r>
    <x v="6"/>
    <s v="S12000029"/>
    <x v="25"/>
    <n v="30"/>
    <n v="0"/>
    <n v="2"/>
    <n v="4"/>
    <n v="0"/>
    <n v="9"/>
    <n v="45"/>
  </r>
  <r>
    <x v="7"/>
    <s v="S12000029"/>
    <x v="25"/>
    <n v="15"/>
    <n v="0"/>
    <n v="1"/>
    <n v="2"/>
    <n v="0"/>
    <n v="3"/>
    <n v="21"/>
  </r>
  <r>
    <x v="0"/>
    <s v="S12000030"/>
    <x v="26"/>
    <n v="9"/>
    <n v="0"/>
    <n v="0"/>
    <n v="1"/>
    <n v="2"/>
    <n v="3"/>
    <n v="15"/>
  </r>
  <r>
    <x v="1"/>
    <s v="S12000030"/>
    <x v="26"/>
    <n v="9"/>
    <n v="0"/>
    <n v="0"/>
    <n v="2"/>
    <n v="2"/>
    <n v="3"/>
    <n v="16"/>
  </r>
  <r>
    <x v="2"/>
    <s v="S12000030"/>
    <x v="26"/>
    <n v="9"/>
    <n v="0"/>
    <n v="0"/>
    <n v="1"/>
    <n v="2"/>
    <n v="3"/>
    <n v="15"/>
  </r>
  <r>
    <x v="3"/>
    <s v="S12000030"/>
    <x v="26"/>
    <n v="9"/>
    <n v="0"/>
    <n v="0"/>
    <n v="1"/>
    <n v="2"/>
    <n v="3"/>
    <n v="15"/>
  </r>
  <r>
    <x v="4"/>
    <s v="S12000030"/>
    <x v="26"/>
    <n v="9"/>
    <n v="0"/>
    <n v="0"/>
    <n v="1"/>
    <n v="2"/>
    <n v="3"/>
    <n v="15"/>
  </r>
  <r>
    <x v="5"/>
    <s v="S12000030"/>
    <x v="26"/>
    <n v="9"/>
    <n v="0"/>
    <n v="0"/>
    <n v="1"/>
    <n v="2"/>
    <n v="4"/>
    <n v="16"/>
  </r>
  <r>
    <x v="6"/>
    <s v="S12000030"/>
    <x v="26"/>
    <n v="18"/>
    <n v="0"/>
    <n v="0"/>
    <n v="2"/>
    <n v="2"/>
    <n v="7"/>
    <n v="29"/>
  </r>
  <r>
    <x v="7"/>
    <s v="S12000030"/>
    <x v="26"/>
    <n v="9"/>
    <n v="0"/>
    <n v="0"/>
    <n v="1"/>
    <n v="1"/>
    <n v="4"/>
    <n v="15"/>
  </r>
  <r>
    <x v="0"/>
    <s v="S12000039"/>
    <x v="27"/>
    <n v="4"/>
    <n v="1"/>
    <n v="1"/>
    <n v="0"/>
    <n v="0"/>
    <n v="1"/>
    <n v="7"/>
  </r>
  <r>
    <x v="1"/>
    <s v="S12000039"/>
    <x v="27"/>
    <n v="4"/>
    <n v="1"/>
    <n v="1"/>
    <n v="0"/>
    <n v="0"/>
    <n v="1"/>
    <n v="7"/>
  </r>
  <r>
    <x v="2"/>
    <s v="S12000039"/>
    <x v="27"/>
    <n v="4"/>
    <n v="1"/>
    <n v="1"/>
    <n v="0"/>
    <n v="0"/>
    <n v="1"/>
    <n v="7"/>
  </r>
  <r>
    <x v="3"/>
    <s v="S12000039"/>
    <x v="27"/>
    <n v="4"/>
    <n v="1"/>
    <n v="1"/>
    <n v="0"/>
    <n v="0"/>
    <n v="1"/>
    <n v="7"/>
  </r>
  <r>
    <x v="4"/>
    <s v="S12000039"/>
    <x v="27"/>
    <n v="4"/>
    <n v="1"/>
    <n v="1"/>
    <n v="0"/>
    <n v="0"/>
    <n v="1"/>
    <n v="7"/>
  </r>
  <r>
    <x v="5"/>
    <s v="S12000039"/>
    <x v="27"/>
    <n v="5"/>
    <n v="0"/>
    <n v="1"/>
    <n v="0"/>
    <n v="0"/>
    <n v="1"/>
    <n v="7"/>
  </r>
  <r>
    <x v="6"/>
    <s v="S12000039"/>
    <x v="27"/>
    <n v="10"/>
    <n v="0"/>
    <n v="2"/>
    <n v="0"/>
    <n v="0"/>
    <n v="6"/>
    <n v="18"/>
  </r>
  <r>
    <x v="7"/>
    <s v="S12000039"/>
    <x v="27"/>
    <n v="5"/>
    <n v="0"/>
    <n v="1"/>
    <n v="0"/>
    <n v="0"/>
    <n v="3"/>
    <n v="9"/>
  </r>
  <r>
    <x v="0"/>
    <s v="S12000040"/>
    <x v="28"/>
    <n v="8"/>
    <n v="0"/>
    <n v="1"/>
    <n v="2"/>
    <n v="0"/>
    <n v="1"/>
    <n v="12"/>
  </r>
  <r>
    <x v="1"/>
    <s v="S12000040"/>
    <x v="28"/>
    <n v="8"/>
    <n v="0"/>
    <n v="0"/>
    <n v="1"/>
    <n v="0"/>
    <n v="1"/>
    <n v="10"/>
  </r>
  <r>
    <x v="2"/>
    <s v="S12000040"/>
    <x v="28"/>
    <n v="9"/>
    <n v="0"/>
    <n v="0"/>
    <n v="1"/>
    <n v="0"/>
    <n v="1"/>
    <n v="11"/>
  </r>
  <r>
    <x v="3"/>
    <s v="S12000040"/>
    <x v="28"/>
    <n v="8"/>
    <n v="0"/>
    <n v="0"/>
    <n v="1"/>
    <n v="0"/>
    <n v="1"/>
    <n v="10"/>
  </r>
  <r>
    <x v="4"/>
    <s v="S12000040"/>
    <x v="28"/>
    <n v="8"/>
    <n v="0"/>
    <n v="0"/>
    <n v="1"/>
    <n v="0"/>
    <n v="1"/>
    <n v="10"/>
  </r>
  <r>
    <x v="5"/>
    <s v="S12000040"/>
    <x v="28"/>
    <n v="8"/>
    <n v="0"/>
    <n v="0"/>
    <n v="1"/>
    <n v="0"/>
    <n v="1"/>
    <n v="10"/>
  </r>
  <r>
    <x v="6"/>
    <s v="S12000040"/>
    <x v="28"/>
    <n v="16"/>
    <n v="0"/>
    <n v="0"/>
    <n v="2"/>
    <n v="0"/>
    <n v="2"/>
    <n v="20"/>
  </r>
  <r>
    <x v="7"/>
    <s v="S12000040"/>
    <x v="28"/>
    <n v="8"/>
    <n v="0"/>
    <n v="0"/>
    <n v="1"/>
    <n v="0"/>
    <n v="2"/>
    <n v="11"/>
  </r>
</pivotCacheRecords>
</file>

<file path=xl/pivotCache/pivotCacheRecords63.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68">
  <r>
    <x v="0"/>
    <x v="0"/>
    <n v="223"/>
    <m/>
    <m/>
    <n v="5"/>
    <n v="11"/>
    <n v="52"/>
    <n v="52"/>
    <n v="103"/>
  </r>
  <r>
    <x v="0"/>
    <x v="1"/>
    <n v="359"/>
    <m/>
    <m/>
    <m/>
    <m/>
    <n v="9"/>
    <n v="73"/>
    <n v="277"/>
  </r>
  <r>
    <x v="0"/>
    <x v="2"/>
    <n v="4001"/>
    <n v="9"/>
    <n v="28"/>
    <n v="115"/>
    <n v="136"/>
    <n v="679"/>
    <n v="660"/>
    <n v="2374"/>
  </r>
  <r>
    <x v="0"/>
    <x v="3"/>
    <n v="2940"/>
    <m/>
    <m/>
    <m/>
    <m/>
    <n v="278"/>
    <n v="535"/>
    <n v="2127"/>
  </r>
  <r>
    <x v="1"/>
    <x v="3"/>
    <n v="2950"/>
    <m/>
    <m/>
    <m/>
    <m/>
    <n v="280"/>
    <n v="546"/>
    <n v="2124"/>
  </r>
  <r>
    <x v="1"/>
    <x v="1"/>
    <n v="378"/>
    <m/>
    <m/>
    <m/>
    <m/>
    <n v="38"/>
    <n v="44"/>
    <n v="296"/>
  </r>
  <r>
    <x v="1"/>
    <x v="2"/>
    <n v="3856"/>
    <n v="7"/>
    <n v="33"/>
    <n v="103"/>
    <n v="130"/>
    <n v="664"/>
    <n v="634"/>
    <n v="2285"/>
  </r>
  <r>
    <x v="1"/>
    <x v="0"/>
    <n v="230"/>
    <m/>
    <m/>
    <n v="5"/>
    <n v="13"/>
    <n v="50"/>
    <n v="52"/>
    <n v="110"/>
  </r>
  <r>
    <x v="2"/>
    <x v="0"/>
    <n v="203"/>
    <m/>
    <m/>
    <n v="6"/>
    <n v="7"/>
    <n v="51"/>
    <n v="44"/>
    <n v="95"/>
  </r>
  <r>
    <x v="2"/>
    <x v="3"/>
    <n v="2870"/>
    <m/>
    <m/>
    <m/>
    <m/>
    <n v="262"/>
    <n v="543"/>
    <n v="2065"/>
  </r>
  <r>
    <x v="2"/>
    <x v="1"/>
    <n v="342"/>
    <m/>
    <m/>
    <m/>
    <m/>
    <n v="36"/>
    <n v="46"/>
    <n v="260"/>
  </r>
  <r>
    <x v="2"/>
    <x v="2"/>
    <n v="3690"/>
    <n v="4"/>
    <n v="35"/>
    <n v="90"/>
    <n v="126"/>
    <n v="577"/>
    <n v="600"/>
    <n v="2258"/>
  </r>
  <r>
    <x v="3"/>
    <x v="2"/>
    <n v="3645"/>
    <n v="4"/>
    <n v="34"/>
    <n v="70"/>
    <n v="151"/>
    <n v="590"/>
    <n v="635"/>
    <n v="2161"/>
  </r>
  <r>
    <x v="3"/>
    <x v="3"/>
    <n v="2870"/>
    <m/>
    <m/>
    <m/>
    <m/>
    <n v="260"/>
    <n v="549"/>
    <n v="2061"/>
  </r>
  <r>
    <x v="3"/>
    <x v="0"/>
    <n v="165"/>
    <m/>
    <m/>
    <n v="5"/>
    <n v="8"/>
    <n v="41"/>
    <n v="31"/>
    <n v="80"/>
  </r>
  <r>
    <x v="3"/>
    <x v="1"/>
    <n v="320"/>
    <m/>
    <m/>
    <m/>
    <m/>
    <n v="36"/>
    <n v="43"/>
    <n v="241"/>
  </r>
  <r>
    <x v="4"/>
    <x v="0"/>
    <n v="189"/>
    <m/>
    <m/>
    <n v="5"/>
    <n v="8"/>
    <n v="43"/>
    <n v="27"/>
    <n v="106"/>
  </r>
  <r>
    <x v="4"/>
    <x v="2"/>
    <n v="3546"/>
    <n v="4"/>
    <n v="34"/>
    <n v="74"/>
    <n v="153"/>
    <n v="603"/>
    <n v="689"/>
    <n v="1989"/>
  </r>
  <r>
    <x v="4"/>
    <x v="1"/>
    <n v="332"/>
    <m/>
    <m/>
    <m/>
    <m/>
    <n v="37"/>
    <n v="39"/>
    <n v="256"/>
  </r>
  <r>
    <x v="4"/>
    <x v="3"/>
    <n v="2863"/>
    <m/>
    <m/>
    <m/>
    <m/>
    <n v="261"/>
    <n v="525"/>
    <n v="2077"/>
  </r>
  <r>
    <x v="5"/>
    <x v="1"/>
    <n v="321"/>
    <m/>
    <m/>
    <m/>
    <m/>
    <n v="38"/>
    <n v="42"/>
    <n v="241"/>
  </r>
  <r>
    <x v="5"/>
    <x v="0"/>
    <n v="207"/>
    <m/>
    <n v="1"/>
    <n v="4"/>
    <n v="9"/>
    <n v="42"/>
    <n v="27"/>
    <n v="124"/>
  </r>
  <r>
    <x v="5"/>
    <x v="3"/>
    <n v="2935"/>
    <m/>
    <m/>
    <m/>
    <m/>
    <n v="261"/>
    <n v="533"/>
    <n v="2141"/>
  </r>
  <r>
    <x v="5"/>
    <x v="4"/>
    <n v="0"/>
    <m/>
    <m/>
    <m/>
    <m/>
    <m/>
    <m/>
    <m/>
  </r>
  <r>
    <x v="5"/>
    <x v="5"/>
    <n v="18"/>
    <m/>
    <m/>
    <m/>
    <m/>
    <m/>
    <m/>
    <m/>
  </r>
  <r>
    <x v="5"/>
    <x v="2"/>
    <n v="3637"/>
    <n v="4"/>
    <n v="33"/>
    <n v="80"/>
    <n v="147"/>
    <n v="611"/>
    <n v="687"/>
    <n v="2075"/>
  </r>
  <r>
    <x v="6"/>
    <x v="3"/>
    <n v="2937"/>
    <m/>
    <m/>
    <m/>
    <m/>
    <n v="262"/>
    <n v="520"/>
    <n v="2155"/>
  </r>
  <r>
    <x v="6"/>
    <x v="0"/>
    <n v="188"/>
    <m/>
    <n v="1"/>
    <n v="4"/>
    <n v="8"/>
    <n v="45"/>
    <n v="26"/>
    <n v="104"/>
  </r>
  <r>
    <x v="6"/>
    <x v="1"/>
    <n v="315"/>
    <m/>
    <m/>
    <m/>
    <m/>
    <n v="37"/>
    <n v="41"/>
    <n v="237"/>
  </r>
  <r>
    <x v="6"/>
    <x v="2"/>
    <n v="3636"/>
    <n v="6"/>
    <n v="31"/>
    <n v="80"/>
    <n v="153"/>
    <n v="608"/>
    <n v="688"/>
    <n v="2070"/>
  </r>
  <r>
    <x v="6"/>
    <x v="5"/>
    <n v="36"/>
    <m/>
    <m/>
    <m/>
    <m/>
    <n v="36"/>
    <m/>
    <m/>
  </r>
  <r>
    <x v="6"/>
    <x v="4"/>
    <n v="0"/>
    <m/>
    <m/>
    <m/>
    <m/>
    <m/>
    <m/>
    <m/>
  </r>
  <r>
    <x v="7"/>
    <x v="2"/>
    <n v="3581"/>
    <n v="5"/>
    <n v="35"/>
    <n v="79"/>
    <n v="152"/>
    <n v="603"/>
    <n v="687"/>
    <n v="2020"/>
  </r>
  <r>
    <x v="7"/>
    <x v="0"/>
    <n v="182"/>
    <m/>
    <n v="1"/>
    <n v="4"/>
    <n v="10"/>
    <n v="41"/>
    <n v="31"/>
    <n v="95"/>
  </r>
  <r>
    <x v="7"/>
    <x v="5"/>
    <n v="54"/>
    <m/>
    <m/>
    <m/>
    <m/>
    <n v="54"/>
    <m/>
    <m/>
  </r>
  <r>
    <x v="7"/>
    <x v="4"/>
    <n v="0"/>
    <m/>
    <m/>
    <m/>
    <m/>
    <m/>
    <m/>
    <m/>
  </r>
  <r>
    <x v="7"/>
    <x v="3"/>
    <n v="2872"/>
    <m/>
    <m/>
    <m/>
    <m/>
    <n v="267"/>
    <n v="522"/>
    <n v="2083"/>
  </r>
  <r>
    <x v="7"/>
    <x v="1"/>
    <n v="303"/>
    <m/>
    <m/>
    <m/>
    <m/>
    <n v="37"/>
    <n v="43"/>
    <n v="223"/>
  </r>
  <r>
    <x v="8"/>
    <x v="5"/>
    <n v="53"/>
    <m/>
    <m/>
    <m/>
    <m/>
    <n v="53"/>
    <m/>
    <m/>
  </r>
  <r>
    <x v="8"/>
    <x v="2"/>
    <n v="3530"/>
    <n v="5"/>
    <n v="35"/>
    <n v="76"/>
    <n v="157"/>
    <n v="607"/>
    <n v="660"/>
    <n v="1990"/>
  </r>
  <r>
    <x v="8"/>
    <x v="4"/>
    <n v="0"/>
    <m/>
    <m/>
    <m/>
    <m/>
    <m/>
    <m/>
    <m/>
  </r>
  <r>
    <x v="8"/>
    <x v="1"/>
    <n v="277"/>
    <m/>
    <m/>
    <m/>
    <m/>
    <n v="36"/>
    <n v="40"/>
    <n v="201"/>
  </r>
  <r>
    <x v="8"/>
    <x v="3"/>
    <n v="2758"/>
    <m/>
    <m/>
    <m/>
    <m/>
    <n v="265"/>
    <n v="526"/>
    <n v="1967"/>
  </r>
  <r>
    <x v="8"/>
    <x v="0"/>
    <n v="174"/>
    <m/>
    <n v="1"/>
    <n v="4"/>
    <n v="10"/>
    <n v="42"/>
    <n v="27"/>
    <n v="90"/>
  </r>
  <r>
    <x v="9"/>
    <x v="0"/>
    <n v="172"/>
    <m/>
    <n v="1"/>
    <n v="4"/>
    <n v="10"/>
    <n v="37"/>
    <n v="29"/>
    <n v="91"/>
  </r>
  <r>
    <x v="9"/>
    <x v="3"/>
    <n v="2735"/>
    <m/>
    <m/>
    <m/>
    <m/>
    <n v="262"/>
    <n v="521"/>
    <n v="1952"/>
  </r>
  <r>
    <x v="9"/>
    <x v="4"/>
    <n v="0"/>
    <m/>
    <m/>
    <m/>
    <m/>
    <m/>
    <m/>
    <m/>
  </r>
  <r>
    <x v="9"/>
    <x v="2"/>
    <n v="3490"/>
    <n v="5"/>
    <n v="31"/>
    <n v="78"/>
    <n v="148"/>
    <n v="601"/>
    <n v="655"/>
    <n v="1972"/>
  </r>
  <r>
    <x v="9"/>
    <x v="5"/>
    <n v="55"/>
    <m/>
    <m/>
    <m/>
    <m/>
    <n v="54"/>
    <n v="1"/>
    <m/>
  </r>
  <r>
    <x v="9"/>
    <x v="1"/>
    <n v="266"/>
    <m/>
    <m/>
    <m/>
    <m/>
    <n v="37"/>
    <n v="40"/>
    <n v="189"/>
  </r>
  <r>
    <x v="10"/>
    <x v="5"/>
    <n v="55"/>
    <m/>
    <m/>
    <m/>
    <m/>
    <n v="53"/>
    <n v="2"/>
    <m/>
  </r>
  <r>
    <x v="10"/>
    <x v="2"/>
    <n v="3422"/>
    <n v="5"/>
    <n v="31"/>
    <n v="71"/>
    <n v="156"/>
    <n v="607"/>
    <n v="640"/>
    <n v="1912"/>
  </r>
  <r>
    <x v="10"/>
    <x v="3"/>
    <n v="2708"/>
    <m/>
    <m/>
    <m/>
    <m/>
    <n v="251"/>
    <n v="525"/>
    <n v="1932"/>
  </r>
  <r>
    <x v="10"/>
    <x v="4"/>
    <n v="0"/>
    <m/>
    <m/>
    <m/>
    <m/>
    <m/>
    <m/>
    <m/>
  </r>
  <r>
    <x v="10"/>
    <x v="0"/>
    <n v="171"/>
    <m/>
    <n v="1"/>
    <n v="4"/>
    <n v="9"/>
    <n v="40"/>
    <n v="26"/>
    <n v="91"/>
  </r>
  <r>
    <x v="10"/>
    <x v="1"/>
    <n v="269"/>
    <m/>
    <m/>
    <m/>
    <m/>
    <n v="35"/>
    <n v="41"/>
    <n v="193"/>
  </r>
  <r>
    <x v="11"/>
    <x v="2"/>
    <n v="3430"/>
    <n v="5"/>
    <n v="30"/>
    <n v="72"/>
    <n v="160"/>
    <n v="605"/>
    <n v="622"/>
    <n v="1936"/>
  </r>
  <r>
    <x v="11"/>
    <x v="4"/>
    <n v="0"/>
    <m/>
    <m/>
    <m/>
    <m/>
    <m/>
    <m/>
    <m/>
  </r>
  <r>
    <x v="11"/>
    <x v="3"/>
    <n v="2705"/>
    <m/>
    <m/>
    <m/>
    <m/>
    <n v="248"/>
    <n v="514"/>
    <n v="1943"/>
  </r>
  <r>
    <x v="11"/>
    <x v="5"/>
    <n v="60"/>
    <m/>
    <m/>
    <m/>
    <m/>
    <n v="56"/>
    <n v="4"/>
    <m/>
  </r>
  <r>
    <x v="11"/>
    <x v="0"/>
    <n v="171"/>
    <m/>
    <n v="1"/>
    <n v="2"/>
    <n v="8"/>
    <n v="37"/>
    <n v="28"/>
    <n v="95"/>
  </r>
  <r>
    <x v="11"/>
    <x v="1"/>
    <n v="273"/>
    <m/>
    <m/>
    <m/>
    <m/>
    <n v="36"/>
    <n v="41"/>
    <n v="196"/>
  </r>
  <r>
    <x v="12"/>
    <x v="0"/>
    <n v="175"/>
    <m/>
    <m/>
    <n v="3"/>
    <n v="6"/>
    <n v="24"/>
    <n v="42"/>
    <n v="100"/>
  </r>
  <r>
    <x v="12"/>
    <x v="4"/>
    <n v="0"/>
    <m/>
    <m/>
    <m/>
    <m/>
    <m/>
    <m/>
    <m/>
  </r>
  <r>
    <x v="12"/>
    <x v="3"/>
    <n v="2747"/>
    <m/>
    <m/>
    <m/>
    <m/>
    <n v="257"/>
    <n v="526"/>
    <n v="1964"/>
  </r>
  <r>
    <x v="12"/>
    <x v="5"/>
    <n v="60"/>
    <m/>
    <m/>
    <m/>
    <m/>
    <n v="57"/>
    <n v="3"/>
    <m/>
  </r>
  <r>
    <x v="12"/>
    <x v="2"/>
    <n v="3431"/>
    <n v="5"/>
    <n v="29"/>
    <n v="72"/>
    <n v="160"/>
    <n v="625"/>
    <n v="641"/>
    <n v="1899"/>
  </r>
  <r>
    <x v="12"/>
    <x v="1"/>
    <n v="252"/>
    <m/>
    <m/>
    <m/>
    <m/>
    <n v="35"/>
    <n v="39"/>
    <n v="178"/>
  </r>
</pivotCacheRecords>
</file>

<file path=xl/pivotCache/pivotCacheRecords64.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24">
  <r>
    <x v="0"/>
    <x v="0"/>
    <n v="90.6"/>
    <n v="0.4"/>
    <n v="9"/>
  </r>
  <r>
    <x v="0"/>
    <x v="1"/>
    <n v="83.7"/>
    <n v="0.2"/>
    <n v="16.100000000000001"/>
  </r>
  <r>
    <x v="0"/>
    <x v="2"/>
    <n v="80.7"/>
    <n v="1.1000000000000001"/>
    <n v="18.2"/>
  </r>
  <r>
    <x v="0"/>
    <x v="3"/>
    <n v="82.1"/>
    <n v="0.6"/>
    <n v="17.3"/>
  </r>
  <r>
    <x v="0"/>
    <x v="4"/>
    <n v="82.9"/>
    <n v="0.6"/>
    <n v="16.5"/>
  </r>
  <r>
    <x v="0"/>
    <x v="5"/>
    <n v="67.5"/>
    <n v="0.2"/>
    <n v="32.299999999999997"/>
  </r>
  <r>
    <x v="0"/>
    <x v="6"/>
    <n v="82.5"/>
    <n v="0.8"/>
    <n v="16.7"/>
  </r>
  <r>
    <x v="1"/>
    <x v="0"/>
    <n v="84.6"/>
    <n v="0.4"/>
    <n v="15"/>
  </r>
  <r>
    <x v="1"/>
    <x v="1"/>
    <n v="81.8"/>
    <n v="0.2"/>
    <n v="18"/>
  </r>
  <r>
    <x v="1"/>
    <x v="2"/>
    <n v="65.5"/>
    <n v="1"/>
    <n v="33.5"/>
  </r>
  <r>
    <x v="1"/>
    <x v="3"/>
    <n v="74.400000000000006"/>
    <n v="0.6"/>
    <n v="25"/>
  </r>
  <r>
    <x v="1"/>
    <x v="4"/>
    <n v="75"/>
    <n v="0.6"/>
    <n v="24.4"/>
  </r>
  <r>
    <x v="1"/>
    <x v="5"/>
    <n v="62.7"/>
    <n v="0.2"/>
    <n v="37"/>
  </r>
  <r>
    <x v="1"/>
    <x v="6"/>
    <n v="72.2"/>
    <n v="0.8"/>
    <n v="27.1"/>
  </r>
  <r>
    <x v="2"/>
    <x v="0"/>
    <n v="89.7"/>
    <n v="0.4"/>
    <n v="9.8000000000000007"/>
  </r>
  <r>
    <x v="2"/>
    <x v="1"/>
    <n v="80.900000000000006"/>
    <n v="0.2"/>
    <n v="18.899999999999999"/>
  </r>
  <r>
    <x v="2"/>
    <x v="2"/>
    <n v="78.400000000000006"/>
    <n v="1"/>
    <n v="20.6"/>
  </r>
  <r>
    <x v="2"/>
    <x v="3"/>
    <n v="80.099999999999994"/>
    <n v="0.6"/>
    <n v="19.3"/>
  </r>
  <r>
    <x v="2"/>
    <x v="4"/>
    <n v="81"/>
    <n v="0.6"/>
    <n v="18.399999999999999"/>
  </r>
  <r>
    <x v="2"/>
    <x v="5"/>
    <n v="61.4"/>
    <n v="0.5"/>
    <n v="38.1"/>
  </r>
  <r>
    <x v="2"/>
    <x v="6"/>
    <n v="81.2"/>
    <n v="0.7"/>
    <n v="18"/>
  </r>
  <r>
    <x v="3"/>
    <x v="0"/>
    <n v="49.3"/>
    <m/>
    <n v="50.7"/>
  </r>
  <r>
    <x v="3"/>
    <x v="1"/>
    <n v="69.599999999999994"/>
    <n v="1.1000000000000001"/>
    <n v="29.3"/>
  </r>
  <r>
    <x v="3"/>
    <x v="2"/>
    <n v="55.2"/>
    <n v="1"/>
    <n v="43.8"/>
  </r>
  <r>
    <x v="3"/>
    <x v="3"/>
    <n v="61.1"/>
    <n v="0.8"/>
    <n v="38.1"/>
  </r>
  <r>
    <x v="3"/>
    <x v="4"/>
    <n v="62.5"/>
    <n v="0.8"/>
    <n v="36.700000000000003"/>
  </r>
  <r>
    <x v="3"/>
    <x v="5"/>
    <n v="30.1"/>
    <n v="0.6"/>
    <n v="69.400000000000006"/>
  </r>
  <r>
    <x v="3"/>
    <x v="6"/>
    <n v="59.8"/>
    <n v="0.6"/>
    <n v="39.6"/>
  </r>
  <r>
    <x v="4"/>
    <x v="0"/>
    <n v="63"/>
    <n v="0.4"/>
    <n v="36.5"/>
  </r>
  <r>
    <x v="4"/>
    <x v="1"/>
    <n v="67"/>
    <n v="0.1"/>
    <n v="32.799999999999997"/>
  </r>
  <r>
    <x v="4"/>
    <x v="2"/>
    <n v="53.7"/>
    <n v="1.2"/>
    <n v="45.1"/>
  </r>
  <r>
    <x v="4"/>
    <x v="3"/>
    <n v="60.2"/>
    <n v="0.5"/>
    <n v="39.299999999999997"/>
  </r>
  <r>
    <x v="4"/>
    <x v="4"/>
    <n v="61.8"/>
    <n v="0.5"/>
    <n v="37.700000000000003"/>
  </r>
  <r>
    <x v="4"/>
    <x v="5"/>
    <n v="26.7"/>
    <n v="0.5"/>
    <n v="72.8"/>
  </r>
  <r>
    <x v="4"/>
    <x v="6"/>
    <n v="59.5"/>
    <n v="0.6"/>
    <n v="39.9"/>
  </r>
  <r>
    <x v="5"/>
    <x v="0"/>
    <n v="64"/>
    <n v="0.5"/>
    <n v="35.5"/>
  </r>
  <r>
    <x v="5"/>
    <x v="1"/>
    <n v="60"/>
    <n v="0.6"/>
    <n v="39.4"/>
  </r>
  <r>
    <x v="5"/>
    <x v="2"/>
    <n v="53.4"/>
    <n v="0.8"/>
    <n v="45.8"/>
  </r>
  <r>
    <x v="5"/>
    <x v="3"/>
    <n v="55.3"/>
    <n v="0.6"/>
    <n v="44.1"/>
  </r>
  <r>
    <x v="5"/>
    <x v="4"/>
    <n v="56.3"/>
    <n v="0.6"/>
    <n v="43.1"/>
  </r>
  <r>
    <x v="5"/>
    <x v="5"/>
    <n v="32.5"/>
    <n v="0.9"/>
    <n v="66.7"/>
  </r>
  <r>
    <x v="5"/>
    <x v="6"/>
    <n v="53.7"/>
    <n v="0.5"/>
    <n v="45.7"/>
  </r>
  <r>
    <x v="6"/>
    <x v="0"/>
    <n v="55.8"/>
    <n v="0.6"/>
    <n v="43.6"/>
  </r>
  <r>
    <x v="6"/>
    <x v="1"/>
    <n v="58"/>
    <n v="0.6"/>
    <n v="41.4"/>
  </r>
  <r>
    <x v="6"/>
    <x v="2"/>
    <n v="53.9"/>
    <n v="0.6"/>
    <n v="45.5"/>
  </r>
  <r>
    <x v="6"/>
    <x v="3"/>
    <n v="53.7"/>
    <n v="0.6"/>
    <n v="45.7"/>
  </r>
  <r>
    <x v="6"/>
    <x v="4"/>
    <n v="54.2"/>
    <n v="0.6"/>
    <n v="45.2"/>
  </r>
  <r>
    <x v="6"/>
    <x v="5"/>
    <n v="42.7"/>
    <n v="0.3"/>
    <n v="57"/>
  </r>
  <r>
    <x v="6"/>
    <x v="6"/>
    <n v="51.2"/>
    <n v="0.5"/>
    <n v="48.3"/>
  </r>
  <r>
    <x v="7"/>
    <x v="0"/>
    <n v="52.9"/>
    <n v="0.5"/>
    <n v="46.6"/>
  </r>
  <r>
    <x v="7"/>
    <x v="1"/>
    <n v="65.900000000000006"/>
    <n v="1.2"/>
    <n v="32.9"/>
  </r>
  <r>
    <x v="7"/>
    <x v="2"/>
    <n v="61.2"/>
    <n v="1.4"/>
    <n v="37.4"/>
  </r>
  <r>
    <x v="7"/>
    <x v="3"/>
    <n v="59.2"/>
    <n v="1.2"/>
    <n v="39.6"/>
  </r>
  <r>
    <x v="7"/>
    <x v="4"/>
    <n v="60.2"/>
    <n v="1.2"/>
    <n v="38.6"/>
  </r>
  <r>
    <x v="7"/>
    <x v="5"/>
    <n v="37.299999999999997"/>
    <n v="0.6"/>
    <n v="62"/>
  </r>
  <r>
    <x v="7"/>
    <x v="6"/>
    <n v="55.7"/>
    <n v="1.2"/>
    <n v="43.1"/>
  </r>
  <r>
    <x v="8"/>
    <x v="0"/>
    <n v="53.623188405797109"/>
    <n v="0.96618357487922701"/>
    <n v="45.410628019323674"/>
  </r>
  <r>
    <x v="8"/>
    <x v="1"/>
    <n v="67.558415171012527"/>
    <n v="1.1175076193701321"/>
    <n v="31.324077209617339"/>
  </r>
  <r>
    <x v="8"/>
    <x v="2"/>
    <n v="68.055555555555557"/>
    <n v="1.7676767676767675"/>
    <n v="30.176767676767675"/>
  </r>
  <r>
    <x v="8"/>
    <x v="3"/>
    <n v="62.699215785479382"/>
    <n v="1.2142676448267138"/>
    <n v="36.086516569693906"/>
  </r>
  <r>
    <x v="8"/>
    <x v="4"/>
    <n v="63.802872578732369"/>
    <n v="1.2386348662537885"/>
    <n v="34.958492555013834"/>
  </r>
  <r>
    <x v="8"/>
    <x v="5"/>
    <n v="36.277602523659311"/>
    <n v="0.63091482649842268"/>
    <n v="63.09148264984227"/>
  </r>
  <r>
    <x v="8"/>
    <x v="6"/>
    <n v="60.406928787462199"/>
    <n v="1.2372834753918065"/>
    <n v="38.355787737146002"/>
  </r>
  <r>
    <x v="9"/>
    <x v="0"/>
    <n v="53.191489361702125"/>
    <n v="1.0638297872340425"/>
    <n v="45.744680851063826"/>
  </r>
  <r>
    <x v="9"/>
    <x v="1"/>
    <n v="63.534218590398361"/>
    <n v="1.0554988083077972"/>
    <n v="35.410282601293837"/>
  </r>
  <r>
    <x v="9"/>
    <x v="7"/>
    <n v="86.111111111111114"/>
    <m/>
    <n v="13.888888888888889"/>
  </r>
  <r>
    <x v="9"/>
    <x v="2"/>
    <n v="66.992665036674808"/>
    <n v="1.5892420537897312"/>
    <n v="31.418092909535449"/>
  </r>
  <r>
    <x v="9"/>
    <x v="3"/>
    <n v="61.197982345523329"/>
    <n v="1.1727616645649432"/>
    <n v="37.629255989911726"/>
  </r>
  <r>
    <x v="9"/>
    <x v="4"/>
    <n v="62.298095863427449"/>
    <n v="1.1950098489822718"/>
    <n v="36.506894287590278"/>
  </r>
  <r>
    <x v="9"/>
    <x v="5"/>
    <n v="34.603174603174601"/>
    <n v="0.63492063492063489"/>
    <n v="64.761904761904759"/>
  </r>
  <r>
    <x v="9"/>
    <x v="6"/>
    <n v="60.478547854785482"/>
    <n v="1.2376237623762376"/>
    <n v="38.283828382838287"/>
  </r>
  <r>
    <x v="10"/>
    <x v="0"/>
    <n v="56.593406593406591"/>
    <n v="1.098901098901099"/>
    <n v="42.307692307692307"/>
  </r>
  <r>
    <x v="10"/>
    <x v="1"/>
    <n v="61.142061281337043"/>
    <n v="0.94011142061281339"/>
    <n v="37.917827298050142"/>
  </r>
  <r>
    <x v="10"/>
    <x v="7"/>
    <n v="87.037037037037038"/>
    <n v="1.8518518518518516"/>
    <n v="11.111111111111111"/>
  </r>
  <r>
    <x v="10"/>
    <x v="2"/>
    <n v="66.746411483253581"/>
    <n v="1.7942583732057416"/>
    <n v="31.459330143540669"/>
  </r>
  <r>
    <x v="10"/>
    <x v="3"/>
    <n v="60.094496232920449"/>
    <n v="1.2131273145192185"/>
    <n v="38.692376452560339"/>
  </r>
  <r>
    <x v="10"/>
    <x v="4"/>
    <n v="61.091923485653567"/>
    <n v="1.2353878852284803"/>
    <n v="37.672688629117964"/>
  </r>
  <r>
    <x v="10"/>
    <x v="5"/>
    <n v="35.313531353135311"/>
    <n v="0.66006600660066006"/>
    <n v="64.026402640264024"/>
  </r>
  <r>
    <x v="10"/>
    <x v="6"/>
    <n v="59.5703125"/>
    <n v="1.3392857142857142"/>
    <n v="39.090401785714285"/>
  </r>
  <r>
    <x v="11"/>
    <x v="8"/>
    <m/>
    <m/>
    <m/>
  </r>
  <r>
    <x v="11"/>
    <x v="0"/>
    <n v="55.932203389830505"/>
    <n v="2.2598870056497176"/>
    <n v="41.807909604519772"/>
  </r>
  <r>
    <x v="11"/>
    <x v="1"/>
    <n v="58.819268381021374"/>
    <n v="0.94168779427743576"/>
    <n v="40.239043824701191"/>
  </r>
  <r>
    <x v="11"/>
    <x v="7"/>
    <n v="88.679245283018872"/>
    <n v="1.8867924528301887"/>
    <n v="9.433962264150944"/>
  </r>
  <r>
    <x v="11"/>
    <x v="2"/>
    <n v="63.163481953290869"/>
    <n v="2.335456475583864"/>
    <n v="34.501061571125263"/>
  </r>
  <r>
    <x v="11"/>
    <x v="3"/>
    <n v="58.402449917060096"/>
    <n v="1.327038407553911"/>
    <n v="40.27051167538599"/>
  </r>
  <r>
    <x v="11"/>
    <x v="4"/>
    <n v="59.304812834224599"/>
    <n v="1.3636363636363635"/>
    <n v="39.331550802139034"/>
  </r>
  <r>
    <x v="11"/>
    <x v="5"/>
    <n v="36.823104693140799"/>
    <n v="0.72202166064981954"/>
    <n v="62.454873646209386"/>
  </r>
  <r>
    <x v="11"/>
    <x v="6"/>
    <n v="58.387369608119535"/>
    <n v="1.381449111925571"/>
    <n v="40.231181279954889"/>
  </r>
  <r>
    <x v="12"/>
    <x v="8"/>
    <m/>
    <m/>
    <m/>
  </r>
  <r>
    <x v="12"/>
    <x v="0"/>
    <n v="52.298850574712638"/>
    <n v="2.2988505747126435"/>
    <n v="45.402298850574709"/>
  </r>
  <r>
    <x v="12"/>
    <x v="1"/>
    <n v="55.190058479532169"/>
    <n v="1.0599415204678362"/>
    <n v="43.75"/>
  </r>
  <r>
    <x v="12"/>
    <x v="7"/>
    <n v="88.888888888888886"/>
    <n v="1.8518518518518516"/>
    <n v="9.2592592592592595"/>
  </r>
  <r>
    <x v="12"/>
    <x v="2"/>
    <n v="60.799136069114468"/>
    <n v="2.2678185745140391"/>
    <n v="36.933045356371494"/>
  </r>
  <r>
    <x v="12"/>
    <x v="3"/>
    <n v="55.432969852469526"/>
    <n v="1.308531109685696"/>
    <n v="43.258499037844771"/>
  </r>
  <r>
    <x v="12"/>
    <x v="4"/>
    <n v="56.313301823092509"/>
    <n v="1.3639432815665091"/>
    <n v="42.322754895340985"/>
  </r>
  <r>
    <x v="12"/>
    <x v="5"/>
    <n v="36.84210526315789"/>
    <n v="0.37593984962406013"/>
    <n v="62.781954887218049"/>
  </r>
  <r>
    <x v="12"/>
    <x v="6"/>
    <n v="55.704125177809395"/>
    <n v="1.3086770981507825"/>
    <n v="42.987197724039831"/>
  </r>
  <r>
    <x v="13"/>
    <x v="8"/>
    <m/>
    <m/>
    <m/>
  </r>
  <r>
    <x v="13"/>
    <x v="0"/>
    <n v="51.445086705202314"/>
    <n v="2.3121387283236992"/>
    <n v="46.24277456647399"/>
  </r>
  <r>
    <x v="13"/>
    <x v="1"/>
    <n v="50.994108983799705"/>
    <n v="0.81001472754050086"/>
    <n v="48.195876288659797"/>
  </r>
  <r>
    <x v="13"/>
    <x v="7"/>
    <n v="88.888888888888886"/>
    <n v="1.8518518518518516"/>
    <n v="9.2592592592592595"/>
  </r>
  <r>
    <x v="13"/>
    <x v="2"/>
    <n v="58.681318681318686"/>
    <n v="2.197802197802198"/>
    <n v="39.120879120879124"/>
  </r>
  <r>
    <x v="13"/>
    <x v="3"/>
    <n v="52.832879553999746"/>
    <n v="1.1798262673408531"/>
    <n v="45.987294178659404"/>
  </r>
  <r>
    <x v="13"/>
    <x v="4"/>
    <n v="53.749143248800543"/>
    <n v="1.233721727210418"/>
    <n v="45.017135023989034"/>
  </r>
  <r>
    <x v="13"/>
    <x v="5"/>
    <n v="35.555555555555557"/>
    <n v="0.37037037037037041"/>
    <n v="64.074074074074076"/>
  </r>
  <r>
    <x v="13"/>
    <x v="6"/>
    <n v="54.183614177803605"/>
    <n v="1.2492736780941311"/>
    <n v="44.567112144102268"/>
  </r>
  <r>
    <x v="14"/>
    <x v="8"/>
    <m/>
    <m/>
    <m/>
  </r>
  <r>
    <x v="14"/>
    <x v="0"/>
    <n v="47.97687861271676"/>
    <n v="2.3121387283236992"/>
    <n v="49.710982658959537"/>
  </r>
  <r>
    <x v="14"/>
    <x v="1"/>
    <n v="47.877445551864156"/>
    <n v="0.73827980804724991"/>
    <n v="51.384274640088591"/>
  </r>
  <r>
    <x v="14"/>
    <x v="7"/>
    <n v="85.245901639344254"/>
    <n v="1.639344262295082"/>
    <n v="13.114754098360656"/>
  </r>
  <r>
    <x v="14"/>
    <x v="2"/>
    <n v="56.342494714587744"/>
    <n v="2.2198731501057085"/>
    <n v="41.437632135306551"/>
  </r>
  <r>
    <x v="14"/>
    <x v="3"/>
    <n v="50.148253190666495"/>
    <n v="1.1731339435348718"/>
    <n v="48.678612865798634"/>
  </r>
  <r>
    <x v="14"/>
    <x v="4"/>
    <n v="51.036269430051817"/>
    <n v="1.2135260430869921"/>
    <n v="47.750204526861197"/>
  </r>
  <r>
    <x v="14"/>
    <x v="5"/>
    <n v="34.065934065934066"/>
    <n v="0.36630036630036628"/>
    <n v="65.567765567765562"/>
  </r>
  <r>
    <x v="14"/>
    <x v="6"/>
    <n v="51.611030478955009"/>
    <n v="1.2481857764876634"/>
    <n v="47.140783744557332"/>
  </r>
  <r>
    <x v="15"/>
    <x v="8"/>
    <m/>
    <m/>
    <m/>
  </r>
  <r>
    <x v="15"/>
    <x v="0"/>
    <n v="44.134078212290504"/>
    <n v="2.7932960893854748"/>
    <n v="53.072625698324025"/>
  </r>
  <r>
    <x v="15"/>
    <x v="1"/>
    <n v="44.832605531295485"/>
    <n v="0.9097525473071324"/>
    <n v="54.257641921397379"/>
  </r>
  <r>
    <x v="15"/>
    <x v="7"/>
    <n v="83.333333333333343"/>
    <n v="1.6666666666666667"/>
    <n v="15"/>
  </r>
  <r>
    <x v="15"/>
    <x v="2"/>
    <n v="55.496828752642699"/>
    <n v="2.4312896405919662"/>
    <n v="42.071881606765324"/>
  </r>
  <r>
    <x v="15"/>
    <x v="3"/>
    <n v="47.997946611909654"/>
    <n v="1.3218685831622177"/>
    <n v="50.680184804928132"/>
  </r>
  <r>
    <x v="15"/>
    <x v="4"/>
    <n v="48.873812754409769"/>
    <n v="1.3568521031207599"/>
    <n v="49.769335142469473"/>
  </r>
  <r>
    <x v="15"/>
    <x v="5"/>
    <n v="34.126984126984127"/>
    <n v="0.3968253968253968"/>
    <n v="65.476190476190482"/>
  </r>
  <r>
    <x v="15"/>
    <x v="6"/>
    <n v="49.927262147221413"/>
    <n v="1.3383764911259821"/>
    <n v="48.734361361652603"/>
  </r>
</pivotCacheRecords>
</file>

<file path=xl/pivotCache/pivotCacheRecords65.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25">
  <r>
    <x v="0"/>
    <x v="0"/>
    <n v="66828"/>
    <m/>
    <m/>
    <m/>
    <n v="2400342"/>
    <n v="2387809"/>
    <n v="2376011"/>
    <n v="2.7800000000000002"/>
    <m/>
    <m/>
  </r>
  <r>
    <x v="0"/>
    <x v="1"/>
    <n v="29094"/>
    <m/>
    <m/>
    <m/>
    <n v="2400342"/>
    <n v="2387809"/>
    <n v="2376011"/>
    <n v="1.21"/>
    <m/>
    <m/>
  </r>
  <r>
    <x v="1"/>
    <x v="0"/>
    <n v="63640"/>
    <m/>
    <m/>
    <m/>
    <n v="2416014"/>
    <n v="2401005"/>
    <n v="2388858"/>
    <n v="2.63"/>
    <m/>
    <m/>
  </r>
  <r>
    <x v="1"/>
    <x v="1"/>
    <n v="26541"/>
    <m/>
    <m/>
    <m/>
    <n v="2416014"/>
    <n v="2401005"/>
    <n v="2388858"/>
    <n v="1.1000000000000001"/>
    <m/>
    <m/>
  </r>
  <r>
    <x v="2"/>
    <x v="0"/>
    <n v="69038"/>
    <n v="176331"/>
    <m/>
    <m/>
    <n v="2429943"/>
    <n v="2415433"/>
    <n v="2401877"/>
    <n v="2.84"/>
    <n v="7.3"/>
    <m/>
  </r>
  <r>
    <x v="2"/>
    <x v="1"/>
    <n v="27846"/>
    <n v="79298"/>
    <m/>
    <m/>
    <n v="2429943"/>
    <n v="2415433"/>
    <n v="2401877"/>
    <n v="1.1499999999999999"/>
    <n v="3.2800000000000002"/>
    <m/>
  </r>
  <r>
    <x v="3"/>
    <x v="0"/>
    <n v="68202"/>
    <n v="177208"/>
    <m/>
    <n v="45412"/>
    <n v="2446171"/>
    <n v="2430709"/>
    <n v="2415826"/>
    <n v="2.79"/>
    <n v="7.29"/>
    <m/>
  </r>
  <r>
    <x v="3"/>
    <x v="1"/>
    <n v="28400"/>
    <n v="78665"/>
    <m/>
    <m/>
    <n v="2446171"/>
    <n v="2430709"/>
    <n v="2415826"/>
    <n v="1.1599999999999999"/>
    <n v="3.24"/>
    <m/>
  </r>
  <r>
    <x v="4"/>
    <x v="0"/>
    <n v="67131"/>
    <n v="180398"/>
    <n v="264044"/>
    <n v="45808"/>
    <n v="2462736"/>
    <n v="2446283"/>
    <n v="2431041"/>
    <n v="2.73"/>
    <n v="7.37"/>
    <n v="10.79"/>
  </r>
  <r>
    <x v="4"/>
    <x v="1"/>
    <n v="27184"/>
    <n v="79049"/>
    <n v="121558"/>
    <m/>
    <n v="2462736"/>
    <n v="2446283"/>
    <n v="2431041"/>
    <n v="1.1000000000000001"/>
    <n v="3.23"/>
    <n v="4.97"/>
  </r>
  <r>
    <x v="5"/>
    <x v="0"/>
    <n v="66180"/>
    <n v="176578"/>
    <n v="267536"/>
    <n v="47304"/>
    <n v="2477275"/>
    <n v="2462061"/>
    <n v="2446428"/>
    <n v="2.67"/>
    <n v="7.17"/>
    <n v="10.87"/>
  </r>
  <r>
    <x v="5"/>
    <x v="1"/>
    <n v="23995"/>
    <n v="75250"/>
    <n v="119658"/>
    <m/>
    <n v="2477275"/>
    <n v="2462061"/>
    <n v="2446428"/>
    <n v="0.97"/>
    <n v="3.06"/>
    <n v="4.8600000000000003"/>
  </r>
  <r>
    <x v="6"/>
    <x v="0"/>
    <n v="66056"/>
    <n v="174615"/>
    <n v="272384"/>
    <n v="47485"/>
    <n v="2495623"/>
    <n v="2478545"/>
    <n v="2462350"/>
    <n v="2.65"/>
    <n v="7.05"/>
    <n v="10.99"/>
  </r>
  <r>
    <x v="6"/>
    <x v="1"/>
    <n v="21868"/>
    <n v="69792"/>
    <n v="117387"/>
    <m/>
    <n v="2495623"/>
    <n v="2478545"/>
    <n v="2462350"/>
    <n v="0.88"/>
    <n v="2.82"/>
    <n v="4.74"/>
  </r>
  <r>
    <x v="7"/>
    <x v="0"/>
    <n v="19380"/>
    <n v="135928"/>
    <n v="235923"/>
    <n v="12799"/>
    <n v="2507625"/>
    <n v="2493508"/>
    <n v="2477886"/>
    <n v="0.77"/>
    <n v="5.45"/>
    <n v="9.4600000000000009"/>
  </r>
  <r>
    <x v="7"/>
    <x v="1"/>
    <n v="7589"/>
    <n v="51886"/>
    <n v="100274"/>
    <m/>
    <n v="2507625"/>
    <n v="2493508"/>
    <n v="2477886"/>
    <n v="0.3"/>
    <n v="2.08"/>
    <n v="4.0199999999999996"/>
  </r>
  <r>
    <x v="8"/>
    <x v="0"/>
    <n v="42606"/>
    <n v="116376"/>
    <n v="217787"/>
    <n v="32582"/>
    <n v="2528823"/>
    <n v="2510690"/>
    <n v="2494416"/>
    <n v="1.6800000000000002"/>
    <n v="4.6399999999999997"/>
    <n v="8.67"/>
  </r>
  <r>
    <x v="8"/>
    <x v="1"/>
    <n v="5932"/>
    <n v="34580"/>
    <n v="81267"/>
    <m/>
    <n v="2528823"/>
    <n v="2510690"/>
    <n v="2494416"/>
    <n v="0.23"/>
    <n v="1.38"/>
    <n v="3.24"/>
  </r>
  <r>
    <x v="9"/>
    <x v="0"/>
    <n v="36957"/>
    <n v="87999"/>
    <n v="193539"/>
    <n v="26709"/>
    <n v="2549797"/>
    <n v="2528748"/>
    <n v="2511829"/>
    <n v="1.45"/>
    <n v="3.48"/>
    <n v="7.65"/>
  </r>
  <r>
    <x v="10"/>
    <x v="0"/>
    <n v="35004"/>
    <n v="100837"/>
    <n v="168448"/>
    <n v="27140"/>
    <n v="2535310"/>
    <n v="2537977"/>
    <n v="2523436"/>
    <n v="1.38"/>
    <n v="3.9699999999999998"/>
    <n v="6.64"/>
  </r>
  <r>
    <x v="10"/>
    <x v="1"/>
    <n v="5807"/>
    <n v="10280"/>
    <n v="38667"/>
    <m/>
    <n v="2535310"/>
    <n v="2537977"/>
    <n v="2523436"/>
    <n v="0.23"/>
    <n v="0.41"/>
    <n v="1.52"/>
  </r>
  <r>
    <x v="11"/>
    <x v="0"/>
    <n v="31965"/>
    <n v="91896"/>
    <n v="138125"/>
    <n v="24639"/>
    <n v="2552388.2351710973"/>
    <n v="2545832"/>
    <n v="2534789"/>
    <n v="1.25"/>
    <n v="3.61"/>
    <n v="5.43"/>
  </r>
  <r>
    <x v="11"/>
    <x v="1"/>
    <n v="1741"/>
    <n v="6102"/>
    <n v="19172"/>
    <m/>
    <n v="2552388.2351710973"/>
    <n v="2545832"/>
    <n v="2534789"/>
    <n v="7.0000000000000007E-2"/>
    <n v="0.24"/>
    <n v="0.75"/>
  </r>
  <r>
    <x v="12"/>
    <x v="0"/>
    <n v="11236"/>
    <n v="64226"/>
    <n v="124606"/>
    <n v="16206"/>
    <n v="2570799"/>
    <n v="2552832"/>
    <n v="2547423"/>
    <n v="0.44"/>
    <n v="2.52"/>
    <n v="4.88"/>
  </r>
  <r>
    <x v="12"/>
    <x v="1"/>
    <n v="2989"/>
    <n v="6753"/>
    <m/>
    <m/>
    <n v="2570799"/>
    <n v="2552832"/>
    <n v="2547423"/>
    <n v="0.12"/>
    <n v="0.26"/>
    <m/>
  </r>
</pivotCacheRecords>
</file>

<file path=xl/pivotCache/pivotCacheRecords66.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26">
  <r>
    <s v="Scotland"/>
    <x v="0"/>
    <n v="2042809"/>
  </r>
  <r>
    <s v="Scotland"/>
    <x v="1"/>
    <n v="2194564"/>
  </r>
  <r>
    <s v="Scotland"/>
    <x v="2"/>
    <n v="2211430"/>
  </r>
  <r>
    <s v="Scotland"/>
    <x v="3"/>
    <n v="2230797"/>
  </r>
  <r>
    <s v="Scotland"/>
    <x v="4"/>
    <n v="2251262"/>
  </r>
  <r>
    <s v="Scotland"/>
    <x v="5"/>
    <n v="2274283"/>
  </r>
  <r>
    <s v="Scotland"/>
    <x v="6"/>
    <n v="2295185"/>
  </r>
  <r>
    <s v="Scotland"/>
    <x v="7"/>
    <n v="2318966"/>
  </r>
  <r>
    <s v="Scotland"/>
    <x v="8"/>
    <n v="2337967"/>
  </r>
  <r>
    <s v="Scotland"/>
    <x v="9"/>
    <n v="2351780"/>
  </r>
  <r>
    <s v="Scotland"/>
    <x v="10"/>
    <n v="2364850"/>
  </r>
  <r>
    <s v="Scotland"/>
    <x v="11"/>
    <n v="2376424"/>
  </r>
  <r>
    <s v="Scotland"/>
    <x v="12"/>
    <n v="2386660"/>
  </r>
  <r>
    <s v="Scotland"/>
    <x v="13"/>
    <n v="2400342"/>
  </r>
  <r>
    <s v="Scotland"/>
    <x v="14"/>
    <n v="2416014"/>
  </r>
  <r>
    <s v="Scotland"/>
    <x v="15"/>
    <n v="2429943"/>
  </r>
  <r>
    <s v="Scotland"/>
    <x v="16"/>
    <n v="2446171"/>
  </r>
  <r>
    <s v="Scotland"/>
    <x v="17"/>
    <n v="2462736"/>
  </r>
  <r>
    <s v="Scotland"/>
    <x v="18"/>
    <n v="2477275"/>
  </r>
  <r>
    <s v="Scotland"/>
    <x v="19"/>
    <n v="2495623"/>
  </r>
  <r>
    <s v="Scotland"/>
    <x v="20"/>
    <n v="2507625"/>
  </r>
  <r>
    <s v="Scotland"/>
    <x v="21"/>
    <n v="2528823"/>
  </r>
  <r>
    <s v="Scotland"/>
    <x v="22"/>
    <n v="2549797"/>
  </r>
  <r>
    <s v="Scotland"/>
    <x v="23"/>
    <n v="2535310"/>
  </r>
  <r>
    <s v="Scotland"/>
    <x v="24"/>
    <n v="2552388.2351710973"/>
  </r>
  <r>
    <s v="Scotland"/>
    <x v="25"/>
    <n v="2570799"/>
  </r>
</pivotCacheRecords>
</file>

<file path=xl/pivotCache/pivotCacheRecords67.xml><?xml version="1.0" encoding="utf-8"?>
<pivotCacheRecords xmlns="http://schemas.openxmlformats.org/spreadsheetml/2006/main" xmlns:r="http://schemas.openxmlformats.org/officeDocument/2006/relationships" xmlns:mc="http://schemas.openxmlformats.org/markup-compatibility/2006" xmlns:xr="http://schemas.microsoft.com/office/spreadsheetml/2014/revision" mc:Ignorable="xr" count="13">
  <r>
    <x v="0"/>
    <n v="2.7800000000000002E-2"/>
    <m/>
    <m/>
  </r>
  <r>
    <x v="1"/>
    <n v="2.63E-2"/>
    <m/>
    <m/>
  </r>
  <r>
    <x v="2"/>
    <n v="2.8399999999999998E-2"/>
    <n v="7.2999999999999995E-2"/>
    <m/>
  </r>
  <r>
    <x v="3"/>
    <n v="2.7900000000000001E-2"/>
    <n v="7.2900000000000006E-2"/>
    <m/>
  </r>
  <r>
    <x v="4"/>
    <n v="2.7300000000000001E-2"/>
    <n v="7.3700000000000002E-2"/>
    <n v="0.1079"/>
  </r>
  <r>
    <x v="5"/>
    <n v="2.6699999999999998E-2"/>
    <n v="7.17E-2"/>
    <n v="0.10869999999999999"/>
  </r>
  <r>
    <x v="6"/>
    <n v="2.6499999999999999E-2"/>
    <n v="7.0499999999999993E-2"/>
    <n v="0.1099"/>
  </r>
  <r>
    <x v="7"/>
    <n v="7.7000000000000002E-3"/>
    <n v="5.45E-2"/>
    <n v="9.4600000000000004E-2"/>
  </r>
  <r>
    <x v="8"/>
    <n v="1.6800000000000002E-2"/>
    <n v="4.6399999999999997E-2"/>
    <n v="8.6699999999999999E-2"/>
  </r>
  <r>
    <x v="9"/>
    <n v="1.4499999999999999E-2"/>
    <n v="3.4799999999999998E-2"/>
    <n v="7.6499999999999999E-2"/>
  </r>
  <r>
    <x v="10"/>
    <n v="1.38E-2"/>
    <n v="3.9699999999999999E-2"/>
    <n v="6.6400000000000001E-2"/>
  </r>
  <r>
    <x v="11"/>
    <n v="1.2500000000000001E-2"/>
    <n v="3.61E-2"/>
    <n v="5.4299999999999994E-2"/>
  </r>
  <r>
    <x v="12"/>
    <n v="4.4000000000000003E-3"/>
    <n v="2.52E-2"/>
    <n v="4.8799999999999996E-2"/>
  </r>
</pivotCacheRecords>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47.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46.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45.xml"/></Relationships>
</file>

<file path=xl/pivotTables/_rels/pivotTable4.xml.rels><?xml version="1.0" encoding="UTF-8" standalone="yes"?>
<Relationships xmlns="http://schemas.openxmlformats.org/package/2006/relationships"><Relationship Id="rId1" Type="http://schemas.openxmlformats.org/officeDocument/2006/relationships/pivotCacheDefinition" Target="../pivotCache/pivotCacheDefinition44.xml"/></Relationships>
</file>

<file path=xl/pivotTables/_rels/pivotTable5.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_rels/pivotTable6.xml.rels><?xml version="1.0" encoding="UTF-8" standalone="yes"?>
<Relationships xmlns="http://schemas.openxmlformats.org/package/2006/relationships"><Relationship Id="rId1" Type="http://schemas.openxmlformats.org/officeDocument/2006/relationships/pivotCacheDefinition" Target="../pivotCache/pivotCacheDefinition62.xml"/></Relationships>
</file>

<file path=xl/pivotTables/_rels/pivotTable7.xml.rels><?xml version="1.0" encoding="UTF-8" standalone="yes"?>
<Relationships xmlns="http://schemas.openxmlformats.org/package/2006/relationships"><Relationship Id="rId1" Type="http://schemas.openxmlformats.org/officeDocument/2006/relationships/pivotCacheDefinition" Target="../pivotCache/pivotCacheDefinition56.xml"/></Relationships>
</file>

<file path=xl/pivotTables/_rels/pivotTable8.xml.rels><?xml version="1.0" encoding="UTF-8" standalone="yes"?>
<Relationships xmlns="http://schemas.openxmlformats.org/package/2006/relationships"><Relationship Id="rId1" Type="http://schemas.openxmlformats.org/officeDocument/2006/relationships/pivotCacheDefinition" Target="../pivotCache/pivotCacheDefinition61.xml"/></Relationships>
</file>

<file path=xl/pivotTables/_rels/pivotTable9.xml.rels><?xml version="1.0" encoding="UTF-8" standalone="yes"?>
<Relationships xmlns="http://schemas.openxmlformats.org/package/2006/relationships"><Relationship Id="rId1" Type="http://schemas.openxmlformats.org/officeDocument/2006/relationships/pivotCacheDefinition" Target="../pivotCache/pivotCacheDefinition16.xml"/></Relationships>
</file>

<file path=xl/pivotTables/_rels/pivotTable10.xml.rels><?xml version="1.0" encoding="UTF-8" standalone="yes"?>
<Relationships xmlns="http://schemas.openxmlformats.org/package/2006/relationships"><Relationship Id="rId1" Type="http://schemas.openxmlformats.org/officeDocument/2006/relationships/pivotCacheDefinition" Target="../pivotCache/pivotCacheDefinition17.xml"/></Relationships>
</file>

<file path=xl/pivotTables/_rels/pivotTable11.xml.rels><?xml version="1.0" encoding="UTF-8" standalone="yes"?>
<Relationships xmlns="http://schemas.openxmlformats.org/package/2006/relationships"><Relationship Id="rId1" Type="http://schemas.openxmlformats.org/officeDocument/2006/relationships/pivotCacheDefinition" Target="../pivotCache/pivotCacheDefinition18.xml"/></Relationships>
</file>

<file path=xl/pivotTables/_rels/pivotTable12.xml.rels><?xml version="1.0" encoding="UTF-8" standalone="yes"?>
<Relationships xmlns="http://schemas.openxmlformats.org/package/2006/relationships"><Relationship Id="rId1" Type="http://schemas.openxmlformats.org/officeDocument/2006/relationships/pivotCacheDefinition" Target="../pivotCache/pivotCacheDefinition21.xml"/></Relationships>
</file>

<file path=xl/pivotTables/_rels/pivotTable13.xml.rels><?xml version="1.0" encoding="UTF-8" standalone="yes"?>
<Relationships xmlns="http://schemas.openxmlformats.org/package/2006/relationships"><Relationship Id="rId1" Type="http://schemas.openxmlformats.org/officeDocument/2006/relationships/pivotCacheDefinition" Target="../pivotCache/pivotCacheDefinition63.xml"/></Relationships>
</file>

<file path=xl/pivotTables/_rels/pivotTable14.xml.rels><?xml version="1.0" encoding="UTF-8" standalone="yes"?>
<Relationships xmlns="http://schemas.openxmlformats.org/package/2006/relationships"><Relationship Id="rId1" Type="http://schemas.openxmlformats.org/officeDocument/2006/relationships/pivotCacheDefinition" Target="../pivotCache/pivotCacheDefinition57.xml"/></Relationships>
</file>

<file path=xl/pivotTables/_rels/pivotTable15.xml.rels><?xml version="1.0" encoding="UTF-8" standalone="yes"?>
<Relationships xmlns="http://schemas.openxmlformats.org/package/2006/relationships"><Relationship Id="rId1" Type="http://schemas.openxmlformats.org/officeDocument/2006/relationships/pivotCacheDefinition" Target="../pivotCache/pivotCacheDefinition22.xml"/></Relationships>
</file>

<file path=xl/pivotTables/_rels/pivotTable16.xml.rels><?xml version="1.0" encoding="UTF-8" standalone="yes"?>
<Relationships xmlns="http://schemas.openxmlformats.org/package/2006/relationships"><Relationship Id="rId1" Type="http://schemas.openxmlformats.org/officeDocument/2006/relationships/pivotCacheDefinition" Target="../pivotCache/pivotCacheDefinition23.xml"/></Relationships>
</file>

<file path=xl/pivotTables/_rels/pivotTable17.xml.rels><?xml version="1.0" encoding="UTF-8" standalone="yes"?>
<Relationships xmlns="http://schemas.openxmlformats.org/package/2006/relationships"><Relationship Id="rId1" Type="http://schemas.openxmlformats.org/officeDocument/2006/relationships/pivotCacheDefinition" Target="../pivotCache/pivotCacheDefinition39.xml"/></Relationships>
</file>

<file path=xl/pivotTables/_rels/pivotTable18.xml.rels><?xml version="1.0" encoding="UTF-8" standalone="yes"?>
<Relationships xmlns="http://schemas.openxmlformats.org/package/2006/relationships"><Relationship Id="rId1" Type="http://schemas.openxmlformats.org/officeDocument/2006/relationships/pivotCacheDefinition" Target="../pivotCache/pivotCacheDefinition24.xml"/></Relationships>
</file>

<file path=xl/pivotTables/_rels/pivotTable19.xml.rels><?xml version="1.0" encoding="UTF-8" standalone="yes"?>
<Relationships xmlns="http://schemas.openxmlformats.org/package/2006/relationships"><Relationship Id="rId1" Type="http://schemas.openxmlformats.org/officeDocument/2006/relationships/pivotCacheDefinition" Target="../pivotCache/pivotCacheDefinition25.xml"/></Relationships>
</file>

<file path=xl/pivotTables/_rels/pivotTable20.xml.rels><?xml version="1.0" encoding="UTF-8" standalone="yes"?>
<Relationships xmlns="http://schemas.openxmlformats.org/package/2006/relationships"><Relationship Id="rId1" Type="http://schemas.openxmlformats.org/officeDocument/2006/relationships/pivotCacheDefinition" Target="../pivotCache/pivotCacheDefinition26.xml"/></Relationships>
</file>

<file path=xl/pivotTables/_rels/pivotTable21.xml.rels><?xml version="1.0" encoding="UTF-8" standalone="yes"?>
<Relationships xmlns="http://schemas.openxmlformats.org/package/2006/relationships"><Relationship Id="rId1" Type="http://schemas.openxmlformats.org/officeDocument/2006/relationships/pivotCacheDefinition" Target="../pivotCache/pivotCacheDefinition27.xml"/></Relationships>
</file>

<file path=xl/pivotTables/_rels/pivotTable22.xml.rels><?xml version="1.0" encoding="UTF-8" standalone="yes"?>
<Relationships xmlns="http://schemas.openxmlformats.org/package/2006/relationships"><Relationship Id="rId1" Type="http://schemas.openxmlformats.org/officeDocument/2006/relationships/pivotCacheDefinition" Target="../pivotCache/pivotCacheDefinition48.xml"/></Relationships>
</file>

<file path=xl/pivotTables/_rels/pivotTable23.xml.rels><?xml version="1.0" encoding="UTF-8" standalone="yes"?>
<Relationships xmlns="http://schemas.openxmlformats.org/package/2006/relationships"><Relationship Id="rId1" Type="http://schemas.openxmlformats.org/officeDocument/2006/relationships/pivotCacheDefinition" Target="../pivotCache/pivotCacheDefinition28.xml"/></Relationships>
</file>

<file path=xl/pivotTables/_rels/pivotTable24.xml.rels><?xml version="1.0" encoding="UTF-8" standalone="yes"?>
<Relationships xmlns="http://schemas.openxmlformats.org/package/2006/relationships"><Relationship Id="rId1" Type="http://schemas.openxmlformats.org/officeDocument/2006/relationships/pivotCacheDefinition" Target="../pivotCache/pivotCacheDefinition29.xml"/></Relationships>
</file>

<file path=xl/pivotTables/_rels/pivotTable25.xml.rels><?xml version="1.0" encoding="UTF-8" standalone="yes"?>
<Relationships xmlns="http://schemas.openxmlformats.org/package/2006/relationships"><Relationship Id="rId1" Type="http://schemas.openxmlformats.org/officeDocument/2006/relationships/pivotCacheDefinition" Target="../pivotCache/pivotCacheDefinition30.xml"/></Relationships>
</file>

<file path=xl/pivotTables/_rels/pivotTable26.xml.rels><?xml version="1.0" encoding="UTF-8" standalone="yes"?>
<Relationships xmlns="http://schemas.openxmlformats.org/package/2006/relationships"><Relationship Id="rId1" Type="http://schemas.openxmlformats.org/officeDocument/2006/relationships/pivotCacheDefinition" Target="../pivotCache/pivotCacheDefinition31.xml"/></Relationships>
</file>

<file path=xl/pivotTables/_rels/pivotTable27.xml.rels><?xml version="1.0" encoding="UTF-8" standalone="yes"?>
<Relationships xmlns="http://schemas.openxmlformats.org/package/2006/relationships"><Relationship Id="rId1" Type="http://schemas.openxmlformats.org/officeDocument/2006/relationships/pivotCacheDefinition" Target="../pivotCache/pivotCacheDefinition42.xml"/></Relationships>
</file>

<file path=xl/pivotTables/_rels/pivotTable28.xml.rels><?xml version="1.0" encoding="UTF-8" standalone="yes"?>
<Relationships xmlns="http://schemas.openxmlformats.org/package/2006/relationships"><Relationship Id="rId1" Type="http://schemas.openxmlformats.org/officeDocument/2006/relationships/pivotCacheDefinition" Target="../pivotCache/pivotCacheDefinition43.xml"/></Relationships>
</file>

<file path=xl/pivotTables/_rels/pivotTable29.xml.rels><?xml version="1.0" encoding="UTF-8" standalone="yes"?>
<Relationships xmlns="http://schemas.openxmlformats.org/package/2006/relationships"><Relationship Id="rId1" Type="http://schemas.openxmlformats.org/officeDocument/2006/relationships/pivotCacheDefinition" Target="../pivotCache/pivotCacheDefinition38.xml"/></Relationships>
</file>

<file path=xl/pivotTables/_rels/pivotTable30.xml.rels><?xml version="1.0" encoding="UTF-8" standalone="yes"?>
<Relationships xmlns="http://schemas.openxmlformats.org/package/2006/relationships"><Relationship Id="rId1" Type="http://schemas.openxmlformats.org/officeDocument/2006/relationships/pivotCacheDefinition" Target="../pivotCache/pivotCacheDefinition32.xml"/></Relationships>
</file>

<file path=xl/pivotTables/_rels/pivotTable31.xml.rels><?xml version="1.0" encoding="UTF-8" standalone="yes"?>
<Relationships xmlns="http://schemas.openxmlformats.org/package/2006/relationships"><Relationship Id="rId1" Type="http://schemas.openxmlformats.org/officeDocument/2006/relationships/pivotCacheDefinition" Target="../pivotCache/pivotCacheDefinition64.xml"/></Relationships>
</file>

<file path=xl/pivotTables/_rels/pivotTable32.xml.rels><?xml version="1.0" encoding="UTF-8" standalone="yes"?>
<Relationships xmlns="http://schemas.openxmlformats.org/package/2006/relationships"><Relationship Id="rId1" Type="http://schemas.openxmlformats.org/officeDocument/2006/relationships/pivotCacheDefinition" Target="../pivotCache/pivotCacheDefinition40.xml"/></Relationships>
</file>

<file path=xl/pivotTables/_rels/pivotTable33.xml.rels><?xml version="1.0" encoding="UTF-8" standalone="yes"?>
<Relationships xmlns="http://schemas.openxmlformats.org/package/2006/relationships"><Relationship Id="rId1" Type="http://schemas.openxmlformats.org/officeDocument/2006/relationships/pivotCacheDefinition" Target="../pivotCache/pivotCacheDefinition41.xml"/></Relationships>
</file>

<file path=xl/pivotTables/_rels/pivotTable34.xml.rels><?xml version="1.0" encoding="UTF-8" standalone="yes"?>
<Relationships xmlns="http://schemas.openxmlformats.org/package/2006/relationships"><Relationship Id="rId1" Type="http://schemas.openxmlformats.org/officeDocument/2006/relationships/pivotCacheDefinition" Target="../pivotCache/pivotCacheDefinition33.xml"/></Relationships>
</file>

<file path=xl/pivotTables/_rels/pivotTable35.xml.rels><?xml version="1.0" encoding="UTF-8" standalone="yes"?>
<Relationships xmlns="http://schemas.openxmlformats.org/package/2006/relationships"><Relationship Id="rId1" Type="http://schemas.openxmlformats.org/officeDocument/2006/relationships/pivotCacheDefinition" Target="../pivotCache/pivotCacheDefinition35.xml"/></Relationships>
</file>

<file path=xl/pivotTables/_rels/pivotTable36.xml.rels><?xml version="1.0" encoding="UTF-8" standalone="yes"?>
<Relationships xmlns="http://schemas.openxmlformats.org/package/2006/relationships"><Relationship Id="rId1" Type="http://schemas.openxmlformats.org/officeDocument/2006/relationships/pivotCacheDefinition" Target="../pivotCache/pivotCacheDefinition34.xml"/></Relationships>
</file>

<file path=xl/pivotTables/_rels/pivotTable37.xml.rels><?xml version="1.0" encoding="UTF-8" standalone="yes"?>
<Relationships xmlns="http://schemas.openxmlformats.org/package/2006/relationships"><Relationship Id="rId1" Type="http://schemas.openxmlformats.org/officeDocument/2006/relationships/pivotCacheDefinition" Target="../pivotCache/pivotCacheDefinition37.xml"/></Relationships>
</file>

<file path=xl/pivotTables/_rels/pivotTable38.xml.rels><?xml version="1.0" encoding="UTF-8" standalone="yes"?>
<Relationships xmlns="http://schemas.openxmlformats.org/package/2006/relationships"><Relationship Id="rId1" Type="http://schemas.openxmlformats.org/officeDocument/2006/relationships/pivotCacheDefinition" Target="../pivotCache/pivotCacheDefinition36.xml"/></Relationships>
</file>

<file path=xl/pivotTables/_rels/pivotTable39.xml.rels><?xml version="1.0" encoding="UTF-8" standalone="yes"?>
<Relationships xmlns="http://schemas.openxmlformats.org/package/2006/relationships"><Relationship Id="rId1" Type="http://schemas.openxmlformats.org/officeDocument/2006/relationships/pivotCacheDefinition" Target="../pivotCache/pivotCacheDefinition5.xml"/></Relationships>
</file>

<file path=xl/pivotTables/_rels/pivotTable40.xml.rels><?xml version="1.0" encoding="UTF-8" standalone="yes"?>
<Relationships xmlns="http://schemas.openxmlformats.org/package/2006/relationships"><Relationship Id="rId1" Type="http://schemas.openxmlformats.org/officeDocument/2006/relationships/pivotCacheDefinition" Target="../pivotCache/pivotCacheDefinition4.xml"/></Relationships>
</file>

<file path=xl/pivotTables/_rels/pivotTable41.xml.rels><?xml version="1.0" encoding="UTF-8" standalone="yes"?>
<Relationships xmlns="http://schemas.openxmlformats.org/package/2006/relationships"><Relationship Id="rId1" Type="http://schemas.openxmlformats.org/officeDocument/2006/relationships/pivotCacheDefinition" Target="../pivotCache/pivotCacheDefinition8.xml"/></Relationships>
</file>

<file path=xl/pivotTables/_rels/pivotTable42.xml.rels><?xml version="1.0" encoding="UTF-8" standalone="yes"?>
<Relationships xmlns="http://schemas.openxmlformats.org/package/2006/relationships"><Relationship Id="rId1" Type="http://schemas.openxmlformats.org/officeDocument/2006/relationships/pivotCacheDefinition" Target="../pivotCache/pivotCacheDefinition7.xml"/></Relationships>
</file>

<file path=xl/pivotTables/_rels/pivotTable43.xml.rels><?xml version="1.0" encoding="UTF-8" standalone="yes"?>
<Relationships xmlns="http://schemas.openxmlformats.org/package/2006/relationships"><Relationship Id="rId1" Type="http://schemas.openxmlformats.org/officeDocument/2006/relationships/pivotCacheDefinition" Target="../pivotCache/pivotCacheDefinition6.xml"/></Relationships>
</file>

<file path=xl/pivotTables/_rels/pivotTable44.xml.rels><?xml version="1.0" encoding="UTF-8" standalone="yes"?>
<Relationships xmlns="http://schemas.openxmlformats.org/package/2006/relationships"><Relationship Id="rId1" Type="http://schemas.openxmlformats.org/officeDocument/2006/relationships/pivotCacheDefinition" Target="../pivotCache/pivotCacheDefinition58.xml"/></Relationships>
</file>

<file path=xl/pivotTables/_rels/pivotTable45.xml.rels><?xml version="1.0" encoding="UTF-8" standalone="yes"?>
<Relationships xmlns="http://schemas.openxmlformats.org/package/2006/relationships"><Relationship Id="rId1" Type="http://schemas.openxmlformats.org/officeDocument/2006/relationships/pivotCacheDefinition" Target="../pivotCache/pivotCacheDefinition66.xml"/></Relationships>
</file>

<file path=xl/pivotTables/_rels/pivotTable46.xml.rels><?xml version="1.0" encoding="UTF-8" standalone="yes"?>
<Relationships xmlns="http://schemas.openxmlformats.org/package/2006/relationships"><Relationship Id="rId1" Type="http://schemas.openxmlformats.org/officeDocument/2006/relationships/pivotCacheDefinition" Target="../pivotCache/pivotCacheDefinition65.xml"/></Relationships>
</file>

<file path=xl/pivotTables/_rels/pivotTable47.xml.rels><?xml version="1.0" encoding="UTF-8" standalone="yes"?>
<Relationships xmlns="http://schemas.openxmlformats.org/package/2006/relationships"><Relationship Id="rId1" Type="http://schemas.openxmlformats.org/officeDocument/2006/relationships/pivotCacheDefinition" Target="../pivotCache/pivotCacheDefinition67.xml"/></Relationships>
</file>

<file path=xl/pivotTables/_rels/pivotTable48.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49.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50.xml.rels><?xml version="1.0" encoding="UTF-8" standalone="yes"?>
<Relationships xmlns="http://schemas.openxmlformats.org/package/2006/relationships"><Relationship Id="rId1" Type="http://schemas.openxmlformats.org/officeDocument/2006/relationships/pivotCacheDefinition" Target="../pivotCache/pivotCacheDefinition13.xml"/></Relationships>
</file>

<file path=xl/pivotTables/_rels/pivotTable51.xml.rels><?xml version="1.0" encoding="UTF-8" standalone="yes"?>
<Relationships xmlns="http://schemas.openxmlformats.org/package/2006/relationships"><Relationship Id="rId1" Type="http://schemas.openxmlformats.org/officeDocument/2006/relationships/pivotCacheDefinition" Target="../pivotCache/pivotCacheDefinition12.xml"/></Relationships>
</file>

<file path=xl/pivotTables/_rels/pivotTable52.xml.rels><?xml version="1.0" encoding="UTF-8" standalone="yes"?>
<Relationships xmlns="http://schemas.openxmlformats.org/package/2006/relationships"><Relationship Id="rId1" Type="http://schemas.openxmlformats.org/officeDocument/2006/relationships/pivotCacheDefinition" Target="../pivotCache/pivotCacheDefinition11.xml"/></Relationships>
</file>

<file path=xl/pivotTables/_rels/pivotTable53.xml.rels><?xml version="1.0" encoding="UTF-8" standalone="yes"?>
<Relationships xmlns="http://schemas.openxmlformats.org/package/2006/relationships"><Relationship Id="rId1" Type="http://schemas.openxmlformats.org/officeDocument/2006/relationships/pivotCacheDefinition" Target="../pivotCache/pivotCacheDefinition14.xml"/></Relationships>
</file>

<file path=xl/pivotTables/_rels/pivotTable54.xml.rels><?xml version="1.0" encoding="UTF-8" standalone="yes"?>
<Relationships xmlns="http://schemas.openxmlformats.org/package/2006/relationships"><Relationship Id="rId1" Type="http://schemas.openxmlformats.org/officeDocument/2006/relationships/pivotCacheDefinition" Target="../pivotCache/pivotCacheDefinition15.xml"/></Relationships>
</file>

<file path=xl/pivotTables/_rels/pivotTable55.xml.rels><?xml version="1.0" encoding="UTF-8" standalone="yes"?>
<Relationships xmlns="http://schemas.openxmlformats.org/package/2006/relationships"><Relationship Id="rId1" Type="http://schemas.openxmlformats.org/officeDocument/2006/relationships/pivotCacheDefinition" Target="../pivotCache/pivotCacheDefinition60.xml"/></Relationships>
</file>

<file path=xl/pivotTables/_rels/pivotTable56.xml.rels><?xml version="1.0" encoding="UTF-8" standalone="yes"?>
<Relationships xmlns="http://schemas.openxmlformats.org/package/2006/relationships"><Relationship Id="rId1" Type="http://schemas.openxmlformats.org/officeDocument/2006/relationships/pivotCacheDefinition" Target="../pivotCache/pivotCacheDefinition19.xml"/></Relationships>
</file>

<file path=xl/pivotTables/_rels/pivotTable57.xml.rels><?xml version="1.0" encoding="UTF-8" standalone="yes"?>
<Relationships xmlns="http://schemas.openxmlformats.org/package/2006/relationships"><Relationship Id="rId1" Type="http://schemas.openxmlformats.org/officeDocument/2006/relationships/pivotCacheDefinition" Target="../pivotCache/pivotCacheDefinition20.xml"/></Relationships>
</file>

<file path=xl/pivotTables/_rels/pivotTable58.xml.rels><?xml version="1.0" encoding="UTF-8" standalone="yes"?>
<Relationships xmlns="http://schemas.openxmlformats.org/package/2006/relationships"><Relationship Id="rId1" Type="http://schemas.openxmlformats.org/officeDocument/2006/relationships/pivotCacheDefinition" Target="../pivotCache/pivotCacheDefinition59.xml"/></Relationships>
</file>

<file path=xl/pivotTables/_rels/pivotTable59.xml.rels><?xml version="1.0" encoding="UTF-8" standalone="yes"?>
<Relationships xmlns="http://schemas.openxmlformats.org/package/2006/relationships"><Relationship Id="rId1" Type="http://schemas.openxmlformats.org/officeDocument/2006/relationships/pivotCacheDefinition" Target="../pivotCache/pivotCacheDefinition51.xml"/></Relationships>
</file>

<file path=xl/pivotTables/_rels/pivotTable60.xml.rels><?xml version="1.0" encoding="UTF-8" standalone="yes"?>
<Relationships xmlns="http://schemas.openxmlformats.org/package/2006/relationships"><Relationship Id="rId1" Type="http://schemas.openxmlformats.org/officeDocument/2006/relationships/pivotCacheDefinition" Target="../pivotCache/pivotCacheDefinition50.xml"/></Relationships>
</file>

<file path=xl/pivotTables/_rels/pivotTable61.xml.rels><?xml version="1.0" encoding="UTF-8" standalone="yes"?>
<Relationships xmlns="http://schemas.openxmlformats.org/package/2006/relationships"><Relationship Id="rId1" Type="http://schemas.openxmlformats.org/officeDocument/2006/relationships/pivotCacheDefinition" Target="../pivotCache/pivotCacheDefinition49.xml"/></Relationships>
</file>

<file path=xl/pivotTables/_rels/pivotTable62.xml.rels><?xml version="1.0" encoding="UTF-8" standalone="yes"?>
<Relationships xmlns="http://schemas.openxmlformats.org/package/2006/relationships"><Relationship Id="rId1" Type="http://schemas.openxmlformats.org/officeDocument/2006/relationships/pivotCacheDefinition" Target="../pivotCache/pivotCacheDefinition9.xml"/></Relationships>
</file>

<file path=xl/pivotTables/_rels/pivotTable63.xml.rels><?xml version="1.0" encoding="UTF-8" standalone="yes"?>
<Relationships xmlns="http://schemas.openxmlformats.org/package/2006/relationships"><Relationship Id="rId1" Type="http://schemas.openxmlformats.org/officeDocument/2006/relationships/pivotCacheDefinition" Target="../pivotCache/pivotCacheDefinition53.xml"/></Relationships>
</file>

<file path=xl/pivotTables/_rels/pivotTable64.xml.rels><?xml version="1.0" encoding="UTF-8" standalone="yes"?>
<Relationships xmlns="http://schemas.openxmlformats.org/package/2006/relationships"><Relationship Id="rId1" Type="http://schemas.openxmlformats.org/officeDocument/2006/relationships/pivotCacheDefinition" Target="../pivotCache/pivotCacheDefinition52.xml"/></Relationships>
</file>

<file path=xl/pivotTables/_rels/pivotTable65.xml.rels><?xml version="1.0" encoding="UTF-8" standalone="yes"?>
<Relationships xmlns="http://schemas.openxmlformats.org/package/2006/relationships"><Relationship Id="rId1" Type="http://schemas.openxmlformats.org/officeDocument/2006/relationships/pivotCacheDefinition" Target="../pivotCache/pivotCacheDefinition10.xml"/></Relationships>
</file>

<file path=xl/pivotTables/_rels/pivotTable66.xml.rels><?xml version="1.0" encoding="UTF-8" standalone="yes"?>
<Relationships xmlns="http://schemas.openxmlformats.org/package/2006/relationships"><Relationship Id="rId1" Type="http://schemas.openxmlformats.org/officeDocument/2006/relationships/pivotCacheDefinition" Target="../pivotCache/pivotCacheDefinition55.xml"/></Relationships>
</file>

<file path=xl/pivotTables/_rels/pivotTable67.xml.rels><?xml version="1.0" encoding="UTF-8" standalone="yes"?>
<Relationships xmlns="http://schemas.openxmlformats.org/package/2006/relationships"><Relationship Id="rId1" Type="http://schemas.openxmlformats.org/officeDocument/2006/relationships/pivotCacheDefinition" Target="../pivotCache/pivotCacheDefinition54.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57AEB012-AB5E-4EEB-9006-6B77642A68C5}" name="PivotTable2" cacheId="247" applyNumberFormats="0" applyBorderFormats="0" applyFontFormats="0" applyPatternFormats="0" applyAlignmentFormats="0" applyWidthHeightFormats="1" dataCaption="Values" updatedVersion="8" minRefreshableVersion="3" useAutoFormatting="1" itemPrintTitles="1" createdVersion="6" indent="0" outline="1" outlineData="1" multipleFieldFilters="0">
  <location ref="A3:G36" firstHeaderRow="0" firstDataRow="1" firstDataCol="1" rowPageCount="1" colPageCount="1"/>
  <pivotFields count="8">
    <pivotField axis="axisPage" subtotalTop="0" showAll="0">
      <items count="9">
        <item x="0"/>
        <item x="1"/>
        <item x="2"/>
        <item x="3"/>
        <item x="4"/>
        <item x="5"/>
        <item x="6"/>
        <item x="7"/>
        <item t="default"/>
      </items>
    </pivotField>
    <pivotField axis="axisRow" subtotalTop="0" showAll="0">
      <items count="33">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t="default"/>
      </items>
    </pivotField>
    <pivotField dataField="1" subtotalTop="0" showAll="0"/>
    <pivotField dataField="1" subtotalTop="0" showAll="0"/>
    <pivotField dataField="1" subtotalTop="0" showAll="0"/>
    <pivotField dataField="1" subtotalTop="0" showAll="0"/>
    <pivotField dataField="1" subtotalTop="0" showAll="0"/>
    <pivotField dataField="1" subtotalTop="0" showAll="0"/>
  </pivotFields>
  <rowFields count="1">
    <field x="1"/>
  </rowFields>
  <rowItems count="33">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t="grand">
      <x/>
    </i>
  </rowItems>
  <colFields count="1">
    <field x="-2"/>
  </colFields>
  <colItems count="6">
    <i>
      <x/>
    </i>
    <i i="1">
      <x v="1"/>
    </i>
    <i i="2">
      <x v="2"/>
    </i>
    <i i="3">
      <x v="3"/>
    </i>
    <i i="4">
      <x v="4"/>
    </i>
    <i i="5">
      <x v="5"/>
    </i>
  </colItems>
  <pageFields count="1">
    <pageField fld="0" item="7" hier="-1"/>
  </pageFields>
  <dataFields count="6">
    <dataField name="Sum of Wholetime" fld="2" baseField="1" baseItem="0"/>
    <dataField name="Sum of Wholetime and Retained" fld="3" baseField="1" baseItem="0"/>
    <dataField name="Sum of Wholetime and Day" fld="4" baseField="1" baseItem="0"/>
    <dataField name="Sum of Retained" fld="6" baseField="1" baseItem="0"/>
    <dataField name="Sum of Volunteer" fld="5" baseField="1" baseItem="0"/>
    <dataField name="Sum of Total" fld="7"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699BA7E4-64CF-443A-BDF5-7AF212E5F0DF}" name="PivotTable4" cacheId="246" applyNumberFormats="0" applyBorderFormats="0" applyFontFormats="0" applyPatternFormats="0" applyAlignmentFormats="0" applyWidthHeightFormats="1" dataCaption="Values" updatedVersion="8" minRefreshableVersion="3" useAutoFormatting="1" itemPrintTitles="1" createdVersion="6" indent="0" outline="1" outlineData="1" multipleFieldFilters="0">
  <location ref="A3:E36" firstHeaderRow="0" firstDataRow="1" firstDataCol="1" rowPageCount="1" colPageCount="1"/>
  <pivotFields count="6">
    <pivotField axis="axisPage" subtotalTop="0" showAll="0">
      <items count="13">
        <item x="0"/>
        <item x="1"/>
        <item x="2"/>
        <item x="3"/>
        <item x="4"/>
        <item x="5"/>
        <item x="6"/>
        <item x="7"/>
        <item x="8"/>
        <item x="9"/>
        <item x="10"/>
        <item x="11"/>
        <item t="default"/>
      </items>
    </pivotField>
    <pivotField axis="axisRow" subtotalTop="0" showAll="0">
      <items count="33">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t="default"/>
      </items>
    </pivotField>
    <pivotField dataField="1" subtotalTop="0" showAll="0"/>
    <pivotField dataField="1" subtotalTop="0" showAll="0"/>
    <pivotField dataField="1" subtotalTop="0" showAll="0"/>
    <pivotField dataField="1" subtotalTop="0" showAll="0"/>
  </pivotFields>
  <rowFields count="1">
    <field x="1"/>
  </rowFields>
  <rowItems count="33">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t="grand">
      <x/>
    </i>
  </rowItems>
  <colFields count="1">
    <field x="-2"/>
  </colFields>
  <colItems count="4">
    <i>
      <x/>
    </i>
    <i i="1">
      <x v="1"/>
    </i>
    <i i="2">
      <x v="2"/>
    </i>
    <i i="3">
      <x v="3"/>
    </i>
  </colItems>
  <pageFields count="1">
    <pageField fld="0" item="11" hier="-1"/>
  </pageFields>
  <dataFields count="4">
    <dataField name="Sum of Wholetime" fld="2" baseField="1" baseItem="0"/>
    <dataField name="Sum of Retained" fld="3" baseField="1" baseItem="0"/>
    <dataField name="Sum of Volunteer" fld="4" baseField="1" baseItem="0"/>
    <dataField name="Sum of Total" fld="5"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E1AC30C2-D0C6-487C-8879-B9BB502DDB51}" name="PivotTable3" cacheId="245"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A1:AC10" firstHeaderRow="1" firstDataRow="2" firstDataCol="1"/>
  <pivotFields count="4">
    <pivotField axis="axisRow" showAll="0">
      <items count="8">
        <item x="0"/>
        <item x="1"/>
        <item x="2"/>
        <item x="3"/>
        <item x="4"/>
        <item x="5"/>
        <item x="6"/>
        <item t="default"/>
      </items>
    </pivotField>
    <pivotField showAll="0"/>
    <pivotField axis="axisCol" showAll="0">
      <items count="48">
        <item x="25"/>
        <item m="1" x="31"/>
        <item x="1"/>
        <item m="1" x="32"/>
        <item x="2"/>
        <item m="1" x="40"/>
        <item x="10"/>
        <item x="3"/>
        <item m="1" x="33"/>
        <item x="16"/>
        <item m="1" x="34"/>
        <item m="1" x="41"/>
        <item m="1" x="42"/>
        <item m="1" x="35"/>
        <item x="11"/>
        <item m="1" x="43"/>
        <item x="4"/>
        <item x="5"/>
        <item x="12"/>
        <item m="1" x="36"/>
        <item x="6"/>
        <item x="17"/>
        <item x="0"/>
        <item x="21"/>
        <item x="13"/>
        <item x="24"/>
        <item m="1" x="45"/>
        <item x="14"/>
        <item m="1" x="44"/>
        <item x="18"/>
        <item x="7"/>
        <item m="1" x="37"/>
        <item x="8"/>
        <item m="1" x="38"/>
        <item x="22"/>
        <item x="23"/>
        <item m="1" x="39"/>
        <item x="9"/>
        <item x="19"/>
        <item m="1" x="46"/>
        <item x="15"/>
        <item x="20"/>
        <item m="1" x="29"/>
        <item m="1" x="28"/>
        <item m="1" x="27"/>
        <item m="1" x="30"/>
        <item x="26"/>
        <item t="default"/>
      </items>
    </pivotField>
    <pivotField dataField="1" showAll="0"/>
  </pivotFields>
  <rowFields count="1">
    <field x="0"/>
  </rowFields>
  <rowItems count="8">
    <i>
      <x/>
    </i>
    <i>
      <x v="1"/>
    </i>
    <i>
      <x v="2"/>
    </i>
    <i>
      <x v="3"/>
    </i>
    <i>
      <x v="4"/>
    </i>
    <i>
      <x v="5"/>
    </i>
    <i>
      <x v="6"/>
    </i>
    <i t="grand">
      <x/>
    </i>
  </rowItems>
  <colFields count="1">
    <field x="2"/>
  </colFields>
  <colItems count="28">
    <i>
      <x/>
    </i>
    <i>
      <x v="2"/>
    </i>
    <i>
      <x v="4"/>
    </i>
    <i>
      <x v="6"/>
    </i>
    <i>
      <x v="7"/>
    </i>
    <i>
      <x v="9"/>
    </i>
    <i>
      <x v="14"/>
    </i>
    <i>
      <x v="16"/>
    </i>
    <i>
      <x v="17"/>
    </i>
    <i>
      <x v="18"/>
    </i>
    <i>
      <x v="20"/>
    </i>
    <i>
      <x v="21"/>
    </i>
    <i>
      <x v="22"/>
    </i>
    <i>
      <x v="23"/>
    </i>
    <i>
      <x v="24"/>
    </i>
    <i>
      <x v="25"/>
    </i>
    <i>
      <x v="27"/>
    </i>
    <i>
      <x v="29"/>
    </i>
    <i>
      <x v="30"/>
    </i>
    <i>
      <x v="32"/>
    </i>
    <i>
      <x v="34"/>
    </i>
    <i>
      <x v="35"/>
    </i>
    <i>
      <x v="37"/>
    </i>
    <i>
      <x v="38"/>
    </i>
    <i>
      <x v="40"/>
    </i>
    <i>
      <x v="41"/>
    </i>
    <i>
      <x v="46"/>
    </i>
    <i t="grand">
      <x/>
    </i>
  </colItems>
  <dataFields count="1">
    <dataField name="Sum of Value" fld="3"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4.xml><?xml version="1.0" encoding="utf-8"?>
<pivotTableDefinition xmlns="http://schemas.openxmlformats.org/spreadsheetml/2006/main" xmlns:mc="http://schemas.openxmlformats.org/markup-compatibility/2006" xmlns:xr="http://schemas.microsoft.com/office/spreadsheetml/2014/revision" mc:Ignorable="xr" xr:uid="{125CC0D1-817E-4DAD-AF20-3E829D982749}" name="PivotTable2" cacheId="244" applyNumberFormats="0" applyBorderFormats="0" applyFontFormats="0" applyPatternFormats="0" applyAlignmentFormats="0" applyWidthHeightFormats="1" dataCaption="Values" updatedVersion="8" minRefreshableVersion="3" useAutoFormatting="1" itemPrintTitles="1" createdVersion="6" indent="0" outline="1" outlineData="1" multipleFieldFilters="0">
  <location ref="D32:E63" firstHeaderRow="1" firstDataRow="1" firstDataCol="1"/>
  <pivotFields count="3">
    <pivotField axis="axisRow" showAll="0">
      <items count="8">
        <item x="2"/>
        <item x="0"/>
        <item x="1"/>
        <item x="3"/>
        <item x="4"/>
        <item x="5"/>
        <item x="6"/>
        <item t="default"/>
      </items>
    </pivotField>
    <pivotField axis="axisRow" showAll="0">
      <items count="7">
        <item x="0"/>
        <item x="1"/>
        <item x="2"/>
        <item x="3"/>
        <item x="4"/>
        <item x="5"/>
        <item t="default"/>
      </items>
    </pivotField>
    <pivotField dataField="1" showAll="0"/>
  </pivotFields>
  <rowFields count="2">
    <field x="0"/>
    <field x="1"/>
  </rowFields>
  <rowItems count="31">
    <i>
      <x/>
    </i>
    <i r="1">
      <x/>
    </i>
    <i r="1">
      <x v="1"/>
    </i>
    <i r="1">
      <x v="2"/>
    </i>
    <i>
      <x v="1"/>
    </i>
    <i r="1">
      <x/>
    </i>
    <i r="1">
      <x v="1"/>
    </i>
    <i r="1">
      <x v="2"/>
    </i>
    <i>
      <x v="2"/>
    </i>
    <i r="1">
      <x/>
    </i>
    <i r="1">
      <x v="1"/>
    </i>
    <i r="1">
      <x v="2"/>
    </i>
    <i>
      <x v="3"/>
    </i>
    <i r="1">
      <x/>
    </i>
    <i r="1">
      <x v="1"/>
    </i>
    <i r="1">
      <x v="2"/>
    </i>
    <i>
      <x v="4"/>
    </i>
    <i r="1">
      <x/>
    </i>
    <i r="1">
      <x v="1"/>
    </i>
    <i r="1">
      <x v="2"/>
    </i>
    <i>
      <x v="5"/>
    </i>
    <i r="1">
      <x v="1"/>
    </i>
    <i r="1">
      <x v="2"/>
    </i>
    <i r="1">
      <x v="3"/>
    </i>
    <i r="1">
      <x v="4"/>
    </i>
    <i r="1">
      <x v="5"/>
    </i>
    <i>
      <x v="6"/>
    </i>
    <i r="1">
      <x v="1"/>
    </i>
    <i r="1">
      <x v="2"/>
    </i>
    <i r="1">
      <x v="4"/>
    </i>
    <i t="grand">
      <x/>
    </i>
  </rowItems>
  <colItems count="1">
    <i/>
  </colItems>
  <dataFields count="1">
    <dataField name="Sum of Number of Stations with Capability" fld="2"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5.xml><?xml version="1.0" encoding="utf-8"?>
<pivotTableDefinition xmlns="http://schemas.openxmlformats.org/spreadsheetml/2006/main" xmlns:mc="http://schemas.openxmlformats.org/markup-compatibility/2006" xmlns:xr="http://schemas.microsoft.com/office/spreadsheetml/2014/revision" mc:Ignorable="xr" xr:uid="{3073DC20-EE1C-4766-A59B-A42383B847C4}" name="PivotTable1" cacheId="203"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A3:N18" firstHeaderRow="0" firstDataRow="1" firstDataCol="1"/>
  <pivotFields count="14">
    <pivotField axis="axisRow" showAll="0">
      <items count="15">
        <item x="0"/>
        <item x="1"/>
        <item x="2"/>
        <item x="3"/>
        <item x="4"/>
        <item x="5"/>
        <item x="6"/>
        <item x="7"/>
        <item x="8"/>
        <item x="9"/>
        <item x="10"/>
        <item x="11"/>
        <item x="12"/>
        <item x="13"/>
        <item t="default"/>
      </items>
    </pivotField>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s>
  <rowFields count="1">
    <field x="0"/>
  </rowFields>
  <rowItems count="15">
    <i>
      <x/>
    </i>
    <i>
      <x v="1"/>
    </i>
    <i>
      <x v="2"/>
    </i>
    <i>
      <x v="3"/>
    </i>
    <i>
      <x v="4"/>
    </i>
    <i>
      <x v="5"/>
    </i>
    <i>
      <x v="6"/>
    </i>
    <i>
      <x v="7"/>
    </i>
    <i>
      <x v="8"/>
    </i>
    <i>
      <x v="9"/>
    </i>
    <i>
      <x v="10"/>
    </i>
    <i>
      <x v="11"/>
    </i>
    <i>
      <x v="12"/>
    </i>
    <i>
      <x v="13"/>
    </i>
    <i t="grand">
      <x/>
    </i>
  </rowItems>
  <colFields count="1">
    <field x="-2"/>
  </colFields>
  <colItems count="13">
    <i>
      <x/>
    </i>
    <i i="1">
      <x v="1"/>
    </i>
    <i i="2">
      <x v="2"/>
    </i>
    <i i="3">
      <x v="3"/>
    </i>
    <i i="4">
      <x v="4"/>
    </i>
    <i i="5">
      <x v="5"/>
    </i>
    <i i="6">
      <x v="6"/>
    </i>
    <i i="7">
      <x v="7"/>
    </i>
    <i i="8">
      <x v="8"/>
    </i>
    <i i="9">
      <x v="9"/>
    </i>
    <i i="10">
      <x v="10"/>
    </i>
    <i i="11">
      <x v="11"/>
    </i>
    <i i="12">
      <x v="12"/>
    </i>
  </colItems>
  <dataFields count="13">
    <dataField name="Sum of Pumping Appliances" fld="1" baseField="0" baseItem="0"/>
    <dataField name="Sum of Aerial Appliances" fld="2" baseField="0" baseItem="0"/>
    <dataField name="Sum of Resilience Appliances" fld="3" baseField="0" baseItem="0"/>
    <dataField name="Sum of Fire Boats" fld="4" baseField="0" baseItem="0"/>
    <dataField name="Sum of Vehicles for Rescue Work" fld="5" baseField="0" baseItem="0"/>
    <dataField name="Sum of Small Firefighting Vehicles" fld="6" baseField="0" baseItem="0"/>
    <dataField name="Sum of Other" fld="7" baseField="0" baseItem="0"/>
    <dataField name="Sum of Total Appliances" fld="8" baseField="0" baseItem="0"/>
    <dataField name="Sum of Officer Response Vehicles" fld="9" baseField="0" baseItem="0"/>
    <dataField name="Sum of Reserve Appliances" fld="10" baseField="0" baseItem="0"/>
    <dataField name="Sum of Training Appliances" fld="11" baseField="0" baseItem="0"/>
    <dataField name="Sum of Other Fleet Vehicles (excl Officer Response Vehicles)" fld="12" baseField="0" baseItem="0"/>
    <dataField name="Sum of Total Vehicles (incl boats)" fld="13"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6.xml><?xml version="1.0" encoding="utf-8"?>
<pivotTableDefinition xmlns="http://schemas.openxmlformats.org/spreadsheetml/2006/main" xmlns:mc="http://schemas.openxmlformats.org/markup-compatibility/2006" xmlns:xr="http://schemas.microsoft.com/office/spreadsheetml/2014/revision" mc:Ignorable="xr" xr:uid="{37B591DB-6156-4735-91ED-3699CB0F672C}" name="PivotTable10" cacheId="262" applyNumberFormats="0" applyBorderFormats="0" applyFontFormats="0" applyPatternFormats="0" applyAlignmentFormats="0" applyWidthHeightFormats="1" dataCaption="Values" updatedVersion="8" minRefreshableVersion="3" useAutoFormatting="1" itemPrintTitles="1" createdVersion="6" indent="0" outline="1" outlineData="1" multipleFieldFilters="0">
  <location ref="A3:H33" firstHeaderRow="0" firstDataRow="1" firstDataCol="1" rowPageCount="1" colPageCount="1"/>
  <pivotFields count="10">
    <pivotField axis="axisPage" subtotalTop="0" showAll="0">
      <items count="9">
        <item x="0"/>
        <item x="1"/>
        <item x="2"/>
        <item x="3"/>
        <item x="4"/>
        <item x="5"/>
        <item x="6"/>
        <item x="7"/>
        <item t="default"/>
      </items>
    </pivotField>
    <pivotField subtotalTop="0" showAll="0"/>
    <pivotField axis="axisRow" subtotalTop="0" showAll="0">
      <items count="34">
        <item x="1"/>
        <item x="2"/>
        <item x="3"/>
        <item m="1" x="30"/>
        <item m="1" x="32"/>
        <item x="4"/>
        <item m="1" x="29"/>
        <item x="5"/>
        <item x="6"/>
        <item x="7"/>
        <item x="8"/>
        <item x="9"/>
        <item x="10"/>
        <item x="11"/>
        <item x="12"/>
        <item x="13"/>
        <item x="14"/>
        <item x="15"/>
        <item x="16"/>
        <item x="17"/>
        <item x="18"/>
        <item x="19"/>
        <item x="20"/>
        <item m="1" x="31"/>
        <item x="21"/>
        <item x="22"/>
        <item x="23"/>
        <item x="24"/>
        <item x="25"/>
        <item x="26"/>
        <item x="27"/>
        <item x="28"/>
        <item x="0"/>
        <item t="default"/>
      </items>
    </pivotField>
    <pivotField dataField="1" subtotalTop="0" showAll="0"/>
    <pivotField dataField="1" subtotalTop="0" showAll="0"/>
    <pivotField dataField="1" subtotalTop="0" showAll="0"/>
    <pivotField dataField="1" subtotalTop="0" showAll="0"/>
    <pivotField dataField="1" subtotalTop="0" showAll="0"/>
    <pivotField dataField="1" subtotalTop="0" showAll="0"/>
    <pivotField dataField="1" subtotalTop="0" showAll="0"/>
  </pivotFields>
  <rowFields count="1">
    <field x="2"/>
  </rowFields>
  <rowItems count="30">
    <i>
      <x/>
    </i>
    <i>
      <x v="1"/>
    </i>
    <i>
      <x v="2"/>
    </i>
    <i>
      <x v="5"/>
    </i>
    <i>
      <x v="7"/>
    </i>
    <i>
      <x v="8"/>
    </i>
    <i>
      <x v="9"/>
    </i>
    <i>
      <x v="10"/>
    </i>
    <i>
      <x v="11"/>
    </i>
    <i>
      <x v="12"/>
    </i>
    <i>
      <x v="13"/>
    </i>
    <i>
      <x v="14"/>
    </i>
    <i>
      <x v="15"/>
    </i>
    <i>
      <x v="16"/>
    </i>
    <i>
      <x v="17"/>
    </i>
    <i>
      <x v="18"/>
    </i>
    <i>
      <x v="19"/>
    </i>
    <i>
      <x v="20"/>
    </i>
    <i>
      <x v="21"/>
    </i>
    <i>
      <x v="22"/>
    </i>
    <i>
      <x v="24"/>
    </i>
    <i>
      <x v="25"/>
    </i>
    <i>
      <x v="26"/>
    </i>
    <i>
      <x v="27"/>
    </i>
    <i>
      <x v="28"/>
    </i>
    <i>
      <x v="29"/>
    </i>
    <i>
      <x v="30"/>
    </i>
    <i>
      <x v="31"/>
    </i>
    <i>
      <x v="32"/>
    </i>
    <i t="grand">
      <x/>
    </i>
  </rowItems>
  <colFields count="1">
    <field x="-2"/>
  </colFields>
  <colItems count="7">
    <i>
      <x/>
    </i>
    <i i="1">
      <x v="1"/>
    </i>
    <i i="2">
      <x v="2"/>
    </i>
    <i i="3">
      <x v="3"/>
    </i>
    <i i="4">
      <x v="4"/>
    </i>
    <i i="5">
      <x v="5"/>
    </i>
    <i i="6">
      <x v="6"/>
    </i>
  </colItems>
  <pageFields count="1">
    <pageField fld="0" item="7" hier="-1"/>
  </pageFields>
  <dataFields count="7">
    <dataField name="Sum of Pumping Appliances" fld="3" baseField="0" baseItem="0"/>
    <dataField name="Sum of Aerial Appliances" fld="4" baseField="0" baseItem="0"/>
    <dataField name="Sum of Vehicles for Rescue Work" fld="6" baseField="0" baseItem="0"/>
    <dataField name="Sum of Small Firefighting Vehicles" fld="7" baseField="0" baseItem="0"/>
    <dataField name="Sum of Other Operational" fld="8" baseField="0" baseItem="0"/>
    <dataField name="Sum of Resilience Appliances" fld="5" baseField="0" baseItem="0"/>
    <dataField name="Sum of Total Appliances" fld="9"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7.xml><?xml version="1.0" encoding="utf-8"?>
<pivotTableDefinition xmlns="http://schemas.openxmlformats.org/spreadsheetml/2006/main" xmlns:mc="http://schemas.openxmlformats.org/markup-compatibility/2006" xmlns:xr="http://schemas.microsoft.com/office/spreadsheetml/2014/revision" mc:Ignorable="xr" xr:uid="{17FEB00D-0AFC-4E81-84BA-A98CF15CDEA0}" name="PivotTable4" cacheId="256"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A22:F38" firstHeaderRow="0" firstDataRow="1" firstDataCol="1"/>
  <pivotFields count="6">
    <pivotField axis="axisRow" showAll="0">
      <items count="16">
        <item x="7"/>
        <item x="12"/>
        <item x="0"/>
        <item x="8"/>
        <item x="3"/>
        <item x="13"/>
        <item x="9"/>
        <item x="6"/>
        <item x="4"/>
        <item x="10"/>
        <item x="1"/>
        <item x="5"/>
        <item x="11"/>
        <item x="14"/>
        <item x="2"/>
        <item t="default"/>
      </items>
    </pivotField>
    <pivotField dataField="1" showAll="0"/>
    <pivotField dataField="1" showAll="0"/>
    <pivotField dataField="1" showAll="0"/>
    <pivotField dataField="1" showAll="0"/>
    <pivotField dataField="1" showAll="0"/>
  </pivotFields>
  <rowFields count="1">
    <field x="0"/>
  </rowFields>
  <rowItems count="16">
    <i>
      <x/>
    </i>
    <i>
      <x v="1"/>
    </i>
    <i>
      <x v="2"/>
    </i>
    <i>
      <x v="3"/>
    </i>
    <i>
      <x v="4"/>
    </i>
    <i>
      <x v="5"/>
    </i>
    <i>
      <x v="6"/>
    </i>
    <i>
      <x v="7"/>
    </i>
    <i>
      <x v="8"/>
    </i>
    <i>
      <x v="9"/>
    </i>
    <i>
      <x v="10"/>
    </i>
    <i>
      <x v="11"/>
    </i>
    <i>
      <x v="12"/>
    </i>
    <i>
      <x v="13"/>
    </i>
    <i>
      <x v="14"/>
    </i>
    <i t="grand">
      <x/>
    </i>
  </rowItems>
  <colFields count="1">
    <field x="-2"/>
  </colFields>
  <colItems count="5">
    <i>
      <x/>
    </i>
    <i i="1">
      <x v="1"/>
    </i>
    <i i="2">
      <x v="2"/>
    </i>
    <i i="3">
      <x v="3"/>
    </i>
    <i i="4">
      <x v="4"/>
    </i>
  </colItems>
  <dataFields count="5">
    <dataField name="Sum of WholeTime Operational" fld="1" baseField="0" baseItem="0"/>
    <dataField name="Sum of Retained Duty System" fld="2" baseField="0" baseItem="0"/>
    <dataField name="Sum of RDS Fulltime" fld="3" baseField="0" baseItem="0"/>
    <dataField name="Sum of Control" fld="4" baseField="0" baseItem="0"/>
    <dataField name="Sum of Support" fld="5"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8.xml><?xml version="1.0" encoding="utf-8"?>
<pivotTableDefinition xmlns="http://schemas.openxmlformats.org/spreadsheetml/2006/main" xmlns:mc="http://schemas.openxmlformats.org/markup-compatibility/2006" xmlns:xr="http://schemas.microsoft.com/office/spreadsheetml/2014/revision" mc:Ignorable="xr" xr:uid="{D5BB4054-144E-4605-8AFA-3CF9966EFA0C}" name="PivotTable2" cacheId="261"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A1:G18" firstHeaderRow="0" firstDataRow="1" firstDataCol="1"/>
  <pivotFields count="7">
    <pivotField axis="axisRow" showAll="0">
      <items count="17">
        <item x="0"/>
        <item x="1"/>
        <item x="2"/>
        <item x="3"/>
        <item x="4"/>
        <item x="5"/>
        <item x="6"/>
        <item x="7"/>
        <item x="8"/>
        <item x="9"/>
        <item x="10"/>
        <item x="11"/>
        <item x="12"/>
        <item x="13"/>
        <item x="14"/>
        <item x="15"/>
        <item t="default"/>
      </items>
    </pivotField>
    <pivotField dataField="1" showAll="0"/>
    <pivotField dataField="1" showAll="0"/>
    <pivotField dataField="1" showAll="0"/>
    <pivotField dataField="1" showAll="0"/>
    <pivotField dataField="1" showAll="0"/>
    <pivotField dataField="1" showAll="0"/>
  </pivotFields>
  <rowFields count="1">
    <field x="0"/>
  </rowFields>
  <rowItems count="17">
    <i>
      <x/>
    </i>
    <i>
      <x v="1"/>
    </i>
    <i>
      <x v="2"/>
    </i>
    <i>
      <x v="3"/>
    </i>
    <i>
      <x v="4"/>
    </i>
    <i>
      <x v="5"/>
    </i>
    <i>
      <x v="6"/>
    </i>
    <i>
      <x v="7"/>
    </i>
    <i>
      <x v="8"/>
    </i>
    <i>
      <x v="9"/>
    </i>
    <i>
      <x v="10"/>
    </i>
    <i>
      <x v="11"/>
    </i>
    <i>
      <x v="12"/>
    </i>
    <i>
      <x v="13"/>
    </i>
    <i>
      <x v="14"/>
    </i>
    <i>
      <x v="15"/>
    </i>
    <i t="grand">
      <x/>
    </i>
  </rowItems>
  <colFields count="1">
    <field x="-2"/>
  </colFields>
  <colItems count="6">
    <i>
      <x/>
    </i>
    <i i="1">
      <x v="1"/>
    </i>
    <i i="2">
      <x v="2"/>
    </i>
    <i i="3">
      <x v="3"/>
    </i>
    <i i="4">
      <x v="4"/>
    </i>
    <i i="5">
      <x v="5"/>
    </i>
  </colItems>
  <dataFields count="6">
    <dataField name="Sum of WholeTime Operational" fld="1" baseField="0" baseItem="0"/>
    <dataField name="Sum of Retained Duty System" fld="2" baseField="0" baseItem="0"/>
    <dataField name="Sum of RDS Fulltime" fld="3" baseField="0" baseItem="0"/>
    <dataField name="Sum of Control" fld="4" baseField="0" baseItem="0"/>
    <dataField name="Sum of Support" fld="5" baseField="0" baseItem="0"/>
    <dataField name="Sum of Volunteer" fld="6"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9.xml><?xml version="1.0" encoding="utf-8"?>
<pivotTableDefinition xmlns="http://schemas.openxmlformats.org/spreadsheetml/2006/main" xmlns:mc="http://schemas.openxmlformats.org/markup-compatibility/2006" xmlns:xr="http://schemas.microsoft.com/office/spreadsheetml/2014/revision" mc:Ignorable="xr" xr:uid="{3736A1D6-0B1E-4868-ADFC-3D8E608660FB}" name="PivotTable3" cacheId="216"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A1:E10" firstHeaderRow="0" firstDataRow="1" firstDataCol="1"/>
  <pivotFields count="5">
    <pivotField axis="axisRow" showAll="0">
      <items count="9">
        <item x="0"/>
        <item x="1"/>
        <item x="2"/>
        <item x="3"/>
        <item x="4"/>
        <item x="5"/>
        <item x="6"/>
        <item x="7"/>
        <item t="default"/>
      </items>
    </pivotField>
    <pivotField dataField="1" showAll="0"/>
    <pivotField dataField="1" showAll="0"/>
    <pivotField dataField="1" showAll="0"/>
    <pivotField dataField="1" showAll="0"/>
  </pivotFields>
  <rowFields count="1">
    <field x="0"/>
  </rowFields>
  <rowItems count="9">
    <i>
      <x/>
    </i>
    <i>
      <x v="1"/>
    </i>
    <i>
      <x v="2"/>
    </i>
    <i>
      <x v="3"/>
    </i>
    <i>
      <x v="4"/>
    </i>
    <i>
      <x v="5"/>
    </i>
    <i>
      <x v="6"/>
    </i>
    <i>
      <x v="7"/>
    </i>
    <i t="grand">
      <x/>
    </i>
  </rowItems>
  <colFields count="1">
    <field x="-2"/>
  </colFields>
  <colItems count="4">
    <i>
      <x/>
    </i>
    <i i="1">
      <x v="1"/>
    </i>
    <i i="2">
      <x v="2"/>
    </i>
    <i i="3">
      <x v="3"/>
    </i>
  </colItems>
  <dataFields count="4">
    <dataField name="Sum of Operational Crewing" fld="1" baseField="0" baseItem="0"/>
    <dataField name="Sum of Incident Command Officers" fld="2" baseField="0" baseItem="0"/>
    <dataField name="Sum of Office Duties" fld="3" baseField="0" baseItem="0"/>
    <dataField name="Sum of Trainees" fld="4"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0.xml><?xml version="1.0" encoding="utf-8"?>
<pivotTableDefinition xmlns="http://schemas.openxmlformats.org/spreadsheetml/2006/main" xmlns:mc="http://schemas.openxmlformats.org/markup-compatibility/2006" xmlns:xr="http://schemas.microsoft.com/office/spreadsheetml/2014/revision" mc:Ignorable="xr" xr:uid="{00000000-0007-0000-1B00-000000000000}" name="PivotTable1" cacheId="217" applyNumberFormats="0" applyBorderFormats="0" applyFontFormats="0" applyPatternFormats="0" applyAlignmentFormats="0" applyWidthHeightFormats="1" dataCaption="Values" updatedVersion="8" minRefreshableVersion="3" useAutoFormatting="1" itemPrintTitles="1" createdVersion="6" indent="0" outline="1" outlineData="1" multipleFieldFilters="0">
  <location ref="A3:E61" firstHeaderRow="0" firstDataRow="1" firstDataCol="1" rowPageCount="1" colPageCount="1"/>
  <pivotFields count="8">
    <pivotField axis="axisPage" subtotalTop="0" showAll="0">
      <items count="10">
        <item x="0"/>
        <item x="1"/>
        <item x="2"/>
        <item m="1" x="8"/>
        <item x="3"/>
        <item x="4"/>
        <item x="5"/>
        <item x="6"/>
        <item x="7"/>
        <item t="default"/>
      </items>
    </pivotField>
    <pivotField axis="axisRow" subtotalTop="0" showAll="0">
      <items count="7">
        <item x="0"/>
        <item x="1"/>
        <item x="2"/>
        <item x="3"/>
        <item m="1" x="4"/>
        <item m="1" x="5"/>
        <item t="default"/>
      </items>
    </pivotField>
    <pivotField axis="axisRow" subtotalTop="0" showAll="0" sortType="ascending">
      <items count="62">
        <item x="0"/>
        <item x="22"/>
        <item x="37"/>
        <item x="5"/>
        <item x="16"/>
        <item m="1" x="55"/>
        <item x="1"/>
        <item x="42"/>
        <item m="1" x="52"/>
        <item m="1" x="60"/>
        <item x="40"/>
        <item m="1" x="53"/>
        <item x="27"/>
        <item x="6"/>
        <item x="35"/>
        <item x="46"/>
        <item x="10"/>
        <item x="38"/>
        <item x="7"/>
        <item x="28"/>
        <item x="36"/>
        <item x="25"/>
        <item x="29"/>
        <item x="14"/>
        <item m="1" x="57"/>
        <item x="11"/>
        <item x="20"/>
        <item x="8"/>
        <item x="2"/>
        <item x="9"/>
        <item m="1" x="56"/>
        <item x="30"/>
        <item x="44"/>
        <item x="34"/>
        <item x="12"/>
        <item m="1" x="58"/>
        <item x="3"/>
        <item x="31"/>
        <item x="19"/>
        <item x="32"/>
        <item x="41"/>
        <item m="1" x="51"/>
        <item x="48"/>
        <item m="1" x="59"/>
        <item m="1" x="50"/>
        <item x="33"/>
        <item m="1" x="54"/>
        <item x="45"/>
        <item x="26"/>
        <item x="21"/>
        <item x="43"/>
        <item x="4"/>
        <item x="13"/>
        <item x="17"/>
        <item x="47"/>
        <item x="18"/>
        <item x="39"/>
        <item x="23"/>
        <item x="24"/>
        <item x="15"/>
        <item m="1" x="49"/>
        <item t="default"/>
      </items>
    </pivotField>
    <pivotField showAll="0"/>
    <pivotField dataField="1" subtotalTop="0" showAll="0"/>
    <pivotField dataField="1" subtotalTop="0" showAll="0"/>
    <pivotField dataField="1" subtotalTop="0" showAll="0"/>
    <pivotField dataField="1" subtotalTop="0" showAll="0"/>
  </pivotFields>
  <rowFields count="2">
    <field x="1"/>
    <field x="2"/>
  </rowFields>
  <rowItems count="58">
    <i>
      <x/>
    </i>
    <i r="1">
      <x/>
    </i>
    <i r="1">
      <x v="2"/>
    </i>
    <i r="1">
      <x v="4"/>
    </i>
    <i r="1">
      <x v="6"/>
    </i>
    <i r="1">
      <x v="10"/>
    </i>
    <i r="1">
      <x v="12"/>
    </i>
    <i r="1">
      <x v="14"/>
    </i>
    <i r="1">
      <x v="17"/>
    </i>
    <i r="1">
      <x v="19"/>
    </i>
    <i r="1">
      <x v="20"/>
    </i>
    <i r="1">
      <x v="22"/>
    </i>
    <i r="1">
      <x v="25"/>
    </i>
    <i r="1">
      <x v="26"/>
    </i>
    <i r="1">
      <x v="28"/>
    </i>
    <i r="1">
      <x v="29"/>
    </i>
    <i r="1">
      <x v="31"/>
    </i>
    <i r="1">
      <x v="32"/>
    </i>
    <i r="1">
      <x v="34"/>
    </i>
    <i r="1">
      <x v="36"/>
    </i>
    <i r="1">
      <x v="37"/>
    </i>
    <i r="1">
      <x v="39"/>
    </i>
    <i r="1">
      <x v="40"/>
    </i>
    <i r="1">
      <x v="42"/>
    </i>
    <i r="1">
      <x v="45"/>
    </i>
    <i r="1">
      <x v="47"/>
    </i>
    <i r="1">
      <x v="49"/>
    </i>
    <i r="1">
      <x v="51"/>
    </i>
    <i r="1">
      <x v="52"/>
    </i>
    <i r="1">
      <x v="53"/>
    </i>
    <i r="1">
      <x v="57"/>
    </i>
    <i r="1">
      <x v="58"/>
    </i>
    <i t="default">
      <x/>
    </i>
    <i>
      <x v="1"/>
    </i>
    <i r="1">
      <x v="1"/>
    </i>
    <i r="1">
      <x v="7"/>
    </i>
    <i r="1">
      <x v="13"/>
    </i>
    <i r="1">
      <x v="15"/>
    </i>
    <i r="1">
      <x v="18"/>
    </i>
    <i r="1">
      <x v="21"/>
    </i>
    <i r="1">
      <x v="23"/>
    </i>
    <i r="1">
      <x v="25"/>
    </i>
    <i r="1">
      <x v="27"/>
    </i>
    <i r="1">
      <x v="29"/>
    </i>
    <i r="1">
      <x v="31"/>
    </i>
    <i r="1">
      <x v="33"/>
    </i>
    <i r="1">
      <x v="55"/>
    </i>
    <i r="1">
      <x v="59"/>
    </i>
    <i t="default">
      <x v="1"/>
    </i>
    <i>
      <x v="2"/>
    </i>
    <i r="1">
      <x v="16"/>
    </i>
    <i r="1">
      <x v="38"/>
    </i>
    <i r="1">
      <x v="56"/>
    </i>
    <i t="default">
      <x v="2"/>
    </i>
    <i>
      <x v="3"/>
    </i>
    <i r="1">
      <x v="48"/>
    </i>
    <i t="default">
      <x v="3"/>
    </i>
    <i t="grand">
      <x/>
    </i>
  </rowItems>
  <colFields count="1">
    <field x="-2"/>
  </colFields>
  <colItems count="4">
    <i>
      <x/>
    </i>
    <i i="1">
      <x v="1"/>
    </i>
    <i i="2">
      <x v="2"/>
    </i>
    <i i="3">
      <x v="3"/>
    </i>
  </colItems>
  <pageFields count="1">
    <pageField fld="0" item="8" hier="-1"/>
  </pageFields>
  <dataFields count="4">
    <dataField name="Sum of Operational Crewing" fld="4" baseField="0" baseItem="0"/>
    <dataField name="Sum of Incident Command Officers" fld="5" baseField="0" baseItem="0"/>
    <dataField name="Sum of Office Duties" fld="6" baseField="0" baseItem="0"/>
    <dataField name="Sum of Trainees" fld="7"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1.xml><?xml version="1.0" encoding="utf-8"?>
<pivotTableDefinition xmlns="http://schemas.openxmlformats.org/spreadsheetml/2006/main" xmlns:mc="http://schemas.openxmlformats.org/markup-compatibility/2006" xmlns:xr="http://schemas.microsoft.com/office/spreadsheetml/2014/revision" mc:Ignorable="xr" xr:uid="{00000000-0007-0000-2100-000000000000}" name="PivotTable4" cacheId="218" applyNumberFormats="0" applyBorderFormats="0" applyFontFormats="0" applyPatternFormats="0" applyAlignmentFormats="0" applyWidthHeightFormats="1" dataCaption="Values" updatedVersion="8" minRefreshableVersion="3" useAutoFormatting="1" itemPrintTitles="1" createdVersion="6" indent="0" outline="1" outlineData="1" multipleFieldFilters="0">
  <location ref="A3:G8" firstHeaderRow="0" firstDataRow="1" firstDataCol="1" rowPageCount="1" colPageCount="1"/>
  <pivotFields count="8">
    <pivotField axis="axisPage" subtotalTop="0" showAll="0">
      <items count="14">
        <item x="6"/>
        <item x="0"/>
        <item x="1"/>
        <item x="2"/>
        <item x="12"/>
        <item x="7"/>
        <item x="3"/>
        <item x="11"/>
        <item x="4"/>
        <item x="8"/>
        <item x="9"/>
        <item x="10"/>
        <item x="5"/>
        <item t="default"/>
      </items>
    </pivotField>
    <pivotField axis="axisRow" subtotalTop="0" showAll="0">
      <items count="8">
        <item m="1" x="5"/>
        <item x="1"/>
        <item x="0"/>
        <item x="2"/>
        <item x="3"/>
        <item m="1" x="6"/>
        <item m="1" x="4"/>
        <item t="default"/>
      </items>
    </pivotField>
    <pivotField dataField="1" subtotalTop="0" showAll="0"/>
    <pivotField dataField="1" subtotalTop="0" showAll="0"/>
    <pivotField dataField="1" showAll="0"/>
    <pivotField dataField="1" subtotalTop="0" showAll="0"/>
    <pivotField dataField="1" subtotalTop="0" showAll="0"/>
    <pivotField dataField="1" subtotalTop="0" showAll="0"/>
  </pivotFields>
  <rowFields count="1">
    <field x="1"/>
  </rowFields>
  <rowItems count="5">
    <i>
      <x v="1"/>
    </i>
    <i>
      <x v="2"/>
    </i>
    <i>
      <x v="3"/>
    </i>
    <i>
      <x v="4"/>
    </i>
    <i t="grand">
      <x/>
    </i>
  </rowItems>
  <colFields count="1">
    <field x="-2"/>
  </colFields>
  <colItems count="6">
    <i>
      <x/>
    </i>
    <i i="1">
      <x v="1"/>
    </i>
    <i i="2">
      <x v="2"/>
    </i>
    <i i="3">
      <x v="3"/>
    </i>
    <i i="4">
      <x v="4"/>
    </i>
    <i i="5">
      <x v="5"/>
    </i>
  </colItems>
  <pageFields count="1">
    <pageField fld="0" item="12" hier="-1"/>
  </pageFields>
  <dataFields count="6">
    <dataField name="Sum of Wholetime Operational" fld="2" baseField="1" baseItem="0"/>
    <dataField name="Sum of RDS" fld="3" baseField="1" baseItem="0"/>
    <dataField name="Sum of Control" fld="5" baseField="1" baseItem="0"/>
    <dataField name="Sum of Support" fld="6" baseField="1" baseItem="0"/>
    <dataField name="Sum of Volunteer" fld="7" baseField="1" baseItem="0"/>
    <dataField name="Sum of RDS Fulltime" fld="4"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2.xml><?xml version="1.0" encoding="utf-8"?>
<pivotTableDefinition xmlns="http://schemas.openxmlformats.org/spreadsheetml/2006/main" xmlns:mc="http://schemas.openxmlformats.org/markup-compatibility/2006" xmlns:xr="http://schemas.microsoft.com/office/spreadsheetml/2014/revision" mc:Ignorable="xr" xr:uid="{00000000-0007-0000-2500-000000000000}" name="PivotTable5" cacheId="221" applyNumberFormats="0" applyBorderFormats="0" applyFontFormats="0" applyPatternFormats="0" applyAlignmentFormats="0" applyWidthHeightFormats="1" dataCaption="Values" updatedVersion="8" minRefreshableVersion="3" useAutoFormatting="1" itemPrintTitles="1" createdVersion="6" indent="0" outline="1" outlineData="1" multipleFieldFilters="0">
  <location ref="A3:G62" firstHeaderRow="0" firstDataRow="1" firstDataCol="1" rowPageCount="1" colPageCount="1"/>
  <pivotFields count="11">
    <pivotField axis="axisPage" subtotalTop="0" showAll="0">
      <items count="15">
        <item x="9"/>
        <item x="8"/>
        <item x="10"/>
        <item x="13"/>
        <item x="11"/>
        <item x="7"/>
        <item x="1"/>
        <item x="2"/>
        <item x="12"/>
        <item x="5"/>
        <item x="6"/>
        <item x="3"/>
        <item x="0"/>
        <item x="4"/>
        <item t="default"/>
      </items>
    </pivotField>
    <pivotField axis="axisRow" subtotalTop="0" showAll="0">
      <items count="7">
        <item m="1" x="5"/>
        <item x="1"/>
        <item x="0"/>
        <item x="2"/>
        <item x="3"/>
        <item x="4"/>
        <item t="default"/>
      </items>
    </pivotField>
    <pivotField axis="axisRow" subtotalTop="0" showAll="0">
      <items count="70">
        <item x="13"/>
        <item x="19"/>
        <item x="47"/>
        <item x="41"/>
        <item m="1" x="66"/>
        <item x="23"/>
        <item x="42"/>
        <item x="40"/>
        <item x="17"/>
        <item m="1" x="61"/>
        <item x="9"/>
        <item x="33"/>
        <item x="44"/>
        <item x="20"/>
        <item x="4"/>
        <item x="32"/>
        <item x="30"/>
        <item x="10"/>
        <item x="0"/>
        <item x="43"/>
        <item x="2"/>
        <item x="21"/>
        <item x="38"/>
        <item x="39"/>
        <item x="28"/>
        <item x="8"/>
        <item x="50"/>
        <item x="16"/>
        <item x="5"/>
        <item x="3"/>
        <item x="11"/>
        <item x="25"/>
        <item x="29"/>
        <item x="12"/>
        <item x="1"/>
        <item x="48"/>
        <item m="1" x="53"/>
        <item x="18"/>
        <item x="31"/>
        <item x="27"/>
        <item x="22"/>
        <item x="6"/>
        <item x="14"/>
        <item x="34"/>
        <item x="26"/>
        <item x="46"/>
        <item x="15"/>
        <item x="35"/>
        <item x="7"/>
        <item x="24"/>
        <item x="36"/>
        <item x="49"/>
        <item m="1" x="57"/>
        <item m="1" x="62"/>
        <item x="37"/>
        <item m="1" x="59"/>
        <item x="45"/>
        <item m="1" x="68"/>
        <item m="1" x="51"/>
        <item m="1" x="67"/>
        <item m="1" x="63"/>
        <item m="1" x="64"/>
        <item m="1" x="58"/>
        <item m="1" x="60"/>
        <item m="1" x="65"/>
        <item m="1" x="56"/>
        <item m="1" x="52"/>
        <item m="1" x="54"/>
        <item m="1" x="55"/>
        <item t="default"/>
      </items>
    </pivotField>
    <pivotField showAll="0"/>
    <pivotField subtotalTop="0" showAll="0"/>
    <pivotField dataField="1" subtotalTop="0" showAll="0"/>
    <pivotField dataField="1" showAll="0"/>
    <pivotField dataField="1" showAll="0"/>
    <pivotField dataField="1" subtotalTop="0" showAll="0"/>
    <pivotField dataField="1" showAll="0"/>
    <pivotField dataField="1" showAll="0"/>
  </pivotFields>
  <rowFields count="2">
    <field x="1"/>
    <field x="2"/>
  </rowFields>
  <rowItems count="59">
    <i>
      <x v="1"/>
    </i>
    <i r="1">
      <x/>
    </i>
    <i r="1">
      <x v="1"/>
    </i>
    <i r="1">
      <x v="3"/>
    </i>
    <i r="1">
      <x v="5"/>
    </i>
    <i r="1">
      <x v="7"/>
    </i>
    <i r="1">
      <x v="8"/>
    </i>
    <i r="1">
      <x v="10"/>
    </i>
    <i r="1">
      <x v="11"/>
    </i>
    <i r="1">
      <x v="14"/>
    </i>
    <i r="1">
      <x v="16"/>
    </i>
    <i r="1">
      <x v="17"/>
    </i>
    <i r="1">
      <x v="19"/>
    </i>
    <i r="1">
      <x v="22"/>
    </i>
    <i r="1">
      <x v="24"/>
    </i>
    <i r="1">
      <x v="25"/>
    </i>
    <i r="1">
      <x v="27"/>
    </i>
    <i r="1">
      <x v="28"/>
    </i>
    <i r="1">
      <x v="29"/>
    </i>
    <i r="1">
      <x v="30"/>
    </i>
    <i r="1">
      <x v="31"/>
    </i>
    <i r="1">
      <x v="33"/>
    </i>
    <i r="1">
      <x v="34"/>
    </i>
    <i r="1">
      <x v="35"/>
    </i>
    <i r="1">
      <x v="37"/>
    </i>
    <i r="1">
      <x v="38"/>
    </i>
    <i r="1">
      <x v="40"/>
    </i>
    <i r="1">
      <x v="41"/>
    </i>
    <i r="1">
      <x v="42"/>
    </i>
    <i r="1">
      <x v="43"/>
    </i>
    <i r="1">
      <x v="44"/>
    </i>
    <i r="1">
      <x v="48"/>
    </i>
    <i r="1">
      <x v="49"/>
    </i>
    <i t="default">
      <x v="1"/>
    </i>
    <i>
      <x v="2"/>
    </i>
    <i r="1">
      <x v="6"/>
    </i>
    <i r="1">
      <x v="10"/>
    </i>
    <i r="1">
      <x v="12"/>
    </i>
    <i r="1">
      <x v="15"/>
    </i>
    <i r="1">
      <x v="18"/>
    </i>
    <i r="1">
      <x v="20"/>
    </i>
    <i r="1">
      <x v="21"/>
    </i>
    <i r="1">
      <x v="23"/>
    </i>
    <i r="1">
      <x v="25"/>
    </i>
    <i r="1">
      <x v="27"/>
    </i>
    <i r="1">
      <x v="46"/>
    </i>
    <i r="1">
      <x v="50"/>
    </i>
    <i r="1">
      <x v="54"/>
    </i>
    <i r="1">
      <x v="56"/>
    </i>
    <i t="default">
      <x v="2"/>
    </i>
    <i>
      <x v="3"/>
    </i>
    <i r="1">
      <x v="13"/>
    </i>
    <i r="1">
      <x v="32"/>
    </i>
    <i r="1">
      <x v="47"/>
    </i>
    <i t="default">
      <x v="3"/>
    </i>
    <i>
      <x v="4"/>
    </i>
    <i r="1">
      <x v="39"/>
    </i>
    <i t="default">
      <x v="4"/>
    </i>
    <i t="grand">
      <x/>
    </i>
  </rowItems>
  <colFields count="1">
    <field x="-2"/>
  </colFields>
  <colItems count="6">
    <i>
      <x/>
    </i>
    <i i="1">
      <x v="1"/>
    </i>
    <i i="2">
      <x v="2"/>
    </i>
    <i i="3">
      <x v="3"/>
    </i>
    <i i="4">
      <x v="4"/>
    </i>
    <i i="5">
      <x v="5"/>
    </i>
  </colItems>
  <pageFields count="1">
    <pageField fld="0" item="13" hier="-1"/>
  </pageFields>
  <dataFields count="6">
    <dataField name="Sum of Control" fld="5" baseField="1" baseItem="0"/>
    <dataField name="Sum of Support" fld="8" baseField="1" baseItem="0"/>
    <dataField name="Sum of RDS Fulltime" fld="6" baseField="2" baseItem="17"/>
    <dataField name="Sum of Retained Duty System" fld="7" baseField="0" baseItem="0"/>
    <dataField name="Sum of Volunteer" fld="9" baseField="0" baseItem="0"/>
    <dataField name="Sum of Wholetime Operational" fld="10"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3.xml><?xml version="1.0" encoding="utf-8"?>
<pivotTableDefinition xmlns="http://schemas.openxmlformats.org/spreadsheetml/2006/main" xmlns:mc="http://schemas.openxmlformats.org/markup-compatibility/2006" xmlns:xr="http://schemas.microsoft.com/office/spreadsheetml/2014/revision" mc:Ignorable="xr" xr:uid="{00000000-0007-0000-2900-000000000000}" name="PivotTable6" cacheId="263" applyNumberFormats="0" applyBorderFormats="0" applyFontFormats="0" applyPatternFormats="0" applyAlignmentFormats="0" applyWidthHeightFormats="1" dataCaption="Values" updatedVersion="8" minRefreshableVersion="3" useAutoFormatting="1" itemPrintTitles="1" createdVersion="6" indent="0" outline="1" outlineData="1" multipleFieldFilters="0">
  <location ref="A3:H10" firstHeaderRow="0" firstDataRow="1" firstDataCol="1" rowPageCount="1" colPageCount="1"/>
  <pivotFields count="10">
    <pivotField axis="axisPage" subtotalTop="0" showAll="0">
      <items count="14">
        <item x="0"/>
        <item x="1"/>
        <item x="2"/>
        <item x="3"/>
        <item x="4"/>
        <item x="5"/>
        <item x="6"/>
        <item x="7"/>
        <item x="8"/>
        <item x="9"/>
        <item x="10"/>
        <item x="11"/>
        <item x="12"/>
        <item t="default"/>
      </items>
    </pivotField>
    <pivotField axis="axisRow" subtotalTop="0" showAll="0">
      <items count="7">
        <item x="0"/>
        <item x="3"/>
        <item x="5"/>
        <item x="1"/>
        <item x="2"/>
        <item x="4"/>
        <item t="default"/>
      </items>
    </pivotField>
    <pivotField subtotalTop="0" showAll="0"/>
    <pivotField dataField="1" subtotalTop="0" showAll="0"/>
    <pivotField dataField="1" subtotalTop="0" showAll="0"/>
    <pivotField dataField="1" subtotalTop="0" showAll="0"/>
    <pivotField dataField="1" subtotalTop="0" showAll="0"/>
    <pivotField dataField="1" subtotalTop="0" showAll="0"/>
    <pivotField dataField="1" subtotalTop="0" showAll="0"/>
    <pivotField dataField="1" subtotalTop="0" showAll="0"/>
  </pivotFields>
  <rowFields count="1">
    <field x="1"/>
  </rowFields>
  <rowItems count="7">
    <i>
      <x/>
    </i>
    <i>
      <x v="1"/>
    </i>
    <i>
      <x v="2"/>
    </i>
    <i>
      <x v="3"/>
    </i>
    <i>
      <x v="4"/>
    </i>
    <i>
      <x v="5"/>
    </i>
    <i t="grand">
      <x/>
    </i>
  </rowItems>
  <colFields count="1">
    <field x="-2"/>
  </colFields>
  <colItems count="7">
    <i>
      <x/>
    </i>
    <i i="1">
      <x v="1"/>
    </i>
    <i i="2">
      <x v="2"/>
    </i>
    <i i="3">
      <x v="3"/>
    </i>
    <i i="4">
      <x v="4"/>
    </i>
    <i i="5">
      <x v="5"/>
    </i>
    <i i="6">
      <x v="6"/>
    </i>
  </colItems>
  <pageFields count="1">
    <pageField fld="0" item="12" hier="-1"/>
  </pageFields>
  <dataFields count="7">
    <dataField name="Sum of Brigade Manager" fld="3" baseField="1" baseItem="0"/>
    <dataField name="Sum of Area Manager" fld="4" baseField="1" baseItem="0"/>
    <dataField name="Sum of Group Manager" fld="5" baseField="1" baseItem="0"/>
    <dataField name="Sum of Station Manager" fld="6" baseField="1" baseItem="0"/>
    <dataField name="Sum of Watch Manager" fld="7" baseField="1" baseItem="0"/>
    <dataField name="Sum of Crew Manager" fld="8" baseField="1" baseItem="0"/>
    <dataField name="Sum of Firefighter" fld="9" baseField="1"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4.xml><?xml version="1.0" encoding="utf-8"?>
<pivotTableDefinition xmlns="http://schemas.openxmlformats.org/spreadsheetml/2006/main" xmlns:mc="http://schemas.openxmlformats.org/markup-compatibility/2006" xmlns:xr="http://schemas.microsoft.com/office/spreadsheetml/2014/revision" mc:Ignorable="xr" xr:uid="{00000000-0007-0000-2B00-000000000000}" name="PivotTable7" cacheId="257" applyNumberFormats="0" applyBorderFormats="0" applyFontFormats="0" applyPatternFormats="0" applyAlignmentFormats="0" applyWidthHeightFormats="1" dataCaption="Values" updatedVersion="8" minRefreshableVersion="3" useAutoFormatting="1" itemPrintTitles="1" createdVersion="6" indent="0" outline="1" outlineData="1" multipleFieldFilters="0">
  <location ref="A3:H8" firstHeaderRow="0" firstDataRow="1" firstDataCol="1" rowPageCount="1" colPageCount="1"/>
  <pivotFields count="9">
    <pivotField axis="axisPage" subtotalTop="0" showAll="0">
      <items count="9">
        <item x="0"/>
        <item x="1"/>
        <item x="2"/>
        <item x="3"/>
        <item x="4"/>
        <item x="5"/>
        <item x="6"/>
        <item x="7"/>
        <item t="default"/>
      </items>
    </pivotField>
    <pivotField axis="axisRow" subtotalTop="0" showAll="0">
      <items count="5">
        <item x="0"/>
        <item x="1"/>
        <item x="2"/>
        <item x="3"/>
        <item t="default"/>
      </items>
    </pivotField>
    <pivotField dataField="1" subtotalTop="0" showAll="0"/>
    <pivotField dataField="1" subtotalTop="0" showAll="0"/>
    <pivotField dataField="1" subtotalTop="0" showAll="0"/>
    <pivotField dataField="1" subtotalTop="0" showAll="0"/>
    <pivotField dataField="1" subtotalTop="0" showAll="0"/>
    <pivotField dataField="1" subtotalTop="0" showAll="0"/>
    <pivotField dataField="1" subtotalTop="0" showAll="0"/>
  </pivotFields>
  <rowFields count="1">
    <field x="1"/>
  </rowFields>
  <rowItems count="5">
    <i>
      <x/>
    </i>
    <i>
      <x v="1"/>
    </i>
    <i>
      <x v="2"/>
    </i>
    <i>
      <x v="3"/>
    </i>
    <i t="grand">
      <x/>
    </i>
  </rowItems>
  <colFields count="1">
    <field x="-2"/>
  </colFields>
  <colItems count="7">
    <i>
      <x/>
    </i>
    <i i="1">
      <x v="1"/>
    </i>
    <i i="2">
      <x v="2"/>
    </i>
    <i i="3">
      <x v="3"/>
    </i>
    <i i="4">
      <x v="4"/>
    </i>
    <i i="5">
      <x v="5"/>
    </i>
    <i i="6">
      <x v="6"/>
    </i>
  </colItems>
  <pageFields count="1">
    <pageField fld="0" item="7" hier="-1"/>
  </pageFields>
  <dataFields count="7">
    <dataField name="Sum of Brigade Commander" fld="2" baseField="0" baseItem="0"/>
    <dataField name="Sum of Area Commander" fld="3" baseField="0" baseItem="0"/>
    <dataField name="Sum of Group Commander" fld="4" baseField="0" baseItem="0"/>
    <dataField name="Sum of Station Commander" fld="5" baseField="0" baseItem="0"/>
    <dataField name="Sum of Watch Commander" fld="6" baseField="0" baseItem="0"/>
    <dataField name="Sum of Crew Commander" fld="7" baseField="0" baseItem="0"/>
    <dataField name="Sum of Firefighter" fld="8"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5.xml><?xml version="1.0" encoding="utf-8"?>
<pivotTableDefinition xmlns="http://schemas.openxmlformats.org/spreadsheetml/2006/main" xmlns:mc="http://schemas.openxmlformats.org/markup-compatibility/2006" xmlns:xr="http://schemas.microsoft.com/office/spreadsheetml/2014/revision" mc:Ignorable="xr" xr:uid="{00000000-0007-0000-2F00-000000000000}" name="PivotTable8" cacheId="222" applyNumberFormats="0" applyBorderFormats="0" applyFontFormats="0" applyPatternFormats="0" applyAlignmentFormats="0" applyWidthHeightFormats="1" dataCaption="Values" updatedVersion="8" minRefreshableVersion="3" useAutoFormatting="1" itemPrintTitles="1" createdVersion="6" indent="0" outline="1" outlineData="1" multipleFieldFilters="0">
  <location ref="A3:H8" firstHeaderRow="0" firstDataRow="1" firstDataCol="1" rowPageCount="1" colPageCount="1"/>
  <pivotFields count="10">
    <pivotField axis="axisPage" subtotalTop="0" showAll="0">
      <items count="14">
        <item x="0"/>
        <item x="1"/>
        <item x="6"/>
        <item x="2"/>
        <item x="3"/>
        <item x="4"/>
        <item x="12"/>
        <item x="5"/>
        <item x="7"/>
        <item x="8"/>
        <item x="9"/>
        <item x="10"/>
        <item x="11"/>
        <item t="default"/>
      </items>
    </pivotField>
    <pivotField axis="axisRow" subtotalTop="0" showAll="0">
      <items count="6">
        <item x="1"/>
        <item x="0"/>
        <item x="2"/>
        <item x="3"/>
        <item m="1" x="4"/>
        <item t="default"/>
      </items>
    </pivotField>
    <pivotField dataField="1" subtotalTop="0" showAll="0"/>
    <pivotField dataField="1" subtotalTop="0" showAll="0"/>
    <pivotField dataField="1" subtotalTop="0" showAll="0"/>
    <pivotField dataField="1" subtotalTop="0" showAll="0"/>
    <pivotField dataField="1" subtotalTop="0" showAll="0"/>
    <pivotField dataField="1" subtotalTop="0" showAll="0"/>
    <pivotField dataField="1" subtotalTop="0" showAll="0"/>
    <pivotField subtotalTop="0" showAll="0"/>
  </pivotFields>
  <rowFields count="1">
    <field x="1"/>
  </rowFields>
  <rowItems count="5">
    <i>
      <x/>
    </i>
    <i>
      <x v="1"/>
    </i>
    <i>
      <x v="2"/>
    </i>
    <i>
      <x v="3"/>
    </i>
    <i t="grand">
      <x/>
    </i>
  </rowItems>
  <colFields count="1">
    <field x="-2"/>
  </colFields>
  <colItems count="7">
    <i>
      <x/>
    </i>
    <i i="1">
      <x v="1"/>
    </i>
    <i i="2">
      <x v="2"/>
    </i>
    <i i="3">
      <x v="3"/>
    </i>
    <i i="4">
      <x v="4"/>
    </i>
    <i i="5">
      <x v="5"/>
    </i>
    <i i="6">
      <x v="6"/>
    </i>
  </colItems>
  <pageFields count="1">
    <pageField fld="0" item="12" hier="-1"/>
  </pageFields>
  <dataFields count="7">
    <dataField name="Sum of Brigade Manager" fld="2" baseField="1" baseItem="0"/>
    <dataField name="Sum of Area Manager" fld="3" baseField="1" baseItem="0"/>
    <dataField name="Sum of Group Manager" fld="4" baseField="1" baseItem="0"/>
    <dataField name="Sum of Station Manager" fld="5" baseField="1" baseItem="0"/>
    <dataField name="Sum of Watch Manager" fld="6" baseField="0" baseItem="0"/>
    <dataField name="Sum of Crew Manager" fld="7" baseField="1" baseItem="0"/>
    <dataField name="Sum of Firefighter" fld="8" baseField="1"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6.xml><?xml version="1.0" encoding="utf-8"?>
<pivotTableDefinition xmlns="http://schemas.openxmlformats.org/spreadsheetml/2006/main" xmlns:mc="http://schemas.openxmlformats.org/markup-compatibility/2006" xmlns:xr="http://schemas.microsoft.com/office/spreadsheetml/2014/revision" mc:Ignorable="xr" xr:uid="{00000000-0007-0000-3400-000000000000}" name="PivotTable9" cacheId="223" applyNumberFormats="0" applyBorderFormats="0" applyFontFormats="0" applyPatternFormats="0" applyAlignmentFormats="0" applyWidthHeightFormats="1" dataCaption="Values" updatedVersion="8" minRefreshableVersion="3" useAutoFormatting="1" itemPrintTitles="1" createdVersion="6" indent="0" outline="1" outlineData="1" multipleFieldFilters="0">
  <location ref="A3:H61" firstHeaderRow="0" firstDataRow="1" firstDataCol="1" rowPageCount="1" colPageCount="1"/>
  <pivotFields count="11">
    <pivotField axis="axisPage" subtotalTop="0" showAll="0">
      <items count="15">
        <item x="0"/>
        <item x="1"/>
        <item x="2"/>
        <item x="3"/>
        <item x="4"/>
        <item x="5"/>
        <item x="6"/>
        <item x="7"/>
        <item x="8"/>
        <item m="1" x="13"/>
        <item x="9"/>
        <item x="10"/>
        <item x="11"/>
        <item x="12"/>
        <item t="default"/>
      </items>
    </pivotField>
    <pivotField axis="axisRow" subtotalTop="0" showAll="0">
      <items count="6">
        <item x="0"/>
        <item x="1"/>
        <item x="2"/>
        <item x="3"/>
        <item m="1" x="4"/>
        <item t="default"/>
      </items>
    </pivotField>
    <pivotField showAll="0"/>
    <pivotField axis="axisRow" subtotalTop="0" showAll="0">
      <items count="112">
        <item x="19"/>
        <item x="20"/>
        <item x="32"/>
        <item x="26"/>
        <item x="21"/>
        <item x="33"/>
        <item x="22"/>
        <item x="0"/>
        <item m="1" x="64"/>
        <item x="1"/>
        <item x="27"/>
        <item x="42"/>
        <item x="44"/>
        <item x="2"/>
        <item x="34"/>
        <item x="29"/>
        <item x="3"/>
        <item x="35"/>
        <item x="4"/>
        <item x="36"/>
        <item x="37"/>
        <item x="6"/>
        <item x="38"/>
        <item x="31"/>
        <item x="30"/>
        <item x="7"/>
        <item x="39"/>
        <item x="8"/>
        <item x="9"/>
        <item x="10"/>
        <item x="5"/>
        <item x="45"/>
        <item x="11"/>
        <item x="28"/>
        <item x="12"/>
        <item x="13"/>
        <item x="23"/>
        <item m="1" x="96"/>
        <item m="1" x="79"/>
        <item m="1" x="101"/>
        <item m="1" x="59"/>
        <item m="1" x="99"/>
        <item m="1" x="104"/>
        <item m="1" x="54"/>
        <item m="1" x="88"/>
        <item m="1" x="73"/>
        <item m="1" x="108"/>
        <item m="1" x="86"/>
        <item m="1" x="91"/>
        <item m="1" x="57"/>
        <item m="1" x="78"/>
        <item m="1" x="61"/>
        <item m="1" x="94"/>
        <item m="1" x="98"/>
        <item m="1" x="80"/>
        <item m="1" x="63"/>
        <item m="1" x="103"/>
        <item m="1" x="68"/>
        <item m="1" x="109"/>
        <item m="1" x="82"/>
        <item m="1" x="67"/>
        <item m="1" x="107"/>
        <item m="1" x="71"/>
        <item m="1" x="55"/>
        <item m="1" x="90"/>
        <item m="1" x="74"/>
        <item m="1" x="69"/>
        <item m="1" x="110"/>
        <item m="1" x="87"/>
        <item m="1" x="72"/>
        <item m="1" x="92"/>
        <item m="1" x="76"/>
        <item m="1" x="58"/>
        <item m="1" x="97"/>
        <item m="1" x="75"/>
        <item m="1" x="95"/>
        <item m="1" x="77"/>
        <item m="1" x="60"/>
        <item m="1" x="100"/>
        <item m="1" x="81"/>
        <item m="1" x="65"/>
        <item m="1" x="105"/>
        <item m="1" x="84"/>
        <item m="1" x="106"/>
        <item m="1" x="85"/>
        <item m="1" x="70"/>
        <item m="1" x="83"/>
        <item x="46"/>
        <item x="14"/>
        <item x="15"/>
        <item x="16"/>
        <item x="17"/>
        <item x="18"/>
        <item x="40"/>
        <item x="43"/>
        <item x="24"/>
        <item x="25"/>
        <item x="41"/>
        <item m="1" x="50"/>
        <item x="47"/>
        <item m="1" x="89"/>
        <item x="48"/>
        <item m="1" x="66"/>
        <item x="49"/>
        <item m="1" x="62"/>
        <item m="1" x="102"/>
        <item m="1" x="56"/>
        <item m="1" x="93"/>
        <item m="1" x="51"/>
        <item m="1" x="53"/>
        <item m="1" x="52"/>
        <item t="default"/>
      </items>
    </pivotField>
    <pivotField dataField="1" subtotalTop="0" showAll="0"/>
    <pivotField dataField="1" subtotalTop="0" showAll="0"/>
    <pivotField dataField="1" subtotalTop="0" showAll="0"/>
    <pivotField dataField="1" subtotalTop="0" showAll="0"/>
    <pivotField dataField="1" subtotalTop="0" showAll="0"/>
    <pivotField dataField="1" subtotalTop="0" showAll="0"/>
    <pivotField dataField="1" subtotalTop="0" showAll="0"/>
  </pivotFields>
  <rowFields count="2">
    <field x="1"/>
    <field x="3"/>
  </rowFields>
  <rowItems count="58">
    <i>
      <x/>
    </i>
    <i r="1">
      <x/>
    </i>
    <i r="1">
      <x v="1"/>
    </i>
    <i r="1">
      <x v="3"/>
    </i>
    <i r="1">
      <x v="4"/>
    </i>
    <i r="1">
      <x v="6"/>
    </i>
    <i r="1">
      <x v="7"/>
    </i>
    <i r="1">
      <x v="9"/>
    </i>
    <i r="1">
      <x v="10"/>
    </i>
    <i r="1">
      <x v="13"/>
    </i>
    <i r="1">
      <x v="15"/>
    </i>
    <i r="1">
      <x v="16"/>
    </i>
    <i r="1">
      <x v="18"/>
    </i>
    <i r="1">
      <x v="21"/>
    </i>
    <i r="1">
      <x v="23"/>
    </i>
    <i r="1">
      <x v="24"/>
    </i>
    <i r="1">
      <x v="25"/>
    </i>
    <i r="1">
      <x v="27"/>
    </i>
    <i r="1">
      <x v="28"/>
    </i>
    <i r="1">
      <x v="29"/>
    </i>
    <i r="1">
      <x v="30"/>
    </i>
    <i r="1">
      <x v="32"/>
    </i>
    <i r="1">
      <x v="33"/>
    </i>
    <i r="1">
      <x v="34"/>
    </i>
    <i r="1">
      <x v="35"/>
    </i>
    <i r="1">
      <x v="36"/>
    </i>
    <i r="1">
      <x v="88"/>
    </i>
    <i r="1">
      <x v="90"/>
    </i>
    <i r="1">
      <x v="91"/>
    </i>
    <i r="1">
      <x v="92"/>
    </i>
    <i r="1">
      <x v="95"/>
    </i>
    <i r="1">
      <x v="96"/>
    </i>
    <i t="default">
      <x/>
    </i>
    <i>
      <x v="1"/>
    </i>
    <i r="1">
      <x v="5"/>
    </i>
    <i r="1">
      <x v="9"/>
    </i>
    <i r="1">
      <x v="11"/>
    </i>
    <i r="1">
      <x v="14"/>
    </i>
    <i r="1">
      <x v="17"/>
    </i>
    <i r="1">
      <x v="19"/>
    </i>
    <i r="1">
      <x v="20"/>
    </i>
    <i r="1">
      <x v="22"/>
    </i>
    <i r="1">
      <x v="24"/>
    </i>
    <i r="1">
      <x v="26"/>
    </i>
    <i r="1">
      <x v="97"/>
    </i>
    <i r="1">
      <x v="99"/>
    </i>
    <i r="1">
      <x v="101"/>
    </i>
    <i r="1">
      <x v="103"/>
    </i>
    <i t="default">
      <x v="1"/>
    </i>
    <i>
      <x v="2"/>
    </i>
    <i r="1">
      <x v="12"/>
    </i>
    <i r="1">
      <x v="31"/>
    </i>
    <i r="1">
      <x v="94"/>
    </i>
    <i t="default">
      <x v="2"/>
    </i>
    <i>
      <x v="3"/>
    </i>
    <i r="1">
      <x v="87"/>
    </i>
    <i t="default">
      <x v="3"/>
    </i>
    <i t="grand">
      <x/>
    </i>
  </rowItems>
  <colFields count="1">
    <field x="-2"/>
  </colFields>
  <colItems count="7">
    <i>
      <x/>
    </i>
    <i i="1">
      <x v="1"/>
    </i>
    <i i="2">
      <x v="2"/>
    </i>
    <i i="3">
      <x v="3"/>
    </i>
    <i i="4">
      <x v="4"/>
    </i>
    <i i="5">
      <x v="5"/>
    </i>
    <i i="6">
      <x v="6"/>
    </i>
  </colItems>
  <pageFields count="1">
    <pageField fld="0" item="13" hier="-1"/>
  </pageFields>
  <dataFields count="7">
    <dataField name="Sum of Brigade Manager" fld="5" baseField="1" baseItem="0"/>
    <dataField name="Sum of Area Manager" fld="4" baseField="1" baseItem="0"/>
    <dataField name="Sum of Group Manager" fld="8" baseField="1" baseItem="0"/>
    <dataField name="Sum of Station Manager" fld="9" baseField="1" baseItem="0"/>
    <dataField name="Sum of Watch Manager" fld="10" baseField="0" baseItem="0"/>
    <dataField name="Sum of Crew Manager" fld="6" baseField="0" baseItem="0"/>
    <dataField name="Sum of Firefighter" fld="7" baseField="1"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7.xml><?xml version="1.0" encoding="utf-8"?>
<pivotTableDefinition xmlns="http://schemas.openxmlformats.org/spreadsheetml/2006/main" xmlns:mc="http://schemas.openxmlformats.org/markup-compatibility/2006" xmlns:xr="http://schemas.microsoft.com/office/spreadsheetml/2014/revision" mc:Ignorable="xr" xr:uid="{00000000-0007-0000-3700-000000000000}" name="PivotTable11" cacheId="239" applyNumberFormats="0" applyBorderFormats="0" applyFontFormats="0" applyPatternFormats="0" applyAlignmentFormats="0" applyWidthHeightFormats="1" dataCaption="Values" updatedVersion="8" minRefreshableVersion="3" useAutoFormatting="1" itemPrintTitles="1" createdVersion="6" indent="0" outline="1" outlineData="1" multipleFieldFilters="0">
  <location ref="A3:D33" firstHeaderRow="0" firstDataRow="1" firstDataCol="1" rowPageCount="1" colPageCount="1"/>
  <pivotFields count="7">
    <pivotField axis="axisPage" subtotalTop="0" showAll="0">
      <items count="14">
        <item x="0"/>
        <item x="1"/>
        <item x="2"/>
        <item x="3"/>
        <item x="4"/>
        <item x="5"/>
        <item x="6"/>
        <item x="7"/>
        <item x="8"/>
        <item x="9"/>
        <item x="10"/>
        <item x="11"/>
        <item x="12"/>
        <item t="default"/>
      </items>
    </pivotField>
    <pivotField subtotalTop="0" showAll="0"/>
    <pivotField axis="axisRow" subtotalTop="0" showAll="0">
      <items count="39">
        <item x="0"/>
        <item x="1"/>
        <item x="2"/>
        <item x="3"/>
        <item x="4"/>
        <item x="5"/>
        <item m="1" x="36"/>
        <item x="6"/>
        <item x="7"/>
        <item x="8"/>
        <item x="9"/>
        <item x="10"/>
        <item x="11"/>
        <item x="12"/>
        <item x="13"/>
        <item x="14"/>
        <item x="15"/>
        <item x="16"/>
        <item x="17"/>
        <item x="18"/>
        <item x="19"/>
        <item x="20"/>
        <item x="21"/>
        <item x="22"/>
        <item x="23"/>
        <item x="24"/>
        <item x="25"/>
        <item x="26"/>
        <item x="27"/>
        <item x="28"/>
        <item x="29"/>
        <item x="30"/>
        <item x="31"/>
        <item m="1" x="37"/>
        <item m="1" x="34"/>
        <item m="1" x="32"/>
        <item m="1" x="33"/>
        <item m="1" x="35"/>
        <item t="default"/>
      </items>
    </pivotField>
    <pivotField subtotalTop="0" showAll="0"/>
    <pivotField dataField="1" subtotalTop="0" showAll="0"/>
    <pivotField dataField="1" subtotalTop="0" showAll="0"/>
    <pivotField dataField="1" subtotalTop="0" showAll="0"/>
  </pivotFields>
  <rowFields count="1">
    <field x="2"/>
  </rowFields>
  <rowItems count="30">
    <i>
      <x/>
    </i>
    <i>
      <x v="1"/>
    </i>
    <i>
      <x v="2"/>
    </i>
    <i>
      <x v="3"/>
    </i>
    <i>
      <x v="4"/>
    </i>
    <i>
      <x v="5"/>
    </i>
    <i>
      <x v="7"/>
    </i>
    <i>
      <x v="8"/>
    </i>
    <i>
      <x v="9"/>
    </i>
    <i>
      <x v="11"/>
    </i>
    <i>
      <x v="13"/>
    </i>
    <i>
      <x v="14"/>
    </i>
    <i>
      <x v="16"/>
    </i>
    <i>
      <x v="17"/>
    </i>
    <i>
      <x v="18"/>
    </i>
    <i>
      <x v="19"/>
    </i>
    <i>
      <x v="20"/>
    </i>
    <i>
      <x v="21"/>
    </i>
    <i>
      <x v="22"/>
    </i>
    <i>
      <x v="23"/>
    </i>
    <i>
      <x v="24"/>
    </i>
    <i>
      <x v="25"/>
    </i>
    <i>
      <x v="26"/>
    </i>
    <i>
      <x v="27"/>
    </i>
    <i>
      <x v="28"/>
    </i>
    <i>
      <x v="29"/>
    </i>
    <i>
      <x v="30"/>
    </i>
    <i>
      <x v="31"/>
    </i>
    <i>
      <x v="32"/>
    </i>
    <i t="grand">
      <x/>
    </i>
  </rowItems>
  <colFields count="1">
    <field x="-2"/>
  </colFields>
  <colItems count="3">
    <i>
      <x/>
    </i>
    <i i="1">
      <x v="1"/>
    </i>
    <i i="2">
      <x v="2"/>
    </i>
  </colItems>
  <pageFields count="1">
    <pageField fld="0" item="12" hier="-1"/>
  </pageFields>
  <dataFields count="3">
    <dataField name="Sum of Watch Manager" fld="4" baseField="0" baseItem="0"/>
    <dataField name="Sum of Crew Manager" fld="5" baseField="0" baseItem="0"/>
    <dataField name="Sum of Firefighter" fld="6"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8.xml><?xml version="1.0" encoding="utf-8"?>
<pivotTableDefinition xmlns="http://schemas.openxmlformats.org/spreadsheetml/2006/main" xmlns:mc="http://schemas.openxmlformats.org/markup-compatibility/2006" xmlns:xr="http://schemas.microsoft.com/office/spreadsheetml/2014/revision" mc:Ignorable="xr" xr:uid="{00000000-0007-0000-3A00-000000000000}" name="PivotTable2" cacheId="224" applyNumberFormats="0" applyBorderFormats="0" applyFontFormats="0" applyPatternFormats="0" applyAlignmentFormats="0" applyWidthHeightFormats="1" dataCaption="Values" updatedVersion="8" minRefreshableVersion="3" useAutoFormatting="1" itemPrintTitles="1" createdVersion="6" indent="0" outline="1" outlineData="1" multipleFieldFilters="0">
  <location ref="A3:G5" firstHeaderRow="0" firstDataRow="1" firstDataCol="1" rowPageCount="1" colPageCount="1"/>
  <pivotFields count="9">
    <pivotField axis="axisPage" subtotalTop="0" showAll="0">
      <items count="14">
        <item x="0"/>
        <item x="1"/>
        <item x="2"/>
        <item x="3"/>
        <item x="4"/>
        <item x="5"/>
        <item x="6"/>
        <item x="7"/>
        <item x="8"/>
        <item x="9"/>
        <item x="10"/>
        <item x="11"/>
        <item x="12"/>
        <item t="default"/>
      </items>
    </pivotField>
    <pivotField axis="axisRow" subtotalTop="0" showAll="0">
      <items count="2">
        <item x="0"/>
        <item t="default"/>
      </items>
    </pivotField>
    <pivotField subtotalTop="0" showAll="0"/>
    <pivotField dataField="1" subtotalTop="0" showAll="0"/>
    <pivotField dataField="1" subtotalTop="0" showAll="0"/>
    <pivotField dataField="1" subtotalTop="0" showAll="0"/>
    <pivotField dataField="1" subtotalTop="0" showAll="0"/>
    <pivotField dataField="1" subtotalTop="0" showAll="0"/>
    <pivotField dataField="1" subtotalTop="0" showAll="0"/>
  </pivotFields>
  <rowFields count="1">
    <field x="1"/>
  </rowFields>
  <rowItems count="2">
    <i>
      <x/>
    </i>
    <i t="grand">
      <x/>
    </i>
  </rowItems>
  <colFields count="1">
    <field x="-2"/>
  </colFields>
  <colItems count="6">
    <i>
      <x/>
    </i>
    <i i="1">
      <x v="1"/>
    </i>
    <i i="2">
      <x v="2"/>
    </i>
    <i i="3">
      <x v="3"/>
    </i>
    <i i="4">
      <x v="4"/>
    </i>
    <i i="5">
      <x v="5"/>
    </i>
  </colItems>
  <pageFields count="1">
    <pageField fld="0" item="12" hier="-1"/>
  </pageFields>
  <dataFields count="6">
    <dataField name="Sum of Area Manager" fld="3" baseField="1" baseItem="0"/>
    <dataField name="Sum of Group Manager" fld="4" baseField="0" baseItem="0"/>
    <dataField name="Sum of Station Manager" fld="5" baseField="0" baseItem="0"/>
    <dataField name="Sum of Watch Manager" fld="6" baseField="0" baseItem="0"/>
    <dataField name="Sum of Crew Manager" fld="7" baseField="0" baseItem="0"/>
    <dataField name="Sum of Control Operator" fld="8"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19.xml><?xml version="1.0" encoding="utf-8"?>
<pivotTableDefinition xmlns="http://schemas.openxmlformats.org/spreadsheetml/2006/main" xmlns:mc="http://schemas.openxmlformats.org/markup-compatibility/2006" xmlns:xr="http://schemas.microsoft.com/office/spreadsheetml/2014/revision" mc:Ignorable="xr" xr:uid="{00000000-0007-0000-3C00-000000000000}" name="PivotTable11" cacheId="225" applyNumberFormats="0" applyBorderFormats="0" applyFontFormats="0" applyPatternFormats="0" applyAlignmentFormats="0" applyWidthHeightFormats="1" dataCaption="Values" updatedVersion="8" minRefreshableVersion="3" useAutoFormatting="1" itemPrintTitles="1" createdVersion="6" indent="0" outline="1" outlineData="1" multipleFieldFilters="0">
  <location ref="A3:I12" firstHeaderRow="0" firstDataRow="1" firstDataCol="1" rowPageCount="1" colPageCount="1"/>
  <pivotFields count="12">
    <pivotField axis="axisPage" subtotalTop="0" showAll="0">
      <items count="14">
        <item x="0"/>
        <item x="1"/>
        <item x="2"/>
        <item x="3"/>
        <item x="4"/>
        <item x="5"/>
        <item x="6"/>
        <item x="7"/>
        <item x="8"/>
        <item x="9"/>
        <item x="10"/>
        <item x="11"/>
        <item x="12"/>
        <item t="default"/>
      </items>
    </pivotField>
    <pivotField axis="axisRow" subtotalTop="0" showAll="0">
      <items count="3">
        <item x="1"/>
        <item x="0"/>
        <item t="default"/>
      </items>
    </pivotField>
    <pivotField subtotalTop="0" showAll="0"/>
    <pivotField axis="axisRow" subtotalTop="0" showAll="0">
      <items count="6">
        <item x="2"/>
        <item x="3"/>
        <item x="0"/>
        <item x="1"/>
        <item m="1" x="4"/>
        <item t="default"/>
      </items>
    </pivotField>
    <pivotField dataField="1" subtotalTop="0" showAll="0"/>
    <pivotField dataField="1" subtotalTop="0" showAll="0"/>
    <pivotField dataField="1" subtotalTop="0" showAll="0"/>
    <pivotField dataField="1" subtotalTop="0" showAll="0"/>
    <pivotField dataField="1" subtotalTop="0" showAll="0"/>
    <pivotField dataField="1" subtotalTop="0" showAll="0"/>
    <pivotField dataField="1" subtotalTop="0" showAll="0"/>
    <pivotField dataField="1" subtotalTop="0" showAll="0"/>
  </pivotFields>
  <rowFields count="2">
    <field x="1"/>
    <field x="3"/>
  </rowFields>
  <rowItems count="9">
    <i>
      <x/>
    </i>
    <i r="1">
      <x/>
    </i>
    <i r="1">
      <x v="1"/>
    </i>
    <i r="1">
      <x v="3"/>
    </i>
    <i t="default">
      <x/>
    </i>
    <i>
      <x v="1"/>
    </i>
    <i r="1">
      <x v="2"/>
    </i>
    <i t="default">
      <x v="1"/>
    </i>
    <i t="grand">
      <x/>
    </i>
  </rowItems>
  <colFields count="1">
    <field x="-2"/>
  </colFields>
  <colItems count="8">
    <i>
      <x/>
    </i>
    <i i="1">
      <x v="1"/>
    </i>
    <i i="2">
      <x v="2"/>
    </i>
    <i i="3">
      <x v="3"/>
    </i>
    <i i="4">
      <x v="4"/>
    </i>
    <i i="5">
      <x v="5"/>
    </i>
    <i i="6">
      <x v="6"/>
    </i>
    <i i="7">
      <x v="7"/>
    </i>
  </colItems>
  <pageFields count="1">
    <pageField fld="0" item="12" hier="-1"/>
  </pageFields>
  <dataFields count="8">
    <dataField name="Sum of Director" fld="5" baseField="1" baseItem="0"/>
    <dataField name="Sum of Service Manager" fld="6" baseField="0" baseItem="0"/>
    <dataField name="Sum of Team Leader" fld="7" baseField="0" baseItem="0"/>
    <dataField name="Sum of Professional" fld="8" baseField="0" baseItem="0"/>
    <dataField name="Sum of Specialist Technical" fld="9" baseField="0" baseItem="0"/>
    <dataField name="Sum of Tech Support" fld="10" baseField="0" baseItem="0"/>
    <dataField name="Sum of Administration" fld="11" baseField="0" baseItem="0"/>
    <dataField name="Sum of Total" fld="4"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0.xml><?xml version="1.0" encoding="utf-8"?>
<pivotTableDefinition xmlns="http://schemas.openxmlformats.org/spreadsheetml/2006/main" xmlns:mc="http://schemas.openxmlformats.org/markup-compatibility/2006" xmlns:xr="http://schemas.microsoft.com/office/spreadsheetml/2014/revision" mc:Ignorable="xr" xr:uid="{00000000-0007-0000-3F00-000000000000}" name="PivotTable2" cacheId="226" applyNumberFormats="0" applyBorderFormats="0" applyFontFormats="0" applyPatternFormats="0" applyAlignmentFormats="0" applyWidthHeightFormats="1" dataCaption="Values" updatedVersion="8" minRefreshableVersion="3" useAutoFormatting="1" itemPrintTitles="1" createdVersion="6" indent="0" outline="1" outlineData="1" multipleFieldFilters="0">
  <location ref="A3:D12" firstHeaderRow="0" firstDataRow="1" firstDataCol="1" rowPageCount="1" colPageCount="1"/>
  <pivotFields count="8">
    <pivotField axis="axisPage" subtotalTop="0" showAll="0">
      <items count="15">
        <item x="0"/>
        <item x="1"/>
        <item x="2"/>
        <item x="3"/>
        <item x="4"/>
        <item x="5"/>
        <item x="6"/>
        <item x="7"/>
        <item m="1" x="13"/>
        <item x="8"/>
        <item x="9"/>
        <item x="10"/>
        <item x="11"/>
        <item x="12"/>
        <item t="default"/>
      </items>
    </pivotField>
    <pivotField axis="axisRow" subtotalTop="0" showAll="0">
      <items count="3">
        <item x="0"/>
        <item m="1" x="1"/>
        <item t="default"/>
      </items>
    </pivotField>
    <pivotField subtotalTop="0" showAll="0"/>
    <pivotField axis="axisRow" subtotalTop="0" showAll="0">
      <items count="37">
        <item x="19"/>
        <item x="20"/>
        <item x="26"/>
        <item x="21"/>
        <item x="22"/>
        <item x="0"/>
        <item m="1" x="33"/>
        <item x="1"/>
        <item x="27"/>
        <item x="2"/>
        <item x="29"/>
        <item x="3"/>
        <item x="4"/>
        <item x="6"/>
        <item x="31"/>
        <item x="30"/>
        <item x="7"/>
        <item x="8"/>
        <item x="9"/>
        <item x="10"/>
        <item x="5"/>
        <item x="11"/>
        <item x="28"/>
        <item x="12"/>
        <item x="13"/>
        <item x="23"/>
        <item x="14"/>
        <item x="15"/>
        <item x="16"/>
        <item x="17"/>
        <item x="18"/>
        <item x="24"/>
        <item x="25"/>
        <item m="1" x="32"/>
        <item m="1" x="34"/>
        <item m="1" x="35"/>
        <item t="default"/>
      </items>
    </pivotField>
    <pivotField subtotalTop="0" showAll="0"/>
    <pivotField dataField="1" subtotalTop="0" showAll="0"/>
    <pivotField dataField="1" subtotalTop="0" showAll="0"/>
    <pivotField dataField="1" subtotalTop="0" showAll="0"/>
  </pivotFields>
  <rowFields count="2">
    <field x="1"/>
    <field x="3"/>
  </rowFields>
  <rowItems count="9">
    <i>
      <x/>
    </i>
    <i r="1">
      <x v="3"/>
    </i>
    <i r="1">
      <x v="7"/>
    </i>
    <i r="1">
      <x v="16"/>
    </i>
    <i r="1">
      <x v="19"/>
    </i>
    <i r="1">
      <x v="21"/>
    </i>
    <i r="1">
      <x v="24"/>
    </i>
    <i t="default">
      <x/>
    </i>
    <i t="grand">
      <x/>
    </i>
  </rowItems>
  <colFields count="1">
    <field x="-2"/>
  </colFields>
  <colItems count="3">
    <i>
      <x/>
    </i>
    <i i="1">
      <x v="1"/>
    </i>
    <i i="2">
      <x v="2"/>
    </i>
  </colItems>
  <pageFields count="1">
    <pageField fld="0" item="13" hier="-1"/>
  </pageFields>
  <dataFields count="3">
    <dataField name="Sum of Watch Manager" fld="5" baseField="0" baseItem="0"/>
    <dataField name="Sum of Crew Manager" fld="6" baseField="0" baseItem="0"/>
    <dataField name="Sum of Firefighter" fld="7"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1.xml><?xml version="1.0" encoding="utf-8"?>
<pivotTableDefinition xmlns="http://schemas.openxmlformats.org/spreadsheetml/2006/main" xmlns:mc="http://schemas.openxmlformats.org/markup-compatibility/2006" xmlns:xr="http://schemas.microsoft.com/office/spreadsheetml/2014/revision" mc:Ignorable="xr" xr:uid="{00000000-0007-0000-4400-000000000000}" name="PivotTable3" cacheId="227" applyNumberFormats="0" applyBorderFormats="0" applyFontFormats="0" applyPatternFormats="0" applyAlignmentFormats="0" applyWidthHeightFormats="1" dataCaption="Values" updatedVersion="8" minRefreshableVersion="3" useAutoFormatting="1" itemPrintTitles="1" createdVersion="6" indent="0" outline="1" outlineData="1" multipleFieldFilters="0">
  <location ref="A3:H61" firstHeaderRow="0" firstDataRow="1" firstDataCol="1" rowPageCount="1" colPageCount="1"/>
  <pivotFields count="12">
    <pivotField axis="axisPage" subtotalTop="0" showAll="0">
      <items count="15">
        <item x="0"/>
        <item x="1"/>
        <item x="2"/>
        <item x="3"/>
        <item x="4"/>
        <item x="5"/>
        <item x="6"/>
        <item x="7"/>
        <item x="8"/>
        <item m="1" x="13"/>
        <item x="9"/>
        <item x="10"/>
        <item x="11"/>
        <item x="12"/>
        <item t="default"/>
      </items>
    </pivotField>
    <pivotField axis="axisRow" subtotalTop="0" showAll="0">
      <items count="8">
        <item x="0"/>
        <item x="1"/>
        <item x="2"/>
        <item x="3"/>
        <item m="1" x="5"/>
        <item x="4"/>
        <item m="1" x="6"/>
        <item t="default"/>
      </items>
    </pivotField>
    <pivotField subtotalTop="0" showAll="0"/>
    <pivotField axis="axisRow" subtotalTop="0" showAll="0">
      <items count="62">
        <item x="19"/>
        <item x="20"/>
        <item x="32"/>
        <item m="1" x="50"/>
        <item x="26"/>
        <item x="21"/>
        <item x="33"/>
        <item x="22"/>
        <item x="0"/>
        <item m="1" x="55"/>
        <item x="1"/>
        <item x="27"/>
        <item x="42"/>
        <item x="44"/>
        <item x="2"/>
        <item x="34"/>
        <item x="29"/>
        <item x="3"/>
        <item x="35"/>
        <item x="4"/>
        <item x="36"/>
        <item x="37"/>
        <item x="6"/>
        <item x="38"/>
        <item x="31"/>
        <item x="30"/>
        <item x="7"/>
        <item x="39"/>
        <item x="8"/>
        <item x="9"/>
        <item x="10"/>
        <item x="5"/>
        <item x="45"/>
        <item x="11"/>
        <item x="28"/>
        <item x="12"/>
        <item x="13"/>
        <item x="23"/>
        <item x="46"/>
        <item x="14"/>
        <item x="15"/>
        <item x="16"/>
        <item x="17"/>
        <item x="18"/>
        <item x="40"/>
        <item x="47"/>
        <item x="43"/>
        <item x="24"/>
        <item x="25"/>
        <item x="41"/>
        <item x="48"/>
        <item x="49"/>
        <item m="1" x="56"/>
        <item m="1" x="51"/>
        <item m="1" x="57"/>
        <item m="1" x="54"/>
        <item m="1" x="59"/>
        <item m="1" x="53"/>
        <item m="1" x="58"/>
        <item m="1" x="60"/>
        <item m="1" x="52"/>
        <item t="default"/>
      </items>
    </pivotField>
    <pivotField subtotalTop="0" showAll="0"/>
    <pivotField dataField="1" subtotalTop="0" showAll="0"/>
    <pivotField dataField="1" subtotalTop="0" showAll="0"/>
    <pivotField dataField="1" subtotalTop="0" showAll="0"/>
    <pivotField dataField="1" subtotalTop="0" showAll="0"/>
    <pivotField dataField="1" subtotalTop="0" showAll="0"/>
    <pivotField dataField="1" subtotalTop="0" showAll="0"/>
    <pivotField dataField="1" subtotalTop="0" showAll="0"/>
  </pivotFields>
  <rowFields count="2">
    <field x="1"/>
    <field x="3"/>
  </rowFields>
  <rowItems count="58">
    <i>
      <x/>
    </i>
    <i r="1">
      <x/>
    </i>
    <i r="1">
      <x v="1"/>
    </i>
    <i r="1">
      <x v="4"/>
    </i>
    <i r="1">
      <x v="5"/>
    </i>
    <i r="1">
      <x v="7"/>
    </i>
    <i r="1">
      <x v="8"/>
    </i>
    <i r="1">
      <x v="10"/>
    </i>
    <i r="1">
      <x v="11"/>
    </i>
    <i r="1">
      <x v="14"/>
    </i>
    <i r="1">
      <x v="16"/>
    </i>
    <i r="1">
      <x v="17"/>
    </i>
    <i r="1">
      <x v="19"/>
    </i>
    <i r="1">
      <x v="22"/>
    </i>
    <i r="1">
      <x v="24"/>
    </i>
    <i r="1">
      <x v="25"/>
    </i>
    <i r="1">
      <x v="26"/>
    </i>
    <i r="1">
      <x v="28"/>
    </i>
    <i r="1">
      <x v="29"/>
    </i>
    <i r="1">
      <x v="30"/>
    </i>
    <i r="1">
      <x v="31"/>
    </i>
    <i r="1">
      <x v="33"/>
    </i>
    <i r="1">
      <x v="34"/>
    </i>
    <i r="1">
      <x v="35"/>
    </i>
    <i r="1">
      <x v="36"/>
    </i>
    <i r="1">
      <x v="37"/>
    </i>
    <i r="1">
      <x v="39"/>
    </i>
    <i r="1">
      <x v="41"/>
    </i>
    <i r="1">
      <x v="42"/>
    </i>
    <i r="1">
      <x v="43"/>
    </i>
    <i r="1">
      <x v="47"/>
    </i>
    <i r="1">
      <x v="48"/>
    </i>
    <i t="default">
      <x/>
    </i>
    <i>
      <x v="1"/>
    </i>
    <i r="1">
      <x v="6"/>
    </i>
    <i r="1">
      <x v="10"/>
    </i>
    <i r="1">
      <x v="12"/>
    </i>
    <i r="1">
      <x v="15"/>
    </i>
    <i r="1">
      <x v="18"/>
    </i>
    <i r="1">
      <x v="20"/>
    </i>
    <i r="1">
      <x v="21"/>
    </i>
    <i r="1">
      <x v="23"/>
    </i>
    <i r="1">
      <x v="25"/>
    </i>
    <i r="1">
      <x v="27"/>
    </i>
    <i r="1">
      <x v="45"/>
    </i>
    <i r="1">
      <x v="49"/>
    </i>
    <i r="1">
      <x v="50"/>
    </i>
    <i r="1">
      <x v="51"/>
    </i>
    <i t="default">
      <x v="1"/>
    </i>
    <i>
      <x v="2"/>
    </i>
    <i r="1">
      <x v="13"/>
    </i>
    <i r="1">
      <x v="32"/>
    </i>
    <i r="1">
      <x v="46"/>
    </i>
    <i t="default">
      <x v="2"/>
    </i>
    <i>
      <x v="3"/>
    </i>
    <i r="1">
      <x v="38"/>
    </i>
    <i t="default">
      <x v="3"/>
    </i>
    <i t="grand">
      <x/>
    </i>
  </rowItems>
  <colFields count="1">
    <field x="-2"/>
  </colFields>
  <colItems count="7">
    <i>
      <x/>
    </i>
    <i i="1">
      <x v="1"/>
    </i>
    <i i="2">
      <x v="2"/>
    </i>
    <i i="3">
      <x v="3"/>
    </i>
    <i i="4">
      <x v="4"/>
    </i>
    <i i="5">
      <x v="5"/>
    </i>
    <i i="6">
      <x v="6"/>
    </i>
  </colItems>
  <pageFields count="1">
    <pageField fld="0" item="13" hier="-1"/>
  </pageFields>
  <dataFields count="7">
    <dataField name="Sum of Brigade Manager" fld="6" baseField="3" baseItem="25"/>
    <dataField name="Sum of Area Manager" fld="5" baseField="3" baseItem="25"/>
    <dataField name="Sum of Group Manager" fld="9" baseField="3" baseItem="25"/>
    <dataField name="Sum of Station Manager" fld="10" baseField="3" baseItem="25"/>
    <dataField name="Sum of Watch Manager" fld="11" baseField="3" baseItem="25"/>
    <dataField name="Sum of Crew Manager" fld="7" baseField="3" baseItem="25"/>
    <dataField name="Sum of Firefighter" fld="8" baseField="3" baseItem="25"/>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2.xml><?xml version="1.0" encoding="utf-8"?>
<pivotTableDefinition xmlns="http://schemas.openxmlformats.org/spreadsheetml/2006/main" xmlns:mc="http://schemas.openxmlformats.org/markup-compatibility/2006" xmlns:xr="http://schemas.microsoft.com/office/spreadsheetml/2014/revision" mc:Ignorable="xr" xr:uid="{00000000-0007-0000-4800-000000000000}" name="PivotTable4" cacheId="248" applyNumberFormats="0" applyBorderFormats="0" applyFontFormats="0" applyPatternFormats="0" applyAlignmentFormats="0" applyWidthHeightFormats="1" dataCaption="Values" updatedVersion="8" minRefreshableVersion="3" useAutoFormatting="1" itemPrintTitles="1" createdVersion="6" indent="0" outline="1" outlineData="1" multipleFieldFilters="0">
  <location ref="A3:D36" firstHeaderRow="0" firstDataRow="1" firstDataCol="1" rowPageCount="1" colPageCount="1"/>
  <pivotFields count="8">
    <pivotField axis="axisPage" subtotalTop="0" showAll="0">
      <items count="15">
        <item x="1"/>
        <item x="2"/>
        <item x="3"/>
        <item x="4"/>
        <item x="5"/>
        <item x="6"/>
        <item x="7"/>
        <item x="8"/>
        <item x="0"/>
        <item x="9"/>
        <item x="10"/>
        <item x="11"/>
        <item x="12"/>
        <item x="13"/>
        <item t="default"/>
      </items>
    </pivotField>
    <pivotField axis="axisRow" subtotalTop="0" showAll="0">
      <items count="3">
        <item x="1"/>
        <item x="0"/>
        <item t="default"/>
      </items>
    </pivotField>
    <pivotField subtotalTop="0" showAll="0"/>
    <pivotField axis="axisRow" subtotalTop="0" showAll="0">
      <items count="38">
        <item x="21"/>
        <item x="22"/>
        <item x="1"/>
        <item x="28"/>
        <item x="23"/>
        <item x="24"/>
        <item x="2"/>
        <item m="1" x="34"/>
        <item x="3"/>
        <item x="29"/>
        <item x="4"/>
        <item x="31"/>
        <item x="5"/>
        <item x="6"/>
        <item x="8"/>
        <item x="33"/>
        <item x="32"/>
        <item x="9"/>
        <item x="10"/>
        <item x="11"/>
        <item x="12"/>
        <item x="7"/>
        <item x="13"/>
        <item x="30"/>
        <item x="14"/>
        <item x="15"/>
        <item x="25"/>
        <item x="16"/>
        <item x="17"/>
        <item x="18"/>
        <item x="19"/>
        <item x="20"/>
        <item x="26"/>
        <item x="27"/>
        <item x="0"/>
        <item m="1" x="35"/>
        <item m="1" x="36"/>
        <item t="default"/>
      </items>
    </pivotField>
    <pivotField subtotalTop="0" showAll="0"/>
    <pivotField dataField="1" subtotalTop="0" showAll="0"/>
    <pivotField dataField="1" subtotalTop="0" showAll="0"/>
    <pivotField dataField="1" subtotalTop="0" showAll="0"/>
  </pivotFields>
  <rowFields count="2">
    <field x="1"/>
    <field x="3"/>
  </rowFields>
  <rowItems count="33">
    <i>
      <x/>
    </i>
    <i r="1">
      <x/>
    </i>
    <i r="1">
      <x v="1"/>
    </i>
    <i r="1">
      <x v="2"/>
    </i>
    <i r="1">
      <x v="3"/>
    </i>
    <i r="1">
      <x v="4"/>
    </i>
    <i r="1">
      <x v="5"/>
    </i>
    <i r="1">
      <x v="6"/>
    </i>
    <i r="1">
      <x v="8"/>
    </i>
    <i r="1">
      <x v="9"/>
    </i>
    <i r="1">
      <x v="10"/>
    </i>
    <i r="1">
      <x v="12"/>
    </i>
    <i r="1">
      <x v="14"/>
    </i>
    <i r="1">
      <x v="15"/>
    </i>
    <i r="1">
      <x v="17"/>
    </i>
    <i r="1">
      <x v="18"/>
    </i>
    <i r="1">
      <x v="19"/>
    </i>
    <i r="1">
      <x v="20"/>
    </i>
    <i r="1">
      <x v="21"/>
    </i>
    <i r="1">
      <x v="22"/>
    </i>
    <i r="1">
      <x v="23"/>
    </i>
    <i r="1">
      <x v="24"/>
    </i>
    <i r="1">
      <x v="25"/>
    </i>
    <i r="1">
      <x v="26"/>
    </i>
    <i r="1">
      <x v="27"/>
    </i>
    <i r="1">
      <x v="28"/>
    </i>
    <i r="1">
      <x v="29"/>
    </i>
    <i r="1">
      <x v="30"/>
    </i>
    <i r="1">
      <x v="31"/>
    </i>
    <i r="1">
      <x v="32"/>
    </i>
    <i r="1">
      <x v="33"/>
    </i>
    <i t="default">
      <x/>
    </i>
    <i t="grand">
      <x/>
    </i>
  </rowItems>
  <colFields count="1">
    <field x="-2"/>
  </colFields>
  <colItems count="3">
    <i>
      <x/>
    </i>
    <i i="1">
      <x v="1"/>
    </i>
    <i i="2">
      <x v="2"/>
    </i>
  </colItems>
  <pageFields count="1">
    <pageField fld="0" item="13" hier="-1"/>
  </pageFields>
  <dataFields count="3">
    <dataField name="Sum of Watch Manager" fld="5" baseField="1" baseItem="0"/>
    <dataField name="Sum of Crew Manager" fld="6" baseField="1" baseItem="0"/>
    <dataField name="Sum of Firefighter" fld="7" baseField="1"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3.xml><?xml version="1.0" encoding="utf-8"?>
<pivotTableDefinition xmlns="http://schemas.openxmlformats.org/spreadsheetml/2006/main" xmlns:mc="http://schemas.openxmlformats.org/markup-compatibility/2006" xmlns:xr="http://schemas.microsoft.com/office/spreadsheetml/2014/revision" mc:Ignorable="xr" xr:uid="{00000000-0007-0000-4B00-000000000000}" name="PivotTable5" cacheId="228" applyNumberFormats="0" applyBorderFormats="0" applyFontFormats="0" applyPatternFormats="0" applyAlignmentFormats="0" applyWidthHeightFormats="1" dataCaption="Values" updatedVersion="8" minRefreshableVersion="3" useAutoFormatting="1" itemPrintTitles="1" createdVersion="6" indent="0" outline="1" outlineData="1" multipleFieldFilters="0">
  <location ref="A3:G5" firstHeaderRow="0" firstDataRow="1" firstDataCol="1" rowPageCount="1" colPageCount="1"/>
  <pivotFields count="11">
    <pivotField axis="axisPage" subtotalTop="0" showAll="0">
      <items count="14">
        <item x="0"/>
        <item x="1"/>
        <item x="2"/>
        <item x="3"/>
        <item x="4"/>
        <item x="5"/>
        <item x="6"/>
        <item x="7"/>
        <item x="8"/>
        <item x="9"/>
        <item x="10"/>
        <item x="11"/>
        <item x="12"/>
        <item t="default"/>
      </items>
    </pivotField>
    <pivotField axis="axisRow" subtotalTop="0" showAll="0">
      <items count="3">
        <item x="0"/>
        <item m="1" x="1"/>
        <item t="default"/>
      </items>
    </pivotField>
    <pivotField subtotalTop="0" showAll="0"/>
    <pivotField subtotalTop="0" showAll="0"/>
    <pivotField subtotalTop="0" showAll="0"/>
    <pivotField dataField="1" subtotalTop="0" showAll="0"/>
    <pivotField dataField="1" subtotalTop="0" showAll="0"/>
    <pivotField dataField="1" subtotalTop="0" showAll="0"/>
    <pivotField dataField="1" subtotalTop="0" showAll="0"/>
    <pivotField dataField="1" subtotalTop="0" showAll="0"/>
    <pivotField dataField="1" subtotalTop="0" showAll="0"/>
  </pivotFields>
  <rowFields count="1">
    <field x="1"/>
  </rowFields>
  <rowItems count="2">
    <i>
      <x/>
    </i>
    <i t="grand">
      <x/>
    </i>
  </rowItems>
  <colFields count="1">
    <field x="-2"/>
  </colFields>
  <colItems count="6">
    <i>
      <x/>
    </i>
    <i i="1">
      <x v="1"/>
    </i>
    <i i="2">
      <x v="2"/>
    </i>
    <i i="3">
      <x v="3"/>
    </i>
    <i i="4">
      <x v="4"/>
    </i>
    <i i="5">
      <x v="5"/>
    </i>
  </colItems>
  <pageFields count="1">
    <pageField fld="0" item="12" hier="-1"/>
  </pageFields>
  <dataFields count="6">
    <dataField name="Sum of Area Manager" fld="5" baseField="1" baseItem="0"/>
    <dataField name="Sum of Group Manager" fld="6" baseField="0" baseItem="0"/>
    <dataField name="Sum of Station Manager" fld="7" baseField="0" baseItem="0"/>
    <dataField name="Sum of Watch Manager" fld="8" baseField="0" baseItem="0"/>
    <dataField name="Sum of Crew Manager" fld="9" baseField="0" baseItem="0"/>
    <dataField name="Sum of Control Operator" fld="10"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4.xml><?xml version="1.0" encoding="utf-8"?>
<pivotTableDefinition xmlns="http://schemas.openxmlformats.org/spreadsheetml/2006/main" xmlns:mc="http://schemas.openxmlformats.org/markup-compatibility/2006" xmlns:xr="http://schemas.microsoft.com/office/spreadsheetml/2014/revision" mc:Ignorable="xr" xr:uid="{00000000-0007-0000-4D00-000000000000}" name="PivotTable6" cacheId="229" applyNumberFormats="0" applyBorderFormats="0" applyFontFormats="0" applyPatternFormats="0" applyAlignmentFormats="0" applyWidthHeightFormats="1" dataCaption="Values" updatedVersion="8" minRefreshableVersion="3" useAutoFormatting="1" itemPrintTitles="1" createdVersion="6" indent="0" outline="1" outlineData="1" multipleFieldFilters="0">
  <location ref="A3:I5" firstHeaderRow="0" firstDataRow="1" firstDataCol="1" rowPageCount="1" colPageCount="1"/>
  <pivotFields count="12">
    <pivotField axis="axisPage" subtotalTop="0" showAll="0">
      <items count="14">
        <item x="0"/>
        <item x="1"/>
        <item x="2"/>
        <item x="3"/>
        <item x="4"/>
        <item x="5"/>
        <item x="6"/>
        <item x="7"/>
        <item x="8"/>
        <item x="9"/>
        <item x="10"/>
        <item x="11"/>
        <item x="12"/>
        <item t="default"/>
      </items>
    </pivotField>
    <pivotField subtotalTop="0" showAll="0"/>
    <pivotField axis="axisRow" subtotalTop="0" showAll="0">
      <items count="5">
        <item m="1" x="2"/>
        <item m="1" x="3"/>
        <item x="0"/>
        <item m="1" x="1"/>
        <item t="default"/>
      </items>
    </pivotField>
    <pivotField subtotalTop="0" showAll="0"/>
    <pivotField dataField="1" subtotalTop="0" showAll="0"/>
    <pivotField dataField="1" subtotalTop="0" showAll="0"/>
    <pivotField dataField="1" subtotalTop="0" showAll="0"/>
    <pivotField dataField="1" subtotalTop="0" showAll="0"/>
    <pivotField dataField="1" subtotalTop="0" showAll="0"/>
    <pivotField dataField="1" subtotalTop="0" showAll="0"/>
    <pivotField dataField="1" subtotalTop="0" showAll="0"/>
    <pivotField dataField="1" subtotalTop="0" showAll="0"/>
  </pivotFields>
  <rowFields count="1">
    <field x="2"/>
  </rowFields>
  <rowItems count="2">
    <i>
      <x v="2"/>
    </i>
    <i t="grand">
      <x/>
    </i>
  </rowItems>
  <colFields count="1">
    <field x="-2"/>
  </colFields>
  <colItems count="8">
    <i>
      <x/>
    </i>
    <i i="1">
      <x v="1"/>
    </i>
    <i i="2">
      <x v="2"/>
    </i>
    <i i="3">
      <x v="3"/>
    </i>
    <i i="4">
      <x v="4"/>
    </i>
    <i i="5">
      <x v="5"/>
    </i>
    <i i="6">
      <x v="6"/>
    </i>
    <i i="7">
      <x v="7"/>
    </i>
  </colItems>
  <pageFields count="1">
    <pageField fld="0" item="12" hier="-1"/>
  </pageFields>
  <dataFields count="8">
    <dataField name="Sum of Director" fld="4" baseField="2" baseItem="0"/>
    <dataField name="Sum of Service Manager" fld="5" baseField="2" baseItem="0"/>
    <dataField name="Sum of Team Leader" fld="6" baseField="2" baseItem="0"/>
    <dataField name="Sum of Professional" fld="7" baseField="2" baseItem="0"/>
    <dataField name="Sum of Specialist Technical" fld="8" baseField="2" baseItem="0"/>
    <dataField name="Sum of Tech Support" fld="9" baseField="2" baseItem="0"/>
    <dataField name="Sum of Administration" fld="10" baseField="2" baseItem="0"/>
    <dataField name="Sum of Total" fld="11"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5.xml><?xml version="1.0" encoding="utf-8"?>
<pivotTableDefinition xmlns="http://schemas.openxmlformats.org/spreadsheetml/2006/main" xmlns:mc="http://schemas.openxmlformats.org/markup-compatibility/2006" xmlns:xr="http://schemas.microsoft.com/office/spreadsheetml/2014/revision" mc:Ignorable="xr" xr:uid="{AF93B760-F154-4B84-BD8B-80032FC68DAA}" name="PivotTable1" cacheId="230"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5:N22" firstHeaderRow="0" firstDataRow="1" firstDataCol="1"/>
  <pivotFields count="13">
    <pivotField axis="axisRow" showAll="0">
      <items count="17">
        <item x="0"/>
        <item x="10"/>
        <item x="13"/>
        <item x="2"/>
        <item x="3"/>
        <item x="4"/>
        <item x="5"/>
        <item x="1"/>
        <item x="8"/>
        <item x="9"/>
        <item x="11"/>
        <item x="14"/>
        <item x="15"/>
        <item x="6"/>
        <item x="12"/>
        <item x="7"/>
        <item t="default"/>
      </items>
    </pivotField>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s>
  <rowFields count="1">
    <field x="0"/>
  </rowFields>
  <rowItems count="17">
    <i>
      <x/>
    </i>
    <i>
      <x v="1"/>
    </i>
    <i>
      <x v="2"/>
    </i>
    <i>
      <x v="3"/>
    </i>
    <i>
      <x v="4"/>
    </i>
    <i>
      <x v="5"/>
    </i>
    <i>
      <x v="6"/>
    </i>
    <i>
      <x v="7"/>
    </i>
    <i>
      <x v="8"/>
    </i>
    <i>
      <x v="9"/>
    </i>
    <i>
      <x v="10"/>
    </i>
    <i>
      <x v="11"/>
    </i>
    <i>
      <x v="12"/>
    </i>
    <i>
      <x v="13"/>
    </i>
    <i>
      <x v="14"/>
    </i>
    <i>
      <x v="15"/>
    </i>
    <i t="grand">
      <x/>
    </i>
  </rowItems>
  <colFields count="1">
    <field x="-2"/>
  </colFields>
  <colItems count="12">
    <i>
      <x/>
    </i>
    <i i="1">
      <x v="1"/>
    </i>
    <i i="2">
      <x v="2"/>
    </i>
    <i i="3">
      <x v="3"/>
    </i>
    <i i="4">
      <x v="4"/>
    </i>
    <i i="5">
      <x v="5"/>
    </i>
    <i i="6">
      <x v="6"/>
    </i>
    <i i="7">
      <x v="7"/>
    </i>
    <i i="8">
      <x v="8"/>
    </i>
    <i i="9">
      <x v="9"/>
    </i>
    <i i="10">
      <x v="10"/>
    </i>
    <i i="11">
      <x v="11"/>
    </i>
  </colItems>
  <dataFields count="12">
    <dataField name="Sum of WTFemale" fld="1" baseField="0" baseItem="0"/>
    <dataField name="Sum of WTMale" fld="2" baseField="0" baseItem="0"/>
    <dataField name="Sum of RDSFemale" fld="3" baseField="0" baseItem="0"/>
    <dataField name="Sum of RDSMale" fld="4" baseField="0" baseItem="0"/>
    <dataField name="Sum of RDS FulltimeFemale" fld="5" baseField="0" baseItem="0"/>
    <dataField name="Sum of RDS FulltimeMale" fld="6" baseField="0" baseItem="0"/>
    <dataField name="Sum of ControlFemale" fld="7" baseField="0" baseItem="0"/>
    <dataField name="Sum of ControlMale" fld="8" baseField="0" baseItem="0"/>
    <dataField name="Sum of SupportFemale" fld="9" baseField="0" baseItem="0"/>
    <dataField name="Sum of SupportMale" fld="10" baseField="0" baseItem="0"/>
    <dataField name="Sum of VolFemale" fld="11" baseField="0" baseItem="0"/>
    <dataField name="Sum of VolMale" fld="12"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6.xml><?xml version="1.0" encoding="utf-8"?>
<pivotTableDefinition xmlns="http://schemas.openxmlformats.org/spreadsheetml/2006/main" xmlns:mc="http://schemas.openxmlformats.org/markup-compatibility/2006" xmlns:xr="http://schemas.microsoft.com/office/spreadsheetml/2014/revision" mc:Ignorable="xr" xr:uid="{00000000-0007-0000-5100-000000000000}" name="PivotTable7" cacheId="231" applyNumberFormats="0" applyBorderFormats="0" applyFontFormats="0" applyPatternFormats="0" applyAlignmentFormats="0" applyWidthHeightFormats="1" dataCaption="Values" updatedVersion="8" minRefreshableVersion="3" useAutoFormatting="1" itemPrintTitles="1" createdVersion="6" indent="0" outline="1" outlineData="1" multipleFieldFilters="0">
  <location ref="A3:D10" firstHeaderRow="0" firstDataRow="1" firstDataCol="1" rowPageCount="1" colPageCount="1"/>
  <pivotFields count="5">
    <pivotField axis="axisPage" subtotalTop="0" showAll="0">
      <items count="14">
        <item x="0"/>
        <item x="1"/>
        <item x="8"/>
        <item x="2"/>
        <item x="12"/>
        <item x="3"/>
        <item x="10"/>
        <item x="9"/>
        <item x="4"/>
        <item x="5"/>
        <item x="11"/>
        <item x="6"/>
        <item x="7"/>
        <item t="default"/>
      </items>
    </pivotField>
    <pivotField axis="axisRow" subtotalTop="0" showAll="0">
      <items count="7">
        <item x="4"/>
        <item x="2"/>
        <item x="5"/>
        <item x="3"/>
        <item x="0"/>
        <item x="1"/>
        <item t="default"/>
      </items>
    </pivotField>
    <pivotField dataField="1" subtotalTop="0" showAll="0"/>
    <pivotField dataField="1" subtotalTop="0" showAll="0"/>
    <pivotField dataField="1" subtotalTop="0" showAll="0"/>
  </pivotFields>
  <rowFields count="1">
    <field x="1"/>
  </rowFields>
  <rowItems count="7">
    <i>
      <x/>
    </i>
    <i>
      <x v="1"/>
    </i>
    <i>
      <x v="2"/>
    </i>
    <i>
      <x v="3"/>
    </i>
    <i>
      <x v="4"/>
    </i>
    <i>
      <x v="5"/>
    </i>
    <i t="grand">
      <x/>
    </i>
  </rowItems>
  <colFields count="1">
    <field x="-2"/>
  </colFields>
  <colItems count="3">
    <i>
      <x/>
    </i>
    <i i="1">
      <x v="1"/>
    </i>
    <i i="2">
      <x v="2"/>
    </i>
  </colItems>
  <pageFields count="1">
    <pageField fld="0" item="12" hier="-1"/>
  </pageFields>
  <dataFields count="3">
    <dataField name="Sum of Female" fld="3" baseField="0" baseItem="0"/>
    <dataField name="Sum of Male" fld="4" baseField="0" baseItem="0"/>
    <dataField name="Sum of Total" fld="2"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7.xml><?xml version="1.0" encoding="utf-8"?>
<pivotTableDefinition xmlns="http://schemas.openxmlformats.org/spreadsheetml/2006/main" xmlns:mc="http://schemas.openxmlformats.org/markup-compatibility/2006" xmlns:xr="http://schemas.microsoft.com/office/spreadsheetml/2014/revision" mc:Ignorable="xr" xr:uid="{00000000-0007-0000-5800-000000000000}" name="PivotTable1" cacheId="242" applyNumberFormats="0" applyBorderFormats="0" applyFontFormats="0" applyPatternFormats="0" applyAlignmentFormats="0" applyWidthHeightFormats="1" dataCaption="Values" updatedVersion="8" minRefreshableVersion="3" useAutoFormatting="1" itemPrintTitles="1" createdVersion="6" indent="0" outline="1" outlineData="1" multipleFieldFilters="0">
  <location ref="A3:D45" firstHeaderRow="0" firstDataRow="1" firstDataCol="1" rowPageCount="1" colPageCount="1"/>
  <pivotFields count="6">
    <pivotField axis="axisPage" subtotalTop="0" showAll="0">
      <items count="14">
        <item x="0"/>
        <item x="1"/>
        <item x="2"/>
        <item x="3"/>
        <item x="4"/>
        <item x="5"/>
        <item x="6"/>
        <item x="7"/>
        <item x="8"/>
        <item x="9"/>
        <item x="10"/>
        <item x="11"/>
        <item x="12"/>
        <item t="default"/>
      </items>
    </pivotField>
    <pivotField axis="axisRow" subtotalTop="0" showAll="0">
      <items count="7">
        <item x="3"/>
        <item x="4"/>
        <item x="5"/>
        <item x="0"/>
        <item x="1"/>
        <item x="2"/>
        <item t="default"/>
      </items>
    </pivotField>
    <pivotField axis="axisRow" subtotalTop="0" showAll="0" sortType="ascending">
      <items count="18">
        <item x="0"/>
        <item x="2"/>
        <item x="13"/>
        <item x="3"/>
        <item x="4"/>
        <item x="1"/>
        <item x="10"/>
        <item x="12"/>
        <item x="8"/>
        <item x="11"/>
        <item x="9"/>
        <item x="5"/>
        <item x="7"/>
        <item m="1" x="16"/>
        <item x="6"/>
        <item x="15"/>
        <item x="14"/>
        <item t="default"/>
      </items>
      <autoSortScope>
        <pivotArea dataOnly="0" outline="0" fieldPosition="0">
          <references count="1">
            <reference field="4294967294" count="1" selected="0">
              <x v="0"/>
            </reference>
          </references>
        </pivotArea>
      </autoSortScope>
    </pivotField>
    <pivotField dataField="1" subtotalTop="0" showAll="0"/>
    <pivotField dataField="1" subtotalTop="0" showAll="0"/>
    <pivotField dataField="1" subtotalTop="0" showAll="0"/>
  </pivotFields>
  <rowFields count="2">
    <field x="1"/>
    <field x="2"/>
  </rowFields>
  <rowItems count="42">
    <i>
      <x/>
    </i>
    <i r="1">
      <x v="16"/>
    </i>
    <i r="1">
      <x v="6"/>
    </i>
    <i r="1">
      <x v="10"/>
    </i>
    <i r="1">
      <x v="14"/>
    </i>
    <i r="1">
      <x v="3"/>
    </i>
    <i r="1">
      <x v="5"/>
    </i>
    <i t="default">
      <x/>
    </i>
    <i>
      <x v="1"/>
    </i>
    <i r="1">
      <x v="14"/>
    </i>
    <i r="1">
      <x v="3"/>
    </i>
    <i r="1">
      <x v="5"/>
    </i>
    <i t="default">
      <x v="1"/>
    </i>
    <i>
      <x v="2"/>
    </i>
    <i r="1">
      <x v="3"/>
    </i>
    <i r="1">
      <x v="14"/>
    </i>
    <i t="default">
      <x v="2"/>
    </i>
    <i>
      <x v="3"/>
    </i>
    <i r="1">
      <x v="4"/>
    </i>
    <i r="1">
      <x v="12"/>
    </i>
    <i r="1">
      <x v="11"/>
    </i>
    <i r="1">
      <x v="8"/>
    </i>
    <i r="1">
      <x v="7"/>
    </i>
    <i r="1">
      <x/>
    </i>
    <i r="1">
      <x v="9"/>
    </i>
    <i t="default">
      <x v="3"/>
    </i>
    <i>
      <x v="4"/>
    </i>
    <i r="1">
      <x v="14"/>
    </i>
    <i r="1">
      <x v="3"/>
    </i>
    <i r="1">
      <x v="5"/>
    </i>
    <i t="default">
      <x v="4"/>
    </i>
    <i>
      <x v="5"/>
    </i>
    <i r="1">
      <x v="16"/>
    </i>
    <i r="1">
      <x v="2"/>
    </i>
    <i r="1">
      <x v="1"/>
    </i>
    <i r="1">
      <x v="10"/>
    </i>
    <i r="1">
      <x v="6"/>
    </i>
    <i r="1">
      <x v="3"/>
    </i>
    <i r="1">
      <x v="14"/>
    </i>
    <i r="1">
      <x v="5"/>
    </i>
    <i t="default">
      <x v="5"/>
    </i>
    <i t="grand">
      <x/>
    </i>
  </rowItems>
  <colFields count="1">
    <field x="-2"/>
  </colFields>
  <colItems count="3">
    <i>
      <x/>
    </i>
    <i i="1">
      <x v="1"/>
    </i>
    <i i="2">
      <x v="2"/>
    </i>
  </colItems>
  <pageFields count="1">
    <pageField fld="0" item="12" hier="-1"/>
  </pageFields>
  <dataFields count="3">
    <dataField name="Sum of Female" fld="4" baseField="0" baseItem="0"/>
    <dataField name="Sum of Male" fld="5" baseField="0" baseItem="0"/>
    <dataField name="Sum of Total" fld="3"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8.xml><?xml version="1.0" encoding="utf-8"?>
<pivotTableDefinition xmlns="http://schemas.openxmlformats.org/spreadsheetml/2006/main" xmlns:mc="http://schemas.openxmlformats.org/markup-compatibility/2006" xmlns:xr="http://schemas.microsoft.com/office/spreadsheetml/2014/revision" mc:Ignorable="xr" xr:uid="{00000000-0007-0000-5B00-000000000000}" name="PivotTable8" cacheId="243" applyNumberFormats="0" applyBorderFormats="0" applyFontFormats="0" applyPatternFormats="0" applyAlignmentFormats="0" applyWidthHeightFormats="1" dataCaption="Values" updatedVersion="8" minRefreshableVersion="3" useAutoFormatting="1" itemPrintTitles="1" createdVersion="6" indent="0" outline="1" outlineData="1" multipleFieldFilters="0">
  <location ref="A3:D40" firstHeaderRow="0" firstDataRow="1" firstDataCol="1" rowPageCount="1" colPageCount="1"/>
  <pivotFields count="6">
    <pivotField axis="axisPage" subtotalTop="0" showAll="0">
      <items count="14">
        <item x="0"/>
        <item x="1"/>
        <item x="2"/>
        <item x="4"/>
        <item x="5"/>
        <item x="6"/>
        <item x="7"/>
        <item x="3"/>
        <item x="8"/>
        <item x="9"/>
        <item x="10"/>
        <item x="11"/>
        <item x="12"/>
        <item t="default"/>
      </items>
    </pivotField>
    <pivotField axis="axisRow" subtotalTop="0" showAll="0">
      <items count="6">
        <item x="0"/>
        <item x="1"/>
        <item x="4"/>
        <item x="3"/>
        <item x="2"/>
        <item t="default"/>
      </items>
    </pivotField>
    <pivotField axis="axisRow" subtotalTop="0" showAll="0">
      <items count="17">
        <item x="13"/>
        <item x="12"/>
        <item x="9"/>
        <item x="1"/>
        <item x="4"/>
        <item x="0"/>
        <item x="2"/>
        <item x="10"/>
        <item x="6"/>
        <item x="7"/>
        <item x="5"/>
        <item x="14"/>
        <item x="8"/>
        <item x="3"/>
        <item x="11"/>
        <item x="15"/>
        <item t="default"/>
      </items>
    </pivotField>
    <pivotField dataField="1" subtotalTop="0" showAll="0"/>
    <pivotField dataField="1" subtotalTop="0" showAll="0"/>
    <pivotField dataField="1" subtotalTop="0" showAll="0"/>
  </pivotFields>
  <rowFields count="2">
    <field x="1"/>
    <field x="2"/>
  </rowFields>
  <rowItems count="37">
    <i>
      <x/>
    </i>
    <i r="1">
      <x v="3"/>
    </i>
    <i r="1">
      <x v="5"/>
    </i>
    <i r="1">
      <x v="6"/>
    </i>
    <i r="1">
      <x v="10"/>
    </i>
    <i r="1">
      <x v="13"/>
    </i>
    <i r="1">
      <x v="15"/>
    </i>
    <i t="default">
      <x/>
    </i>
    <i>
      <x v="1"/>
    </i>
    <i r="1">
      <x v="3"/>
    </i>
    <i r="1">
      <x v="5"/>
    </i>
    <i r="1">
      <x v="13"/>
    </i>
    <i t="default">
      <x v="1"/>
    </i>
    <i>
      <x v="2"/>
    </i>
    <i r="1">
      <x v="3"/>
    </i>
    <i r="1">
      <x v="13"/>
    </i>
    <i t="default">
      <x v="2"/>
    </i>
    <i>
      <x v="3"/>
    </i>
    <i r="1">
      <x/>
    </i>
    <i r="1">
      <x v="4"/>
    </i>
    <i r="1">
      <x v="7"/>
    </i>
    <i r="1">
      <x v="8"/>
    </i>
    <i r="1">
      <x v="9"/>
    </i>
    <i r="1">
      <x v="11"/>
    </i>
    <i r="1">
      <x v="12"/>
    </i>
    <i t="default">
      <x v="3"/>
    </i>
    <i>
      <x v="4"/>
    </i>
    <i r="1">
      <x v="1"/>
    </i>
    <i r="1">
      <x v="2"/>
    </i>
    <i r="1">
      <x v="3"/>
    </i>
    <i r="1">
      <x v="5"/>
    </i>
    <i r="1">
      <x v="6"/>
    </i>
    <i r="1">
      <x v="10"/>
    </i>
    <i r="1">
      <x v="13"/>
    </i>
    <i r="1">
      <x v="15"/>
    </i>
    <i t="default">
      <x v="4"/>
    </i>
    <i t="grand">
      <x/>
    </i>
  </rowItems>
  <colFields count="1">
    <field x="-2"/>
  </colFields>
  <colItems count="3">
    <i>
      <x/>
    </i>
    <i i="1">
      <x v="1"/>
    </i>
    <i i="2">
      <x v="2"/>
    </i>
  </colItems>
  <pageFields count="1">
    <pageField fld="0" item="12" hier="-1"/>
  </pageFields>
  <dataFields count="3">
    <dataField name="Sum of Female" fld="4" baseField="1" baseItem="0"/>
    <dataField name="Sum of Male" fld="5" baseField="1" baseItem="0"/>
    <dataField name="Sum of Total" fld="3"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29.xml><?xml version="1.0" encoding="utf-8"?>
<pivotTableDefinition xmlns="http://schemas.openxmlformats.org/spreadsheetml/2006/main" xmlns:mc="http://schemas.openxmlformats.org/markup-compatibility/2006" xmlns:xr="http://schemas.microsoft.com/office/spreadsheetml/2014/revision" mc:Ignorable="xr" xr:uid="{00000000-0007-0000-5F00-000000000000}" name="PivotTable3" cacheId="238" applyNumberFormats="0" applyBorderFormats="0" applyFontFormats="0" applyPatternFormats="0" applyAlignmentFormats="0" applyWidthHeightFormats="1" dataCaption="Values" updatedVersion="8" minRefreshableVersion="3" useAutoFormatting="1" itemPrintTitles="1" createdVersion="6" indent="0" outline="1" outlineData="1" multipleFieldFilters="0">
  <location ref="A3:G17" firstHeaderRow="0" firstDataRow="1" firstDataCol="1" rowPageCount="1" colPageCount="1"/>
  <pivotFields count="8">
    <pivotField axis="axisPage" subtotalTop="0" showAll="0">
      <items count="14">
        <item x="0"/>
        <item x="1"/>
        <item x="2"/>
        <item x="3"/>
        <item x="4"/>
        <item x="10"/>
        <item x="5"/>
        <item x="6"/>
        <item x="7"/>
        <item x="8"/>
        <item x="11"/>
        <item x="9"/>
        <item x="12"/>
        <item t="default"/>
      </items>
    </pivotField>
    <pivotField axis="axisRow" showAll="0">
      <items count="19">
        <item x="8"/>
        <item x="14"/>
        <item x="4"/>
        <item x="11"/>
        <item x="17"/>
        <item x="2"/>
        <item x="1"/>
        <item x="6"/>
        <item x="5"/>
        <item x="3"/>
        <item x="15"/>
        <item x="7"/>
        <item x="9"/>
        <item x="0"/>
        <item x="12"/>
        <item x="16"/>
        <item x="13"/>
        <item x="10"/>
        <item t="default"/>
      </items>
    </pivotField>
    <pivotField dataField="1" subtotalTop="0" showAll="0"/>
    <pivotField dataField="1" subtotalTop="0" showAll="0"/>
    <pivotField dataField="1" subtotalTop="0" showAll="0"/>
    <pivotField dataField="1" subtotalTop="0" showAll="0"/>
    <pivotField dataField="1" subtotalTop="0" showAll="0"/>
    <pivotField dataField="1" subtotalTop="0" showAll="0"/>
  </pivotFields>
  <rowFields count="1">
    <field x="1"/>
  </rowFields>
  <rowItems count="14">
    <i>
      <x/>
    </i>
    <i>
      <x v="2"/>
    </i>
    <i>
      <x v="3"/>
    </i>
    <i>
      <x v="5"/>
    </i>
    <i>
      <x v="6"/>
    </i>
    <i>
      <x v="7"/>
    </i>
    <i>
      <x v="8"/>
    </i>
    <i>
      <x v="9"/>
    </i>
    <i>
      <x v="11"/>
    </i>
    <i>
      <x v="12"/>
    </i>
    <i>
      <x v="14"/>
    </i>
    <i>
      <x v="16"/>
    </i>
    <i>
      <x v="17"/>
    </i>
    <i t="grand">
      <x/>
    </i>
  </rowItems>
  <colFields count="1">
    <field x="-2"/>
  </colFields>
  <colItems count="6">
    <i>
      <x/>
    </i>
    <i i="1">
      <x v="1"/>
    </i>
    <i i="2">
      <x v="2"/>
    </i>
    <i i="3">
      <x v="3"/>
    </i>
    <i i="4">
      <x v="4"/>
    </i>
    <i i="5">
      <x v="5"/>
    </i>
  </colItems>
  <pageFields count="1">
    <pageField fld="0" item="12" hier="-1"/>
  </pageFields>
  <dataFields count="6">
    <dataField name="Sum of Wholetime Operational" fld="2" baseField="7" baseItem="0"/>
    <dataField name="Sum of Retained Duty System" fld="3" baseField="7" baseItem="0"/>
    <dataField name="Sum of Retained Full-time" fld="4" baseField="7" baseItem="0"/>
    <dataField name="Sum of Control" fld="5" baseField="7" baseItem="0"/>
    <dataField name="Sum of Support Staff" fld="6" baseField="7" baseItem="0"/>
    <dataField name="Sum of Volunteer" fld="7" baseField="7"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30.xml><?xml version="1.0" encoding="utf-8"?>
<pivotTableDefinition xmlns="http://schemas.openxmlformats.org/spreadsheetml/2006/main" xmlns:mc="http://schemas.openxmlformats.org/markup-compatibility/2006" xmlns:xr="http://schemas.microsoft.com/office/spreadsheetml/2014/revision" mc:Ignorable="xr" xr:uid="{00000000-0007-0000-6300-000000000000}" name="PivotTable1" cacheId="232" applyNumberFormats="0" applyBorderFormats="0" applyFontFormats="0" applyPatternFormats="0" applyAlignmentFormats="0" applyWidthHeightFormats="1" dataCaption="Values" updatedVersion="8" minRefreshableVersion="3" useAutoFormatting="1" itemPrintTitles="1" createdVersion="6" indent="0" outline="1" outlineData="1" multipleFieldFilters="0">
  <location ref="A3:F13" firstHeaderRow="0" firstDataRow="1" firstDataCol="1" rowPageCount="1" colPageCount="1"/>
  <pivotFields count="7">
    <pivotField axis="axisPage" subtotalTop="0" showAll="0">
      <items count="10">
        <item x="4"/>
        <item x="5"/>
        <item x="0"/>
        <item x="1"/>
        <item x="8"/>
        <item x="6"/>
        <item x="2"/>
        <item x="7"/>
        <item x="3"/>
        <item t="default"/>
      </items>
    </pivotField>
    <pivotField axis="axisRow" subtotalTop="0" showAll="0">
      <items count="12">
        <item x="0"/>
        <item x="8"/>
        <item x="6"/>
        <item x="7"/>
        <item x="3"/>
        <item x="5"/>
        <item x="1"/>
        <item x="2"/>
        <item x="4"/>
        <item m="1" x="9"/>
        <item m="1" x="10"/>
        <item t="default"/>
      </items>
    </pivotField>
    <pivotField dataField="1" subtotalTop="0" showAll="0"/>
    <pivotField dataField="1" subtotalTop="0" showAll="0"/>
    <pivotField dataField="1" subtotalTop="0" showAll="0"/>
    <pivotField dataField="1" subtotalTop="0" showAll="0"/>
    <pivotField dataField="1" subtotalTop="0" showAll="0"/>
  </pivotFields>
  <rowFields count="1">
    <field x="1"/>
  </rowFields>
  <rowItems count="10">
    <i>
      <x/>
    </i>
    <i>
      <x v="1"/>
    </i>
    <i>
      <x v="2"/>
    </i>
    <i>
      <x v="3"/>
    </i>
    <i>
      <x v="4"/>
    </i>
    <i>
      <x v="5"/>
    </i>
    <i>
      <x v="6"/>
    </i>
    <i>
      <x v="7"/>
    </i>
    <i>
      <x v="8"/>
    </i>
    <i t="grand">
      <x/>
    </i>
  </rowItems>
  <colFields count="1">
    <field x="-2"/>
  </colFields>
  <colItems count="5">
    <i>
      <x/>
    </i>
    <i i="1">
      <x v="1"/>
    </i>
    <i i="2">
      <x v="2"/>
    </i>
    <i i="3">
      <x v="3"/>
    </i>
    <i i="4">
      <x v="4"/>
    </i>
  </colItems>
  <pageFields count="1">
    <pageField fld="0" item="8" hier="-1"/>
  </pageFields>
  <dataFields count="5">
    <dataField name="Sum of Wholetime Operational" fld="2" baseField="0" baseItem="0"/>
    <dataField name="Sum of Retained Duty System" fld="3" baseField="0" baseItem="0"/>
    <dataField name="Sum of Retained Full-time" fld="4" baseField="1" baseItem="6"/>
    <dataField name="Sum of Control" fld="5" baseField="0" baseItem="0"/>
    <dataField name="Sum of Volunteer" fld="6"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31.xml><?xml version="1.0" encoding="utf-8"?>
<pivotTableDefinition xmlns="http://schemas.openxmlformats.org/spreadsheetml/2006/main" xmlns:mc="http://schemas.openxmlformats.org/markup-compatibility/2006" xmlns:xr="http://schemas.microsoft.com/office/spreadsheetml/2014/revision" mc:Ignorable="xr" xr:uid="{539C9363-E354-40BD-AF1C-730C20592217}" name="PivotTable9" cacheId="264" applyNumberFormats="0" applyBorderFormats="0" applyFontFormats="0" applyPatternFormats="0" applyAlignmentFormats="0" applyWidthHeightFormats="1" dataCaption="Values" updatedVersion="8" minRefreshableVersion="3" useAutoFormatting="1" itemPrintTitles="1" createdVersion="6" indent="0" outline="1" outlineData="1" multipleFieldFilters="0">
  <location ref="A3:AE22" firstHeaderRow="1" firstDataRow="3" firstDataCol="1"/>
  <pivotFields count="5">
    <pivotField axis="axisRow" showAll="0">
      <items count="17">
        <item x="0"/>
        <item x="1"/>
        <item x="2"/>
        <item x="3"/>
        <item x="4"/>
        <item x="5"/>
        <item x="6"/>
        <item x="7"/>
        <item x="8"/>
        <item x="9"/>
        <item x="10"/>
        <item x="11"/>
        <item x="12"/>
        <item x="13"/>
        <item x="14"/>
        <item x="15"/>
        <item t="default"/>
      </items>
    </pivotField>
    <pivotField axis="axisCol" showAll="0">
      <items count="10">
        <item x="0"/>
        <item x="1"/>
        <item x="7"/>
        <item x="2"/>
        <item x="3"/>
        <item x="4"/>
        <item x="5"/>
        <item x="6"/>
        <item x="8"/>
        <item t="default"/>
      </items>
    </pivotField>
    <pivotField dataField="1" showAll="0"/>
    <pivotField dataField="1" showAll="0"/>
    <pivotField dataField="1" showAll="0"/>
  </pivotFields>
  <rowFields count="1">
    <field x="0"/>
  </rowFields>
  <rowItems count="17">
    <i>
      <x/>
    </i>
    <i>
      <x v="1"/>
    </i>
    <i>
      <x v="2"/>
    </i>
    <i>
      <x v="3"/>
    </i>
    <i>
      <x v="4"/>
    </i>
    <i>
      <x v="5"/>
    </i>
    <i>
      <x v="6"/>
    </i>
    <i>
      <x v="7"/>
    </i>
    <i>
      <x v="8"/>
    </i>
    <i>
      <x v="9"/>
    </i>
    <i>
      <x v="10"/>
    </i>
    <i>
      <x v="11"/>
    </i>
    <i>
      <x v="12"/>
    </i>
    <i>
      <x v="13"/>
    </i>
    <i>
      <x v="14"/>
    </i>
    <i>
      <x v="15"/>
    </i>
    <i t="grand">
      <x/>
    </i>
  </rowItems>
  <colFields count="2">
    <field x="1"/>
    <field x="-2"/>
  </colFields>
  <colItems count="30">
    <i>
      <x/>
      <x/>
    </i>
    <i r="1" i="1">
      <x v="1"/>
    </i>
    <i r="1" i="2">
      <x v="2"/>
    </i>
    <i>
      <x v="1"/>
      <x/>
    </i>
    <i r="1" i="1">
      <x v="1"/>
    </i>
    <i r="1" i="2">
      <x v="2"/>
    </i>
    <i>
      <x v="2"/>
      <x/>
    </i>
    <i r="1" i="1">
      <x v="1"/>
    </i>
    <i r="1" i="2">
      <x v="2"/>
    </i>
    <i>
      <x v="3"/>
      <x/>
    </i>
    <i r="1" i="1">
      <x v="1"/>
    </i>
    <i r="1" i="2">
      <x v="2"/>
    </i>
    <i>
      <x v="4"/>
      <x/>
    </i>
    <i r="1" i="1">
      <x v="1"/>
    </i>
    <i r="1" i="2">
      <x v="2"/>
    </i>
    <i>
      <x v="5"/>
      <x/>
    </i>
    <i r="1" i="1">
      <x v="1"/>
    </i>
    <i r="1" i="2">
      <x v="2"/>
    </i>
    <i>
      <x v="6"/>
      <x/>
    </i>
    <i r="1" i="1">
      <x v="1"/>
    </i>
    <i r="1" i="2">
      <x v="2"/>
    </i>
    <i>
      <x v="7"/>
      <x/>
    </i>
    <i r="1" i="1">
      <x v="1"/>
    </i>
    <i r="1" i="2">
      <x v="2"/>
    </i>
    <i>
      <x v="8"/>
      <x/>
    </i>
    <i r="1" i="1">
      <x v="1"/>
    </i>
    <i r="1" i="2">
      <x v="2"/>
    </i>
    <i t="grand">
      <x/>
    </i>
    <i t="grand" i="1">
      <x/>
    </i>
    <i t="grand" i="2">
      <x/>
    </i>
  </colItems>
  <dataFields count="3">
    <dataField name="Sum of White" fld="2" baseField="0" baseItem="0"/>
    <dataField name="Sum of Ethnic Minority" fld="3" baseField="0" baseItem="0"/>
    <dataField name="Sum of Not Stated" fld="4"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32.xml><?xml version="1.0" encoding="utf-8"?>
<pivotTableDefinition xmlns="http://schemas.openxmlformats.org/spreadsheetml/2006/main" xmlns:mc="http://schemas.openxmlformats.org/markup-compatibility/2006" xmlns:xr="http://schemas.microsoft.com/office/spreadsheetml/2014/revision" mc:Ignorable="xr" xr:uid="{64C9A151-4C59-442A-9F0A-614497B77E41}" name="PivotTable1" cacheId="240"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A1:I17" firstHeaderRow="0" firstDataRow="1" firstDataCol="1"/>
  <pivotFields count="9">
    <pivotField axis="axisRow" showAll="0">
      <items count="18">
        <item x="0"/>
        <item x="1"/>
        <item x="2"/>
        <item x="3"/>
        <item x="4"/>
        <item x="5"/>
        <item x="6"/>
        <item x="7"/>
        <item x="8"/>
        <item x="9"/>
        <item x="10"/>
        <item x="11"/>
        <item x="12"/>
        <item x="13"/>
        <item h="1" f="1" x="16"/>
        <item h="1" f="1" x="15"/>
        <item x="14"/>
        <item t="default"/>
      </items>
    </pivotField>
    <pivotField dataField="1" showAll="0"/>
    <pivotField dataField="1" showAll="0"/>
    <pivotField dataField="1" showAll="0"/>
    <pivotField dataField="1" showAll="0"/>
    <pivotField dataField="1" showAll="0"/>
    <pivotField dataField="1" showAll="0"/>
    <pivotField dataField="1" showAll="0"/>
    <pivotField dataField="1" showAll="0"/>
  </pivotFields>
  <rowFields count="1">
    <field x="0"/>
  </rowFields>
  <rowItems count="16">
    <i>
      <x/>
    </i>
    <i>
      <x v="1"/>
    </i>
    <i>
      <x v="2"/>
    </i>
    <i>
      <x v="3"/>
    </i>
    <i>
      <x v="4"/>
    </i>
    <i>
      <x v="5"/>
    </i>
    <i>
      <x v="6"/>
    </i>
    <i>
      <x v="7"/>
    </i>
    <i>
      <x v="8"/>
    </i>
    <i>
      <x v="9"/>
    </i>
    <i>
      <x v="10"/>
    </i>
    <i>
      <x v="11"/>
    </i>
    <i>
      <x v="12"/>
    </i>
    <i>
      <x v="13"/>
    </i>
    <i>
      <x v="16"/>
    </i>
    <i t="grand">
      <x/>
    </i>
  </rowItems>
  <colFields count="1">
    <field x="-2"/>
  </colFields>
  <colItems count="8">
    <i>
      <x/>
    </i>
    <i i="1">
      <x v="1"/>
    </i>
    <i i="2">
      <x v="2"/>
    </i>
    <i i="3">
      <x v="3"/>
    </i>
    <i i="4">
      <x v="4"/>
    </i>
    <i i="5">
      <x v="5"/>
    </i>
    <i i="6">
      <x v="6"/>
    </i>
    <i i="7">
      <x v="7"/>
    </i>
  </colItems>
  <dataFields count="8">
    <dataField name="Sum of Wholetime Operational" fld="1" baseField="0" baseItem="0"/>
    <dataField name="Sum of Retained Duty System" fld="2" baseField="0" baseItem="0"/>
    <dataField name="Sum of Retained Fulltime" fld="3" baseField="0" baseItem="0"/>
    <dataField name="Sum of Control" fld="4" baseField="0" baseItem="0"/>
    <dataField name="Sum of Support" fld="5" baseField="0" baseItem="0"/>
    <dataField name="Sum of Volunteer" fld="6" baseField="0" baseItem="0"/>
    <dataField name="Sum of Total" fld="7" baseField="0" baseItem="0"/>
    <dataField name="Sum of Total (excluding volunters)" fld="8"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33.xml><?xml version="1.0" encoding="utf-8"?>
<pivotTableDefinition xmlns="http://schemas.openxmlformats.org/spreadsheetml/2006/main" xmlns:mc="http://schemas.openxmlformats.org/markup-compatibility/2006" xmlns:xr="http://schemas.microsoft.com/office/spreadsheetml/2014/revision" mc:Ignorable="xr" xr:uid="{A73E3440-D7D4-4BA7-AF68-F98A6256E087}" name="PivotTable2" cacheId="241"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A27:I40" firstHeaderRow="0" firstDataRow="1" firstDataCol="1"/>
  <pivotFields count="9">
    <pivotField axis="axisRow" showAll="0">
      <items count="13">
        <item x="0"/>
        <item x="1"/>
        <item x="2"/>
        <item x="3"/>
        <item x="4"/>
        <item x="5"/>
        <item x="6"/>
        <item x="7"/>
        <item x="8"/>
        <item x="9"/>
        <item x="10"/>
        <item x="11"/>
        <item t="default"/>
      </items>
    </pivotField>
    <pivotField dataField="1" showAll="0"/>
    <pivotField dataField="1" showAll="0"/>
    <pivotField dataField="1" showAll="0"/>
    <pivotField dataField="1" showAll="0"/>
    <pivotField dataField="1" showAll="0"/>
    <pivotField dataField="1" showAll="0"/>
    <pivotField dataField="1" showAll="0"/>
    <pivotField dataField="1" showAll="0"/>
  </pivotFields>
  <rowFields count="1">
    <field x="0"/>
  </rowFields>
  <rowItems count="13">
    <i>
      <x/>
    </i>
    <i>
      <x v="1"/>
    </i>
    <i>
      <x v="2"/>
    </i>
    <i>
      <x v="3"/>
    </i>
    <i>
      <x v="4"/>
    </i>
    <i>
      <x v="5"/>
    </i>
    <i>
      <x v="6"/>
    </i>
    <i>
      <x v="7"/>
    </i>
    <i>
      <x v="8"/>
    </i>
    <i>
      <x v="9"/>
    </i>
    <i>
      <x v="10"/>
    </i>
    <i>
      <x v="11"/>
    </i>
    <i t="grand">
      <x/>
    </i>
  </rowItems>
  <colFields count="1">
    <field x="-2"/>
  </colFields>
  <colItems count="8">
    <i>
      <x/>
    </i>
    <i i="1">
      <x v="1"/>
    </i>
    <i i="2">
      <x v="2"/>
    </i>
    <i i="3">
      <x v="3"/>
    </i>
    <i i="4">
      <x v="4"/>
    </i>
    <i i="5">
      <x v="5"/>
    </i>
    <i i="6">
      <x v="6"/>
    </i>
    <i i="7">
      <x v="7"/>
    </i>
  </colItems>
  <dataFields count="8">
    <dataField name="Sum of Wholetime Operational" fld="1" baseField="0" baseItem="0"/>
    <dataField name="Sum of Retained Duty System" fld="2" baseField="0" baseItem="0"/>
    <dataField name="Sum of Retained Fulltime" fld="3" baseField="0" baseItem="0"/>
    <dataField name="Sum of Control" fld="4" baseField="0" baseItem="0"/>
    <dataField name="Sum of Support" fld="5" baseField="0" baseItem="0"/>
    <dataField name="Sum of Volunteer" fld="6" baseField="0" baseItem="0"/>
    <dataField name="Sum of Total" fld="7" baseField="0" baseItem="0"/>
    <dataField name="Sum of Total (excluding volunters)" fld="8"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34.xml><?xml version="1.0" encoding="utf-8"?>
<pivotTableDefinition xmlns="http://schemas.openxmlformats.org/spreadsheetml/2006/main" xmlns:mc="http://schemas.openxmlformats.org/markup-compatibility/2006" xmlns:xr="http://schemas.microsoft.com/office/spreadsheetml/2014/revision" mc:Ignorable="xr" xr:uid="{E8597E93-3B6D-42EE-ABB1-40E0E1F6AE78}" name="PivotTable2" cacheId="233" applyNumberFormats="0" applyBorderFormats="0" applyFontFormats="0" applyPatternFormats="0" applyAlignmentFormats="0" applyWidthHeightFormats="1" dataCaption="Values" updatedVersion="8" minRefreshableVersion="3" useAutoFormatting="1" itemPrintTitles="1" createdVersion="6" indent="0" outline="1" outlineData="1" multipleFieldFilters="0">
  <location ref="A3:G10" firstHeaderRow="0" firstDataRow="1" firstDataCol="1" rowPageCount="1" colPageCount="1"/>
  <pivotFields count="9">
    <pivotField axis="axisPage" subtotalTop="0" showAll="0">
      <items count="9">
        <item x="0"/>
        <item x="1"/>
        <item x="2"/>
        <item x="3"/>
        <item x="4"/>
        <item x="5"/>
        <item x="6"/>
        <item x="7"/>
        <item t="default"/>
      </items>
    </pivotField>
    <pivotField axis="axisRow" subtotalTop="0" showAll="0">
      <items count="13">
        <item x="0"/>
        <item x="1"/>
        <item x="2"/>
        <item x="3"/>
        <item x="4"/>
        <item x="5"/>
        <item x="6"/>
        <item x="7"/>
        <item x="8"/>
        <item x="9"/>
        <item x="10"/>
        <item x="11"/>
        <item t="default"/>
      </items>
    </pivotField>
    <pivotField dataField="1" subtotalTop="0" showAll="0"/>
    <pivotField dataField="1" subtotalTop="0" showAll="0"/>
    <pivotField dataField="1" showAll="0"/>
    <pivotField dataField="1" subtotalTop="0" showAll="0"/>
    <pivotField dataField="1" subtotalTop="0" showAll="0"/>
    <pivotField dataField="1" subtotalTop="0" showAll="0"/>
    <pivotField subtotalTop="0" showAll="0"/>
  </pivotFields>
  <rowFields count="1">
    <field x="1"/>
  </rowFields>
  <rowItems count="7">
    <i>
      <x/>
    </i>
    <i>
      <x v="1"/>
    </i>
    <i>
      <x v="2"/>
    </i>
    <i>
      <x v="3"/>
    </i>
    <i>
      <x v="5"/>
    </i>
    <i>
      <x v="7"/>
    </i>
    <i t="grand">
      <x/>
    </i>
  </rowItems>
  <colFields count="1">
    <field x="-2"/>
  </colFields>
  <colItems count="6">
    <i>
      <x/>
    </i>
    <i i="1">
      <x v="1"/>
    </i>
    <i i="2">
      <x v="2"/>
    </i>
    <i i="3">
      <x v="3"/>
    </i>
    <i i="4">
      <x v="4"/>
    </i>
    <i i="5">
      <x v="5"/>
    </i>
  </colItems>
  <pageFields count="1">
    <pageField fld="0" item="7" hier="-1"/>
  </pageFields>
  <dataFields count="6">
    <dataField name="Sum of Wholetime Operational" fld="2" baseField="0" baseItem="0"/>
    <dataField name="Sum of Retained Duty System" fld="3" baseField="0" baseItem="0"/>
    <dataField name="Sum of Retained Full-time" fld="4" baseField="0" baseItem="0"/>
    <dataField name="Sum of Control" fld="5" baseField="0" baseItem="0"/>
    <dataField name="Sum of Support" fld="6" baseField="0" baseItem="0"/>
    <dataField name="Sum of Volunteers" fld="7"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35.xml><?xml version="1.0" encoding="utf-8"?>
<pivotTableDefinition xmlns="http://schemas.openxmlformats.org/spreadsheetml/2006/main" xmlns:mc="http://schemas.openxmlformats.org/markup-compatibility/2006" xmlns:xr="http://schemas.microsoft.com/office/spreadsheetml/2014/revision" mc:Ignorable="xr" xr:uid="{00000000-0007-0000-6D00-000003000000}" name="PivotTable9" cacheId="235" applyNumberFormats="0" applyBorderFormats="0" applyFontFormats="0" applyPatternFormats="0" applyAlignmentFormats="0" applyWidthHeightFormats="1" dataCaption="Values" updatedVersion="8" minRefreshableVersion="3" useAutoFormatting="1" itemPrintTitles="1" createdVersion="6" indent="0" outline="1" outlineData="1" multipleFieldFilters="0">
  <location ref="A17:G29" firstHeaderRow="0" firstDataRow="1" firstDataCol="1" rowPageCount="1" colPageCount="1"/>
  <pivotFields count="8">
    <pivotField axis="axisPage" subtotalTop="0" showAll="0">
      <items count="9">
        <item x="0"/>
        <item x="1"/>
        <item x="2"/>
        <item x="3"/>
        <item x="4"/>
        <item x="5"/>
        <item x="6"/>
        <item x="7"/>
        <item t="default"/>
      </items>
    </pivotField>
    <pivotField axis="axisRow" subtotalTop="0" showAll="0">
      <items count="13">
        <item x="0"/>
        <item x="1"/>
        <item x="2"/>
        <item x="3"/>
        <item x="4"/>
        <item x="5"/>
        <item x="6"/>
        <item x="7"/>
        <item x="8"/>
        <item x="9"/>
        <item x="10"/>
        <item x="11"/>
        <item t="default"/>
      </items>
    </pivotField>
    <pivotField dataField="1" subtotalTop="0" showAll="0"/>
    <pivotField dataField="1" subtotalTop="0" showAll="0"/>
    <pivotField dataField="1" subtotalTop="0" showAll="0"/>
    <pivotField dataField="1" subtotalTop="0" showAll="0"/>
    <pivotField dataField="1" subtotalTop="0" showAll="0"/>
    <pivotField dataField="1" subtotalTop="0" showAll="0"/>
  </pivotFields>
  <rowFields count="1">
    <field x="1"/>
  </rowFields>
  <rowItems count="12">
    <i>
      <x/>
    </i>
    <i>
      <x v="1"/>
    </i>
    <i>
      <x v="2"/>
    </i>
    <i>
      <x v="3"/>
    </i>
    <i>
      <x v="4"/>
    </i>
    <i>
      <x v="5"/>
    </i>
    <i>
      <x v="6"/>
    </i>
    <i>
      <x v="7"/>
    </i>
    <i>
      <x v="8"/>
    </i>
    <i>
      <x v="10"/>
    </i>
    <i>
      <x v="11"/>
    </i>
    <i t="grand">
      <x/>
    </i>
  </rowItems>
  <colFields count="1">
    <field x="-2"/>
  </colFields>
  <colItems count="6">
    <i>
      <x/>
    </i>
    <i i="1">
      <x v="1"/>
    </i>
    <i i="2">
      <x v="2"/>
    </i>
    <i i="3">
      <x v="3"/>
    </i>
    <i i="4">
      <x v="4"/>
    </i>
    <i i="5">
      <x v="5"/>
    </i>
  </colItems>
  <pageFields count="1">
    <pageField fld="0" item="7" hier="-1"/>
  </pageFields>
  <dataFields count="6">
    <dataField name="Sum of Wholetime Operational" fld="2" baseField="0" baseItem="0"/>
    <dataField name="Sum of Retained Duty System" fld="3" baseField="0" baseItem="0"/>
    <dataField name="Sum of Control" fld="4" baseField="0" baseItem="0"/>
    <dataField name="Sum of Support" fld="5" baseField="0" baseItem="0"/>
    <dataField name="Sum of Volunteers" fld="6" baseField="0" baseItem="0"/>
    <dataField name="Sum of Total" fld="7"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36.xml><?xml version="1.0" encoding="utf-8"?>
<pivotTableDefinition xmlns="http://schemas.openxmlformats.org/spreadsheetml/2006/main" xmlns:mc="http://schemas.openxmlformats.org/markup-compatibility/2006" xmlns:xr="http://schemas.microsoft.com/office/spreadsheetml/2014/revision" mc:Ignorable="xr" xr:uid="{00000000-0007-0000-6D00-000002000000}" name="PivotTable7" cacheId="234" applyNumberFormats="0" applyBorderFormats="0" applyFontFormats="0" applyPatternFormats="0" applyAlignmentFormats="0" applyWidthHeightFormats="1" dataCaption="Values" updatedVersion="8" minRefreshableVersion="3" useAutoFormatting="1" itemPrintTitles="1" createdVersion="6" indent="0" outline="1" outlineData="1" multipleFieldFilters="0">
  <location ref="A3:G6" firstHeaderRow="0" firstDataRow="1" firstDataCol="1" rowPageCount="1" colPageCount="1"/>
  <pivotFields count="8">
    <pivotField axis="axisPage" subtotalTop="0" showAll="0">
      <items count="9">
        <item x="0"/>
        <item x="1"/>
        <item x="2"/>
        <item x="3"/>
        <item x="4"/>
        <item x="5"/>
        <item x="6"/>
        <item x="7"/>
        <item t="default"/>
      </items>
    </pivotField>
    <pivotField axis="axisRow" subtotalTop="0" showAll="0">
      <items count="3">
        <item x="0"/>
        <item x="1"/>
        <item t="default"/>
      </items>
    </pivotField>
    <pivotField dataField="1" subtotalTop="0" showAll="0"/>
    <pivotField dataField="1" subtotalTop="0" showAll="0"/>
    <pivotField dataField="1" subtotalTop="0" showAll="0"/>
    <pivotField dataField="1" subtotalTop="0" showAll="0"/>
    <pivotField dataField="1" subtotalTop="0" showAll="0"/>
    <pivotField dataField="1" subtotalTop="0" showAll="0"/>
  </pivotFields>
  <rowFields count="1">
    <field x="1"/>
  </rowFields>
  <rowItems count="3">
    <i>
      <x/>
    </i>
    <i>
      <x v="1"/>
    </i>
    <i t="grand">
      <x/>
    </i>
  </rowItems>
  <colFields count="1">
    <field x="-2"/>
  </colFields>
  <colItems count="6">
    <i>
      <x/>
    </i>
    <i i="1">
      <x v="1"/>
    </i>
    <i i="2">
      <x v="2"/>
    </i>
    <i i="3">
      <x v="3"/>
    </i>
    <i i="4">
      <x v="4"/>
    </i>
    <i i="5">
      <x v="5"/>
    </i>
  </colItems>
  <pageFields count="1">
    <pageField fld="0" item="7" hier="-1"/>
  </pageFields>
  <dataFields count="6">
    <dataField name="Sum of Wholetime Operational" fld="2" baseField="0" baseItem="0"/>
    <dataField name="Sum of Retained Duty System" fld="3" baseField="0" baseItem="0"/>
    <dataField name="Sum of Control" fld="4" baseField="0" baseItem="0"/>
    <dataField name="Sum of Support" fld="5" baseField="0" baseItem="0"/>
    <dataField name="Sum of Volunteers" fld="6" baseField="0" baseItem="0"/>
    <dataField name="Sum of Total" fld="7"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37.xml><?xml version="1.0" encoding="utf-8"?>
<pivotTableDefinition xmlns="http://schemas.openxmlformats.org/spreadsheetml/2006/main" xmlns:mc="http://schemas.openxmlformats.org/markup-compatibility/2006" xmlns:xr="http://schemas.microsoft.com/office/spreadsheetml/2014/revision" mc:Ignorable="xr" xr:uid="{0788A457-24AA-456B-ABE4-46588B38946F}" name="PivotTable11" cacheId="237" applyNumberFormats="0" applyBorderFormats="0" applyFontFormats="0" applyPatternFormats="0" applyAlignmentFormats="0" applyWidthHeightFormats="1" dataCaption="Values" updatedVersion="8" minRefreshableVersion="3" useAutoFormatting="1" itemPrintTitles="1" createdVersion="6" indent="0" outline="1" outlineData="1" multipleFieldFilters="0">
  <location ref="A50:F53" firstHeaderRow="0" firstDataRow="1" firstDataCol="1" rowPageCount="1" colPageCount="1"/>
  <pivotFields count="7">
    <pivotField axis="axisPage" multipleItemSelectionAllowed="1" showAll="0">
      <items count="9">
        <item h="1" x="0"/>
        <item h="1" x="1"/>
        <item h="1" x="2"/>
        <item h="1" x="5"/>
        <item h="1" x="3"/>
        <item h="1" x="4"/>
        <item h="1" x="7"/>
        <item x="6"/>
        <item t="default"/>
      </items>
    </pivotField>
    <pivotField axis="axisRow" subtotalTop="0" showAll="0">
      <items count="4">
        <item x="0"/>
        <item x="1"/>
        <item x="2"/>
        <item t="default"/>
      </items>
    </pivotField>
    <pivotField dataField="1" subtotalTop="0" showAll="0"/>
    <pivotField dataField="1" subtotalTop="0" showAll="0"/>
    <pivotField dataField="1" subtotalTop="0" showAll="0"/>
    <pivotField dataField="1" subtotalTop="0" showAll="0"/>
    <pivotField dataField="1" subtotalTop="0" showAll="0"/>
  </pivotFields>
  <rowFields count="1">
    <field x="1"/>
  </rowFields>
  <rowItems count="3">
    <i>
      <x v="1"/>
    </i>
    <i>
      <x v="2"/>
    </i>
    <i t="grand">
      <x/>
    </i>
  </rowItems>
  <colFields count="1">
    <field x="-2"/>
  </colFields>
  <colItems count="5">
    <i>
      <x/>
    </i>
    <i i="1">
      <x v="1"/>
    </i>
    <i i="2">
      <x v="2"/>
    </i>
    <i i="3">
      <x v="3"/>
    </i>
    <i i="4">
      <x v="4"/>
    </i>
  </colItems>
  <pageFields count="1">
    <pageField fld="0" hier="-1"/>
  </pageFields>
  <dataFields count="5">
    <dataField name="Sum of Support" fld="5" baseField="0" baseItem="0"/>
    <dataField name="Sum of WT" fld="2" baseField="1" baseItem="0"/>
    <dataField name="Sum of RDS" fld="3" baseField="1" baseItem="0"/>
    <dataField name="Sum of Control" fld="4" baseField="1" baseItem="0"/>
    <dataField name="Sum of Vol" fld="6" baseField="1"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38.xml><?xml version="1.0" encoding="utf-8"?>
<pivotTableDefinition xmlns="http://schemas.openxmlformats.org/spreadsheetml/2006/main" xmlns:mc="http://schemas.openxmlformats.org/markup-compatibility/2006" xmlns:xr="http://schemas.microsoft.com/office/spreadsheetml/2014/revision" mc:Ignorable="xr" xr:uid="{25F4B9AF-ADCF-4F84-8F9C-A50F3EF002A7}" name="PivotTable10" cacheId="236" applyNumberFormats="0" applyBorderFormats="0" applyFontFormats="0" applyPatternFormats="0" applyAlignmentFormats="0" applyWidthHeightFormats="1" dataCaption="Values" updatedVersion="8" minRefreshableVersion="3" useAutoFormatting="1" itemPrintTitles="1" createdVersion="6" indent="0" outline="1" outlineData="1" multipleFieldFilters="0">
  <location ref="A36:F40" firstHeaderRow="0" firstDataRow="1" firstDataCol="1" rowPageCount="1" colPageCount="1"/>
  <pivotFields count="7">
    <pivotField axis="axisPage" multipleItemSelectionAllowed="1" showAll="0">
      <items count="9">
        <item h="1" x="0"/>
        <item h="1" x="1"/>
        <item h="1" x="2"/>
        <item h="1" x="3"/>
        <item h="1" x="6"/>
        <item h="1" x="4"/>
        <item h="1" x="7"/>
        <item x="5"/>
        <item t="default"/>
      </items>
    </pivotField>
    <pivotField axis="axisRow" subtotalTop="0" showAll="0">
      <items count="4">
        <item x="0"/>
        <item x="1"/>
        <item x="2"/>
        <item t="default"/>
      </items>
    </pivotField>
    <pivotField dataField="1" subtotalTop="0" showAll="0"/>
    <pivotField dataField="1" subtotalTop="0" showAll="0"/>
    <pivotField dataField="1" subtotalTop="0" showAll="0"/>
    <pivotField dataField="1" subtotalTop="0" showAll="0"/>
    <pivotField dataField="1" subtotalTop="0" showAll="0"/>
  </pivotFields>
  <rowFields count="1">
    <field x="1"/>
  </rowFields>
  <rowItems count="4">
    <i>
      <x/>
    </i>
    <i>
      <x v="1"/>
    </i>
    <i>
      <x v="2"/>
    </i>
    <i t="grand">
      <x/>
    </i>
  </rowItems>
  <colFields count="1">
    <field x="-2"/>
  </colFields>
  <colItems count="5">
    <i>
      <x/>
    </i>
    <i i="1">
      <x v="1"/>
    </i>
    <i i="2">
      <x v="2"/>
    </i>
    <i i="3">
      <x v="3"/>
    </i>
    <i i="4">
      <x v="4"/>
    </i>
  </colItems>
  <pageFields count="1">
    <pageField fld="0" hier="-1"/>
  </pageFields>
  <dataFields count="5">
    <dataField name="Sum of RDS" fld="3" baseField="0" baseItem="0"/>
    <dataField name="Sum of WT" fld="2" baseField="1" baseItem="0"/>
    <dataField name="Sum of Control" fld="4" baseField="1" baseItem="0"/>
    <dataField name="Sum of Support" fld="5" baseField="1" baseItem="0"/>
    <dataField name="Sum of Vol" fld="6" baseField="1"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39.xml><?xml version="1.0" encoding="utf-8"?>
<pivotTableDefinition xmlns="http://schemas.openxmlformats.org/spreadsheetml/2006/main" xmlns:mc="http://schemas.openxmlformats.org/markup-compatibility/2006" xmlns:xr="http://schemas.microsoft.com/office/spreadsheetml/2014/revision" mc:Ignorable="xr" xr:uid="{26C21CB2-0909-45C2-A502-25115C8801E7}" name="PivotTable2" cacheId="205"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20:F32" firstHeaderRow="0" firstDataRow="1" firstDataCol="1"/>
  <pivotFields count="6">
    <pivotField axis="axisRow" showAll="0">
      <items count="2">
        <item x="0"/>
        <item t="default"/>
      </items>
    </pivotField>
    <pivotField axis="axisRow" showAll="0">
      <items count="11">
        <item x="0"/>
        <item x="1"/>
        <item x="2"/>
        <item x="3"/>
        <item x="4"/>
        <item x="5"/>
        <item x="6"/>
        <item x="7"/>
        <item x="8"/>
        <item x="9"/>
        <item t="default"/>
      </items>
    </pivotField>
    <pivotField dataField="1" showAll="0"/>
    <pivotField dataField="1" showAll="0"/>
    <pivotField dataField="1" showAll="0"/>
    <pivotField dataField="1" showAll="0"/>
  </pivotFields>
  <rowFields count="2">
    <field x="0"/>
    <field x="1"/>
  </rowFields>
  <rowItems count="12">
    <i>
      <x/>
    </i>
    <i r="1">
      <x/>
    </i>
    <i r="1">
      <x v="1"/>
    </i>
    <i r="1">
      <x v="2"/>
    </i>
    <i r="1">
      <x v="3"/>
    </i>
    <i r="1">
      <x v="4"/>
    </i>
    <i r="1">
      <x v="5"/>
    </i>
    <i r="1">
      <x v="6"/>
    </i>
    <i r="1">
      <x v="7"/>
    </i>
    <i r="1">
      <x v="8"/>
    </i>
    <i r="1">
      <x v="9"/>
    </i>
    <i t="grand">
      <x/>
    </i>
  </rowItems>
  <colFields count="1">
    <field x="-2"/>
  </colFields>
  <colItems count="4">
    <i>
      <x/>
    </i>
    <i i="1">
      <x v="1"/>
    </i>
    <i i="2">
      <x v="2"/>
    </i>
    <i i="3">
      <x v="3"/>
    </i>
  </colItems>
  <dataFields count="4">
    <dataField name="Sum of Attack against property/equipment" fld="2" baseField="0" baseItem="0"/>
    <dataField name="Sum of Verbal assault" fld="3" baseField="0" baseItem="0"/>
    <dataField name="Sum of Physical assault" fld="4" baseField="0" baseItem="0"/>
    <dataField name="Sum of Total" fld="5"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40.xml><?xml version="1.0" encoding="utf-8"?>
<pivotTableDefinition xmlns="http://schemas.openxmlformats.org/spreadsheetml/2006/main" xmlns:mc="http://schemas.openxmlformats.org/markup-compatibility/2006" xmlns:xr="http://schemas.microsoft.com/office/spreadsheetml/2014/revision" mc:Ignorable="xr" xr:uid="{794E5D41-9A3B-424A-989C-E292DD620E6B}" name="PivotTable1" cacheId="204"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4:F16" firstHeaderRow="0" firstDataRow="1" firstDataCol="1"/>
  <pivotFields count="6">
    <pivotField axis="axisRow" showAll="0">
      <items count="2">
        <item x="0"/>
        <item t="default"/>
      </items>
    </pivotField>
    <pivotField axis="axisRow" showAll="0">
      <items count="11">
        <item x="0"/>
        <item x="1"/>
        <item x="2"/>
        <item x="3"/>
        <item x="4"/>
        <item x="5"/>
        <item x="6"/>
        <item x="7"/>
        <item x="8"/>
        <item x="9"/>
        <item t="default"/>
      </items>
    </pivotField>
    <pivotField dataField="1" showAll="0"/>
    <pivotField dataField="1" showAll="0"/>
    <pivotField dataField="1" showAll="0"/>
    <pivotField dataField="1" showAll="0"/>
  </pivotFields>
  <rowFields count="2">
    <field x="0"/>
    <field x="1"/>
  </rowFields>
  <rowItems count="12">
    <i>
      <x/>
    </i>
    <i r="1">
      <x/>
    </i>
    <i r="1">
      <x v="1"/>
    </i>
    <i r="1">
      <x v="2"/>
    </i>
    <i r="1">
      <x v="3"/>
    </i>
    <i r="1">
      <x v="4"/>
    </i>
    <i r="1">
      <x v="5"/>
    </i>
    <i r="1">
      <x v="6"/>
    </i>
    <i r="1">
      <x v="7"/>
    </i>
    <i r="1">
      <x v="8"/>
    </i>
    <i r="1">
      <x v="9"/>
    </i>
    <i t="grand">
      <x/>
    </i>
  </rowItems>
  <colFields count="1">
    <field x="-2"/>
  </colFields>
  <colItems count="4">
    <i>
      <x/>
    </i>
    <i i="1">
      <x v="1"/>
    </i>
    <i i="2">
      <x v="2"/>
    </i>
    <i i="3">
      <x v="3"/>
    </i>
  </colItems>
  <dataFields count="4">
    <dataField name="Sum of Attack against property/equipment" fld="2" baseField="0" baseItem="0"/>
    <dataField name="Sum of Verbal assault" fld="3" baseField="0" baseItem="0"/>
    <dataField name="Sum of Physical assault" fld="4" baseField="0" baseItem="0"/>
    <dataField name="Sum of Total" fld="5"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41.xml><?xml version="1.0" encoding="utf-8"?>
<pivotTableDefinition xmlns="http://schemas.openxmlformats.org/spreadsheetml/2006/main" xmlns:mc="http://schemas.openxmlformats.org/markup-compatibility/2006" xmlns:xr="http://schemas.microsoft.com/office/spreadsheetml/2014/revision" mc:Ignorable="xr" xr:uid="{B08755BF-3A97-41A2-A503-8474F2461B62}" name="PivotTable4" cacheId="208"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53:F65" firstHeaderRow="0" firstDataRow="1" firstDataCol="1"/>
  <pivotFields count="6">
    <pivotField axis="axisRow" showAll="0">
      <items count="2">
        <item x="0"/>
        <item t="default"/>
      </items>
    </pivotField>
    <pivotField axis="axisRow" showAll="0">
      <items count="11">
        <item x="0"/>
        <item x="1"/>
        <item x="2"/>
        <item x="3"/>
        <item x="4"/>
        <item x="5"/>
        <item x="6"/>
        <item x="7"/>
        <item x="8"/>
        <item x="9"/>
        <item t="default"/>
      </items>
    </pivotField>
    <pivotField dataField="1" showAll="0"/>
    <pivotField dataField="1" showAll="0"/>
    <pivotField dataField="1" showAll="0"/>
    <pivotField dataField="1" showAll="0"/>
  </pivotFields>
  <rowFields count="2">
    <field x="0"/>
    <field x="1"/>
  </rowFields>
  <rowItems count="12">
    <i>
      <x/>
    </i>
    <i r="1">
      <x/>
    </i>
    <i r="1">
      <x v="1"/>
    </i>
    <i r="1">
      <x v="2"/>
    </i>
    <i r="1">
      <x v="3"/>
    </i>
    <i r="1">
      <x v="4"/>
    </i>
    <i r="1">
      <x v="5"/>
    </i>
    <i r="1">
      <x v="6"/>
    </i>
    <i r="1">
      <x v="7"/>
    </i>
    <i r="1">
      <x v="8"/>
    </i>
    <i r="1">
      <x v="9"/>
    </i>
    <i t="grand">
      <x/>
    </i>
  </rowItems>
  <colFields count="1">
    <field x="-2"/>
  </colFields>
  <colItems count="4">
    <i>
      <x/>
    </i>
    <i i="1">
      <x v="1"/>
    </i>
    <i i="2">
      <x v="2"/>
    </i>
    <i i="3">
      <x v="3"/>
    </i>
  </colItems>
  <dataFields count="4">
    <dataField name="Sum of Attack against property/equipment" fld="2" baseField="0" baseItem="0"/>
    <dataField name="Sum of Verbal assault" fld="3" baseField="0" baseItem="0"/>
    <dataField name="Sum of Physical assault" fld="4" baseField="0" baseItem="0"/>
    <dataField name="Sum of Total" fld="5"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42.xml><?xml version="1.0" encoding="utf-8"?>
<pivotTableDefinition xmlns="http://schemas.openxmlformats.org/spreadsheetml/2006/main" xmlns:mc="http://schemas.openxmlformats.org/markup-compatibility/2006" xmlns:xr="http://schemas.microsoft.com/office/spreadsheetml/2014/revision" mc:Ignorable="xr" xr:uid="{FD8FE110-B7FE-4336-B313-4D9F07EDAAA3}" name="PivotTable3" cacheId="207"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36:F48" firstHeaderRow="0" firstDataRow="1" firstDataCol="1"/>
  <pivotFields count="6">
    <pivotField axis="axisRow" showAll="0">
      <items count="2">
        <item x="0"/>
        <item t="default"/>
      </items>
    </pivotField>
    <pivotField axis="axisRow" showAll="0">
      <items count="11">
        <item x="0"/>
        <item x="1"/>
        <item x="2"/>
        <item x="3"/>
        <item x="4"/>
        <item x="5"/>
        <item x="6"/>
        <item x="7"/>
        <item x="8"/>
        <item x="9"/>
        <item t="default"/>
      </items>
    </pivotField>
    <pivotField dataField="1" showAll="0"/>
    <pivotField dataField="1" showAll="0"/>
    <pivotField dataField="1" showAll="0"/>
    <pivotField dataField="1" showAll="0"/>
  </pivotFields>
  <rowFields count="2">
    <field x="0"/>
    <field x="1"/>
  </rowFields>
  <rowItems count="12">
    <i>
      <x/>
    </i>
    <i r="1">
      <x/>
    </i>
    <i r="1">
      <x v="1"/>
    </i>
    <i r="1">
      <x v="2"/>
    </i>
    <i r="1">
      <x v="3"/>
    </i>
    <i r="1">
      <x v="4"/>
    </i>
    <i r="1">
      <x v="5"/>
    </i>
    <i r="1">
      <x v="6"/>
    </i>
    <i r="1">
      <x v="7"/>
    </i>
    <i r="1">
      <x v="8"/>
    </i>
    <i r="1">
      <x v="9"/>
    </i>
    <i t="grand">
      <x/>
    </i>
  </rowItems>
  <colFields count="1">
    <field x="-2"/>
  </colFields>
  <colItems count="4">
    <i>
      <x/>
    </i>
    <i i="1">
      <x v="1"/>
    </i>
    <i i="2">
      <x v="2"/>
    </i>
    <i i="3">
      <x v="3"/>
    </i>
  </colItems>
  <dataFields count="4">
    <dataField name="Sum of Attack against property/equipment" fld="2" baseField="0" baseItem="0"/>
    <dataField name="Sum of Verbal assault" fld="3" baseField="0" baseItem="0"/>
    <dataField name="Sum of Physical assault" fld="4" baseField="0" baseItem="0"/>
    <dataField name="Sum of Total" fld="5"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43.xml><?xml version="1.0" encoding="utf-8"?>
<pivotTableDefinition xmlns="http://schemas.openxmlformats.org/spreadsheetml/2006/main" xmlns:mc="http://schemas.openxmlformats.org/markup-compatibility/2006" xmlns:xr="http://schemas.microsoft.com/office/spreadsheetml/2014/revision" mc:Ignorable="xr" xr:uid="{B1B05ED9-90A2-4022-B4C4-006FD5FAF676}" name="PivotTable5" cacheId="206"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4:L33" firstHeaderRow="0" firstDataRow="1" firstDataCol="1"/>
  <pivotFields count="12">
    <pivotField axis="axisRow" showAll="0">
      <items count="29">
        <item x="0"/>
        <item x="1"/>
        <item x="2"/>
        <item x="3"/>
        <item x="4"/>
        <item x="5"/>
        <item x="6"/>
        <item x="7"/>
        <item x="8"/>
        <item x="9"/>
        <item x="10"/>
        <item x="11"/>
        <item x="12"/>
        <item x="13"/>
        <item x="14"/>
        <item x="15"/>
        <item x="16"/>
        <item x="17"/>
        <item x="18"/>
        <item x="19"/>
        <item x="20"/>
        <item x="21"/>
        <item x="22"/>
        <item x="23"/>
        <item x="24"/>
        <item x="25"/>
        <item x="26"/>
        <item x="27"/>
        <item t="default"/>
      </items>
    </pivotField>
    <pivotField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s>
  <rowFields count="1">
    <field x="0"/>
  </rowFields>
  <rowItems count="29">
    <i>
      <x/>
    </i>
    <i>
      <x v="1"/>
    </i>
    <i>
      <x v="2"/>
    </i>
    <i>
      <x v="3"/>
    </i>
    <i>
      <x v="4"/>
    </i>
    <i>
      <x v="5"/>
    </i>
    <i>
      <x v="6"/>
    </i>
    <i>
      <x v="7"/>
    </i>
    <i>
      <x v="8"/>
    </i>
    <i>
      <x v="9"/>
    </i>
    <i>
      <x v="10"/>
    </i>
    <i>
      <x v="11"/>
    </i>
    <i>
      <x v="12"/>
    </i>
    <i>
      <x v="13"/>
    </i>
    <i>
      <x v="14"/>
    </i>
    <i>
      <x v="15"/>
    </i>
    <i>
      <x v="16"/>
    </i>
    <i>
      <x v="17"/>
    </i>
    <i>
      <x v="18"/>
    </i>
    <i>
      <x v="19"/>
    </i>
    <i>
      <x v="20"/>
    </i>
    <i>
      <x v="21"/>
    </i>
    <i>
      <x v="22"/>
    </i>
    <i>
      <x v="23"/>
    </i>
    <i>
      <x v="24"/>
    </i>
    <i>
      <x v="25"/>
    </i>
    <i>
      <x v="26"/>
    </i>
    <i>
      <x v="27"/>
    </i>
    <i t="grand">
      <x/>
    </i>
  </rowItems>
  <colFields count="1">
    <field x="-2"/>
  </colFields>
  <colItems count="10">
    <i>
      <x/>
    </i>
    <i i="1">
      <x v="1"/>
    </i>
    <i i="2">
      <x v="2"/>
    </i>
    <i i="3">
      <x v="3"/>
    </i>
    <i i="4">
      <x v="4"/>
    </i>
    <i i="5">
      <x v="5"/>
    </i>
    <i i="6">
      <x v="6"/>
    </i>
    <i i="7">
      <x v="7"/>
    </i>
    <i i="8">
      <x v="8"/>
    </i>
    <i i="9">
      <x v="9"/>
    </i>
  </colItems>
  <dataFields count="10">
    <dataField name="Sum of 2016-17" fld="2" baseField="0" baseItem="0"/>
    <dataField name="Sum of 2017-18" fld="3" baseField="0" baseItem="0"/>
    <dataField name="Sum of 2018-19" fld="4" baseField="0" baseItem="0"/>
    <dataField name="Sum of 2019-20" fld="5" baseField="0" baseItem="0"/>
    <dataField name="Sum of 2020-21" fld="6" baseField="0" baseItem="0"/>
    <dataField name="Sum of 2021-22" fld="7" baseField="0" baseItem="0"/>
    <dataField name="Sum of 2022-23" fld="8" baseField="0" baseItem="0"/>
    <dataField name="Sum of 2023-24" fld="9" baseField="0" baseItem="0"/>
    <dataField name="Sum of 2024-25" fld="10" baseField="0" baseItem="0"/>
    <dataField name="Sum of 2025-26" fld="11"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44.xml><?xml version="1.0" encoding="utf-8"?>
<pivotTableDefinition xmlns="http://schemas.openxmlformats.org/spreadsheetml/2006/main" xmlns:mc="http://schemas.openxmlformats.org/markup-compatibility/2006" xmlns:xr="http://schemas.microsoft.com/office/spreadsheetml/2014/revision" mc:Ignorable="xr" xr:uid="{DF5F8303-B730-4CF2-BD37-900D1C9701A0}" name="PivotTable1" cacheId="258"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3:H20" firstHeaderRow="0" firstDataRow="1" firstDataCol="1"/>
  <pivotFields count="7">
    <pivotField axis="axisRow" showAll="0">
      <items count="17">
        <item x="0"/>
        <item x="1"/>
        <item x="2"/>
        <item x="3"/>
        <item x="4"/>
        <item x="5"/>
        <item x="6"/>
        <item x="7"/>
        <item x="8"/>
        <item x="9"/>
        <item x="10"/>
        <item x="12"/>
        <item x="13"/>
        <item x="11"/>
        <item x="14"/>
        <item x="15"/>
        <item t="default"/>
      </items>
    </pivotField>
    <pivotField dataField="1" showAll="0"/>
    <pivotField dataField="1" showAll="0"/>
    <pivotField dataField="1" showAll="0"/>
    <pivotField dataField="1" showAll="0"/>
    <pivotField dataField="1" showAll="0"/>
    <pivotField dataField="1" showAll="0"/>
  </pivotFields>
  <rowFields count="1">
    <field x="0"/>
  </rowFields>
  <rowItems count="17">
    <i>
      <x/>
    </i>
    <i>
      <x v="1"/>
    </i>
    <i>
      <x v="2"/>
    </i>
    <i>
      <x v="3"/>
    </i>
    <i>
      <x v="4"/>
    </i>
    <i>
      <x v="5"/>
    </i>
    <i>
      <x v="6"/>
    </i>
    <i>
      <x v="7"/>
    </i>
    <i>
      <x v="8"/>
    </i>
    <i>
      <x v="9"/>
    </i>
    <i>
      <x v="10"/>
    </i>
    <i>
      <x v="11"/>
    </i>
    <i>
      <x v="12"/>
    </i>
    <i>
      <x v="13"/>
    </i>
    <i>
      <x v="14"/>
    </i>
    <i>
      <x v="15"/>
    </i>
    <i t="grand">
      <x/>
    </i>
  </rowItems>
  <colFields count="1">
    <field x="-2"/>
  </colFields>
  <colItems count="6">
    <i>
      <x/>
    </i>
    <i i="1">
      <x v="1"/>
    </i>
    <i i="2">
      <x v="2"/>
    </i>
    <i i="3">
      <x v="3"/>
    </i>
    <i i="4">
      <x v="4"/>
    </i>
    <i i="5">
      <x v="5"/>
    </i>
  </colItems>
  <dataFields count="6">
    <dataField name="Sum of New" fld="5" baseField="0" baseItem="0"/>
    <dataField name="Sum of Replacement" fld="6" baseField="0" baseItem="0"/>
    <dataField name="Sum of Total_Alarms" fld="4" baseField="0" baseItem="0"/>
    <dataField name="Sum of Total_HFSV" fld="3" baseField="0" baseItem="0"/>
    <dataField name="Sum of HFSV_AdviceOnly" fld="2" baseField="0" baseItem="0"/>
    <dataField name="Sum of HFSV_AlarmsInstalled" fld="1"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45.xml><?xml version="1.0" encoding="utf-8"?>
<pivotTableDefinition xmlns="http://schemas.openxmlformats.org/spreadsheetml/2006/main" xmlns:mc="http://schemas.openxmlformats.org/markup-compatibility/2006" xmlns:xr="http://schemas.microsoft.com/office/spreadsheetml/2014/revision" mc:Ignorable="xr" xr:uid="{FF309EE2-1AD3-42FE-82B0-3B53E0932E32}" name="PivotTable2" cacheId="266"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J5:K32" firstHeaderRow="1" firstDataRow="1" firstDataCol="1"/>
  <pivotFields count="3">
    <pivotField showAll="0"/>
    <pivotField axis="axisRow" showAll="0">
      <items count="27">
        <item x="0"/>
        <item x="1"/>
        <item x="2"/>
        <item x="3"/>
        <item x="4"/>
        <item x="5"/>
        <item x="6"/>
        <item x="7"/>
        <item x="8"/>
        <item x="9"/>
        <item x="10"/>
        <item x="11"/>
        <item x="12"/>
        <item x="13"/>
        <item x="14"/>
        <item x="15"/>
        <item x="16"/>
        <item x="17"/>
        <item x="18"/>
        <item x="19"/>
        <item x="20"/>
        <item x="21"/>
        <item x="22"/>
        <item x="23"/>
        <item x="24"/>
        <item x="25"/>
        <item t="default"/>
      </items>
    </pivotField>
    <pivotField dataField="1" showAll="0"/>
  </pivotFields>
  <rowFields count="1">
    <field x="1"/>
  </rowFields>
  <rowItems count="27">
    <i>
      <x/>
    </i>
    <i>
      <x v="1"/>
    </i>
    <i>
      <x v="2"/>
    </i>
    <i>
      <x v="3"/>
    </i>
    <i>
      <x v="4"/>
    </i>
    <i>
      <x v="5"/>
    </i>
    <i>
      <x v="6"/>
    </i>
    <i>
      <x v="7"/>
    </i>
    <i>
      <x v="8"/>
    </i>
    <i>
      <x v="9"/>
    </i>
    <i>
      <x v="10"/>
    </i>
    <i>
      <x v="11"/>
    </i>
    <i>
      <x v="12"/>
    </i>
    <i>
      <x v="13"/>
    </i>
    <i>
      <x v="14"/>
    </i>
    <i>
      <x v="15"/>
    </i>
    <i>
      <x v="16"/>
    </i>
    <i>
      <x v="17"/>
    </i>
    <i>
      <x v="18"/>
    </i>
    <i>
      <x v="19"/>
    </i>
    <i>
      <x v="20"/>
    </i>
    <i>
      <x v="21"/>
    </i>
    <i>
      <x v="22"/>
    </i>
    <i>
      <x v="23"/>
    </i>
    <i>
      <x v="24"/>
    </i>
    <i>
      <x v="25"/>
    </i>
    <i t="grand">
      <x/>
    </i>
  </rowItems>
  <colItems count="1">
    <i/>
  </colItems>
  <dataFields count="1">
    <dataField name="Sum of Households" fld="2"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46.xml><?xml version="1.0" encoding="utf-8"?>
<pivotTableDefinition xmlns="http://schemas.openxmlformats.org/spreadsheetml/2006/main" xmlns:mc="http://schemas.openxmlformats.org/markup-compatibility/2006" xmlns:xr="http://schemas.microsoft.com/office/spreadsheetml/2014/revision" mc:Ignorable="xr" xr:uid="{1687E2C0-4A6F-42D7-ADC9-BAE54FDAFCAD}" name="PivotTable1" cacheId="265"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4:F32" firstHeaderRow="0" firstDataRow="1" firstDataCol="1"/>
  <pivotFields count="12">
    <pivotField axis="axisRow" showAll="0">
      <items count="14">
        <item x="0"/>
        <item x="1"/>
        <item x="2"/>
        <item x="3"/>
        <item x="4"/>
        <item x="5"/>
        <item x="6"/>
        <item x="7"/>
        <item x="8"/>
        <item x="9"/>
        <item x="10"/>
        <item x="11"/>
        <item x="12"/>
        <item t="default"/>
      </items>
    </pivotField>
    <pivotField axis="axisRow" showAll="0">
      <items count="3">
        <item x="0"/>
        <item x="1"/>
        <item t="default"/>
      </items>
    </pivotField>
    <pivotField dataField="1" showAll="0"/>
    <pivotField dataField="1" showAll="0"/>
    <pivotField dataField="1" showAll="0"/>
    <pivotField dataField="1" showAll="0"/>
    <pivotField showAll="0"/>
    <pivotField showAll="0"/>
    <pivotField showAll="0"/>
    <pivotField showAll="0"/>
    <pivotField showAll="0"/>
    <pivotField showAll="0"/>
  </pivotFields>
  <rowFields count="2">
    <field x="1"/>
    <field x="0"/>
  </rowFields>
  <rowItems count="28">
    <i>
      <x/>
    </i>
    <i r="1">
      <x/>
    </i>
    <i r="1">
      <x v="1"/>
    </i>
    <i r="1">
      <x v="2"/>
    </i>
    <i r="1">
      <x v="3"/>
    </i>
    <i r="1">
      <x v="4"/>
    </i>
    <i r="1">
      <x v="5"/>
    </i>
    <i r="1">
      <x v="6"/>
    </i>
    <i r="1">
      <x v="7"/>
    </i>
    <i r="1">
      <x v="8"/>
    </i>
    <i r="1">
      <x v="9"/>
    </i>
    <i r="1">
      <x v="10"/>
    </i>
    <i r="1">
      <x v="11"/>
    </i>
    <i r="1">
      <x v="12"/>
    </i>
    <i>
      <x v="1"/>
    </i>
    <i r="1">
      <x/>
    </i>
    <i r="1">
      <x v="1"/>
    </i>
    <i r="1">
      <x v="2"/>
    </i>
    <i r="1">
      <x v="3"/>
    </i>
    <i r="1">
      <x v="4"/>
    </i>
    <i r="1">
      <x v="5"/>
    </i>
    <i r="1">
      <x v="6"/>
    </i>
    <i r="1">
      <x v="7"/>
    </i>
    <i r="1">
      <x v="8"/>
    </i>
    <i r="1">
      <x v="10"/>
    </i>
    <i r="1">
      <x v="11"/>
    </i>
    <i r="1">
      <x v="12"/>
    </i>
    <i t="grand">
      <x/>
    </i>
  </rowItems>
  <colFields count="1">
    <field x="-2"/>
  </colFields>
  <colItems count="4">
    <i>
      <x/>
    </i>
    <i i="1">
      <x v="1"/>
    </i>
    <i i="2">
      <x v="2"/>
    </i>
    <i i="3">
      <x v="3"/>
    </i>
  </colItems>
  <dataFields count="4">
    <dataField name="Sum of OneYrDistinct" fld="2" baseField="0" baseItem="0"/>
    <dataField name="Sum of ThreeYrDistinct" fld="3" baseField="0" baseItem="0"/>
    <dataField name="Sum of FiveYrDistinct" fld="4" baseField="0" baseItem="0"/>
    <dataField name="Sum of OneYrDistinctNew" fld="5"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47.xml><?xml version="1.0" encoding="utf-8"?>
<pivotTableDefinition xmlns="http://schemas.openxmlformats.org/spreadsheetml/2006/main" xmlns:mc="http://schemas.openxmlformats.org/markup-compatibility/2006" xmlns:xr="http://schemas.microsoft.com/office/spreadsheetml/2014/revision" mc:Ignorable="xr" xr:uid="{48A0046E-3952-423F-A20B-FCD92FB7CD95}" name="PivotTable2" cacheId="267"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4:E18" firstHeaderRow="0" firstDataRow="1" firstDataCol="1"/>
  <pivotFields count="4">
    <pivotField axis="axisRow" showAll="0">
      <items count="15">
        <item x="0"/>
        <item x="1"/>
        <item x="2"/>
        <item x="3"/>
        <item x="4"/>
        <item x="5"/>
        <item x="6"/>
        <item x="7"/>
        <item x="8"/>
        <item x="9"/>
        <item x="10"/>
        <item x="11"/>
        <item m="1" x="13"/>
        <item x="12"/>
        <item t="default"/>
      </items>
    </pivotField>
    <pivotField dataField="1" showAll="0"/>
    <pivotField dataField="1" showAll="0"/>
    <pivotField dataField="1" showAll="0"/>
  </pivotFields>
  <rowFields count="1">
    <field x="0"/>
  </rowFields>
  <rowItems count="14">
    <i>
      <x/>
    </i>
    <i>
      <x v="1"/>
    </i>
    <i>
      <x v="2"/>
    </i>
    <i>
      <x v="3"/>
    </i>
    <i>
      <x v="4"/>
    </i>
    <i>
      <x v="5"/>
    </i>
    <i>
      <x v="6"/>
    </i>
    <i>
      <x v="7"/>
    </i>
    <i>
      <x v="8"/>
    </i>
    <i>
      <x v="9"/>
    </i>
    <i>
      <x v="10"/>
    </i>
    <i>
      <x v="11"/>
    </i>
    <i>
      <x v="13"/>
    </i>
    <i t="grand">
      <x/>
    </i>
  </rowItems>
  <colFields count="1">
    <field x="-2"/>
  </colFields>
  <colItems count="3">
    <i>
      <x/>
    </i>
    <i i="1">
      <x v="1"/>
    </i>
    <i i="2">
      <x v="2"/>
    </i>
  </colItems>
  <dataFields count="3">
    <dataField name="Sum of In One Year" fld="1" baseField="0" baseItem="0"/>
    <dataField name="Sum of Over Three Years" fld="2" baseField="0" baseItem="0"/>
    <dataField name="Sum of Over Five Years" fld="3"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48.xml><?xml version="1.0" encoding="utf-8"?>
<pivotTableDefinition xmlns="http://schemas.openxmlformats.org/spreadsheetml/2006/main" xmlns:mc="http://schemas.openxmlformats.org/markup-compatibility/2006" xmlns:xr="http://schemas.microsoft.com/office/spreadsheetml/2014/revision" mc:Ignorable="xr" xr:uid="{A4DD3832-EE4E-478A-A99D-8432842B8B21}" name="PivotTable2" cacheId="201"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A1:H14" firstHeaderRow="0" firstDataRow="1" firstDataCol="1"/>
  <pivotFields count="9">
    <pivotField axis="axisRow" showAll="0">
      <items count="13">
        <item x="0"/>
        <item x="1"/>
        <item x="2"/>
        <item x="3"/>
        <item x="4"/>
        <item x="5"/>
        <item x="6"/>
        <item x="7"/>
        <item x="8"/>
        <item x="9"/>
        <item x="10"/>
        <item x="11"/>
        <item t="default"/>
      </items>
    </pivotField>
    <pivotField dataField="1" showAll="0"/>
    <pivotField dataField="1" showAll="0"/>
    <pivotField dataField="1" showAll="0"/>
    <pivotField dataField="1" showAll="0"/>
    <pivotField dataField="1" showAll="0"/>
    <pivotField dataField="1" showAll="0"/>
    <pivotField showAll="0"/>
    <pivotField dataField="1" showAll="0"/>
  </pivotFields>
  <rowFields count="1">
    <field x="0"/>
  </rowFields>
  <rowItems count="13">
    <i>
      <x/>
    </i>
    <i>
      <x v="1"/>
    </i>
    <i>
      <x v="2"/>
    </i>
    <i>
      <x v="3"/>
    </i>
    <i>
      <x v="4"/>
    </i>
    <i>
      <x v="5"/>
    </i>
    <i>
      <x v="6"/>
    </i>
    <i>
      <x v="7"/>
    </i>
    <i>
      <x v="8"/>
    </i>
    <i>
      <x v="9"/>
    </i>
    <i>
      <x v="10"/>
    </i>
    <i>
      <x v="11"/>
    </i>
    <i t="grand">
      <x/>
    </i>
  </rowItems>
  <colFields count="1">
    <field x="-2"/>
  </colFields>
  <colItems count="7">
    <i>
      <x/>
    </i>
    <i i="1">
      <x v="1"/>
    </i>
    <i i="2">
      <x v="2"/>
    </i>
    <i i="3">
      <x v="3"/>
    </i>
    <i i="4">
      <x v="4"/>
    </i>
    <i i="5">
      <x v="5"/>
    </i>
    <i i="6">
      <x v="6"/>
    </i>
  </colItems>
  <dataFields count="7">
    <dataField name="Sum of Under 5s" fld="1" baseField="0" baseItem="0"/>
    <dataField name="Sum of 5 to 10" fld="2" baseField="0" baseItem="0"/>
    <dataField name="Sum of 11 to 16" fld="3" baseField="0" baseItem="0"/>
    <dataField name="Sum of 17 to 30" fld="4" baseField="0" baseItem="0"/>
    <dataField name="Sum of 31 to 60" fld="5" baseField="0" baseItem="0"/>
    <dataField name="Sum of Over 60" fld="6" baseField="0" baseItem="0"/>
    <dataField name="Sum of All Residents" fld="8"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49.xml><?xml version="1.0" encoding="utf-8"?>
<pivotTableDefinition xmlns="http://schemas.openxmlformats.org/spreadsheetml/2006/main" xmlns:mc="http://schemas.openxmlformats.org/markup-compatibility/2006" xmlns:xr="http://schemas.microsoft.com/office/spreadsheetml/2014/revision" mc:Ignorable="xr" xr:uid="{F5405F8A-07C1-4D02-8534-B86EB59F25BE}" name="PivotTable3" cacheId="202"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4:I17" firstHeaderRow="0" firstDataRow="1" firstDataCol="1"/>
  <pivotFields count="8">
    <pivotField axis="axisRow" showAll="0">
      <items count="13">
        <item x="0"/>
        <item x="1"/>
        <item x="2"/>
        <item x="3"/>
        <item x="4"/>
        <item x="5"/>
        <item x="6"/>
        <item x="7"/>
        <item x="8"/>
        <item x="9"/>
        <item x="10"/>
        <item x="11"/>
        <item t="default"/>
      </items>
    </pivotField>
    <pivotField dataField="1" showAll="0"/>
    <pivotField dataField="1" showAll="0"/>
    <pivotField dataField="1" showAll="0"/>
    <pivotField dataField="1" showAll="0"/>
    <pivotField dataField="1" showAll="0"/>
    <pivotField dataField="1" showAll="0"/>
    <pivotField dataField="1" showAll="0"/>
  </pivotFields>
  <rowFields count="1">
    <field x="0"/>
  </rowFields>
  <rowItems count="13">
    <i>
      <x/>
    </i>
    <i>
      <x v="1"/>
    </i>
    <i>
      <x v="2"/>
    </i>
    <i>
      <x v="3"/>
    </i>
    <i>
      <x v="4"/>
    </i>
    <i>
      <x v="5"/>
    </i>
    <i>
      <x v="6"/>
    </i>
    <i>
      <x v="7"/>
    </i>
    <i>
      <x v="8"/>
    </i>
    <i>
      <x v="9"/>
    </i>
    <i>
      <x v="10"/>
    </i>
    <i>
      <x v="11"/>
    </i>
    <i t="grand">
      <x/>
    </i>
  </rowItems>
  <colFields count="1">
    <field x="-2"/>
  </colFields>
  <colItems count="7">
    <i>
      <x/>
    </i>
    <i i="1">
      <x v="1"/>
    </i>
    <i i="2">
      <x v="2"/>
    </i>
    <i i="3">
      <x v="3"/>
    </i>
    <i i="4">
      <x v="4"/>
    </i>
    <i i="5">
      <x v="5"/>
    </i>
    <i i="6">
      <x v="6"/>
    </i>
  </colItems>
  <dataFields count="7">
    <dataField name="Sum of Under 5s" fld="1" baseField="0" baseItem="0"/>
    <dataField name="Sum of 5 to 10" fld="2" baseField="0" baseItem="0"/>
    <dataField name="Sum of 11 to 16" fld="3" baseField="0" baseItem="0"/>
    <dataField name="Sum of 17 to 30" fld="4" baseField="0" baseItem="0"/>
    <dataField name="Sum of 31 to 60" fld="5" baseField="0" baseItem="0"/>
    <dataField name="Sum of Over 60" fld="6" baseField="0" baseItem="0"/>
    <dataField name="Sum of All Residents" fld="7"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50.xml><?xml version="1.0" encoding="utf-8"?>
<pivotTableDefinition xmlns="http://schemas.openxmlformats.org/spreadsheetml/2006/main" xmlns:mc="http://schemas.openxmlformats.org/markup-compatibility/2006" xmlns:xr="http://schemas.microsoft.com/office/spreadsheetml/2014/revision" mc:Ignorable="xr" xr:uid="{20D2B479-82ED-47EB-ADC7-D547093F860C}" name="PivotTable1" cacheId="213"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4:M11" firstHeaderRow="0" firstDataRow="1" firstDataCol="1"/>
  <pivotFields count="12">
    <pivotField axis="axisRow" showAll="0">
      <items count="7">
        <item x="2"/>
        <item x="4"/>
        <item x="1"/>
        <item x="0"/>
        <item x="3"/>
        <item x="5"/>
        <item t="default"/>
      </items>
    </pivotField>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s>
  <rowFields count="1">
    <field x="0"/>
  </rowFields>
  <rowItems count="7">
    <i>
      <x/>
    </i>
    <i>
      <x v="1"/>
    </i>
    <i>
      <x v="2"/>
    </i>
    <i>
      <x v="3"/>
    </i>
    <i>
      <x v="4"/>
    </i>
    <i>
      <x v="5"/>
    </i>
    <i t="grand">
      <x/>
    </i>
  </rowItems>
  <colFields count="1">
    <field x="-2"/>
  </colFields>
  <colItems count="11">
    <i>
      <x/>
    </i>
    <i i="1">
      <x v="1"/>
    </i>
    <i i="2">
      <x v="2"/>
    </i>
    <i i="3">
      <x v="3"/>
    </i>
    <i i="4">
      <x v="4"/>
    </i>
    <i i="5">
      <x v="5"/>
    </i>
    <i i="6">
      <x v="6"/>
    </i>
    <i i="7">
      <x v="7"/>
    </i>
    <i i="8">
      <x v="8"/>
    </i>
    <i i="9">
      <x v="9"/>
    </i>
    <i i="10">
      <x v="10"/>
    </i>
  </colItems>
  <dataFields count="11">
    <dataField name="Sum of 2015-16" fld="1" baseField="0" baseItem="0"/>
    <dataField name="Sum of 2016-17" fld="2" baseField="0" baseItem="0"/>
    <dataField name="Sum of 2017-18" fld="3" baseField="0" baseItem="0"/>
    <dataField name="Sum of 2018-19" fld="4" baseField="0" baseItem="0"/>
    <dataField name="Sum of 2019-20" fld="5" baseField="0" baseItem="0"/>
    <dataField name="Sum of 2020-21" fld="6" baseField="0" baseItem="0"/>
    <dataField name="Sum of 2021-22" fld="7" baseField="0" baseItem="0"/>
    <dataField name="Sum of 2022-23" fld="8" baseField="0" baseItem="0"/>
    <dataField name="Sum of 2023-24" fld="9" baseField="0" baseItem="0"/>
    <dataField name="Sum of 2024-25" fld="10" baseField="0" baseItem="0"/>
    <dataField name="Sum of 2025-26" fld="11"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51.xml><?xml version="1.0" encoding="utf-8"?>
<pivotTableDefinition xmlns="http://schemas.openxmlformats.org/spreadsheetml/2006/main" xmlns:mc="http://schemas.openxmlformats.org/markup-compatibility/2006" xmlns:xr="http://schemas.microsoft.com/office/spreadsheetml/2014/revision" mc:Ignorable="xr" xr:uid="{373B566F-1AF7-4C02-92CD-4BF2DD3EB5E4}" name="PivotTable2" cacheId="212"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C20:I33" firstHeaderRow="0" firstDataRow="1" firstDataCol="1"/>
  <pivotFields count="7">
    <pivotField axis="axisRow" showAll="0">
      <items count="13">
        <item x="10"/>
        <item x="8"/>
        <item x="2"/>
        <item x="6"/>
        <item x="3"/>
        <item x="7"/>
        <item x="4"/>
        <item x="9"/>
        <item x="5"/>
        <item x="0"/>
        <item x="1"/>
        <item x="11"/>
        <item t="default"/>
      </items>
    </pivotField>
    <pivotField dataField="1" showAll="0"/>
    <pivotField dataField="1" showAll="0"/>
    <pivotField dataField="1" showAll="0"/>
    <pivotField dataField="1" showAll="0"/>
    <pivotField dataField="1" showAll="0"/>
    <pivotField dataField="1" showAll="0"/>
  </pivotFields>
  <rowFields count="1">
    <field x="0"/>
  </rowFields>
  <rowItems count="13">
    <i>
      <x/>
    </i>
    <i>
      <x v="1"/>
    </i>
    <i>
      <x v="2"/>
    </i>
    <i>
      <x v="3"/>
    </i>
    <i>
      <x v="4"/>
    </i>
    <i>
      <x v="5"/>
    </i>
    <i>
      <x v="6"/>
    </i>
    <i>
      <x v="7"/>
    </i>
    <i>
      <x v="8"/>
    </i>
    <i>
      <x v="9"/>
    </i>
    <i>
      <x v="10"/>
    </i>
    <i>
      <x v="11"/>
    </i>
    <i t="grand">
      <x/>
    </i>
  </rowItems>
  <colFields count="1">
    <field x="-2"/>
  </colFields>
  <colItems count="6">
    <i>
      <x/>
    </i>
    <i i="1">
      <x v="1"/>
    </i>
    <i i="2">
      <x v="2"/>
    </i>
    <i i="3">
      <x v="3"/>
    </i>
    <i i="4">
      <x v="4"/>
    </i>
    <i i="5">
      <x v="5"/>
    </i>
  </colItems>
  <dataFields count="6">
    <dataField name="Sum of 1 - Most Deprived 20%" fld="1" baseField="0" baseItem="0"/>
    <dataField name="Sum of 2" fld="2" baseField="0" baseItem="0"/>
    <dataField name="Sum of 3" fld="3" baseField="0" baseItem="0"/>
    <dataField name="Sum of 4" fld="4" baseField="0" baseItem="0"/>
    <dataField name="Sum of 5 - Least Deprived 20%" fld="5" baseField="0" baseItem="0"/>
    <dataField name="Sum of All Scotland" fld="6"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52.xml><?xml version="1.0" encoding="utf-8"?>
<pivotTableDefinition xmlns="http://schemas.openxmlformats.org/spreadsheetml/2006/main" xmlns:mc="http://schemas.openxmlformats.org/markup-compatibility/2006" xmlns:xr="http://schemas.microsoft.com/office/spreadsheetml/2014/revision" mc:Ignorable="xr" xr:uid="{0E0FF3E6-60B8-4EBB-99FD-E8F5226F43E1}" name="PivotTable1" cacheId="211"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4:I17" firstHeaderRow="0" firstDataRow="1" firstDataCol="1"/>
  <pivotFields count="8">
    <pivotField axis="axisRow" showAll="0">
      <items count="13">
        <item x="0"/>
        <item x="1"/>
        <item x="2"/>
        <item x="3"/>
        <item x="4"/>
        <item x="5"/>
        <item x="6"/>
        <item x="7"/>
        <item x="8"/>
        <item x="9"/>
        <item x="10"/>
        <item x="11"/>
        <item t="default"/>
      </items>
    </pivotField>
    <pivotField dataField="1" showAll="0"/>
    <pivotField dataField="1" showAll="0"/>
    <pivotField dataField="1" showAll="0"/>
    <pivotField dataField="1" showAll="0"/>
    <pivotField dataField="1" showAll="0"/>
    <pivotField dataField="1" showAll="0"/>
    <pivotField dataField="1" showAll="0"/>
  </pivotFields>
  <rowFields count="1">
    <field x="0"/>
  </rowFields>
  <rowItems count="13">
    <i>
      <x/>
    </i>
    <i>
      <x v="1"/>
    </i>
    <i>
      <x v="2"/>
    </i>
    <i>
      <x v="3"/>
    </i>
    <i>
      <x v="4"/>
    </i>
    <i>
      <x v="5"/>
    </i>
    <i>
      <x v="6"/>
    </i>
    <i>
      <x v="7"/>
    </i>
    <i>
      <x v="8"/>
    </i>
    <i>
      <x v="9"/>
    </i>
    <i>
      <x v="10"/>
    </i>
    <i>
      <x v="11"/>
    </i>
    <i t="grand">
      <x/>
    </i>
  </rowItems>
  <colFields count="1">
    <field x="-2"/>
  </colFields>
  <colItems count="7">
    <i>
      <x/>
    </i>
    <i i="1">
      <x v="1"/>
    </i>
    <i i="2">
      <x v="2"/>
    </i>
    <i i="3">
      <x v="3"/>
    </i>
    <i i="4">
      <x v="4"/>
    </i>
    <i i="5">
      <x v="5"/>
    </i>
    <i i="6">
      <x v="6"/>
    </i>
  </colItems>
  <dataFields count="7">
    <dataField name="Sum of 1 - Most Deprived 20%" fld="1" baseField="0" baseItem="0"/>
    <dataField name="Sum of 2" fld="2" baseField="0" baseItem="0"/>
    <dataField name="Sum of 3" fld="3" baseField="0" baseItem="0"/>
    <dataField name="Sum of 4" fld="4" baseField="0" baseItem="0"/>
    <dataField name="Sum of 5 - Least Deprived 20%" fld="5" baseField="0" baseItem="0"/>
    <dataField name="Sum of NotKnown" fld="6" baseField="0" baseItem="0"/>
    <dataField name="Sum of All Scotland" fld="7"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53.xml><?xml version="1.0" encoding="utf-8"?>
<pivotTableDefinition xmlns="http://schemas.openxmlformats.org/spreadsheetml/2006/main" xmlns:mc="http://schemas.openxmlformats.org/markup-compatibility/2006" xmlns:xr="http://schemas.microsoft.com/office/spreadsheetml/2014/revision" mc:Ignorable="xr" xr:uid="{13EFFCDE-977F-423B-9A3E-9FCF92FAFAC1}" name="PivotTable7" cacheId="214"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25:H38" firstHeaderRow="0" firstDataRow="1" firstDataCol="1"/>
  <pivotFields count="7">
    <pivotField axis="axisRow" showAll="0">
      <items count="13">
        <item x="0"/>
        <item x="1"/>
        <item x="2"/>
        <item x="3"/>
        <item x="4"/>
        <item x="5"/>
        <item x="6"/>
        <item x="7"/>
        <item x="8"/>
        <item x="9"/>
        <item x="10"/>
        <item x="11"/>
        <item t="default"/>
      </items>
    </pivotField>
    <pivotField dataField="1" showAll="0"/>
    <pivotField dataField="1" showAll="0"/>
    <pivotField dataField="1" showAll="0"/>
    <pivotField dataField="1" showAll="0"/>
    <pivotField dataField="1" showAll="0"/>
    <pivotField dataField="1" showAll="0"/>
  </pivotFields>
  <rowFields count="1">
    <field x="0"/>
  </rowFields>
  <rowItems count="13">
    <i>
      <x/>
    </i>
    <i>
      <x v="1"/>
    </i>
    <i>
      <x v="2"/>
    </i>
    <i>
      <x v="3"/>
    </i>
    <i>
      <x v="4"/>
    </i>
    <i>
      <x v="5"/>
    </i>
    <i>
      <x v="6"/>
    </i>
    <i>
      <x v="7"/>
    </i>
    <i>
      <x v="8"/>
    </i>
    <i>
      <x v="9"/>
    </i>
    <i>
      <x v="10"/>
    </i>
    <i>
      <x v="11"/>
    </i>
    <i t="grand">
      <x/>
    </i>
  </rowItems>
  <colFields count="1">
    <field x="-2"/>
  </colFields>
  <colItems count="6">
    <i>
      <x/>
    </i>
    <i i="1">
      <x v="1"/>
    </i>
    <i i="2">
      <x v="2"/>
    </i>
    <i i="3">
      <x v="3"/>
    </i>
    <i i="4">
      <x v="4"/>
    </i>
    <i i="5">
      <x v="5"/>
    </i>
  </colItems>
  <dataFields count="6">
    <dataField name="Sum of 1 - Most Deprived 20%" fld="1" baseField="0" baseItem="0"/>
    <dataField name="Sum of 2" fld="2" baseField="0" baseItem="0"/>
    <dataField name="Sum of 3" fld="3" baseField="0" baseItem="0"/>
    <dataField name="Sum of 4" fld="4" baseField="0" baseItem="0"/>
    <dataField name="Sum of 5 - Least Deprived 20%" fld="5" baseField="0" baseItem="0"/>
    <dataField name="Sum of All Scotland" fld="6"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54.xml><?xml version="1.0" encoding="utf-8"?>
<pivotTableDefinition xmlns="http://schemas.openxmlformats.org/spreadsheetml/2006/main" xmlns:mc="http://schemas.openxmlformats.org/markup-compatibility/2006" xmlns:xr="http://schemas.microsoft.com/office/spreadsheetml/2014/revision" mc:Ignorable="xr" xr:uid="{60507500-49D3-40B6-AC48-B16858746B18}" name="PivotTable6" cacheId="215"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4:H17" firstHeaderRow="0" firstDataRow="1" firstDataCol="1"/>
  <pivotFields count="7">
    <pivotField axis="axisRow" showAll="0">
      <items count="13">
        <item x="0"/>
        <item x="1"/>
        <item x="2"/>
        <item x="3"/>
        <item x="4"/>
        <item x="5"/>
        <item x="6"/>
        <item x="7"/>
        <item x="8"/>
        <item x="9"/>
        <item x="10"/>
        <item x="11"/>
        <item t="default"/>
      </items>
    </pivotField>
    <pivotField dataField="1" showAll="0"/>
    <pivotField dataField="1" showAll="0"/>
    <pivotField dataField="1" showAll="0"/>
    <pivotField dataField="1" showAll="0"/>
    <pivotField dataField="1" showAll="0"/>
    <pivotField dataField="1" showAll="0"/>
  </pivotFields>
  <rowFields count="1">
    <field x="0"/>
  </rowFields>
  <rowItems count="13">
    <i>
      <x/>
    </i>
    <i>
      <x v="1"/>
    </i>
    <i>
      <x v="2"/>
    </i>
    <i>
      <x v="3"/>
    </i>
    <i>
      <x v="4"/>
    </i>
    <i>
      <x v="5"/>
    </i>
    <i>
      <x v="6"/>
    </i>
    <i>
      <x v="7"/>
    </i>
    <i>
      <x v="8"/>
    </i>
    <i>
      <x v="9"/>
    </i>
    <i>
      <x v="10"/>
    </i>
    <i>
      <x v="11"/>
    </i>
    <i t="grand">
      <x/>
    </i>
  </rowItems>
  <colFields count="1">
    <field x="-2"/>
  </colFields>
  <colItems count="6">
    <i>
      <x/>
    </i>
    <i i="1">
      <x v="1"/>
    </i>
    <i i="2">
      <x v="2"/>
    </i>
    <i i="3">
      <x v="3"/>
    </i>
    <i i="4">
      <x v="4"/>
    </i>
    <i i="5">
      <x v="5"/>
    </i>
  </colItems>
  <dataFields count="6">
    <dataField name="Sum of 1 - Most Deprived 20%" fld="1" baseField="0" baseItem="0"/>
    <dataField name="Sum of 2" fld="2" baseField="0" baseItem="0"/>
    <dataField name="Sum of 3" fld="3" baseField="0" baseItem="0"/>
    <dataField name="Sum of 4" fld="4" baseField="0" baseItem="0"/>
    <dataField name="Sum of 5 - Least Deprived 20%" fld="5" baseField="0" baseItem="0"/>
    <dataField name="Sum of All Scotland" fld="6"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55.xml><?xml version="1.0" encoding="utf-8"?>
<pivotTableDefinition xmlns="http://schemas.openxmlformats.org/spreadsheetml/2006/main" xmlns:mc="http://schemas.openxmlformats.org/markup-compatibility/2006" xmlns:xr="http://schemas.microsoft.com/office/spreadsheetml/2014/revision" mc:Ignorable="xr" xr:uid="{0ED2397E-0AB5-49FB-B5FE-92D55AA79CC7}" name="PivotTable1" cacheId="260"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4:I19" firstHeaderRow="1" firstDataRow="2" firstDataCol="1"/>
  <pivotFields count="7">
    <pivotField axis="axisRow" showAll="0">
      <items count="15">
        <item x="1"/>
        <item x="2"/>
        <item x="3"/>
        <item x="4"/>
        <item x="5"/>
        <item x="6"/>
        <item x="7"/>
        <item x="8"/>
        <item x="9"/>
        <item x="10"/>
        <item m="1" x="13"/>
        <item x="0"/>
        <item x="11"/>
        <item x="12"/>
        <item t="default"/>
      </items>
    </pivotField>
    <pivotField axis="axisCol" showAll="0">
      <items count="7">
        <item x="1"/>
        <item x="2"/>
        <item x="3"/>
        <item x="4"/>
        <item x="5"/>
        <item x="0"/>
        <item t="default"/>
      </items>
    </pivotField>
    <pivotField showAll="0"/>
    <pivotField showAll="0"/>
    <pivotField dataField="1" showAll="0"/>
    <pivotField showAll="0"/>
    <pivotField showAll="0"/>
  </pivotFields>
  <rowFields count="1">
    <field x="0"/>
  </rowFields>
  <rowItems count="14">
    <i>
      <x/>
    </i>
    <i>
      <x v="1"/>
    </i>
    <i>
      <x v="2"/>
    </i>
    <i>
      <x v="3"/>
    </i>
    <i>
      <x v="4"/>
    </i>
    <i>
      <x v="5"/>
    </i>
    <i>
      <x v="6"/>
    </i>
    <i>
      <x v="7"/>
    </i>
    <i>
      <x v="8"/>
    </i>
    <i>
      <x v="9"/>
    </i>
    <i>
      <x v="11"/>
    </i>
    <i>
      <x v="12"/>
    </i>
    <i>
      <x v="13"/>
    </i>
    <i t="grand">
      <x/>
    </i>
  </rowItems>
  <colFields count="1">
    <field x="1"/>
  </colFields>
  <colItems count="7">
    <i>
      <x/>
    </i>
    <i>
      <x v="1"/>
    </i>
    <i>
      <x v="2"/>
    </i>
    <i>
      <x v="3"/>
    </i>
    <i>
      <x v="4"/>
    </i>
    <i>
      <x v="5"/>
    </i>
    <i t="grand">
      <x/>
    </i>
  </colItems>
  <dataFields count="1">
    <dataField name="Sum of pcAlarmsFitted" fld="4"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56.xml><?xml version="1.0" encoding="utf-8"?>
<pivotTableDefinition xmlns="http://schemas.openxmlformats.org/spreadsheetml/2006/main" xmlns:mc="http://schemas.openxmlformats.org/markup-compatibility/2006" xmlns:xr="http://schemas.microsoft.com/office/spreadsheetml/2014/revision" mc:Ignorable="xr" xr:uid="{2FCA0BB9-8173-4BC6-98F2-EE51B687B98D}" name="PivotTable1" cacheId="219"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4:I17" firstHeaderRow="0" firstDataRow="1" firstDataCol="1"/>
  <pivotFields count="8">
    <pivotField axis="axisRow" showAll="0">
      <items count="14">
        <item x="0"/>
        <item x="1"/>
        <item x="2"/>
        <item x="3"/>
        <item x="4"/>
        <item x="5"/>
        <item x="6"/>
        <item x="7"/>
        <item x="8"/>
        <item x="9"/>
        <item m="1" x="12"/>
        <item x="10"/>
        <item x="11"/>
        <item t="default"/>
      </items>
    </pivotField>
    <pivotField dataField="1" showAll="0"/>
    <pivotField dataField="1" showAll="0"/>
    <pivotField dataField="1" showAll="0"/>
    <pivotField dataField="1" showAll="0"/>
    <pivotField dataField="1" showAll="0"/>
    <pivotField dataField="1" showAll="0"/>
    <pivotField dataField="1" showAll="0"/>
  </pivotFields>
  <rowFields count="1">
    <field x="0"/>
  </rowFields>
  <rowItems count="13">
    <i>
      <x/>
    </i>
    <i>
      <x v="1"/>
    </i>
    <i>
      <x v="2"/>
    </i>
    <i>
      <x v="3"/>
    </i>
    <i>
      <x v="4"/>
    </i>
    <i>
      <x v="5"/>
    </i>
    <i>
      <x v="6"/>
    </i>
    <i>
      <x v="7"/>
    </i>
    <i>
      <x v="8"/>
    </i>
    <i>
      <x v="9"/>
    </i>
    <i>
      <x v="11"/>
    </i>
    <i>
      <x v="12"/>
    </i>
    <i t="grand">
      <x/>
    </i>
  </rowItems>
  <colFields count="1">
    <field x="-2"/>
  </colFields>
  <colItems count="7">
    <i>
      <x/>
    </i>
    <i i="1">
      <x v="1"/>
    </i>
    <i i="2">
      <x v="2"/>
    </i>
    <i i="3">
      <x v="3"/>
    </i>
    <i i="4">
      <x v="4"/>
    </i>
    <i i="5">
      <x v="5"/>
    </i>
    <i i="6">
      <x v="6"/>
    </i>
  </colItems>
  <dataFields count="7">
    <dataField name="Sum of 1 - Large Urban Areas" fld="1" baseField="0" baseItem="0"/>
    <dataField name="Sum of 2 - Other Urban Areas" fld="2" baseField="0" baseItem="0"/>
    <dataField name="Sum of 3 - Accessible Small Towns" fld="3" baseField="0" baseItem="0"/>
    <dataField name="Sum of 4 - Remote Small Towns" fld="4" baseField="0" baseItem="0"/>
    <dataField name="Sum of 5 - Accessible Rural" fld="5" baseField="0" baseItem="0"/>
    <dataField name="Sum of 6 - Remote Rural" fld="6" baseField="0" baseItem="0"/>
    <dataField name="Sum of All Scotland" fld="7"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57.xml><?xml version="1.0" encoding="utf-8"?>
<pivotTableDefinition xmlns="http://schemas.openxmlformats.org/spreadsheetml/2006/main" xmlns:mc="http://schemas.openxmlformats.org/markup-compatibility/2006" xmlns:xr="http://schemas.microsoft.com/office/spreadsheetml/2014/revision" mc:Ignorable="xr" xr:uid="{7ADBF825-F45E-4ABC-BA23-581C58341733}" name="PivotTable2" cacheId="220"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25:I38" firstHeaderRow="0" firstDataRow="1" firstDataCol="1"/>
  <pivotFields count="8">
    <pivotField axis="axisRow" showAll="0">
      <items count="14">
        <item x="10"/>
        <item x="8"/>
        <item x="5"/>
        <item x="3"/>
        <item x="6"/>
        <item x="4"/>
        <item x="7"/>
        <item x="9"/>
        <item x="2"/>
        <item x="0"/>
        <item m="1" x="12"/>
        <item x="1"/>
        <item x="11"/>
        <item t="default"/>
      </items>
    </pivotField>
    <pivotField dataField="1" showAll="0"/>
    <pivotField dataField="1" showAll="0"/>
    <pivotField dataField="1" showAll="0"/>
    <pivotField dataField="1" showAll="0"/>
    <pivotField dataField="1" showAll="0"/>
    <pivotField dataField="1" showAll="0"/>
    <pivotField dataField="1" showAll="0"/>
  </pivotFields>
  <rowFields count="1">
    <field x="0"/>
  </rowFields>
  <rowItems count="13">
    <i>
      <x/>
    </i>
    <i>
      <x v="1"/>
    </i>
    <i>
      <x v="2"/>
    </i>
    <i>
      <x v="3"/>
    </i>
    <i>
      <x v="4"/>
    </i>
    <i>
      <x v="5"/>
    </i>
    <i>
      <x v="6"/>
    </i>
    <i>
      <x v="7"/>
    </i>
    <i>
      <x v="8"/>
    </i>
    <i>
      <x v="9"/>
    </i>
    <i>
      <x v="11"/>
    </i>
    <i>
      <x v="12"/>
    </i>
    <i t="grand">
      <x/>
    </i>
  </rowItems>
  <colFields count="1">
    <field x="-2"/>
  </colFields>
  <colItems count="7">
    <i>
      <x/>
    </i>
    <i i="1">
      <x v="1"/>
    </i>
    <i i="2">
      <x v="2"/>
    </i>
    <i i="3">
      <x v="3"/>
    </i>
    <i i="4">
      <x v="4"/>
    </i>
    <i i="5">
      <x v="5"/>
    </i>
    <i i="6">
      <x v="6"/>
    </i>
  </colItems>
  <dataFields count="7">
    <dataField name="Sum of 2 - Other Urban Areas" fld="2" baseField="0" baseItem="0"/>
    <dataField name="Sum of 1 - Large Urban Areas" fld="1" baseField="0" baseItem="0"/>
    <dataField name="Sum of 3 - Accessible Small Towns" fld="3" baseField="0" baseItem="0"/>
    <dataField name="Sum of 4 - Remote Small Towns" fld="4" baseField="0" baseItem="0"/>
    <dataField name="Sum of 5 - Accessible Rural" fld="5" baseField="0" baseItem="0"/>
    <dataField name="Sum of 6 - Remote Rural" fld="6" baseField="0" baseItem="0"/>
    <dataField name="Sum of All Scotland" fld="7"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58.xml><?xml version="1.0" encoding="utf-8"?>
<pivotTableDefinition xmlns="http://schemas.openxmlformats.org/spreadsheetml/2006/main" xmlns:mc="http://schemas.openxmlformats.org/markup-compatibility/2006" xmlns:xr="http://schemas.microsoft.com/office/spreadsheetml/2014/revision" mc:Ignorable="xr" xr:uid="{DA7AF991-2F5D-4194-B8B3-97DEC1614D76}" name="PivotTable1" cacheId="259"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3:N36" firstHeaderRow="0" firstDataRow="1" firstDataCol="1" rowPageCount="1" colPageCount="1"/>
  <pivotFields count="15">
    <pivotField axis="axisPage" showAll="0">
      <items count="14">
        <item x="0"/>
        <item x="1"/>
        <item x="2"/>
        <item x="3"/>
        <item x="4"/>
        <item x="5"/>
        <item x="6"/>
        <item x="7"/>
        <item x="8"/>
        <item x="9"/>
        <item x="10"/>
        <item x="11"/>
        <item x="12"/>
        <item t="default"/>
      </items>
    </pivotField>
    <pivotField axis="axisRow" showAll="0">
      <items count="35">
        <item x="9"/>
        <item x="5"/>
        <item x="0"/>
        <item x="1"/>
        <item x="2"/>
        <item x="15"/>
        <item x="3"/>
        <item x="10"/>
        <item x="11"/>
        <item x="4"/>
        <item x="19"/>
        <item x="16"/>
        <item x="12"/>
        <item x="13"/>
        <item x="23"/>
        <item x="20"/>
        <item x="24"/>
        <item x="14"/>
        <item x="17"/>
        <item x="21"/>
        <item x="25"/>
        <item x="18"/>
        <item m="1" x="32"/>
        <item x="6"/>
        <item x="7"/>
        <item x="22"/>
        <item x="27"/>
        <item x="26"/>
        <item x="8"/>
        <item x="29"/>
        <item x="28"/>
        <item x="30"/>
        <item x="31"/>
        <item m="1" x="33"/>
        <item t="default"/>
      </items>
    </pivotField>
    <pivotField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s>
  <rowFields count="1">
    <field x="1"/>
  </rowFields>
  <rowItems count="33">
    <i>
      <x/>
    </i>
    <i>
      <x v="1"/>
    </i>
    <i>
      <x v="2"/>
    </i>
    <i>
      <x v="3"/>
    </i>
    <i>
      <x v="4"/>
    </i>
    <i>
      <x v="5"/>
    </i>
    <i>
      <x v="6"/>
    </i>
    <i>
      <x v="7"/>
    </i>
    <i>
      <x v="8"/>
    </i>
    <i>
      <x v="9"/>
    </i>
    <i>
      <x v="10"/>
    </i>
    <i>
      <x v="11"/>
    </i>
    <i>
      <x v="12"/>
    </i>
    <i>
      <x v="13"/>
    </i>
    <i>
      <x v="14"/>
    </i>
    <i>
      <x v="15"/>
    </i>
    <i>
      <x v="16"/>
    </i>
    <i>
      <x v="17"/>
    </i>
    <i>
      <x v="18"/>
    </i>
    <i>
      <x v="19"/>
    </i>
    <i>
      <x v="20"/>
    </i>
    <i>
      <x v="21"/>
    </i>
    <i>
      <x v="23"/>
    </i>
    <i>
      <x v="24"/>
    </i>
    <i>
      <x v="25"/>
    </i>
    <i>
      <x v="26"/>
    </i>
    <i>
      <x v="27"/>
    </i>
    <i>
      <x v="28"/>
    </i>
    <i>
      <x v="29"/>
    </i>
    <i>
      <x v="30"/>
    </i>
    <i>
      <x v="31"/>
    </i>
    <i>
      <x v="32"/>
    </i>
    <i t="grand">
      <x/>
    </i>
  </rowItems>
  <colFields count="1">
    <field x="-2"/>
  </colFields>
  <colItems count="12">
    <i>
      <x/>
    </i>
    <i i="1">
      <x v="1"/>
    </i>
    <i i="2">
      <x v="2"/>
    </i>
    <i i="3">
      <x v="3"/>
    </i>
    <i i="4">
      <x v="4"/>
    </i>
    <i i="5">
      <x v="5"/>
    </i>
    <i i="6">
      <x v="6"/>
    </i>
    <i i="7">
      <x v="7"/>
    </i>
    <i i="8">
      <x v="8"/>
    </i>
    <i i="9">
      <x v="9"/>
    </i>
    <i i="10">
      <x v="10"/>
    </i>
    <i i="11">
      <x v="11"/>
    </i>
  </colItems>
  <pageFields count="1">
    <pageField fld="0" item="12" hier="-1"/>
  </pageFields>
  <dataFields count="12">
    <dataField name="Sum of HFSV - alarms installed" fld="3" baseField="0" baseItem="0"/>
    <dataField name="Sum of HFSV - advice only" fld="4" baseField="1" baseItem="0"/>
    <dataField name="Sum of Total HFSV" fld="5" baseField="1" baseItem="0"/>
    <dataField name="Sum of TotalNewAlarms" fld="6" baseField="1" baseItem="0"/>
    <dataField name="Sum of TotalReplacedAlarms" fld="7" baseField="1" baseItem="0"/>
    <dataField name="Sum of TotalAlarms" fld="8" baseField="1" baseItem="0"/>
    <dataField name="Sum of Dwellings" fld="9" baseField="0" baseItem="0"/>
    <dataField name="Sum of VisitsPer100Dwelling" fld="10" baseField="0" baseItem="0"/>
    <dataField name="Sum of AlarmsPer100Dwelling" fld="11" baseField="0" baseItem="0"/>
    <dataField name="Sum of Households" fld="12" baseField="0" baseItem="0"/>
    <dataField name="Sum of VisitsPer100Household" fld="13" baseField="0" baseItem="0"/>
    <dataField name="Sum of AlarmsPer100Household" fld="14"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59.xml><?xml version="1.0" encoding="utf-8"?>
<pivotTableDefinition xmlns="http://schemas.openxmlformats.org/spreadsheetml/2006/main" xmlns:mc="http://schemas.openxmlformats.org/markup-compatibility/2006" xmlns:xr="http://schemas.microsoft.com/office/spreadsheetml/2014/revision" mc:Ignorable="xr" xr:uid="{FA38D720-6CB8-4365-991E-E51CE2C5C18C}" name="PivotTable7" cacheId="251"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I4:J12" firstHeaderRow="1" firstDataRow="1" firstDataCol="1"/>
  <pivotFields count="2">
    <pivotField axis="axisRow" showAll="0">
      <items count="8">
        <item x="0"/>
        <item x="1"/>
        <item x="2"/>
        <item x="3"/>
        <item x="4"/>
        <item x="5"/>
        <item x="6"/>
        <item t="default"/>
      </items>
    </pivotField>
    <pivotField dataField="1" showAll="0"/>
  </pivotFields>
  <rowFields count="1">
    <field x="0"/>
  </rowFields>
  <rowItems count="8">
    <i>
      <x/>
    </i>
    <i>
      <x v="1"/>
    </i>
    <i>
      <x v="2"/>
    </i>
    <i>
      <x v="3"/>
    </i>
    <i>
      <x v="4"/>
    </i>
    <i>
      <x v="5"/>
    </i>
    <i>
      <x v="6"/>
    </i>
    <i t="grand">
      <x/>
    </i>
  </rowItems>
  <colItems count="1">
    <i/>
  </colItems>
  <dataFields count="1">
    <dataField name="Sum of Count" fld="1"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60.xml><?xml version="1.0" encoding="utf-8"?>
<pivotTableDefinition xmlns="http://schemas.openxmlformats.org/spreadsheetml/2006/main" xmlns:mc="http://schemas.openxmlformats.org/markup-compatibility/2006" xmlns:xr="http://schemas.microsoft.com/office/spreadsheetml/2014/revision" mc:Ignorable="xr" xr:uid="{5B2C1689-95DB-436E-89E9-DF24754D63A4}" name="PivotTable6" cacheId="250"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4:F17" firstHeaderRow="0" firstDataRow="1" firstDataCol="1"/>
  <pivotFields count="5">
    <pivotField axis="axisRow" showAll="0">
      <items count="13">
        <item x="0"/>
        <item x="1"/>
        <item x="2"/>
        <item x="3"/>
        <item x="4"/>
        <item x="5"/>
        <item x="6"/>
        <item x="7"/>
        <item x="8"/>
        <item x="9"/>
        <item x="10"/>
        <item x="11"/>
        <item t="default"/>
      </items>
    </pivotField>
    <pivotField dataField="1" showAll="0"/>
    <pivotField dataField="1" showAll="0"/>
    <pivotField dataField="1" showAll="0"/>
    <pivotField dataField="1" showAll="0"/>
  </pivotFields>
  <rowFields count="1">
    <field x="0"/>
  </rowFields>
  <rowItems count="13">
    <i>
      <x/>
    </i>
    <i>
      <x v="1"/>
    </i>
    <i>
      <x v="2"/>
    </i>
    <i>
      <x v="3"/>
    </i>
    <i>
      <x v="4"/>
    </i>
    <i>
      <x v="5"/>
    </i>
    <i>
      <x v="6"/>
    </i>
    <i>
      <x v="7"/>
    </i>
    <i>
      <x v="8"/>
    </i>
    <i>
      <x v="9"/>
    </i>
    <i>
      <x v="10"/>
    </i>
    <i>
      <x v="11"/>
    </i>
    <i t="grand">
      <x/>
    </i>
  </rowItems>
  <colFields count="1">
    <field x="-2"/>
  </colFields>
  <colItems count="4">
    <i>
      <x/>
    </i>
    <i i="1">
      <x v="1"/>
    </i>
    <i i="2">
      <x v="2"/>
    </i>
    <i i="3">
      <x v="3"/>
    </i>
  </colItems>
  <dataFields count="4">
    <dataField name="Sum of Audits" fld="1" baseField="0" baseItem="0"/>
    <dataField name="Sum of Post Fire Short Audits" fld="2" baseField="0" baseItem="0"/>
    <dataField name="Sum of Site Visits" fld="3" baseField="0" baseItem="0"/>
    <dataField name="Sum of Consultations" fld="4"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61.xml><?xml version="1.0" encoding="utf-8"?>
<pivotTableDefinition xmlns="http://schemas.openxmlformats.org/spreadsheetml/2006/main" xmlns:mc="http://schemas.openxmlformats.org/markup-compatibility/2006" xmlns:xr="http://schemas.microsoft.com/office/spreadsheetml/2014/revision" mc:Ignorable="xr" xr:uid="{177B7E06-B5AE-491D-9B93-BD67191823DC}" name="PivotTable8" cacheId="249"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4:T20" firstHeaderRow="0" firstDataRow="1" firstDataCol="1"/>
  <pivotFields count="22">
    <pivotField showAll="0"/>
    <pivotField axis="axisRow" showAll="0">
      <items count="16">
        <item x="1"/>
        <item x="5"/>
        <item x="10"/>
        <item x="7"/>
        <item x="11"/>
        <item x="12"/>
        <item x="6"/>
        <item x="13"/>
        <item x="8"/>
        <item x="2"/>
        <item x="9"/>
        <item x="0"/>
        <item x="3"/>
        <item x="14"/>
        <item x="4"/>
        <item t="default"/>
      </items>
    </pivotField>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ragToRow="0" dragToCol="0" dragToPage="0" showAll="0" defaultSubtotal="0"/>
    <pivotField dragToRow="0" dragToCol="0" dragToPage="0" showAll="0" defaultSubtotal="0"/>
  </pivotFields>
  <rowFields count="1">
    <field x="1"/>
  </rowFields>
  <rowItems count="16">
    <i>
      <x/>
    </i>
    <i>
      <x v="1"/>
    </i>
    <i>
      <x v="2"/>
    </i>
    <i>
      <x v="3"/>
    </i>
    <i>
      <x v="4"/>
    </i>
    <i>
      <x v="5"/>
    </i>
    <i>
      <x v="6"/>
    </i>
    <i>
      <x v="7"/>
    </i>
    <i>
      <x v="8"/>
    </i>
    <i>
      <x v="9"/>
    </i>
    <i>
      <x v="10"/>
    </i>
    <i>
      <x v="11"/>
    </i>
    <i>
      <x v="12"/>
    </i>
    <i>
      <x v="13"/>
    </i>
    <i>
      <x v="14"/>
    </i>
    <i t="grand">
      <x/>
    </i>
  </rowItems>
  <colFields count="1">
    <field x="-2"/>
  </colFields>
  <colItems count="18">
    <i>
      <x/>
    </i>
    <i i="1">
      <x v="1"/>
    </i>
    <i i="2">
      <x v="2"/>
    </i>
    <i i="3">
      <x v="3"/>
    </i>
    <i i="4">
      <x v="4"/>
    </i>
    <i i="5">
      <x v="5"/>
    </i>
    <i i="6">
      <x v="6"/>
    </i>
    <i i="7">
      <x v="7"/>
    </i>
    <i i="8">
      <x v="8"/>
    </i>
    <i i="9">
      <x v="9"/>
    </i>
    <i i="10">
      <x v="10"/>
    </i>
    <i i="11">
      <x v="11"/>
    </i>
    <i i="12">
      <x v="12"/>
    </i>
    <i i="13">
      <x v="13"/>
    </i>
    <i i="14">
      <x v="14"/>
    </i>
    <i i="15">
      <x v="15"/>
    </i>
    <i i="16">
      <x v="16"/>
    </i>
    <i i="17">
      <x v="17"/>
    </i>
  </colItems>
  <dataFields count="18">
    <dataField name="Sum of 2009-10" fld="3" baseField="0" baseItem="0"/>
    <dataField name="Sum of 2010-11" fld="4" baseField="0" baseItem="0"/>
    <dataField name="Sum of 2011-12" fld="5" baseField="0" baseItem="0"/>
    <dataField name="Sum of 2012-13" fld="6" baseField="0" baseItem="0"/>
    <dataField name="Sum of 2013-14" fld="7" baseField="0" baseItem="0"/>
    <dataField name="Sum of 2014-15" fld="8" baseField="0" baseItem="0"/>
    <dataField name="Sum of 2015-16" fld="9" baseField="0" baseItem="0"/>
    <dataField name="Sum of 2016-17" fld="10" baseField="0" baseItem="0"/>
    <dataField name="Sum of 2017-18" fld="11" baseField="0" baseItem="0"/>
    <dataField name="Sum of 2018-19" fld="12" baseField="0" baseItem="0"/>
    <dataField name="Sum of 2019-20" fld="13" baseField="0" baseItem="0"/>
    <dataField name="Sum of 2020-21" fld="14" baseField="0" baseItem="0"/>
    <dataField name="Sum of 2021-22" fld="15" baseField="0" baseItem="0"/>
    <dataField name="Sum of 2022-23" fld="16" baseField="0" baseItem="0"/>
    <dataField name="Sum of 2023-24" fld="17" baseField="0" baseItem="0"/>
    <dataField name="Sum of 2024-25" fld="18" baseField="0" baseItem="0"/>
    <dataField name="Sum of 2025-26" fld="19" baseField="0" baseItem="0"/>
    <dataField name="Sum of Total" fld="2"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62.xml><?xml version="1.0" encoding="utf-8"?>
<pivotTableDefinition xmlns="http://schemas.openxmlformats.org/spreadsheetml/2006/main" xmlns:mc="http://schemas.openxmlformats.org/markup-compatibility/2006" xmlns:xr="http://schemas.microsoft.com/office/spreadsheetml/2014/revision" mc:Ignorable="xr" xr:uid="{F8754FA9-8C39-4F80-BB70-18B47152BB4D}" name="PivotTable9" cacheId="209"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4:Q37" firstHeaderRow="0" firstDataRow="1" firstDataCol="1" rowPageCount="1" colPageCount="1"/>
  <pivotFields count="18">
    <pivotField axis="axisPage" showAll="0">
      <items count="13">
        <item x="0"/>
        <item x="1"/>
        <item x="2"/>
        <item x="3"/>
        <item x="4"/>
        <item x="5"/>
        <item x="6"/>
        <item x="7"/>
        <item x="8"/>
        <item x="9"/>
        <item x="10"/>
        <item x="11"/>
        <item t="default"/>
      </items>
    </pivotField>
    <pivotField axis="axisRow" showAll="0">
      <items count="34">
        <item x="5"/>
        <item x="6"/>
        <item x="19"/>
        <item x="14"/>
        <item x="22"/>
        <item x="30"/>
        <item x="20"/>
        <item x="15"/>
        <item x="23"/>
        <item x="0"/>
        <item x="7"/>
        <item x="8"/>
        <item x="31"/>
        <item x="26"/>
        <item x="25"/>
        <item x="9"/>
        <item x="10"/>
        <item x="1"/>
        <item x="16"/>
        <item x="24"/>
        <item x="2"/>
        <item x="11"/>
        <item x="17"/>
        <item x="28"/>
        <item x="3"/>
        <item x="4"/>
        <item x="12"/>
        <item x="29"/>
        <item x="21"/>
        <item x="27"/>
        <item x="18"/>
        <item x="13"/>
        <item x="32"/>
        <item t="default"/>
      </items>
    </pivotField>
    <pivotField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 dataField="1" showAll="0"/>
  </pivotFields>
  <rowFields count="1">
    <field x="1"/>
  </rowFields>
  <rowItems count="33">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t="grand">
      <x/>
    </i>
  </rowItems>
  <colFields count="1">
    <field x="-2"/>
  </colFields>
  <colItems count="15">
    <i>
      <x/>
    </i>
    <i i="1">
      <x v="1"/>
    </i>
    <i i="2">
      <x v="2"/>
    </i>
    <i i="3">
      <x v="3"/>
    </i>
    <i i="4">
      <x v="4"/>
    </i>
    <i i="5">
      <x v="5"/>
    </i>
    <i i="6">
      <x v="6"/>
    </i>
    <i i="7">
      <x v="7"/>
    </i>
    <i i="8">
      <x v="8"/>
    </i>
    <i i="9">
      <x v="9"/>
    </i>
    <i i="10">
      <x v="10"/>
    </i>
    <i i="11">
      <x v="11"/>
    </i>
    <i i="12">
      <x v="12"/>
    </i>
    <i i="13">
      <x v="13"/>
    </i>
    <i i="14">
      <x v="14"/>
    </i>
  </colItems>
  <pageFields count="1">
    <pageField fld="0" item="11" hier="-1"/>
  </pageFields>
  <dataFields count="15">
    <dataField name="Sum of Hospital / Prison" fld="3" baseField="0" baseItem="0"/>
    <dataField name="Sum of Care Home" fld="4" baseField="0" baseItem="0"/>
    <dataField name="Sum of HMO" fld="5" baseField="0" baseItem="0"/>
    <dataField name="Sum of Hostel" fld="6" baseField="0" baseItem="0"/>
    <dataField name="Sum of Hotel" fld="7" baseField="0" baseItem="0"/>
    <dataField name="Sum of Other Sleeping Accomm" fld="8" baseField="0" baseItem="0"/>
    <dataField name="Sum of Further Education" fld="9" baseField="0" baseItem="0"/>
    <dataField name="Sum of Public Building" fld="10" baseField="0" baseItem="0"/>
    <dataField name="Sum of Licensed Premises" fld="11" baseField="0" baseItem="0"/>
    <dataField name="Sum of School" fld="12" baseField="0" baseItem="0"/>
    <dataField name="Sum of Shop" fld="13" baseField="0" baseItem="0"/>
    <dataField name="Sum of Other Premises Open to Public" fld="14" baseField="0" baseItem="0"/>
    <dataField name="Sum of Factory or Warehouse" fld="15" baseField="0" baseItem="0"/>
    <dataField name="Sum of Office" fld="16" baseField="0" baseItem="0"/>
    <dataField name="Sum of Other Workplace" fld="17"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63.xml><?xml version="1.0" encoding="utf-8"?>
<pivotTableDefinition xmlns="http://schemas.openxmlformats.org/spreadsheetml/2006/main" xmlns:mc="http://schemas.openxmlformats.org/markup-compatibility/2006" xmlns:xr="http://schemas.microsoft.com/office/spreadsheetml/2014/revision" mc:Ignorable="xr" xr:uid="{CE041AE0-99D0-47D3-9C52-74313FF25241}" name="PivotTable11" cacheId="253"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4:J20" firstHeaderRow="0" firstDataRow="1" firstDataCol="1" rowPageCount="1" colPageCount="1"/>
  <pivotFields count="11">
    <pivotField axis="axisPage" showAll="0">
      <items count="13">
        <item x="0"/>
        <item x="1"/>
        <item x="2"/>
        <item x="3"/>
        <item x="4"/>
        <item x="5"/>
        <item x="6"/>
        <item x="7"/>
        <item x="8"/>
        <item x="9"/>
        <item x="10"/>
        <item x="11"/>
        <item t="default"/>
      </items>
    </pivotField>
    <pivotField showAll="0"/>
    <pivotField axis="axisRow" showAll="0">
      <items count="16">
        <item x="14"/>
        <item x="11"/>
        <item x="2"/>
        <item x="12"/>
        <item x="0"/>
        <item x="8"/>
        <item x="10"/>
        <item x="3"/>
        <item x="4"/>
        <item x="5"/>
        <item x="1"/>
        <item x="9"/>
        <item x="6"/>
        <item x="7"/>
        <item x="13"/>
        <item t="default"/>
      </items>
    </pivotField>
    <pivotField dataField="1" showAll="0"/>
    <pivotField dataField="1" showAll="0"/>
    <pivotField dataField="1" showAll="0"/>
    <pivotField dataField="1" showAll="0"/>
    <pivotField dataField="1" showAll="0"/>
    <pivotField dataField="1" showAll="0"/>
    <pivotField dataField="1" showAll="0"/>
    <pivotField dataField="1" showAll="0"/>
  </pivotFields>
  <rowFields count="1">
    <field x="2"/>
  </rowFields>
  <rowItems count="16">
    <i>
      <x/>
    </i>
    <i>
      <x v="1"/>
    </i>
    <i>
      <x v="2"/>
    </i>
    <i>
      <x v="3"/>
    </i>
    <i>
      <x v="4"/>
    </i>
    <i>
      <x v="5"/>
    </i>
    <i>
      <x v="6"/>
    </i>
    <i>
      <x v="7"/>
    </i>
    <i>
      <x v="8"/>
    </i>
    <i>
      <x v="9"/>
    </i>
    <i>
      <x v="10"/>
    </i>
    <i>
      <x v="11"/>
    </i>
    <i>
      <x v="12"/>
    </i>
    <i>
      <x v="13"/>
    </i>
    <i>
      <x v="14"/>
    </i>
    <i t="grand">
      <x/>
    </i>
  </rowItems>
  <colFields count="1">
    <field x="-2"/>
  </colFields>
  <colItems count="8">
    <i>
      <x/>
    </i>
    <i i="1">
      <x v="1"/>
    </i>
    <i i="2">
      <x v="2"/>
    </i>
    <i i="3">
      <x v="3"/>
    </i>
    <i i="4">
      <x v="4"/>
    </i>
    <i i="5">
      <x v="5"/>
    </i>
    <i i="6">
      <x v="6"/>
    </i>
    <i i="7">
      <x v="7"/>
    </i>
  </colItems>
  <pageFields count="1">
    <pageField fld="0" item="11" hier="-1"/>
  </pageFields>
  <dataFields count="8">
    <dataField name="Sum of A_Tally" fld="3" baseField="0" baseItem="0"/>
    <dataField name="Sum of A_Hours" fld="4" baseField="0" baseItem="0"/>
    <dataField name="Sum of B_Tally" fld="5" baseField="0" baseItem="0"/>
    <dataField name="Sum of B_Hours" fld="6" baseField="0" baseItem="0"/>
    <dataField name="Sum of Enforcement_Tally" fld="7" baseField="0" baseItem="0"/>
    <dataField name="Sum of Enforcement_Hours" fld="8" baseField="0" baseItem="0"/>
    <dataField name="Sum of Prohibition_Tally" fld="9" baseField="0" baseItem="0"/>
    <dataField name="Sum of Prohibition_Hours" fld="10"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64.xml><?xml version="1.0" encoding="utf-8"?>
<pivotTableDefinition xmlns="http://schemas.openxmlformats.org/spreadsheetml/2006/main" xmlns:mc="http://schemas.openxmlformats.org/markup-compatibility/2006" xmlns:xr="http://schemas.microsoft.com/office/spreadsheetml/2014/revision" mc:Ignorable="xr" xr:uid="{CCE30C21-04F7-4454-AFCA-B1551A8D569F}" name="PivotTable10" cacheId="252"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4:J22" firstHeaderRow="0" firstDataRow="1" firstDataCol="1"/>
  <pivotFields count="9">
    <pivotField axis="axisRow" showAll="0">
      <items count="18">
        <item x="0"/>
        <item x="1"/>
        <item x="2"/>
        <item x="3"/>
        <item x="4"/>
        <item x="5"/>
        <item x="6"/>
        <item x="7"/>
        <item x="8"/>
        <item x="9"/>
        <item x="10"/>
        <item x="11"/>
        <item x="12"/>
        <item x="13"/>
        <item x="14"/>
        <item x="15"/>
        <item x="16"/>
        <item t="default"/>
      </items>
    </pivotField>
    <pivotField dataField="1" showAll="0"/>
    <pivotField dataField="1" showAll="0"/>
    <pivotField dataField="1" showAll="0"/>
    <pivotField dataField="1" showAll="0"/>
    <pivotField dataField="1" showAll="0"/>
    <pivotField dataField="1" showAll="0"/>
    <pivotField dataField="1" showAll="0"/>
    <pivotField dataField="1" showAll="0"/>
  </pivotFields>
  <rowFields count="1">
    <field x="0"/>
  </rowFields>
  <rowItems count="18">
    <i>
      <x/>
    </i>
    <i>
      <x v="1"/>
    </i>
    <i>
      <x v="2"/>
    </i>
    <i>
      <x v="3"/>
    </i>
    <i>
      <x v="4"/>
    </i>
    <i>
      <x v="5"/>
    </i>
    <i>
      <x v="6"/>
    </i>
    <i>
      <x v="7"/>
    </i>
    <i>
      <x v="8"/>
    </i>
    <i>
      <x v="9"/>
    </i>
    <i>
      <x v="10"/>
    </i>
    <i>
      <x v="11"/>
    </i>
    <i>
      <x v="12"/>
    </i>
    <i>
      <x v="13"/>
    </i>
    <i>
      <x v="14"/>
    </i>
    <i>
      <x v="15"/>
    </i>
    <i>
      <x v="16"/>
    </i>
    <i t="grand">
      <x/>
    </i>
  </rowItems>
  <colFields count="1">
    <field x="-2"/>
  </colFields>
  <colItems count="8">
    <i>
      <x/>
    </i>
    <i i="1">
      <x v="1"/>
    </i>
    <i i="2">
      <x v="2"/>
    </i>
    <i i="3">
      <x v="3"/>
    </i>
    <i i="4">
      <x v="4"/>
    </i>
    <i i="5">
      <x v="5"/>
    </i>
    <i i="6">
      <x v="6"/>
    </i>
    <i i="7">
      <x v="7"/>
    </i>
  </colItems>
  <dataFields count="8">
    <dataField name="Sum of A_Tally" fld="1" baseField="0" baseItem="0"/>
    <dataField name="Sum of A_Hours" fld="2" baseField="0" baseItem="0"/>
    <dataField name="Sum of B_Tally" fld="3" baseField="0" baseItem="0"/>
    <dataField name="Sum of B_Hours" fld="4" baseField="0" baseItem="0"/>
    <dataField name="Sum of Enforcement_Tally" fld="5" baseField="0" baseItem="0"/>
    <dataField name="Sum of Enforcement_Hours" fld="6" baseField="0" baseItem="0"/>
    <dataField name="Sum of Prohibition_Tally" fld="7" baseField="0" baseItem="0"/>
    <dataField name="Sum of Prohibition_Hours" fld="8"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65.xml><?xml version="1.0" encoding="utf-8"?>
<pivotTableDefinition xmlns="http://schemas.openxmlformats.org/spreadsheetml/2006/main" xmlns:mc="http://schemas.openxmlformats.org/markup-compatibility/2006" xmlns:xr="http://schemas.microsoft.com/office/spreadsheetml/2014/revision" mc:Ignorable="xr" xr:uid="{00000000-0007-0000-AA00-000000000000}" name="PivotTable3" cacheId="210" applyNumberFormats="0" applyBorderFormats="0" applyFontFormats="0" applyPatternFormats="0" applyAlignmentFormats="0" applyWidthHeightFormats="1" dataCaption="Values" updatedVersion="8" minRefreshableVersion="3" useAutoFormatting="1" itemPrintTitles="1" createdVersion="6" indent="0" outline="1" outlineData="1" multipleFieldFilters="0">
  <location ref="A3:I36" firstHeaderRow="0" firstDataRow="1" firstDataCol="1" rowPageCount="1" colPageCount="1"/>
  <pivotFields count="11">
    <pivotField name="Year" axis="axisPage" subtotalTop="0" showAll="0">
      <items count="14">
        <item m="1" x="12"/>
        <item x="0"/>
        <item x="1"/>
        <item x="2"/>
        <item x="3"/>
        <item x="4"/>
        <item x="5"/>
        <item x="6"/>
        <item x="7"/>
        <item x="8"/>
        <item x="9"/>
        <item x="10"/>
        <item x="11"/>
        <item t="default"/>
      </items>
    </pivotField>
    <pivotField axis="axisRow" subtotalTop="0" showAll="0">
      <items count="36">
        <item m="1" x="34"/>
        <item x="0"/>
        <item x="13"/>
        <item x="30"/>
        <item x="18"/>
        <item x="26"/>
        <item x="8"/>
        <item x="14"/>
        <item x="19"/>
        <item x="20"/>
        <item x="15"/>
        <item x="10"/>
        <item x="9"/>
        <item x="22"/>
        <item x="1"/>
        <item x="23"/>
        <item x="27"/>
        <item x="24"/>
        <item x="21"/>
        <item x="2"/>
        <item x="3"/>
        <item x="31"/>
        <item x="17"/>
        <item x="4"/>
        <item x="28"/>
        <item x="5"/>
        <item x="6"/>
        <item x="16"/>
        <item x="25"/>
        <item x="11"/>
        <item x="12"/>
        <item x="7"/>
        <item x="29"/>
        <item x="33"/>
        <item x="32"/>
        <item t="default"/>
      </items>
    </pivotField>
    <pivotField subtotalTop="0" showAll="0"/>
    <pivotField dataField="1" subtotalTop="0" showAll="0"/>
    <pivotField dataField="1" subtotalTop="0" showAll="0"/>
    <pivotField dataField="1" subtotalTop="0" showAll="0"/>
    <pivotField dataField="1" subtotalTop="0" showAll="0"/>
    <pivotField dataField="1" subtotalTop="0" showAll="0"/>
    <pivotField dataField="1" subtotalTop="0" showAll="0"/>
    <pivotField dataField="1" subtotalTop="0" showAll="0"/>
    <pivotField dataField="1" subtotalTop="0" showAll="0"/>
  </pivotFields>
  <rowFields count="1">
    <field x="1"/>
  </rowFields>
  <rowItems count="33">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t="grand">
      <x/>
    </i>
  </rowItems>
  <colFields count="1">
    <field x="-2"/>
  </colFields>
  <colItems count="8">
    <i>
      <x/>
    </i>
    <i i="1">
      <x v="1"/>
    </i>
    <i i="2">
      <x v="2"/>
    </i>
    <i i="3">
      <x v="3"/>
    </i>
    <i i="4">
      <x v="4"/>
    </i>
    <i i="5">
      <x v="5"/>
    </i>
    <i i="6">
      <x v="6"/>
    </i>
    <i i="7">
      <x v="7"/>
    </i>
  </colItems>
  <pageFields count="1">
    <pageField fld="0" item="12" hier="-1"/>
  </pageFields>
  <dataFields count="8">
    <dataField name="Sum of A_Tally" fld="3" baseField="1" baseItem="0"/>
    <dataField name="Sum of A_Hours" fld="4" baseField="1" baseItem="0"/>
    <dataField name="Sum of B_Tally" fld="5" baseField="1" baseItem="0"/>
    <dataField name="Sum of B_Hours" fld="6" baseField="1" baseItem="0"/>
    <dataField name="Sum of Enforcement_Tally" fld="7" baseField="1" baseItem="0"/>
    <dataField name="Sum of Enforcement_Hours" fld="8" baseField="1" baseItem="0"/>
    <dataField name="Sum of Prohibition_Tally" fld="9" baseField="1" baseItem="0"/>
    <dataField name="Sum of Prohibition_Hours" fld="10" baseField="1"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66.xml><?xml version="1.0" encoding="utf-8"?>
<pivotTableDefinition xmlns="http://schemas.openxmlformats.org/spreadsheetml/2006/main" xmlns:mc="http://schemas.openxmlformats.org/markup-compatibility/2006" xmlns:xr="http://schemas.microsoft.com/office/spreadsheetml/2014/revision" mc:Ignorable="xr" xr:uid="{FE0CB52B-EC7F-4427-85F9-F7F7453CE684}" name="PivotTable12" cacheId="255"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4:E17" firstHeaderRow="0" firstDataRow="1" firstDataCol="1"/>
  <pivotFields count="4">
    <pivotField axis="axisRow" showAll="0">
      <items count="14">
        <item x="0"/>
        <item x="1"/>
        <item x="2"/>
        <item x="3"/>
        <item x="4"/>
        <item x="5"/>
        <item x="6"/>
        <item x="7"/>
        <item x="8"/>
        <item x="9"/>
        <item x="10"/>
        <item m="1" x="12"/>
        <item x="11"/>
        <item t="default"/>
      </items>
    </pivotField>
    <pivotField dataField="1" showAll="0"/>
    <pivotField dataField="1" showAll="0"/>
    <pivotField dataField="1" showAll="0"/>
  </pivotFields>
  <rowFields count="1">
    <field x="0"/>
  </rowFields>
  <rowItems count="13">
    <i>
      <x/>
    </i>
    <i>
      <x v="1"/>
    </i>
    <i>
      <x v="2"/>
    </i>
    <i>
      <x v="3"/>
    </i>
    <i>
      <x v="4"/>
    </i>
    <i>
      <x v="5"/>
    </i>
    <i>
      <x v="6"/>
    </i>
    <i>
      <x v="7"/>
    </i>
    <i>
      <x v="8"/>
    </i>
    <i>
      <x v="9"/>
    </i>
    <i>
      <x v="10"/>
    </i>
    <i>
      <x v="12"/>
    </i>
    <i t="grand">
      <x/>
    </i>
  </rowItems>
  <colFields count="1">
    <field x="-2"/>
  </colFields>
  <colItems count="3">
    <i>
      <x/>
    </i>
    <i i="1">
      <x v="1"/>
    </i>
    <i i="2">
      <x v="2"/>
    </i>
  </colItems>
  <dataFields count="3">
    <dataField name="Sum of Enforcement Notice" fld="1" baseField="0" baseItem="0"/>
    <dataField name="Sum of Prohibition Notice" fld="2" baseField="0" baseItem="0"/>
    <dataField name="Sum of Alterations Notice" fld="3"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pivotTables/pivotTable67.xml><?xml version="1.0" encoding="utf-8"?>
<pivotTableDefinition xmlns="http://schemas.openxmlformats.org/spreadsheetml/2006/main" xmlns:mc="http://schemas.openxmlformats.org/markup-compatibility/2006" xmlns:xr="http://schemas.microsoft.com/office/spreadsheetml/2014/revision" mc:Ignorable="xr" xr:uid="{CE3BD521-9534-48FD-8124-E20C5CAB19B8}" name="PivotTable13" cacheId="254" applyNumberFormats="0" applyBorderFormats="0" applyFontFormats="0" applyPatternFormats="0" applyAlignmentFormats="0" applyWidthHeightFormats="1" dataCaption="Values" updatedVersion="8" minRefreshableVersion="3" useAutoFormatting="1" itemPrintTitles="1" createdVersion="8" indent="0" outline="1" outlineData="1" multipleFieldFilters="0">
  <location ref="B4:I20" firstHeaderRow="0" firstDataRow="1" firstDataCol="1" rowPageCount="1" colPageCount="1"/>
  <pivotFields count="10">
    <pivotField axis="axisPage" showAll="0">
      <items count="13">
        <item x="0"/>
        <item x="1"/>
        <item x="10"/>
        <item x="2"/>
        <item x="3"/>
        <item x="4"/>
        <item x="5"/>
        <item x="6"/>
        <item x="11"/>
        <item x="7"/>
        <item x="8"/>
        <item x="9"/>
        <item t="default"/>
      </items>
    </pivotField>
    <pivotField showAll="0"/>
    <pivotField axis="axisRow" showAll="0">
      <items count="16">
        <item x="9"/>
        <item x="6"/>
        <item x="10"/>
        <item x="7"/>
        <item x="14"/>
        <item x="8"/>
        <item x="13"/>
        <item x="0"/>
        <item x="3"/>
        <item x="12"/>
        <item x="4"/>
        <item x="1"/>
        <item x="5"/>
        <item x="11"/>
        <item x="2"/>
        <item t="default"/>
      </items>
    </pivotField>
    <pivotField dataField="1" showAll="0"/>
    <pivotField dataField="1" showAll="0"/>
    <pivotField dataField="1" showAll="0"/>
    <pivotField dataField="1" showAll="0"/>
    <pivotField dataField="1" showAll="0"/>
    <pivotField dataField="1" showAll="0"/>
    <pivotField dataField="1" showAll="0"/>
  </pivotFields>
  <rowFields count="1">
    <field x="2"/>
  </rowFields>
  <rowItems count="16">
    <i>
      <x/>
    </i>
    <i>
      <x v="1"/>
    </i>
    <i>
      <x v="2"/>
    </i>
    <i>
      <x v="3"/>
    </i>
    <i>
      <x v="4"/>
    </i>
    <i>
      <x v="5"/>
    </i>
    <i>
      <x v="6"/>
    </i>
    <i>
      <x v="7"/>
    </i>
    <i>
      <x v="8"/>
    </i>
    <i>
      <x v="9"/>
    </i>
    <i>
      <x v="10"/>
    </i>
    <i>
      <x v="11"/>
    </i>
    <i>
      <x v="12"/>
    </i>
    <i>
      <x v="13"/>
    </i>
    <i>
      <x v="14"/>
    </i>
    <i t="grand">
      <x/>
    </i>
  </rowItems>
  <colFields count="1">
    <field x="-2"/>
  </colFields>
  <colItems count="7">
    <i>
      <x/>
    </i>
    <i i="1">
      <x v="1"/>
    </i>
    <i i="2">
      <x v="2"/>
    </i>
    <i i="3">
      <x v="3"/>
    </i>
    <i i="4">
      <x v="4"/>
    </i>
    <i i="5">
      <x v="5"/>
    </i>
    <i i="6">
      <x v="6"/>
    </i>
  </colItems>
  <pageFields count="1">
    <pageField fld="0" item="11" hier="-1"/>
  </pageFields>
  <dataFields count="7">
    <dataField name="Sum of VL" fld="3" baseField="0" baseItem="0"/>
    <dataField name="Sum of L" fld="4" baseField="0" baseItem="0"/>
    <dataField name="Sum of M" fld="5" baseField="0" baseItem="0"/>
    <dataField name="Sum of H" fld="6" baseField="0" baseItem="0"/>
    <dataField name="Sum of VH" fld="7" baseField="0" baseItem="0"/>
    <dataField name="Sum of Not Known" fld="8" baseField="0" baseItem="0"/>
    <dataField name="Sum of Total" fld="9" baseField="0" baseItem="0"/>
  </dataFields>
  <pivotTableStyleInfo name="PivotStyleLight16" showRowHeaders="1" showColHeaders="1" showRowStripes="0" showColStripes="0" showLastColumn="1"/>
  <extLst>
    <ext xmlns:x14="http://schemas.microsoft.com/office/spreadsheetml/2009/9/main" uri="{962EF5D1-5CA2-4c93-8EF4-DBF5C05439D2}">
      <x14:pivotTableDefinition xmlns:xm="http://schemas.microsoft.com/office/excel/2006/main" hideValuesRow="1"/>
    </ext>
    <ext xmlns:xpdl="http://schemas.microsoft.com/office/spreadsheetml/2016/pivotdefaultlayout" uri="{747A6164-185A-40DC-8AA5-F01512510D54}">
      <xpdl:pivotTableDefinition16/>
    </ext>
  </extLst>
</pivotTableDefinition>
</file>

<file path=xl/queryTables/queryTable1.xml><?xml version="1.0" encoding="utf-8"?>
<queryTable xmlns="http://schemas.openxmlformats.org/spreadsheetml/2006/main" xmlns:mc="http://schemas.openxmlformats.org/markup-compatibility/2006" xmlns:xr16="http://schemas.microsoft.com/office/spreadsheetml/2017/revision16" mc:Ignorable="xr16" name="s-srs-v01_pds RAP HFSV_Outcome" connectionId="1" xr16:uid="{00000000-0016-0000-8000-00002A000000}" autoFormatId="16" applyNumberFormats="0" applyBorderFormats="0" applyFontFormats="0" applyPatternFormats="0" applyAlignmentFormats="0" applyWidthHeightFormats="0">
  <queryTableRefresh nextId="8">
    <queryTableFields count="7">
      <queryTableField id="1" name="Year" tableColumnId="1"/>
      <queryTableField id="2" name="HFSV - alarms installed" tableColumnId="2"/>
      <queryTableField id="3" name="HFSV - advice only" tableColumnId="3"/>
      <queryTableField id="4" name="Total HFSV" tableColumnId="4"/>
      <queryTableField id="5" name="Smoke alarms installed during HFSV" tableColumnId="5"/>
      <queryTableField id="6" name="New" tableColumnId="6"/>
      <queryTableField id="7" name="Replacement" tableColumnId="7"/>
    </queryTableFields>
  </queryTableRefresh>
</queryTable>
</file>

<file path=xl/slicerCaches/slicerCache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FisYr19" xr10:uid="{00000000-0013-0000-FFFF-FFFF29000000}" sourceName="FisYr">
  <pivotTables>
    <pivotTable tabId="157" name="PivotTable3"/>
  </pivotTables>
  <data>
    <tabular pivotCacheId="125" sortOrder="descending">
      <items count="13">
        <i x="11" s="1"/>
        <i x="10"/>
        <i x="9"/>
        <i x="8"/>
        <i x="7"/>
        <i x="6"/>
        <i x="5"/>
        <i x="4"/>
        <i x="3"/>
        <i x="2"/>
        <i x="1"/>
        <i x="0"/>
        <i x="12" nd="1"/>
      </items>
    </tabular>
  </data>
  <extLst>
    <x:ext xmlns:x15="http://schemas.microsoft.com/office/spreadsheetml/2010/11/main" uri="{470722E0-AACD-4C17-9CDC-17EF765DBC7E}">
      <x15:slicerCacheHideItemsWithNoData/>
    </x:ext>
  </extLst>
</slicerCacheDefinition>
</file>

<file path=xl/slicerCaches/slicerCache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3" xr10:uid="{00000000-0013-0000-FFFF-FFFF2C000000}" sourceName="Year">
  <pivotTables>
    <pivotTable tabId="164" name="PivotTable1"/>
  </pivotTables>
  <data>
    <tabular pivotCacheId="128" sortOrder="descending">
      <items count="13">
        <i x="12" s="1"/>
        <i x="11"/>
        <i x="10"/>
        <i x="9"/>
        <i x="8"/>
        <i x="7"/>
        <i x="6"/>
        <i x="5"/>
        <i x="4"/>
        <i x="3"/>
        <i x="2"/>
        <i x="1"/>
        <i x="0"/>
      </items>
    </tabular>
  </data>
</slicerCacheDefinition>
</file>

<file path=xl/slicerCaches/slicerCache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5" xr10:uid="{00000000-0013-0000-FFFF-FFFF2D000000}" sourceName="Year">
  <pivotTables>
    <pivotTable tabId="168" name="PivotTable3"/>
  </pivotTables>
  <data>
    <tabular pivotCacheId="129" sortOrder="descending">
      <items count="13">
        <i x="12" s="1"/>
        <i x="9"/>
        <i x="11"/>
        <i x="8"/>
        <i x="7"/>
        <i x="6"/>
        <i x="5"/>
        <i x="10"/>
        <i x="4"/>
        <i x="3"/>
        <i x="2"/>
        <i x="1"/>
        <i x="0"/>
      </items>
    </tabular>
  </data>
</slicerCacheDefinition>
</file>

<file path=xl/slicerCaches/slicerCache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4" xr10:uid="{00000000-0013-0000-FFFF-FFFF2E000000}" sourceName="Year">
  <pivotTables>
    <pivotTable tabId="170" name="PivotTable1"/>
  </pivotTables>
  <data>
    <tabular pivotCacheId="130" sortOrder="descending">
      <items count="9">
        <i x="3" s="1"/>
        <i x="7"/>
        <i x="2"/>
        <i x="6"/>
        <i x="8"/>
        <i x="1"/>
        <i x="0"/>
        <i x="5"/>
        <i x="4"/>
      </items>
    </tabular>
  </data>
</slicerCacheDefinition>
</file>

<file path=xl/slicerCaches/slicerCache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6" xr10:uid="{00000000-0013-0000-FFFF-FFFF2F000000}" sourceName="Year">
  <pivotTables>
    <pivotTable tabId="172" name="PivotTable2"/>
  </pivotTables>
  <data>
    <tabular pivotCacheId="1456221594" sortOrder="descending">
      <items count="8">
        <i x="7" s="1"/>
        <i x="6"/>
        <i x="5"/>
        <i x="4"/>
        <i x="3"/>
        <i x="2"/>
        <i x="1"/>
        <i x="0"/>
      </items>
    </tabular>
  </data>
</slicerCacheDefinition>
</file>

<file path=xl/slicerCaches/slicerCache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8" xr10:uid="{00000000-0013-0000-FFFF-FFFF30000000}" sourceName="Year">
  <pivotTables>
    <pivotTable tabId="174" name="PivotTable1"/>
  </pivotTables>
  <data>
    <tabular pivotCacheId="132" sortOrder="descending">
      <items count="9">
        <i x="7" s="1"/>
        <i x="6"/>
        <i x="5"/>
        <i x="4"/>
        <i x="3"/>
        <i x="2"/>
        <i x="1"/>
        <i x="0"/>
        <i x="8" nd="1"/>
      </items>
    </tabular>
  </data>
  <extLst>
    <x:ext xmlns:x15="http://schemas.microsoft.com/office/spreadsheetml/2010/11/main" uri="{470722E0-AACD-4C17-9CDC-17EF765DBC7E}">
      <x15:slicerCacheHideItemsWithNoData/>
    </x:ext>
  </extLst>
</slicerCacheDefinition>
</file>

<file path=xl/slicerCaches/slicerCache7.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9" xr10:uid="{00000000-0013-0000-FFFF-FFFF31000000}" sourceName="Year">
  <pivotTables>
    <pivotTable tabId="179" name="PivotTable4"/>
  </pivotTables>
  <data>
    <tabular pivotCacheId="133" sortOrder="descending">
      <items count="13">
        <i x="5" s="1"/>
        <i x="10"/>
        <i x="9"/>
        <i x="8"/>
        <i x="4"/>
        <i x="11"/>
        <i x="3"/>
        <i x="7"/>
        <i x="12"/>
        <i x="2"/>
        <i x="1"/>
        <i x="0"/>
        <i x="6"/>
      </items>
    </tabular>
  </data>
</slicerCacheDefinition>
</file>

<file path=xl/slicerCaches/slicerCache8.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10" xr10:uid="{00000000-0013-0000-FFFF-FFFF32000000}" sourceName="Year">
  <pivotTables>
    <pivotTable tabId="183" name="PivotTable6"/>
  </pivotTables>
  <data>
    <tabular pivotCacheId="134" sortOrder="descending">
      <items count="13">
        <i x="12" s="1"/>
        <i x="11"/>
        <i x="10"/>
        <i x="9"/>
        <i x="8"/>
        <i x="7"/>
        <i x="6"/>
        <i x="5"/>
        <i x="4"/>
        <i x="3"/>
        <i x="2"/>
        <i x="1"/>
        <i x="0"/>
      </items>
    </tabular>
  </data>
</slicerCacheDefinition>
</file>

<file path=xl/slicerCaches/slicerCache9.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11" xr10:uid="{00000000-0013-0000-FFFF-FFFF33000000}" sourceName="Year">
  <pivotTables>
    <pivotTable tabId="185" name="PivotTable7"/>
  </pivotTables>
  <data>
    <tabular pivotCacheId="135" sortOrder="descending">
      <items count="8">
        <i x="7" s="1"/>
        <i x="6"/>
        <i x="5"/>
        <i x="4"/>
        <i x="3"/>
        <i x="2"/>
        <i x="1"/>
        <i x="0"/>
      </items>
    </tabular>
  </data>
</slicerCacheDefinition>
</file>

<file path=xl/slicerCaches/slicerCache10.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12" xr10:uid="{00000000-0013-0000-FFFF-FFFF34000000}" sourceName="Year">
  <pivotTables>
    <pivotTable tabId="187" name="PivotTable8"/>
  </pivotTables>
  <data>
    <tabular pivotCacheId="136" sortOrder="descending">
      <items count="13">
        <i x="11" s="1"/>
        <i x="10"/>
        <i x="9"/>
        <i x="8"/>
        <i x="7"/>
        <i x="5"/>
        <i x="12"/>
        <i x="4"/>
        <i x="3"/>
        <i x="2"/>
        <i x="6"/>
        <i x="1"/>
        <i x="0"/>
      </items>
    </tabular>
  </data>
</slicerCacheDefinition>
</file>

<file path=xl/slicerCaches/slicerCache1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13" xr10:uid="{00000000-0013-0000-FFFF-FFFF35000000}" sourceName="Year">
  <pivotTables>
    <pivotTable tabId="189" name="PivotTable9"/>
  </pivotTables>
  <data>
    <tabular pivotCacheId="137" sortOrder="descending">
      <items count="14">
        <i x="12" s="1"/>
        <i x="11"/>
        <i x="10"/>
        <i x="9"/>
        <i x="8"/>
        <i x="7"/>
        <i x="6"/>
        <i x="5"/>
        <i x="4"/>
        <i x="3"/>
        <i x="2"/>
        <i x="1"/>
        <i x="0"/>
        <i x="13" nd="1"/>
      </items>
    </tabular>
  </data>
  <extLst>
    <x:ext xmlns:x15="http://schemas.microsoft.com/office/spreadsheetml/2010/11/main" uri="{470722E0-AACD-4C17-9CDC-17EF765DBC7E}">
      <x15:slicerCacheHideItemsWithNoData/>
    </x:ext>
  </extLst>
</slicerCacheDefinition>
</file>

<file path=xl/slicerCaches/slicerCache1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14" xr10:uid="{00000000-0013-0000-FFFF-FFFF36000000}" sourceName="Year">
  <pivotTables>
    <pivotTable tabId="192" name="PivotTable11"/>
  </pivotTables>
  <data>
    <tabular pivotCacheId="138" sortOrder="descending">
      <items count="13">
        <i x="12" s="1"/>
        <i x="11"/>
        <i x="10"/>
        <i x="9"/>
        <i x="8"/>
        <i x="7"/>
        <i x="6"/>
        <i x="5"/>
        <i x="4"/>
        <i x="3"/>
        <i x="2"/>
        <i x="1"/>
        <i x="0"/>
      </items>
    </tabular>
  </data>
</slicerCacheDefinition>
</file>

<file path=xl/slicerCaches/slicerCache1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16" xr10:uid="{00000000-0013-0000-FFFF-FFFF37000000}" sourceName="Year">
  <pivotTables>
    <pivotTable tabId="197" name="PivotTable2"/>
  </pivotTables>
  <data>
    <tabular pivotCacheId="140" sortOrder="descending">
      <items count="14">
        <i x="12" s="1"/>
        <i x="11"/>
        <i x="10"/>
        <i x="9"/>
        <i x="8"/>
        <i x="7"/>
        <i x="6"/>
        <i x="5"/>
        <i x="4"/>
        <i x="3"/>
        <i x="2"/>
        <i x="1"/>
        <i x="0"/>
        <i x="13" nd="1"/>
      </items>
    </tabular>
  </data>
  <extLst>
    <x:ext xmlns:x15="http://schemas.microsoft.com/office/spreadsheetml/2010/11/main" uri="{470722E0-AACD-4C17-9CDC-17EF765DBC7E}">
      <x15:slicerCacheHideItemsWithNoData/>
    </x:ext>
  </extLst>
</slicerCacheDefinition>
</file>

<file path=xl/slicerCaches/slicerCache1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17" xr10:uid="{00000000-0013-0000-FFFF-FFFF38000000}" sourceName="Year">
  <pivotTables>
    <pivotTable tabId="199" name="PivotTable3"/>
  </pivotTables>
  <data>
    <tabular pivotCacheId="141" sortOrder="descending">
      <items count="14">
        <i x="12" s="1"/>
        <i x="11"/>
        <i x="10"/>
        <i x="9"/>
        <i x="8"/>
        <i x="7"/>
        <i x="6"/>
        <i x="5"/>
        <i x="4"/>
        <i x="3"/>
        <i x="2"/>
        <i x="1"/>
        <i x="0"/>
        <i x="13" nd="1"/>
      </items>
    </tabular>
  </data>
  <extLst>
    <x:ext xmlns:x15="http://schemas.microsoft.com/office/spreadsheetml/2010/11/main" uri="{470722E0-AACD-4C17-9CDC-17EF765DBC7E}">
      <x15:slicerCacheHideItemsWithNoData/>
    </x:ext>
  </extLst>
</slicerCacheDefinition>
</file>

<file path=xl/slicerCaches/slicerCache1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18" xr10:uid="{00000000-0013-0000-FFFF-FFFF39000000}" sourceName="Year">
  <pivotTables>
    <pivotTable tabId="201" name="PivotTable4"/>
  </pivotTables>
  <data>
    <tabular pivotCacheId="142" sortOrder="descending">
      <items count="14">
        <i x="13" s="1"/>
        <i x="12"/>
        <i x="11"/>
        <i x="10"/>
        <i x="9"/>
        <i x="8"/>
        <i x="7"/>
        <i x="6"/>
        <i x="5"/>
        <i x="4"/>
        <i x="3"/>
        <i x="2"/>
        <i x="1"/>
        <i x="0" nd="1"/>
      </items>
    </tabular>
  </data>
  <extLst>
    <x:ext xmlns:x15="http://schemas.microsoft.com/office/spreadsheetml/2010/11/main" uri="{470722E0-AACD-4C17-9CDC-17EF765DBC7E}">
      <x15:slicerCacheHideItemsWithNoData/>
    </x:ext>
  </extLst>
</slicerCacheDefinition>
</file>

<file path=xl/slicerCaches/slicerCache1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19" xr10:uid="{00000000-0013-0000-FFFF-FFFF3A000000}" sourceName="Year">
  <pivotTables>
    <pivotTable tabId="203" name="PivotTable5"/>
  </pivotTables>
  <data>
    <tabular pivotCacheId="143" sortOrder="descending">
      <items count="13">
        <i x="12" s="1"/>
        <i x="11"/>
        <i x="10"/>
        <i x="9"/>
        <i x="8"/>
        <i x="7"/>
        <i x="6"/>
        <i x="5"/>
        <i x="4"/>
        <i x="3"/>
        <i x="2"/>
        <i x="1"/>
        <i x="0"/>
      </items>
    </tabular>
  </data>
</slicerCacheDefinition>
</file>

<file path=xl/slicerCaches/slicerCache17.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20" xr10:uid="{00000000-0013-0000-FFFF-FFFF3B000000}" sourceName="Year">
  <pivotTables>
    <pivotTable tabId="207" name="PivotTable7"/>
  </pivotTables>
  <data>
    <tabular pivotCacheId="144" sortOrder="descending">
      <items count="13">
        <i x="7" s="1"/>
        <i x="6"/>
        <i x="11"/>
        <i x="5"/>
        <i x="4"/>
        <i x="9"/>
        <i x="10"/>
        <i x="3"/>
        <i x="12"/>
        <i x="2"/>
        <i x="8"/>
        <i x="1"/>
        <i x="0"/>
      </items>
    </tabular>
  </data>
</slicerCacheDefinition>
</file>

<file path=xl/slicerCaches/slicerCache18.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21" xr10:uid="{00000000-0013-0000-FFFF-FFFF3C000000}" sourceName="Year">
  <pivotTables>
    <pivotTable tabId="209" name="PivotTable8"/>
  </pivotTables>
  <data>
    <tabular pivotCacheId="145" sortOrder="descending">
      <items count="13">
        <i x="12" s="1"/>
        <i x="11"/>
        <i x="10"/>
        <i x="9"/>
        <i x="8"/>
        <i x="7"/>
        <i x="6"/>
        <i x="5"/>
        <i x="4"/>
        <i x="3"/>
        <i x="2"/>
        <i x="1"/>
        <i x="0"/>
      </items>
    </tabular>
  </data>
</slicerCacheDefinition>
</file>

<file path=xl/slicerCaches/slicerCache19.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22" xr10:uid="{00000000-0013-0000-FFFF-FFFF3D000000}" sourceName="Year">
  <pivotTables>
    <pivotTable tabId="215" name="PivotTable10"/>
  </pivotTables>
  <data>
    <tabular pivotCacheId="2080512633" sortOrder="descending">
      <items count="8">
        <i x="7" s="1"/>
        <i x="6"/>
        <i x="5"/>
        <i x="4"/>
        <i x="3"/>
        <i x="2"/>
        <i x="1"/>
        <i x="0"/>
      </items>
    </tabular>
  </data>
</slicerCacheDefinition>
</file>

<file path=xl/slicerCaches/slicerCache20.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23" xr10:uid="{00000000-0013-0000-FFFF-FFFF3E000000}" sourceName="Year">
  <pivotTables>
    <pivotTable tabId="217" name="PivotTable11"/>
  </pivotTables>
  <data>
    <tabular pivotCacheId="147" sortOrder="descending">
      <items count="13">
        <i x="12" s="1"/>
        <i x="11"/>
        <i x="10"/>
        <i x="9"/>
        <i x="8"/>
        <i x="7"/>
        <i x="6"/>
        <i x="5"/>
        <i x="4"/>
        <i x="3"/>
        <i x="2"/>
        <i x="1"/>
        <i x="0"/>
      </items>
    </tabular>
  </data>
</slicerCacheDefinition>
</file>

<file path=xl/slicerCaches/slicerCache2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24" xr10:uid="{00000000-0013-0000-FFFF-FFFF3F000000}" sourceName="Year">
  <pivotTables>
    <pivotTable tabId="223" name="PivotTable2"/>
  </pivotTables>
  <data>
    <tabular pivotCacheId="553685690" sortOrder="descending">
      <items count="8">
        <i x="7" s="1"/>
        <i x="6"/>
        <i x="5"/>
        <i x="4"/>
        <i x="3"/>
        <i x="2"/>
        <i x="1"/>
        <i x="0"/>
      </items>
    </tabular>
  </data>
</slicerCacheDefinition>
</file>

<file path=xl/slicerCaches/slicerCache2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25" xr10:uid="{00000000-0013-0000-FFFF-FFFF40000000}" sourceName="Year">
  <pivotTables>
    <pivotTable tabId="226" name="PivotTable4"/>
  </pivotTables>
  <data>
    <tabular pivotCacheId="700424806" sortOrder="descending">
      <items count="12">
        <i x="11" s="1"/>
        <i x="10"/>
        <i x="9"/>
        <i x="8"/>
        <i x="7"/>
        <i x="6"/>
        <i x="5"/>
        <i x="4"/>
        <i x="3"/>
        <i x="2"/>
        <i x="1"/>
        <i x="0"/>
      </items>
    </tabular>
  </data>
</slicerCacheDefinition>
</file>

<file path=xl/slicerCaches/slicerCache2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 xr10:uid="{00000000-0013-0000-FFFF-FFFF42000000}" sourceName="Year">
  <pivotTables>
    <pivotTable tabId="181" name="PivotTable5"/>
  </pivotTables>
  <data>
    <tabular pivotCacheId="155" sortOrder="descending">
      <items count="14">
        <i x="4" s="1"/>
        <i x="0"/>
        <i x="3"/>
        <i x="6"/>
        <i x="5"/>
        <i x="2"/>
        <i x="1"/>
        <i x="7"/>
        <i x="11"/>
        <i x="13"/>
        <i x="10"/>
        <i x="8"/>
        <i x="9"/>
        <i x="12" nd="1"/>
      </items>
    </tabular>
  </data>
  <extLst>
    <x:ext xmlns:x15="http://schemas.microsoft.com/office/spreadsheetml/2010/11/main" uri="{470722E0-AACD-4C17-9CDC-17EF765DBC7E}">
      <x15:slicerCacheHideItemsWithNoData/>
    </x:ext>
  </extLst>
</slicerCacheDefinition>
</file>

<file path=xl/slicerCaches/slicerCache2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15" xr10:uid="{00000000-0013-0000-FFFF-FFFF43000000}" sourceName="Year">
  <pivotTables>
    <pivotTable tabId="195" name="PivotTable2"/>
  </pivotTables>
  <data>
    <tabular pivotCacheId="156" sortOrder="descending">
      <items count="13">
        <i x="12" s="1"/>
        <i x="11"/>
        <i x="10"/>
        <i x="9"/>
        <i x="8"/>
        <i x="7"/>
        <i x="6"/>
        <i x="5"/>
        <i x="4"/>
        <i x="3"/>
        <i x="2"/>
        <i x="1"/>
        <i x="0"/>
      </items>
    </tabular>
  </data>
</slicerCacheDefinition>
</file>

<file path=xl/slicerCaches/slicerCache2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26" xr10:uid="{00000000-0013-0000-FFFF-FFFF44000000}" sourceName="Year">
  <pivotTables>
    <pivotTable tabId="205" name="PivotTable6"/>
  </pivotTables>
  <data>
    <tabular pivotCacheId="157" sortOrder="descending">
      <items count="13">
        <i x="12" s="1"/>
        <i x="11"/>
        <i x="10"/>
        <i x="9"/>
        <i x="8"/>
        <i x="7"/>
        <i x="6"/>
        <i x="5"/>
        <i x="4"/>
        <i x="3"/>
        <i x="2"/>
        <i x="1"/>
        <i x="0"/>
      </items>
    </tabular>
  </data>
</slicerCacheDefinition>
</file>

<file path=xl/slicerCaches/slicerCache2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28" xr10:uid="{00000000-0013-0000-FFFF-FFFF45000000}" sourceName="Year">
  <pivotTables>
    <pivotTable tabId="228" name="PivotTable7"/>
  </pivotTables>
  <data>
    <tabular pivotCacheId="158" sortOrder="descending">
      <items count="8">
        <i x="7" s="1"/>
        <i x="6"/>
        <i x="5"/>
        <i x="4"/>
        <i x="3"/>
        <i x="2"/>
        <i x="1"/>
        <i x="0"/>
      </items>
    </tabular>
  </data>
</slicerCacheDefinition>
</file>

<file path=xl/slicerCaches/slicerCache27.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29" xr10:uid="{00000000-0013-0000-FFFF-FFFF46000000}" sourceName="Year">
  <pivotTables>
    <pivotTable tabId="228" name="PivotTable9"/>
  </pivotTables>
  <data>
    <tabular pivotCacheId="159" sortOrder="descending">
      <items count="8">
        <i x="7" s="1"/>
        <i x="6"/>
        <i x="5"/>
        <i x="4"/>
        <i x="3"/>
        <i x="2"/>
        <i x="1"/>
        <i x="0"/>
      </items>
    </tabular>
  </data>
</slicerCacheDefinition>
</file>

<file path=xl/slicerCaches/slicerCache28.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FiscalYr" xr10:uid="{A406BAC0-2424-4C29-BD4C-BD924EC74016}" sourceName="FiscalYr">
  <pivotTables>
    <pivotTable tabId="228" name="PivotTable10"/>
  </pivotTables>
  <data>
    <tabular pivotCacheId="1464648369" sortOrder="descending">
      <items count="8">
        <i x="5" s="1"/>
        <i x="7"/>
        <i x="4"/>
        <i x="6"/>
        <i x="3"/>
        <i x="2"/>
        <i x="1"/>
        <i x="0"/>
      </items>
    </tabular>
  </data>
</slicerCacheDefinition>
</file>

<file path=xl/slicerCaches/slicerCache29.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FiscalYr1" xr10:uid="{6ED619F4-876F-4370-A423-5C3FA44A3962}" sourceName="FiscalYr">
  <pivotTables>
    <pivotTable tabId="228" name="PivotTable11"/>
  </pivotTables>
  <data>
    <tabular pivotCacheId="364994653" sortOrder="descending">
      <items count="8">
        <i x="6" s="1"/>
        <i x="7"/>
        <i x="4"/>
        <i x="3"/>
        <i x="5"/>
        <i x="2"/>
        <i x="1"/>
        <i x="0"/>
      </items>
    </tabular>
  </data>
</slicerCacheDefinition>
</file>

<file path=xl/slicerCaches/slicerCache30.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1" xr10:uid="{7B4277D5-18BE-48B3-9B52-EBC1D95CA63A}" sourceName="Year">
  <pivotTables>
    <pivotTable tabId="154" name="PivotTable9"/>
  </pivotTables>
  <data>
    <tabular pivotCacheId="1364898279" sortOrder="descending">
      <items count="12">
        <i x="11" s="1"/>
        <i x="10"/>
        <i x="9"/>
        <i x="8"/>
        <i x="7"/>
        <i x="6"/>
        <i x="5"/>
        <i x="4"/>
        <i x="3"/>
        <i x="2"/>
        <i x="1"/>
        <i x="0"/>
      </items>
    </tabular>
  </data>
</slicerCacheDefinition>
</file>

<file path=xl/slicerCaches/slicerCache3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FisYr1" xr10:uid="{7D9810E7-E3AE-44B2-9CAF-CDD56AA1DD26}" sourceName="FisYr">
  <pivotTables>
    <pivotTable tabId="159" name="PivotTable11"/>
  </pivotTables>
  <data>
    <tabular pivotCacheId="80784578" sortOrder="descending">
      <items count="12">
        <i x="11" s="1"/>
        <i x="10"/>
        <i x="9"/>
        <i x="8"/>
        <i x="7"/>
        <i x="6"/>
        <i x="5"/>
        <i x="4"/>
        <i x="3"/>
        <i x="2"/>
        <i x="1"/>
        <i x="0"/>
      </items>
    </tabular>
  </data>
</slicerCacheDefinition>
</file>

<file path=xl/slicerCaches/slicerCache3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30" xr10:uid="{B8DBD909-F453-4F7E-98A2-96281C8AF1DB}" sourceName="Year">
  <pivotTables>
    <pivotTable tabId="161" name="PivotTable13"/>
  </pivotTables>
  <data>
    <tabular pivotCacheId="1512634001" sortOrder="descending">
      <items count="12">
        <i x="9" s="1"/>
        <i x="8"/>
        <i x="7"/>
        <i x="11"/>
        <i x="6"/>
        <i x="5"/>
        <i x="4"/>
        <i x="3"/>
        <i x="2"/>
        <i x="10"/>
        <i x="1"/>
        <i x="0"/>
      </items>
    </tabular>
  </data>
</slicerCacheDefinition>
</file>

<file path=xl/slicerCaches/slicerCache3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27" xr10:uid="{4DE498AD-5522-47BA-8B35-69665CEC6A9F}" sourceName="Year">
  <pivotTables>
    <pivotTable tabId="150" name="PivotTable1"/>
  </pivotTables>
  <data>
    <tabular pivotCacheId="1414526592" sortOrder="descending">
      <items count="13">
        <i x="12" s="1"/>
        <i x="11"/>
        <i x="10"/>
        <i x="9"/>
        <i x="8"/>
        <i x="7"/>
        <i x="6"/>
        <i x="5"/>
        <i x="4"/>
        <i x="3"/>
        <i x="2"/>
        <i x="1"/>
        <i x="0"/>
      </items>
    </tabular>
  </data>
</slicerCacheDefinition>
</file>

<file path=xl/slicerCaches/slicerCache3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FisYr24" xr10:uid="{00000000-0013-0000-FFFF-FFFF4A000000}" sourceName="FisYr">
  <extLst>
    <x:ext xmlns:x15="http://schemas.microsoft.com/office/spreadsheetml/2010/11/main" uri="{2F2917AC-EB37-4324-AD4E-5DD8C200BD13}">
      <x15:tableSlicerCache tableId="17" column="9" sortOrder="descending"/>
    </x:ext>
  </extLst>
</slicerCacheDefinition>
</file>

<file path=xl/slicerCaches/slicerCache3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2" xr10:uid="{7C67D5AB-5B55-4D78-A87E-3585E0C897B1}" sourceName="FisYr">
  <extLst>
    <x:ext xmlns:x15="http://schemas.microsoft.com/office/spreadsheetml/2010/11/main" uri="{2F2917AC-EB37-4324-AD4E-5DD8C200BD13}">
      <x15:tableSlicerCache tableId="25" column="1" sortOrder="descending"/>
    </x:ext>
  </extLst>
</slicerCacheDefinition>
</file>

<file path=xl/slicerCaches/slicerCache3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Slicer_Year7" xr10:uid="{0700A790-C0DB-4A12-B836-2047D5B0262C}" sourceName="FisYr">
  <extLst>
    <x:ext xmlns:x15="http://schemas.microsoft.com/office/spreadsheetml/2010/11/main" uri="{2F2917AC-EB37-4324-AD4E-5DD8C200BD13}">
      <x15:tableSlicerCache tableId="32" column="1" sortOrder="descending"/>
    </x:ext>
  </extLst>
</slicerCacheDefinition>
</file>

<file path=xl/slicers/slicer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FisYr 16" xr10:uid="{00000000-0014-0000-FFFF-FFFF01000000}" cache="Slicer_FisYr24" caption="FisYr" columnCount="7" showCaption="0" rowHeight="241300"/>
</slicers>
</file>

<file path=xl/slicers/slicer2.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58" xr10:uid="{00000000-0014-0000-FFFF-FFFF04000000}" cache="Slicer_Year24" caption="Year" columnCount="3" rowHeight="241300"/>
</slicers>
</file>

<file path=xl/slicers/slicer3.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59" xr10:uid="{00000000-0014-0000-FFFF-FFFF03000000}" cache="Slicer_Year24" caption="Year" columnCount="7" showCaption="0" rowHeight="241300"/>
</slicers>
</file>

<file path=xl/slicers/slicer4.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60" xr10:uid="{00000000-0014-0000-FFFF-FFFF07000000}" cache="Slicer_Year25" caption="Year" columnCount="7" rowHeight="241300"/>
</slicers>
</file>

<file path=xl/slicers/slicer5.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61" xr10:uid="{00000000-0014-0000-FFFF-FFFF08000000}" cache="Slicer_Year25" caption="Year" columnCount="11" showCaption="0" rowHeight="241300"/>
</slicers>
</file>

<file path=xl/slicers/slicer6.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54" xr10:uid="{00000000-0014-0000-FFFF-FFFF0C000000}" cache="Slicer_Year22" caption="Year" columnCount="4" rowHeight="241300"/>
</slicers>
</file>

<file path=xl/slicers/slicer7.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62" xr10:uid="{00000000-0014-0000-FFFF-FFFF0D000000}" cache="Slicer_Year22" caption="Year" columnCount="7" showCaption="0" rowHeight="241300"/>
</slicers>
</file>

<file path=xl/slicers/slicer8.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25" xr10:uid="{00000000-0014-0000-FFFF-FFFF0E000000}" cache="Slicer_Year8" caption="Year" columnCount="3" rowHeight="241300"/>
</slicers>
</file>

<file path=xl/slicers/slicer9.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26" xr10:uid="{00000000-0014-0000-FFFF-FFFF0F000000}" cache="Slicer_Year8" caption="Year" columnCount="7" showCaption="0" rowHeight="241300"/>
</slicers>
</file>

<file path=xl/slicers/slicer10.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xr10:uid="{B41DE8BC-E23E-4CF6-90C3-989C409A73B2}" cache="Slicer_Year2" caption="FisYr" columnCount="7" showCaption="0" rowHeight="241300"/>
  <slicer name="Year 13" xr10:uid="{39D6BFBB-3A7D-4B8B-B8EF-95359684AA3B}" cache="Slicer_Year7" caption="FisYr" columnCount="7" showCaption="0" rowHeight="241300"/>
</slicers>
</file>

<file path=xl/slicers/slicer1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27" xr10:uid="{00000000-0014-0000-FFFF-FFFF16000000}" cache="Slicer_Year9" caption="Year" columnCount="8" rowHeight="241300"/>
</slicers>
</file>

<file path=xl/slicers/slicer12.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28" xr10:uid="{00000000-0014-0000-FFFF-FFFF17000000}" cache="Slicer_Year9" caption="Year" columnCount="12" showCaption="0" rowHeight="241300"/>
</slicers>
</file>

<file path=xl/slicers/slicer13.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2" xr10:uid="{00000000-0014-0000-FFFF-FFFF19000000}" cache="Slicer_Year" caption="Year" rowHeight="241300"/>
</slicers>
</file>

<file path=xl/slicers/slicer14.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3" xr10:uid="{00000000-0014-0000-FFFF-FFFF1A000000}" cache="Slicer_Year" caption="Year" columnCount="13" showCaption="0" rowHeight="241300"/>
</slicers>
</file>

<file path=xl/slicers/slicer15.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1" xr10:uid="{00000000-0014-0000-FFFF-FFFF1B000000}" cache="Slicer_Year10" caption="Year" columnCount="8" rowHeight="241300"/>
</slicers>
</file>

<file path=xl/slicers/slicer16.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29" xr10:uid="{00000000-0014-0000-FFFF-FFFF1C000000}" cache="Slicer_Year10" caption="Year" columnCount="12" showCaption="0" rowHeight="241300"/>
</slicers>
</file>

<file path=xl/slicers/slicer17.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30" xr10:uid="{00000000-0014-0000-FFFF-FFFF1D000000}" cache="Slicer_Year11" caption="Year" columnCount="3" rowHeight="241300"/>
</slicers>
</file>

<file path=xl/slicers/slicer18.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31" xr10:uid="{00000000-0014-0000-FFFF-FFFF1E000000}" cache="Slicer_Year11" caption="Year" columnCount="7" showCaption="0" rowHeight="241300"/>
</slicers>
</file>

<file path=xl/slicers/slicer19.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32" xr10:uid="{00000000-0014-0000-FFFF-FFFF20000000}" cache="Slicer_Year12" caption="Year" columnCount="8" rowHeight="241300"/>
</slicers>
</file>

<file path=xl/slicers/slicer20.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33" xr10:uid="{00000000-0014-0000-FFFF-FFFF21000000}" cache="Slicer_Year12" caption="Year" columnCount="12" showCaption="0" rowHeight="241300"/>
</slicers>
</file>

<file path=xl/slicers/slicer2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34" xr10:uid="{00000000-0014-0000-FFFF-FFFF24000000}" cache="Slicer_Year13" caption="Year" columnCount="8" rowHeight="241300"/>
</slicers>
</file>

<file path=xl/slicers/slicer22.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35" xr10:uid="{00000000-0014-0000-FFFF-FFFF25000000}" cache="Slicer_Year13" caption="Year" columnCount="12" showCaption="0" rowHeight="241300"/>
</slicers>
</file>

<file path=xl/slicers/slicer23.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36" xr10:uid="{00000000-0014-0000-FFFF-FFFF26000000}" cache="Slicer_Year14" caption="Year" columnCount="8" rowHeight="241300"/>
</slicers>
</file>

<file path=xl/slicers/slicer24.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37" xr10:uid="{00000000-0014-0000-FFFF-FFFF27000000}" cache="Slicer_Year14" caption="Year" columnCount="12" showCaption="0" rowHeight="241300"/>
</slicers>
</file>

<file path=xl/slicers/slicer25.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4" xr10:uid="{00000000-0014-0000-FFFF-FFFF28000000}" cache="Slicer_Year15" caption="Year" columnCount="9" showCaption="0" rowHeight="241300"/>
</slicers>
</file>

<file path=xl/slicers/slicer26.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56" xr10:uid="{00000000-0014-0000-FFFF-FFFF29000000}" cache="Slicer_Year23" caption="Year" columnCount="8" rowHeight="241300"/>
</slicers>
</file>

<file path=xl/slicers/slicer27.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57" xr10:uid="{00000000-0014-0000-FFFF-FFFF2A000000}" cache="Slicer_Year23" caption="Year" columnCount="12" showCaption="0" rowHeight="241300"/>
  <slicer name="Year 5" xr10:uid="{00000000-0014-0000-FFFF-FFFF2B000000}" cache="Slicer_Year15" caption="Year" columnCount="12" showCaption="0" rowHeight="241300"/>
</slicers>
</file>

<file path=xl/slicers/slicer28.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41" xr10:uid="{00000000-0014-0000-FFFF-FFFF2C000000}" cache="Slicer_Year16" caption="Year" columnCount="9" showCaption="0" rowHeight="241300"/>
</slicers>
</file>

<file path=xl/slicers/slicer29.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42" xr10:uid="{00000000-0014-0000-FFFF-FFFF2D000000}" cache="Slicer_Year16" caption="Year" columnCount="11" showCaption="0" rowHeight="241300"/>
</slicers>
</file>

<file path=xl/slicers/slicer30.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43" xr10:uid="{00000000-0014-0000-FFFF-FFFF35000000}" cache="Slicer_Year17" caption="Year" startItem="8" columnCount="8" rowHeight="241300"/>
</slicers>
</file>

<file path=xl/slicers/slicer3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45" xr10:uid="{00000000-0014-0000-FFFF-FFFF36000000}" cache="Slicer_Year17" caption="Year" columnCount="12" showCaption="0" rowHeight="241300"/>
</slicers>
</file>

<file path=xl/slicers/slicer32.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46" xr10:uid="{00000000-0014-0000-FFFF-FFFF39000000}" cache="Slicer_Year18" caption="Year" columnCount="9" showCaption="0" rowHeight="241300"/>
</slicers>
</file>

<file path=xl/slicers/slicer33.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47" xr10:uid="{00000000-0014-0000-FFFF-FFFF3A000000}" cache="Slicer_Year18" caption="Year" columnCount="11" showCaption="0" rowHeight="241300"/>
</slicers>
</file>

<file path=xl/slicers/slicer34.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48" xr10:uid="{00000000-0014-0000-FFFF-FFFF3B000000}" cache="Slicer_Year19" caption="Year" columnCount="9" showCaption="0" rowHeight="241300"/>
</slicers>
</file>

<file path=xl/slicers/slicer35.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39" xr10:uid="{00000000-0014-0000-FFFF-FFFF3C000000}" cache="Slicer_Year26" caption="Year" columnCount="9" showCaption="0" rowHeight="241300"/>
</slicers>
</file>

<file path=xl/slicers/slicer36.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49" xr10:uid="{00000000-0014-0000-FFFF-FFFF3D000000}" cache="Slicer_Year19" caption="Year" columnCount="12" showCaption="0" rowHeight="241300"/>
  <slicer name="Year 40" xr10:uid="{00000000-0014-0000-FFFF-FFFF3E000000}" cache="Slicer_Year26" caption="Year" columnCount="12" showCaption="0" rowHeight="241300"/>
</slicers>
</file>

<file path=xl/slicers/slicer37.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50" xr10:uid="{00000000-0014-0000-FFFF-FFFF3F000000}" cache="Slicer_Year20" caption="Year" columnCount="8" rowHeight="241300"/>
</slicers>
</file>

<file path=xl/slicers/slicer38.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51" xr10:uid="{00000000-0014-0000-FFFF-FFFF40000000}" cache="Slicer_Year20" caption="Year" columnCount="12" showCaption="0" rowHeight="241300"/>
</slicers>
</file>

<file path=xl/slicers/slicer39.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14" xr10:uid="{00000000-0014-0000-FFFF-FFFF46000000}" cache="Slicer_Year3" caption="Year" columnCount="8" rowHeight="241300"/>
</slicers>
</file>

<file path=xl/slicers/slicer40.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15" xr10:uid="{00000000-0014-0000-FFFF-FFFF47000000}" cache="Slicer_Year3" caption="Year" columnCount="12" showCaption="0" rowHeight="241300"/>
</slicers>
</file>

<file path=xl/slicers/slicer4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52" xr10:uid="{00000000-0014-0000-FFFF-FFFF48000000}" cache="Slicer_Year21" caption="Year" columnCount="7" rowHeight="241300"/>
</slicers>
</file>

<file path=xl/slicers/slicer42.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53" xr10:uid="{00000000-0014-0000-FFFF-FFFF49000000}" cache="Slicer_Year21" caption="Year" columnCount="12" showCaption="0" rowHeight="241300"/>
</slicers>
</file>

<file path=xl/slicers/slicer43.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18" xr10:uid="{00000000-0014-0000-FFFF-FFFF4B000000}" cache="Slicer_Year5" caption="Year" columnCount="9" rowHeight="241300"/>
</slicers>
</file>

<file path=xl/slicers/slicer44.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19" xr10:uid="{00000000-0014-0000-FFFF-FFFF4C000000}" cache="Slicer_Year5" caption="Year" columnCount="12" showCaption="0" rowHeight="241300"/>
  <slicer name="Year 20" xr10:uid="{00000000-0014-0000-FFFF-FFFF4D000000}" cache="Slicer_Year5" caption="Year" columnCount="11" showCaption="0" rowHeight="241300"/>
</slicers>
</file>

<file path=xl/slicers/slicer45.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16" xr10:uid="{00000000-0014-0000-FFFF-FFFF4F000000}" cache="Slicer_Year4" caption="Year" columnCount="4" rowHeight="241300"/>
</slicers>
</file>

<file path=xl/slicers/slicer46.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17" xr10:uid="{00000000-0014-0000-FFFF-FFFF50000000}" cache="Slicer_Year4" caption="Year" columnCount="8" showCaption="0" rowHeight="241300"/>
  <slicer name="Year 21" xr10:uid="{00000000-0014-0000-FFFF-FFFF51000000}" cache="Slicer_Year4" caption="Year" columnCount="8" showCaption="0" rowHeight="241300"/>
</slicers>
</file>

<file path=xl/slicers/slicer47.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22" xr10:uid="{00000000-0014-0000-FFFF-FFFF5F000000}" cache="Slicer_Year6" caption="Year" columnCount="3" rowHeight="241300"/>
</slicers>
</file>

<file path=xl/slicers/slicer48.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24" xr10:uid="{00000000-0014-0000-FFFF-FFFF61000000}" cache="Slicer_Year6" caption="Year" columnCount="7" showCaption="0" rowHeight="241300"/>
</slicers>
</file>

<file path=xl/slicers/slicer49.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55" xr10:uid="{00000000-0014-0000-FFFF-FFFF57000000}" cache="Slicer_Year28" caption="Year" rowHeight="241300"/>
  <slicer name="Year 64" xr10:uid="{00000000-0014-0000-FFFF-FFFF58000000}" cache="Slicer_Year29" caption="Year" rowHeight="241300"/>
  <slicer name="FiscalYr" xr10:uid="{0D911CC0-340D-4C11-99B1-E2E9F6432BF4}" cache="Slicer_FiscalYr" caption="FiscalYr" columnCount="5" showCaption="0" rowHeight="241300"/>
  <slicer name="FiscalYr 2" xr10:uid="{8C8DB7D8-A132-465B-8007-C03E7EA3B89D}" cache="Slicer_FiscalYr1" caption="FiscalYr" columnCount="5" showCaption="0" rowHeight="241300"/>
</slicers>
</file>

<file path=xl/slicers/slicer50.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63" xr10:uid="{00000000-0014-0000-FFFF-FFFF53000000}" cache="Slicer_Year28" caption="Year" columnCount="7" showCaption="0" rowHeight="241300"/>
  <slicer name="Year 65" xr10:uid="{00000000-0014-0000-FFFF-FFFF54000000}" cache="Slicer_Year29" caption="Year" columnCount="7" showCaption="0" rowHeight="241300"/>
  <slicer name="FiscalYr 1" xr10:uid="{201342B7-0BB9-4C7B-A98F-3C91DFD43459}" cache="Slicer_FiscalYr" caption="FiscalYr" columnCount="7" showCaption="0" rowHeight="241300"/>
  <slicer name="FiscalYr 3" xr10:uid="{97C04DE8-8F93-4C89-9788-4C68B994A40B}" cache="Slicer_FiscalYr1" caption="FiscalYr" columnCount="7" showCaption="0" rowHeight="241300"/>
</slicers>
</file>

<file path=xl/slicers/slicer5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23" xr10:uid="{4AC93794-5B16-44F0-B6BF-EA904B70C857}" cache="Slicer_Year27" caption="Year" rowHeight="241300"/>
</slicers>
</file>

<file path=xl/slicers/slicer52.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38" xr10:uid="{B0C81219-059C-46CE-97CA-6DBA3EA9678C}" cache="Slicer_Year27" caption="Year" columnCount="13" showCaption="0" rowHeight="241300"/>
</slicers>
</file>

<file path=xl/slicers/slicer53.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44" xr10:uid="{AC3E063A-A6D2-42B5-BED8-8369963DE731}" cache="Slicer_Year27" caption="Year" columnCount="13" showCaption="0" rowHeight="241300"/>
</slicers>
</file>

<file path=xl/slicers/slicer54.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66" xr10:uid="{7F4A9556-12D4-4577-9DBB-DB6E4B123C37}" cache="Slicer_Year27" caption="Year" columnCount="13" showCaption="0" rowHeight="241300"/>
</slicers>
</file>

<file path=xl/slicers/slicer55.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7" xr10:uid="{76337780-2217-4654-8629-2633398CAA46}" cache="Slicer_Year1" caption="Year" columnCount="12" showCaption="0" rowHeight="241300"/>
</slicers>
</file>

<file path=xl/slicers/slicer56.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6" xr10:uid="{866FA633-A70F-4FC6-9C1F-6A85A60FF032}" cache="Slicer_Year1" caption="Year" columnCount="11" showCaption="0" rowHeight="241300"/>
</slicers>
</file>

<file path=xl/slicers/slicer57.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FisYr 4" xr10:uid="{E6B5118B-F0AA-4F2F-B603-8D3A92086521}" cache="Slicer_FisYr1" caption="FisYr" columnCount="11" showCaption="0" rowHeight="241300"/>
</slicers>
</file>

<file path=xl/slicers/slicer58.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FisYr 5" xr10:uid="{CD7A058C-14F1-431D-B824-24FD1D25DE22}" cache="Slicer_FisYr1" caption="FisYr" columnCount="11" showCaption="0" rowHeight="241300"/>
</slicers>
</file>

<file path=xl/slicers/slicer59.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8" xr10:uid="{00000000-0014-0000-FFFF-FFFF6E000000}" cache="Slicer_FisYr19" caption="Year" columnCount="7" rowHeight="241300"/>
</slicers>
</file>

<file path=xl/slicers/slicer60.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9" xr10:uid="{00000000-0014-0000-FFFF-FFFF6F000000}" cache="Slicer_FisYr19" caption="Year" columnCount="12" showCaption="0" rowHeight="241300"/>
</slicers>
</file>

<file path=xl/slicers/slicer6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10" xr10:uid="{3D64B85F-6CF9-4704-B6E5-9834D7FDE3F2}" cache="Slicer_Year30" caption="Year" columnCount="11" showCaption="0" rowHeight="241300"/>
</slicers>
</file>

<file path=xl/slicers/slicer62.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Year 11" xr10:uid="{FE067A22-BE85-4EC1-8B5B-11B48CE30A10}" cache="Slicer_Year30" caption="Year" columnCount="11" showCaption="0" rowHeight="241300"/>
  <slicer name="Year 12" xr10:uid="{9E0F6C94-ECAF-4E9C-9F2D-ECB8866A3F6A}" cache="Slicer_Year30" caption="Year" columnCount="11" showCaption="0" rowHeight="241300"/>
</slicers>
</file>

<file path=xl/tables/_rels/table57.xml.rels><?xml version="1.0" encoding="UTF-8" standalone="yes"?>
<Relationships xmlns="http://schemas.openxmlformats.org/package/2006/relationships"><Relationship Id="rId1" Type="http://schemas.openxmlformats.org/officeDocument/2006/relationships/queryTable" Target="../queryTables/queryTable1.xml"/></Relationships>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7" xr:uid="{00000000-000C-0000-FFFF-FFFF00000000}" name="Structure" displayName="Structure" ref="A8:H264" totalsRowShown="0" headerRowDxfId="273" headerRowBorderDxfId="272">
  <autoFilter ref="A8:H264" xr:uid="{00000000-0009-0000-0100-000011000000}">
    <filterColumn colId="0">
      <filters>
        <filter val="2025-26"/>
      </filters>
    </filterColumn>
  </autoFilter>
  <tableColumns count="8">
    <tableColumn id="9" xr3:uid="{00000000-0010-0000-0000-000009000000}" name="FisYr" dataDxfId="271"/>
    <tableColumn id="3" xr3:uid="{00000000-0010-0000-0000-000003000000}" name="LACode" dataDxfId="270"/>
    <tableColumn id="2" xr3:uid="{00000000-0010-0000-0000-000002000000}" name="Council" dataDxfId="269"/>
    <tableColumn id="6" xr3:uid="{00000000-0010-0000-0000-000006000000}" name="LSOCode" dataDxfId="268"/>
    <tableColumn id="4" xr3:uid="{00000000-0010-0000-0000-000004000000}" name="Local Senior Officer Area" dataDxfId="267"/>
    <tableColumn id="5" xr3:uid="{00000000-0010-0000-0000-000005000000}" name="SFRSLSO" dataDxfId="266"/>
    <tableColumn id="8" xr3:uid="{00000000-0010-0000-0000-000008000000}" name="SDACode" dataDxfId="265"/>
    <tableColumn id="7" xr3:uid="{00000000-0010-0000-0000-000007000000}" name="Service Delivery Area" dataDxfId="264"/>
  </tableColumns>
  <tableStyleInfo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0" xr:uid="{D7C122C1-8B39-4DFC-9501-4908B47D3DBD}" name="RR_vCapabilities_StationsTotals" displayName="RR_vCapabilities_StationsTotals" ref="I6:K29" totalsRowShown="0">
  <autoFilter ref="I6:K29" xr:uid="{D7C122C1-8B39-4DFC-9501-4908B47D3DBD}"/>
  <tableColumns count="3">
    <tableColumn id="1" xr3:uid="{D228F853-70B7-488E-9CDD-24BF2981D7E0}" name="Fiscal_Yr" dataDxfId="263"/>
    <tableColumn id="2" xr3:uid="{A09D5718-A2C3-4885-B291-99F50B5176B8}" name="CapabilityType" dataDxfId="262"/>
    <tableColumn id="3" xr3:uid="{7781F616-AE39-4BB1-8C31-18E680111DD5}" name="Number of Stations with Capability"/>
  </tableColumns>
  <tableStyleInfo name="TableStyleMedium7"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 xr:uid="{07B17F3C-3FCB-4C29-8BFA-615FD8AC351B}" name="RR_vCapabilities" displayName="RR_vCapabilities" ref="A1:D155" totalsRowShown="0">
  <autoFilter ref="A1:D155" xr:uid="{07B17F3C-3FCB-4C29-8BFA-615FD8AC351B}"/>
  <tableColumns count="4">
    <tableColumn id="5" xr3:uid="{BD7C1484-58D8-4A17-A8DF-C17A9AA16C67}" name="Fiscal_Yr" dataDxfId="261"/>
    <tableColumn id="2" xr3:uid="{796EE69C-0AD7-4B35-B1A9-F04BE5FC25B4}" name="CapabilityType" dataDxfId="260"/>
    <tableColumn id="3" xr3:uid="{E5932B70-DF17-475E-BBE7-32808B340210}" name="Capability" dataDxfId="259"/>
    <tableColumn id="4" xr3:uid="{09550DB0-8905-4A22-90AA-0DD5D985E838}" name="Value"/>
  </tableColumns>
  <tableStyleInfo name="TableStyleMedium7" showFirstColumn="0" showLastColumn="0" showRowStripes="1" showColumnStripes="0"/>
</table>
</file>

<file path=xl/tables/table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7" xr:uid="{D1AAB337-9D67-4D9E-AA14-7A53AF6D7FA7}" name="fleet_National__2" displayName="fleet_National__2" ref="A1:N15" totalsRowShown="0">
  <autoFilter ref="A1:N15" xr:uid="{D1AAB337-9D67-4D9E-AA14-7A53AF6D7FA7}"/>
  <tableColumns count="14">
    <tableColumn id="1" xr3:uid="{60D2E384-3144-4A96-80AF-33A558C8656A}" name="Year" dataDxfId="258"/>
    <tableColumn id="2" xr3:uid="{23212AC9-E839-4D97-B2DC-9FB6B59CDCBE}" name="Pumping Appliances"/>
    <tableColumn id="3" xr3:uid="{71CB2F98-C0F2-4702-970D-D5F383F022E6}" name="Aerial Appliances"/>
    <tableColumn id="4" xr3:uid="{8D66DCE8-60E4-4E41-AE9E-70D753BCBDD3}" name="Resilience Appliances"/>
    <tableColumn id="5" xr3:uid="{421E2707-544B-45DE-9559-D7E93EA4D8A2}" name="Fire Boats"/>
    <tableColumn id="6" xr3:uid="{4EC38B19-FB7E-409E-B696-1E7123374AC7}" name="Vehicles for Rescue Work"/>
    <tableColumn id="7" xr3:uid="{F016C8F0-879E-4A82-B430-63328BF5C76E}" name="Small Firefighting Vehicles"/>
    <tableColumn id="8" xr3:uid="{23D13409-A7B4-45AB-B24A-F5B9304C8A67}" name="Other"/>
    <tableColumn id="9" xr3:uid="{B79BA0E4-69ED-4383-A663-593EEEE8B0E3}" name="Total Appliances"/>
    <tableColumn id="10" xr3:uid="{224E07EF-2A52-4A60-81B5-23C7BEFB8C9A}" name="Officer Response Vehicles"/>
    <tableColumn id="11" xr3:uid="{9A36100C-8196-4938-A4CB-11CD5040041A}" name="Reserve Appliances"/>
    <tableColumn id="12" xr3:uid="{862E18E5-FAC4-4A7F-9D39-59F12B29B9D3}" name="Training Appliances"/>
    <tableColumn id="13" xr3:uid="{B49535E6-BE6C-4981-B52E-A7DB64430AE4}" name="Other Fleet Vehicles (excl Officer Response Vehicles)"/>
    <tableColumn id="14" xr3:uid="{D72F9E58-F29A-45C5-9116-B363784664AC}" name="Total Vehicles (incl boats)"/>
  </tableColumns>
  <tableStyleInfo name="TableStyleMedium7" showFirstColumn="0" showLastColumn="0" showRowStripes="1" showColumnStripes="0"/>
</table>
</file>

<file path=xl/tables/table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9" xr:uid="{706FCEDD-0C1A-44D0-982D-97C103FC01B1}" name="fleet_LocalAuthority__2" displayName="fleet_LocalAuthority__2" ref="A1:J233" totalsRowShown="0">
  <autoFilter ref="A1:J233" xr:uid="{706FCEDD-0C1A-44D0-982D-97C103FC01B1}"/>
  <tableColumns count="10">
    <tableColumn id="1" xr3:uid="{4AF72D70-911F-48C2-86DC-2C38D1B85B74}" name="Year" dataDxfId="257"/>
    <tableColumn id="2" xr3:uid="{18CC4937-358A-4F0D-97D3-83F8589F62BB}" name="LA Code" dataDxfId="256"/>
    <tableColumn id="3" xr3:uid="{55A4E646-E044-4788-A7D5-CC63A3E939FA}" name="Local Authority Area" dataDxfId="255"/>
    <tableColumn id="4" xr3:uid="{21EE29F5-EA30-4164-BEA1-02C2D7547FAB}" name="Pumping Appliances"/>
    <tableColumn id="5" xr3:uid="{68F1D77C-9946-46F1-9186-5ADC92D4931E}" name="Aerial Appliances"/>
    <tableColumn id="6" xr3:uid="{42DABC3B-8C2E-406D-A2F9-D0B630C4DB8A}" name="Resilience Appliances"/>
    <tableColumn id="7" xr3:uid="{037EE45E-9227-4347-983C-BF923276A3E5}" name="Vehicles for Rescue Work"/>
    <tableColumn id="8" xr3:uid="{08C93330-C4BF-46AA-BB7B-123DFDF52B4A}" name="Small Firefighting Vehicles"/>
    <tableColumn id="9" xr3:uid="{3788031F-941B-42E6-A3EC-0244BB363CE3}" name="Other Operational"/>
    <tableColumn id="10" xr3:uid="{610EAEBD-E622-4C0D-9A73-676369CDDE46}" name="Total Appliances"/>
  </tableColumns>
  <tableStyleInfo name="TableStyleMedium7" showFirstColumn="0" showLastColumn="0" showRowStripes="1" showColumnStripes="0"/>
</table>
</file>

<file path=xl/tables/table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0" xr:uid="{46CA5A90-B94B-4517-97DF-A934A2DA66F1}" name="hrod_HR_StaffingHeadcount__4" displayName="hrod_HR_StaffingHeadcount__4" ref="A1:G17" totalsRowShown="0">
  <autoFilter ref="A1:G17" xr:uid="{46CA5A90-B94B-4517-97DF-A934A2DA66F1}"/>
  <sortState xmlns:xlrd2="http://schemas.microsoft.com/office/spreadsheetml/2017/richdata2" ref="A2:G17">
    <sortCondition ref="A1:A17"/>
  </sortState>
  <tableColumns count="7">
    <tableColumn id="1" xr3:uid="{374D6E8C-141D-4816-AE6C-0871EDD53EB4}" name="Year" dataDxfId="254"/>
    <tableColumn id="2" xr3:uid="{74043A54-D6C3-4BE4-89A8-72373DA15554}" name="WholeTime Operational"/>
    <tableColumn id="3" xr3:uid="{37594431-AD00-41D3-9687-2113DB082C83}" name="Retained Duty System"/>
    <tableColumn id="4" xr3:uid="{5A41DA0B-65D7-4B03-A7BF-1E59BBED9382}" name="RDS Fulltime"/>
    <tableColumn id="5" xr3:uid="{F513921F-7970-4EED-AF68-54165D0E704A}" name="Control"/>
    <tableColumn id="6" xr3:uid="{9CBA8D5E-9A1C-4378-ADA4-35064009AAD3}" name="Support"/>
    <tableColumn id="7" xr3:uid="{F2111D32-E5BD-481E-9E99-53AAAA959E99}" name="Volunteer"/>
  </tableColumns>
  <tableStyleInfo name="TableStyleMedium7" showFirstColumn="0" showLastColumn="0" showRowStripes="1" showColumnStripes="0"/>
</table>
</file>

<file path=xl/tables/table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6" xr:uid="{64618B9D-A288-4BAA-84A2-29F516E5C56A}" name="hrod_HR_StaffingFTE__2_1" displayName="hrod_HR_StaffingFTE__2_1" ref="A26:F41" totalsRowShown="0">
  <autoFilter ref="A26:F41" xr:uid="{64618B9D-A288-4BAA-84A2-29F516E5C56A}"/>
  <sortState xmlns:xlrd2="http://schemas.microsoft.com/office/spreadsheetml/2017/richdata2" ref="A27:F41">
    <sortCondition ref="A26:A41"/>
  </sortState>
  <tableColumns count="6">
    <tableColumn id="1" xr3:uid="{5B110E14-9E13-4753-9EF4-A60968AD3295}" name="Year" dataDxfId="253"/>
    <tableColumn id="2" xr3:uid="{0B7237E5-E823-4B31-B315-D9132880D280}" name="WholeTime Operational"/>
    <tableColumn id="3" xr3:uid="{E9FD0C5F-AA50-4E11-AF42-5641F5167586}" name="Retained Duty System"/>
    <tableColumn id="4" xr3:uid="{6F16C0A8-2FEF-47D4-8AB6-D626732593D5}" name="RDS Fulltime"/>
    <tableColumn id="5" xr3:uid="{A02EE740-6507-4283-87A8-0F321CF0D01D}" name="Control"/>
    <tableColumn id="6" xr3:uid="{F3C7CDD8-32CD-44EE-89CF-725B9B03F9B7}" name="Support"/>
  </tableColumns>
  <tableStyleInfo name="TableStyleMedium7" showFirstColumn="0" showLastColumn="0" showRowStripes="1" showColumnStripes="0"/>
</table>
</file>

<file path=xl/tables/table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9" xr:uid="{30407734-DB23-451B-BEB1-A3C628BD63DA}" name="hrod_HR_Staffing_NewDefinition_Headcount" displayName="hrod_HR_Staffing_NewDefinition_Headcount" ref="A10:B18" totalsRowShown="0" dataDxfId="252">
  <autoFilter ref="A10:B18" xr:uid="{30407734-DB23-451B-BEB1-A3C628BD63DA}"/>
  <tableColumns count="2">
    <tableColumn id="1" xr3:uid="{56E73B9B-C98A-401C-A0D1-3DDFC47C6726}" name="FisYr" dataDxfId="251"/>
    <tableColumn id="2" xr3:uid="{D99B8E66-B0EA-4C62-806B-C004F27DCFCD}" name="Headcount" dataDxfId="250"/>
  </tableColumns>
  <tableStyleInfo name="TableStyleLight1" showFirstColumn="0" showLastColumn="0" showRowStripes="1" showColumnStripes="0"/>
</table>
</file>

<file path=xl/tables/table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9" xr:uid="{2A0DBFA2-6E4C-4C70-84F3-ED9C84FBDDED}" name="hrod_HR_Staffing_NewDefinition_StaffToCrew" displayName="hrod_HR_Staffing_NewDefinition_StaffToCrew" ref="D10:E18" totalsRowShown="0" dataDxfId="249">
  <autoFilter ref="D10:E18" xr:uid="{2A0DBFA2-6E4C-4C70-84F3-ED9C84FBDDED}"/>
  <tableColumns count="2">
    <tableColumn id="1" xr3:uid="{2D8EB96C-7EBB-4E51-B0E0-ABEF4EAB8F6E}" name="FisYr" dataDxfId="248"/>
    <tableColumn id="2" xr3:uid="{6D13A87A-0E9B-445C-8BDD-36F70AAAEE39}" name="Headcount" dataDxfId="247"/>
  </tableColumns>
  <tableStyleInfo name="TableStyleLight1" showFirstColumn="0" showLastColumn="0" showRowStripes="1" showColumnStripes="0"/>
</table>
</file>

<file path=xl/tables/table1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1" xr:uid="{5EAB7D47-16CC-405A-B7EA-A8EA328F64A4}" name="hrod_HR_DutySystem_1" displayName="hrod_HR_DutySystem_1" ref="A1:E9" totalsRowShown="0">
  <autoFilter ref="A1:E9" xr:uid="{5EAB7D47-16CC-405A-B7EA-A8EA328F64A4}"/>
  <tableColumns count="5">
    <tableColumn id="1" xr3:uid="{687D4C5B-A88E-43A5-93B1-629A938D2305}" name="Year" dataDxfId="246"/>
    <tableColumn id="2" xr3:uid="{A44DD1AA-E234-433A-9E5D-6DBE7A224A41}" name="Operational Crewing"/>
    <tableColumn id="3" xr3:uid="{91D1AFA9-4941-4DC4-B35E-242800B5DAA4}" name="Incident Command Officers"/>
    <tableColumn id="4" xr3:uid="{C9FF274B-C326-4360-B25A-2E015FE42D37}" name="Office Duties"/>
    <tableColumn id="5" xr3:uid="{DF510054-C758-4258-8664-2EDD9B9D1138}" name="Trainees"/>
  </tableColumns>
  <tableStyleInfo name="TableStyleMedium7" showFirstColumn="0" showLastColumn="0" showRowStripes="1" showColumnStripes="0"/>
</table>
</file>

<file path=xl/tables/table1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3" xr:uid="{00000000-000C-0000-FFFF-FFFF06000000}" name="hrod_HR_DutySystem" displayName="hrod_HR_DutySystem" ref="A9:E17" totalsRowShown="0" headerRowDxfId="245" headerRowBorderDxfId="244">
  <tableColumns count="5">
    <tableColumn id="6" xr3:uid="{00000000-0010-0000-0600-000006000000}" name="Year" dataDxfId="243"/>
    <tableColumn id="2" xr3:uid="{00000000-0010-0000-0600-000002000000}" name="Operational Crewing" dataDxfId="242">
      <calculatedColumnFormula>GETPIVOTDATA("Sum of Operational Crewing",DutySystemPivot!$A$1,"Year",A10)</calculatedColumnFormula>
    </tableColumn>
    <tableColumn id="3" xr3:uid="{00000000-0010-0000-0600-000003000000}" name="Incident Command Officers" dataDxfId="241">
      <calculatedColumnFormula>GETPIVOTDATA("Sum of Incident Command Officers",DutySystemPivot!$A$1,"Year",A10)</calculatedColumnFormula>
    </tableColumn>
    <tableColumn id="4" xr3:uid="{00000000-0010-0000-0600-000004000000}" name="Off Station" dataDxfId="240">
      <calculatedColumnFormula>GETPIVOTDATA("Sum of Office Duties",DutySystemPivot!$A$1,"Year",A10)</calculatedColumnFormula>
    </tableColumn>
    <tableColumn id="5" xr3:uid="{00000000-0010-0000-0600-000005000000}" name="Trainees" dataDxfId="239">
      <calculatedColumnFormula>GETPIVOTDATA("Sum of Trainees",DutySystemPivot!$A$1,"Year",A10)</calculatedColumnFormula>
    </tableColumn>
  </tableColumns>
  <tableStyleInfo showFirstColumn="0" showLastColumn="0" showRowStripes="1" showColumnStripes="0"/>
</table>
</file>

<file path=xl/tables/table1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2" xr:uid="{BA0A46C6-C7A2-4B92-8877-7BB4DF8A00FB}" name="hrod_HR_DutySystem_LA" displayName="hrod_HR_DutySystem_LA" ref="A1:H415" totalsRowShown="0">
  <autoFilter ref="A1:H415" xr:uid="{BA0A46C6-C7A2-4B92-8877-7BB4DF8A00FB}"/>
  <tableColumns count="8">
    <tableColumn id="1" xr3:uid="{0B1B2C78-C38A-4CA4-AE2E-3199A2ED47E3}" name="Year" dataDxfId="238"/>
    <tableColumn id="2" xr3:uid="{CF747DBC-4521-417C-8DF3-96F5A03C2CF5}" name="ReportingLevel" dataDxfId="237"/>
    <tableColumn id="3" xr3:uid="{60FF2389-D5A0-4EE4-B278-35819B856AB4}" name="lvl" dataDxfId="236"/>
    <tableColumn id="4" xr3:uid="{2FDED176-420F-4C7D-86A7-B040B57FA1D1}" name="Code" dataDxfId="235"/>
    <tableColumn id="5" xr3:uid="{9A41FE2A-6D79-40BF-A6D6-7B8895F4E294}" name="Operational Crewing"/>
    <tableColumn id="6" xr3:uid="{174E6E98-ED2B-40B7-8AA5-10FEF9C25120}" name="Incident Command Officers"/>
    <tableColumn id="7" xr3:uid="{D87F17CB-638D-44DC-BE74-A568251AA4D4}" name="Office Duties"/>
    <tableColumn id="8" xr3:uid="{88C452BB-C527-46DD-8365-B68E2E6426D2}" name="Trainees"/>
  </tableColumns>
  <tableStyleInfo name="TableStyleMedium7" showFirstColumn="0" showLastColumn="0" showRowStripes="1" showColumnStripes="0"/>
</table>
</file>

<file path=xl/tables/table1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6" xr:uid="{00000000-000C-0000-FFFF-FFFF04000000}" name="hrod_HR_StaffingFTE__2" displayName="hrod_HR_StaffingFTE__2" ref="A43:G58" totalsRowShown="0" headerRowDxfId="234" headerRowBorderDxfId="233">
  <tableColumns count="7">
    <tableColumn id="7" xr3:uid="{00000000-0010-0000-0400-000007000000}" name="Year" dataDxfId="232"/>
    <tableColumn id="2" xr3:uid="{00000000-0010-0000-0400-000002000000}" name="Wholetime Operational" dataDxfId="231">
      <calculatedColumnFormula>GETPIVOTDATA("Sum of WholeTime Operational",StaffingPivot!$A$22,"Year",A44)</calculatedColumnFormula>
    </tableColumn>
    <tableColumn id="3" xr3:uid="{00000000-0010-0000-0400-000003000000}" name="Retained Duty System" dataDxfId="230">
      <calculatedColumnFormula>GETPIVOTDATA("Sum of Retained Duty System",StaffingPivot!$A$22,"Year",A44)</calculatedColumnFormula>
    </tableColumn>
    <tableColumn id="4" xr3:uid="{00000000-0010-0000-0400-000004000000}" name="Retained Full-time" dataDxfId="229"/>
    <tableColumn id="5" xr3:uid="{00000000-0010-0000-0400-000005000000}" name="Control" dataDxfId="228">
      <calculatedColumnFormula>GETPIVOTDATA("Sum of Control",StaffingPivot!$A$22,"Year",A44)</calculatedColumnFormula>
    </tableColumn>
    <tableColumn id="6" xr3:uid="{00000000-0010-0000-0400-000006000000}" name="Support" dataDxfId="227">
      <calculatedColumnFormula>GETPIVOTDATA("Sum of Support",StaffingPivot!$A$22,"Year",A44)</calculatedColumnFormula>
    </tableColumn>
    <tableColumn id="8" xr3:uid="{00000000-0010-0000-0400-000008000000}" name="All staff (excluding volunteers)" dataDxfId="226">
      <calculatedColumnFormula>SUM(B44:F44)</calculatedColumnFormula>
    </tableColumn>
  </tableColumns>
  <tableStyleInfo showFirstColumn="0" showLastColumn="0" showRowStripes="1" showColumnStripes="0"/>
</table>
</file>

<file path=xl/tables/table1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2" xr:uid="{00000000-000C-0000-FFFF-FFFF05000000}" name="hrod_HR_StaffingHeadcount__3" displayName="hrod_HR_StaffingHeadcount__3" ref="A9:G22" totalsRowShown="0" headerRowDxfId="225" headerRowBorderDxfId="224">
  <tableColumns count="7">
    <tableColumn id="8" xr3:uid="{00000000-0010-0000-0500-000008000000}" name="Year" dataDxfId="223"/>
    <tableColumn id="2" xr3:uid="{00000000-0010-0000-0500-000002000000}" name="Wholetime Operational" dataDxfId="222"/>
    <tableColumn id="3" xr3:uid="{00000000-0010-0000-0500-000003000000}" name="Retained Duty System" dataDxfId="221"/>
    <tableColumn id="4" xr3:uid="{00000000-0010-0000-0500-000004000000}" name="Retained Full-time" dataDxfId="220"/>
    <tableColumn id="5" xr3:uid="{00000000-0010-0000-0500-000005000000}" name="Control" dataDxfId="219"/>
    <tableColumn id="6" xr3:uid="{00000000-0010-0000-0500-000006000000}" name="Support" dataDxfId="218"/>
    <tableColumn id="7" xr3:uid="{00000000-0010-0000-0500-000007000000}" name="Volunteer" dataDxfId="217"/>
  </tableColumns>
  <tableStyleInfo showFirstColumn="0" showLastColumn="0" showRowStripes="1" showColumnStripes="0"/>
</table>
</file>

<file path=xl/tables/table1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5" xr:uid="{FF7CD588-C6CA-471F-BD02-166298FD5119}" name="hrod_HR_Department_Headcount__5" displayName="hrod_HR_Department_Headcount__5" ref="A9:I145" totalsRowShown="0" headerRowDxfId="216" dataDxfId="214" headerRowBorderDxfId="215">
  <autoFilter ref="A9:I145" xr:uid="{FF7CD588-C6CA-471F-BD02-166298FD5119}">
    <filterColumn colId="0">
      <filters>
        <filter val="2025-26"/>
      </filters>
    </filterColumn>
  </autoFilter>
  <tableColumns count="9">
    <tableColumn id="1" xr3:uid="{24E749E1-8C82-4B7A-A1A2-8A561BA4414E}" name="FisYr" dataDxfId="213"/>
    <tableColumn id="2" xr3:uid="{B06AFD2D-721E-4115-AE96-57702B6C2AEC}" name="Directorate" dataDxfId="212"/>
    <tableColumn id="3" xr3:uid="{D64543D2-417D-48D2-B79F-03D0805E883F}" name="Unit" dataDxfId="211"/>
    <tableColumn id="4" xr3:uid="{5A8A0D8B-3368-4DE4-AF20-86B17CCFC890}" name="Wholetime Operational" dataDxfId="210"/>
    <tableColumn id="5" xr3:uid="{5BB16F17-D1A2-4192-A65D-ED7063011CC8}" name="Retained Duty System" dataDxfId="209"/>
    <tableColumn id="6" xr3:uid="{A9ECE47D-F50F-40F2-B912-D937DC5B3BBC}" name="Retained Full-time" dataDxfId="208"/>
    <tableColumn id="7" xr3:uid="{31D927A2-39E9-4C36-8CDF-202BA9670CD1}" name="Control" dataDxfId="207"/>
    <tableColumn id="8" xr3:uid="{F676B906-4EC7-4ABD-B61D-7753E024CF73}" name="Support" dataDxfId="206"/>
    <tableColumn id="9" xr3:uid="{6532D326-8DF7-465D-9C8B-AFCB7C047EEA}" name="Volunteer" dataDxfId="205"/>
  </tableColumns>
  <tableStyleInfo showFirstColumn="0" showLastColumn="0" showRowStripes="1" showColumnStripes="0"/>
</table>
</file>

<file path=xl/tables/table1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2" xr:uid="{9416FAD0-154F-41B8-A5A0-57E214333042}" name="hrod_HR_Department_FTE__5" displayName="hrod_HR_Department_FTE__5" ref="A173:H309" totalsRowShown="0" headerRowDxfId="204" dataDxfId="202" headerRowBorderDxfId="203">
  <autoFilter ref="A173:H309" xr:uid="{9416FAD0-154F-41B8-A5A0-57E214333042}">
    <filterColumn colId="0">
      <filters>
        <filter val="2025-26"/>
      </filters>
    </filterColumn>
  </autoFilter>
  <tableColumns count="8">
    <tableColumn id="1" xr3:uid="{2A73C164-DCB5-4324-9CFB-B15B7B66B0DC}" name="FisYr" dataDxfId="201"/>
    <tableColumn id="2" xr3:uid="{212CA316-987F-4B6C-BDA3-C6DDB1E43D90}" name="Directorate" dataDxfId="200"/>
    <tableColumn id="3" xr3:uid="{D7CA28CE-CE83-4F6E-AD71-5E8CF6172500}" name="Unit" dataDxfId="199"/>
    <tableColumn id="4" xr3:uid="{81507F52-496A-4BE2-BC1A-83C768A77BD8}" name="Wholetime Operational" dataDxfId="198"/>
    <tableColumn id="5" xr3:uid="{53E0936F-3791-4931-B783-5607C0A2806B}" name="Retained Duty System" dataDxfId="197"/>
    <tableColumn id="6" xr3:uid="{E2AB8CBF-56BA-48D7-82E7-1F0D813AB28E}" name="Retained Full-time" dataDxfId="196"/>
    <tableColumn id="7" xr3:uid="{F92D1F1C-DA23-4F51-BC25-DD1FBE81AFD8}" name="Control" dataDxfId="195"/>
    <tableColumn id="8" xr3:uid="{0A2049AC-CF05-4884-96B5-5A10EDC2B54E}" name="Support" dataDxfId="194"/>
  </tableColumns>
  <tableStyleInfo showFirstColumn="0" showLastColumn="0" showRowStripes="1" showColumnStripes="0"/>
</table>
</file>

<file path=xl/tables/table1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3" xr:uid="{F53A4FB7-99E9-4960-8629-C9012BFCFA7B}" name="hrod_HR_GeographicStructure" displayName="hrod_HR_GeographicStructure" ref="A1:H53" totalsRowShown="0">
  <autoFilter ref="A1:H53" xr:uid="{F53A4FB7-99E9-4960-8629-C9012BFCFA7B}"/>
  <tableColumns count="8">
    <tableColumn id="1" xr3:uid="{F5629868-6810-44F9-9EC1-4831E73FC71D}" name="Year" dataDxfId="193"/>
    <tableColumn id="2" xr3:uid="{83442BD5-9531-4DAA-9030-F1DFDA29E0B5}" name="ReportingLevel" dataDxfId="192"/>
    <tableColumn id="3" xr3:uid="{03EC7FF5-1F20-401F-B70E-F0B54E0515A2}" name="Wholetime Operational"/>
    <tableColumn id="4" xr3:uid="{689F05F4-A141-4491-A7BF-151B4DC786CA}" name="RDS"/>
    <tableColumn id="8" xr3:uid="{96CDDF6B-6786-4474-9ABD-F1F73DE336A8}" name="RDS Fulltime"/>
    <tableColumn id="5" xr3:uid="{37E31755-E340-4CCD-A810-EE81BD4B86A9}" name="Control"/>
    <tableColumn id="6" xr3:uid="{6D57B7CB-EF3B-4127-B285-33923B81E873}" name="Support"/>
    <tableColumn id="7" xr3:uid="{B47C1524-9A5B-41FF-9907-BC91A2B4D5C6}" name="Volunteer"/>
  </tableColumns>
  <tableStyleInfo name="TableStyleMedium7" showFirstColumn="0" showLastColumn="0" showRowStripes="1" showColumnStripes="0"/>
</table>
</file>

<file path=xl/tables/table1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4" xr:uid="{FA534510-D335-476D-9EDE-7F07C570FAA7}" name="hrod_HR_StaffSmallArea" displayName="hrod_HR_StaffSmallArea" ref="A1:K682" totalsRowShown="0">
  <autoFilter ref="A1:K682" xr:uid="{FA534510-D335-476D-9EDE-7F07C570FAA7}"/>
  <tableColumns count="11">
    <tableColumn id="1" xr3:uid="{3A49FBC4-9A21-4D7A-A8C0-D3725BEB87CF}" name="Year" dataDxfId="191"/>
    <tableColumn id="2" xr3:uid="{54F04711-1990-403E-BC15-E8319FDEB7CB}" name="ReportingLevel" dataDxfId="190"/>
    <tableColumn id="3" xr3:uid="{1E81E5F2-7457-4378-BD7D-0457AA242A55}" name="lvl" dataDxfId="189"/>
    <tableColumn id="4" xr3:uid="{8931A6FB-4D21-4022-80EE-4AAD65450B79}" name="Code" dataDxfId="188"/>
    <tableColumn id="5" xr3:uid="{83B2DAD3-AA69-4211-8278-0BC516756CE3}" name="Total"/>
    <tableColumn id="6" xr3:uid="{02B87874-1B11-44FB-A8E0-ABBA069C84B1}" name="Control"/>
    <tableColumn id="7" xr3:uid="{B4068E87-AA86-42F4-A2B4-708E09126360}" name="RDS Fulltime"/>
    <tableColumn id="8" xr3:uid="{F784E422-F83E-4168-BF2A-43B8D81A95DD}" name="Retained Duty System"/>
    <tableColumn id="9" xr3:uid="{FF210472-D56D-4EE1-B3F9-1713423A29BF}" name="Support"/>
    <tableColumn id="10" xr3:uid="{88B1A572-9289-494A-9169-FBFFEAD22938}" name="Volunteer"/>
    <tableColumn id="12" xr3:uid="{41F87509-657F-4EA2-97E2-4045188B2CDB}" name="Wholetime Operational"/>
  </tableColumns>
  <tableStyleInfo name="TableStyleMedium7" showFirstColumn="0" showLastColumn="0" showRowStripes="1" showColumnStripes="0"/>
</table>
</file>

<file path=xl/tables/table1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00000000-000C-0000-FFFF-FFFF0C000000}" name="Table2" displayName="Table2" ref="A11:I43" totalsRowShown="0" headerRowDxfId="187" dataDxfId="185" headerRowBorderDxfId="186">
  <tableColumns count="9">
    <tableColumn id="1" xr3:uid="{00000000-0010-0000-0C00-000001000000}" name="LA Code" dataDxfId="184"/>
    <tableColumn id="2" xr3:uid="{00000000-0010-0000-0C00-000002000000}" name="Local Authority Area" dataDxfId="183"/>
    <tableColumn id="3" xr3:uid="{00000000-0010-0000-0C00-000003000000}" name="Wholetime Operational" dataDxfId="182">
      <calculatedColumnFormula>GETPIVOTDATA("Sum of Wholetime Operational",smallareapivot!$A$3,"ReportingLevel","1:LA","lvl","Aberdeen City")</calculatedColumnFormula>
    </tableColumn>
    <tableColumn id="4" xr3:uid="{00000000-0010-0000-0C00-000004000000}" name="Retained Duty System" dataDxfId="181"/>
    <tableColumn id="5" xr3:uid="{00000000-0010-0000-0C00-000005000000}" name="Retained Full-time" dataDxfId="180"/>
    <tableColumn id="6" xr3:uid="{00000000-0010-0000-0C00-000006000000}" name="Control" dataDxfId="179"/>
    <tableColumn id="7" xr3:uid="{00000000-0010-0000-0C00-000007000000}" name="Support" dataDxfId="178"/>
    <tableColumn id="8" xr3:uid="{00000000-0010-0000-0C00-000008000000}" name="Volunteer" dataDxfId="177"/>
    <tableColumn id="10" xr3:uid="{00000000-0010-0000-0C00-00000A000000}" name="All Staff Total" dataDxfId="176">
      <calculatedColumnFormula>SUM(C12:H12)</calculatedColumnFormula>
    </tableColumn>
  </tableColumns>
  <tableStyleInfo showFirstColumn="0" showLastColumn="0" showRowStripes="1" showColumnStripes="0"/>
</table>
</file>

<file path=xl/tables/table2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00000000-000C-0000-FFFF-FFFF0D000000}" name="Table3" displayName="Table3" ref="A46:I63" totalsRowShown="0" headerRowDxfId="175">
  <tableColumns count="9">
    <tableColumn id="1" xr3:uid="{00000000-0010-0000-0D00-000001000000}" name="LSO Code" dataDxfId="174"/>
    <tableColumn id="2" xr3:uid="{00000000-0010-0000-0D00-000002000000}" name="Local Senior Officer Area" dataDxfId="173"/>
    <tableColumn id="3" xr3:uid="{00000000-0010-0000-0D00-000003000000}" name="Wholetime Operational" dataDxfId="172">
      <calculatedColumnFormula>IFERROR(GETPIVOTDATA("Sum of WT",#REF!,"ReportingLevel","2:LSO","lvl",Table3[[#This Row],[Local Senior Officer Area]]),0)</calculatedColumnFormula>
    </tableColumn>
    <tableColumn id="4" xr3:uid="{00000000-0010-0000-0D00-000004000000}" name="Retained Duty System" dataDxfId="171">
      <calculatedColumnFormula>IFERROR(GETPIVOTDATA("Sum of Retained Duty System",#REF!,"ReportingLevel","2:LSO","lvl",Table3[[#This Row],[LSO Code]]),0)</calculatedColumnFormula>
    </tableColumn>
    <tableColumn id="5" xr3:uid="{00000000-0010-0000-0D00-000005000000}" name="Retained Full-time" dataDxfId="170"/>
    <tableColumn id="6" xr3:uid="{00000000-0010-0000-0D00-000006000000}" name="Control" dataDxfId="169">
      <calculatedColumnFormula>IFERROR(GETPIVOTDATA("Sum of RDS Fulltime",#REF!,"ReportingLevel","2:LSO","lvl",Table3[[#This Row],[Wholetime Operational]]),0)</calculatedColumnFormula>
    </tableColumn>
    <tableColumn id="7" xr3:uid="{00000000-0010-0000-0D00-000007000000}" name="Support" dataDxfId="168">
      <calculatedColumnFormula>IFERROR(GETPIVOTDATA("Sum of RDS Fulltime",#REF!,"ReportingLevel","2:LSO","lvl",Table3[[#This Row],[Retained Duty System]]),0)</calculatedColumnFormula>
    </tableColumn>
    <tableColumn id="8" xr3:uid="{00000000-0010-0000-0D00-000008000000}" name="Volunteer" dataDxfId="167">
      <calculatedColumnFormula>IFERROR(GETPIVOTDATA("Sum of RDS Fulltime",#REF!,"ReportingLevel","2:LSO","lvl",Table3[[#This Row],[Retained Full-time]]),0)</calculatedColumnFormula>
    </tableColumn>
    <tableColumn id="9" xr3:uid="{00000000-0010-0000-0D00-000009000000}" name="All Staff Total" dataDxfId="166">
      <calculatedColumnFormula>SUM(C47:H47)</calculatedColumnFormula>
    </tableColumn>
  </tableColumns>
  <tableStyleInfo showFirstColumn="0" showLastColumn="0" showRowStripes="1" showColumnStripes="0"/>
</table>
</file>

<file path=xl/tables/table2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00000000-000C-0000-FFFF-FFFF0E000000}" name="Table4" displayName="Table4" ref="A66:I69" totalsRowShown="0" headerRowDxfId="165">
  <tableColumns count="9">
    <tableColumn id="1" xr3:uid="{00000000-0010-0000-0E00-000001000000}" name="SDA Code" dataDxfId="164"/>
    <tableColumn id="2" xr3:uid="{00000000-0010-0000-0E00-000002000000}" name="Service Delivery Area" dataDxfId="163"/>
    <tableColumn id="3" xr3:uid="{00000000-0010-0000-0E00-000003000000}" name="Wholetime Operational" dataDxfId="162">
      <calculatedColumnFormula>GETPIVOTDATA("Sum of Wholetime Operational",smallareapivot!$A$3,"ReportingLevel","3:SDA","lvl","East")</calculatedColumnFormula>
    </tableColumn>
    <tableColumn id="4" xr3:uid="{00000000-0010-0000-0E00-000004000000}" name="Retained Duty System" dataDxfId="161">
      <calculatedColumnFormula>GETPIVOTDATA("Sum of Retained Duty System",smallareapivot!$A$3,"ReportingLevel","3:SDA","lvl","East")</calculatedColumnFormula>
    </tableColumn>
    <tableColumn id="5" xr3:uid="{00000000-0010-0000-0E00-000005000000}" name="Retained Full-time" dataDxfId="160"/>
    <tableColumn id="6" xr3:uid="{00000000-0010-0000-0E00-000006000000}" name="Control" dataDxfId="159"/>
    <tableColumn id="7" xr3:uid="{00000000-0010-0000-0E00-000007000000}" name="Support" dataDxfId="158"/>
    <tableColumn id="8" xr3:uid="{00000000-0010-0000-0E00-000008000000}" name="Volunteer" dataDxfId="157"/>
    <tableColumn id="9" xr3:uid="{00000000-0010-0000-0E00-000009000000}" name="All Staff Total" dataDxfId="156">
      <calculatedColumnFormula>SUM(C67:H67)</calculatedColumnFormula>
    </tableColumn>
  </tableColumns>
  <tableStyleInfo showFirstColumn="0" showLastColumn="0" showRowStripes="1" showColumnStripes="0"/>
</table>
</file>

<file path=xl/tables/table2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5" xr:uid="{40B856B7-4126-44B4-8583-5A19F6E74A7A}" name="hrod_HR_Role" displayName="hrod_HR_Role" ref="A1:J69" totalsRowShown="0">
  <autoFilter ref="A1:J69" xr:uid="{40B856B7-4126-44B4-8583-5A19F6E74A7A}">
    <filterColumn colId="0">
      <filters>
        <filter val="2024-25"/>
        <filter val="2025-26"/>
      </filters>
    </filterColumn>
  </autoFilter>
  <sortState xmlns:xlrd2="http://schemas.microsoft.com/office/spreadsheetml/2017/richdata2" ref="A2:J69">
    <sortCondition ref="A1:A69"/>
  </sortState>
  <tableColumns count="10">
    <tableColumn id="1" xr3:uid="{1741089E-7BCC-4F53-9584-54136B2A73D0}" name="Year" dataDxfId="155"/>
    <tableColumn id="2" xr3:uid="{027C4E41-2335-48D2-B5BB-D2BC9DAA7F91}" name="Type" dataDxfId="154"/>
    <tableColumn id="3" xr3:uid="{57983250-3221-4B5E-81B9-CD5FF0D4D7DE}" name="Total"/>
    <tableColumn id="4" xr3:uid="{FA3A6805-B32E-4595-BBFA-1A8D26421ECE}" name="Brigade Manager"/>
    <tableColumn id="5" xr3:uid="{D6CF7A00-D80E-4C01-80BB-B387C3285684}" name="Area Manager"/>
    <tableColumn id="6" xr3:uid="{EB2E26E1-186D-4E32-84AF-74F2B1474E78}" name="Group Manager"/>
    <tableColumn id="7" xr3:uid="{A9217E20-A309-49A7-A3FE-7A85353417C9}" name="Station Manager"/>
    <tableColumn id="8" xr3:uid="{7D9429E7-2607-4D9A-9D08-171D429734A8}" name="Watch Manager"/>
    <tableColumn id="9" xr3:uid="{7D10A9F9-E9BD-4EF2-9E4A-3F33A4E5DF37}" name="Crew Manager"/>
    <tableColumn id="10" xr3:uid="{AFFCE349-D4FA-4A62-ACED-0629765F7DF2}" name="Firefighter"/>
  </tableColumns>
  <tableStyleInfo name="TableStyleMedium7" showFirstColumn="0" showLastColumn="0" showRowStripes="1" showColumnStripes="0"/>
</table>
</file>

<file path=xl/tables/table2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7" xr:uid="{AD99EAF0-6139-4E4C-B2A9-AD61F7BDC595}" name="hrod_HR_Role_DutySystem" displayName="hrod_HR_Role_DutySystem" ref="A1:I33" totalsRowShown="0">
  <autoFilter ref="A1:I33" xr:uid="{AD99EAF0-6139-4E4C-B2A9-AD61F7BDC595}"/>
  <tableColumns count="9">
    <tableColumn id="1" xr3:uid="{D823C02E-C346-45AD-8F07-54272B912F89}" name="Year" dataDxfId="153"/>
    <tableColumn id="2" xr3:uid="{C47CCEDC-EC93-4727-9E61-BC4F11187684}" name="EmployeeGroup" dataDxfId="152"/>
    <tableColumn id="3" xr3:uid="{E98D87AE-1DB3-4409-9437-D50749A62ACB}" name="Brigade Commander"/>
    <tableColumn id="4" xr3:uid="{484DF5F1-6169-40A5-AAFE-ED84A2B15D3C}" name="Area Commander"/>
    <tableColumn id="5" xr3:uid="{273CF0BC-51FC-4698-A934-7E9404A3593B}" name="Group Commander"/>
    <tableColumn id="6" xr3:uid="{FE20775A-61BF-4C29-9AB1-96E4137ABD7A}" name="Station Commander"/>
    <tableColumn id="7" xr3:uid="{FF624E9A-7349-4E45-82E5-43DF51DED4F8}" name="Watch Commander"/>
    <tableColumn id="8" xr3:uid="{97B8EADF-5959-428C-AD1C-22DADD5E24AF}" name="Crew Commander"/>
    <tableColumn id="9" xr3:uid="{3B6DADF6-DD1B-4BAE-8CAE-63A147538B4B}" name="Firefighter"/>
  </tableColumns>
  <tableStyleInfo name="TableStyleMedium7" showFirstColumn="0" showLastColumn="0" showRowStripes="1" showColumnStripes="0"/>
</table>
</file>

<file path=xl/tables/table2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8" xr:uid="{FF65A8E3-492A-4702-80EF-FCBF5E6ABD3D}" name="hrod_HR_Role_Area" displayName="hrod_HR_Role_Area" ref="A1:J53" totalsRowShown="0">
  <autoFilter ref="A1:J53" xr:uid="{FF65A8E3-492A-4702-80EF-FCBF5E6ABD3D}"/>
  <tableColumns count="10">
    <tableColumn id="1" xr3:uid="{09CFA946-A3B9-488A-9066-7E90EAE2DDE1}" name="Year" dataDxfId="151"/>
    <tableColumn id="2" xr3:uid="{19901A72-F614-4747-8F21-D7A686289221}" name="ReportingLevel" dataDxfId="150"/>
    <tableColumn id="3" xr3:uid="{57505710-EB9F-4C59-B66B-9C56269947CD}" name="Brigade Manager"/>
    <tableColumn id="4" xr3:uid="{0055D078-6845-4D46-8BA5-6FDBC6374F01}" name="Area Manager"/>
    <tableColumn id="5" xr3:uid="{A3FA3976-21C3-40FC-B7BF-4295AB7B38A3}" name="Group Manager"/>
    <tableColumn id="6" xr3:uid="{1FB4A3AC-0CCB-49E7-A70A-20FDDD76590B}" name="Station Manager"/>
    <tableColumn id="7" xr3:uid="{09751190-C5B3-4981-AAED-73AB4D6A1678}" name="Watch Manager"/>
    <tableColumn id="8" xr3:uid="{5FA9511F-DD52-4FD7-9619-A2DB579AF92D}" name="Crew Manager"/>
    <tableColumn id="9" xr3:uid="{E40DE378-37E1-4515-AD12-19327F4BDAAD}" name="Firefighter"/>
    <tableColumn id="10" xr3:uid="{0A9B73C9-79D6-4167-A407-257035EF6ABD}" name="Total"/>
  </tableColumns>
  <tableStyleInfo name="TableStyleMedium7" showFirstColumn="0" showLastColumn="0" showRowStripes="1" showColumnStripes="0"/>
</table>
</file>

<file path=xl/tables/table2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9" xr:uid="{DF1646EB-AE3C-4C38-8A67-0E779E0A5BDF}" name="hrod_HR_WT_RoleArea" displayName="hrod_HR_WT_RoleArea" ref="A1:K663" totalsRowShown="0">
  <autoFilter ref="A1:K663" xr:uid="{DF1646EB-AE3C-4C38-8A67-0E779E0A5BDF}"/>
  <tableColumns count="11">
    <tableColumn id="1" xr3:uid="{2012A706-F7D5-4F89-89C6-EC016505B08A}" name="Year" dataDxfId="149"/>
    <tableColumn id="2" xr3:uid="{7C27CDAF-25AA-4B6D-B9B6-8D6C141F5635}" name="ReportingLevel" dataDxfId="148"/>
    <tableColumn id="3" xr3:uid="{74FFEDFE-4274-480D-8771-A62AB5D99625}" name="Code" dataDxfId="147"/>
    <tableColumn id="4" xr3:uid="{AC3A4674-FE7F-4280-B589-BE583FC61B91}" name="lvl" dataDxfId="146"/>
    <tableColumn id="5" xr3:uid="{35B74550-3AA7-40DF-A364-2BBA5DFFA718}" name="Area Manager"/>
    <tableColumn id="6" xr3:uid="{A4B4897E-F68A-4F60-9625-C48986D2CA84}" name="Brigade Manager"/>
    <tableColumn id="7" xr3:uid="{5FEC970D-7A6C-4A79-92B9-49FE85145991}" name="Crew Manager"/>
    <tableColumn id="8" xr3:uid="{A0238DB9-D9E5-4ED4-A4B0-2672F1B45777}" name="Firefighter"/>
    <tableColumn id="9" xr3:uid="{DF87781A-8058-47D2-B404-C23506756917}" name="Group Manager"/>
    <tableColumn id="10" xr3:uid="{BD915E87-FAE2-4C72-ADCC-3AA318B94EA7}" name="Station Manager"/>
    <tableColumn id="11" xr3:uid="{BA320013-E93E-41FF-A256-8795797BD6AF}" name="Watch Manager"/>
  </tableColumns>
  <tableStyleInfo name="TableStyleMedium7" showFirstColumn="0" showLastColumn="0" showRowStripes="1" showColumnStripes="0"/>
</table>
</file>

<file path=xl/tables/table2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90" xr:uid="{3F7789BC-A6D8-49D2-8AFD-C7E41E765265}" name="hrod_HR_RDS_RoleArea" displayName="hrod_HR_RDS_RoleArea" ref="A1:G397" totalsRowShown="0">
  <autoFilter ref="A1:G397" xr:uid="{3F7789BC-A6D8-49D2-8AFD-C7E41E765265}"/>
  <tableColumns count="7">
    <tableColumn id="1" xr3:uid="{B019764F-B8A5-44CF-A68E-ECC89E6CAEA0}" name="Year" dataDxfId="145"/>
    <tableColumn id="2" xr3:uid="{E26B764D-1378-47C7-8E66-8413C5EC35F4}" name="ReportingLevel" dataDxfId="144"/>
    <tableColumn id="3" xr3:uid="{B9C657FD-CB1D-4C74-926C-9B48E2124EB6}" name="Area" dataDxfId="143"/>
    <tableColumn id="4" xr3:uid="{AC4811FF-E656-494D-960D-2028050C01FD}" name="GSS Code" dataDxfId="142"/>
    <tableColumn id="5" xr3:uid="{81B55904-9A4F-4C6A-B2E4-F0A645EBB34C}" name="Watch Manager"/>
    <tableColumn id="6" xr3:uid="{09021557-B948-463E-A82B-3F34E2EEC8FC}" name="Crew Manager"/>
    <tableColumn id="7" xr3:uid="{FC842116-5909-4D7A-B777-F19B7D6ADB7B}" name="Firefighter"/>
  </tableColumns>
  <tableStyleInfo name="TableStyleMedium7" showFirstColumn="0" showLastColumn="0" showRowStripes="1" showColumnStripes="0"/>
</table>
</file>

<file path=xl/tables/table2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91" xr:uid="{55083505-0A54-4454-8CC4-93AD904D8E2A}" name="hrod_HR_CS_RoleArea_Control" displayName="hrod_HR_CS_RoleArea_Control" ref="A1:I14" totalsRowShown="0">
  <autoFilter ref="A1:I14" xr:uid="{55083505-0A54-4454-8CC4-93AD904D8E2A}"/>
  <tableColumns count="9">
    <tableColumn id="1" xr3:uid="{159FB04F-84E9-400F-BB06-0B82029EBA68}" name="Year" dataDxfId="141"/>
    <tableColumn id="2" xr3:uid="{84634255-0367-46AA-ACCF-C06B7CBF70DC}" name="Area" dataDxfId="140"/>
    <tableColumn id="3" xr3:uid="{E8F871E0-51C2-4FE5-A3E1-174366AB06B6}" name="GSS Code" dataDxfId="139"/>
    <tableColumn id="4" xr3:uid="{C7A22214-69A6-4F1A-A358-B9BA1568AAAD}" name="Area Manager"/>
    <tableColumn id="5" xr3:uid="{4C3445BC-A568-49B4-BA9D-C99F228BB32E}" name="Group Manager"/>
    <tableColumn id="6" xr3:uid="{C25907FF-3172-4F0E-ACA5-9055896030F7}" name="Station Manager"/>
    <tableColumn id="7" xr3:uid="{285AA186-CDBE-4AA4-A3F3-6E4D5657BC9B}" name="Watch Manager"/>
    <tableColumn id="8" xr3:uid="{9D57CA00-D886-41B3-B094-7E0B3A3F20F5}" name="Crew Manager"/>
    <tableColumn id="9" xr3:uid="{9537DFD1-5DF6-4025-9B04-00D7969708B8}" name="Control Operator"/>
  </tableColumns>
  <tableStyleInfo name="TableStyleMedium7" showFirstColumn="0" showLastColumn="0" showRowStripes="1" showColumnStripes="0"/>
</table>
</file>

<file path=xl/tables/table2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92" xr:uid="{39283405-B0FE-42E2-9F8E-030D9FC6586B}" name="hrod_HR_CS_RoleArea_Support" displayName="hrod_HR_CS_RoleArea_Support" ref="A1:L53" totalsRowShown="0">
  <autoFilter ref="A1:L53" xr:uid="{39283405-B0FE-42E2-9F8E-030D9FC6586B}"/>
  <tableColumns count="12">
    <tableColumn id="1" xr3:uid="{C3F8B5A2-A872-4887-ADEB-F3287FA7A60D}" name="Year" dataDxfId="138"/>
    <tableColumn id="2" xr3:uid="{CB8412FA-1E25-42E7-8149-E39E7D9CB523}" name="ReportingLevel" dataDxfId="137"/>
    <tableColumn id="3" xr3:uid="{5472AA6B-3EC7-468D-A12A-FB92461171E5}" name="Code" dataDxfId="136"/>
    <tableColumn id="4" xr3:uid="{2319D77D-80A0-451A-A016-D417E5DE5399}" name="lvl" dataDxfId="135"/>
    <tableColumn id="5" xr3:uid="{0B652A1A-4EC9-4DFF-9ABA-58D51EA2E945}" name="Total"/>
    <tableColumn id="6" xr3:uid="{5F402DB7-BBC2-4981-A759-6AB810226B2F}" name="Director"/>
    <tableColumn id="7" xr3:uid="{2581FE4C-8B8D-473E-8024-A38EF2A61554}" name="Service Manager"/>
    <tableColumn id="8" xr3:uid="{4B08FDA5-1DFF-4456-918A-6A5C3935B304}" name="Team Leader"/>
    <tableColumn id="9" xr3:uid="{ED5F44A5-59A8-450C-8D38-25F22B4BF77A}" name="Professional"/>
    <tableColumn id="10" xr3:uid="{D586C174-245E-486F-A878-ED79AF9F0E58}" name="Specialist Technical"/>
    <tableColumn id="11" xr3:uid="{AC86E6CB-5529-405C-B2D8-85894F9FC0F3}" name="Tech Support"/>
    <tableColumn id="12" xr3:uid="{4CB83005-F9DB-44BF-A18F-1F8A66ACF99B}" name="Administration"/>
  </tableColumns>
  <tableStyleInfo name="TableStyleMedium7" showFirstColumn="0" showLastColumn="0" showRowStripes="1" showColumnStripes="0"/>
</table>
</file>

<file path=xl/tables/table2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93" xr:uid="{F7F40C8A-CE63-4BC3-B56E-2AD47C1D7868}" name="hrod_HR_Vol_RoleArea" displayName="hrod_HR_Vol_RoleArea" ref="A1:H188" totalsRowShown="0">
  <autoFilter ref="A1:H188" xr:uid="{F7F40C8A-CE63-4BC3-B56E-2AD47C1D7868}"/>
  <tableColumns count="8">
    <tableColumn id="1" xr3:uid="{4C598344-F2AA-4B25-99C4-BCA9ACBD1473}" name="Year" dataDxfId="134"/>
    <tableColumn id="2" xr3:uid="{20D70A48-6AE8-48D7-A74E-F098E0F8F84F}" name="ReportingLevel" dataDxfId="133"/>
    <tableColumn id="3" xr3:uid="{5EE54F2C-5102-4DFA-876F-89A69B9025A0}" name="Code" dataDxfId="132"/>
    <tableColumn id="4" xr3:uid="{6CFBBB8F-9231-40A1-8E1C-9E8980174B5B}" name="lvl" dataDxfId="131"/>
    <tableColumn id="5" xr3:uid="{73B6A981-3A22-4152-B847-8BB04315E2EE}" name="Total"/>
    <tableColumn id="6" xr3:uid="{04B0C2D6-72B7-429E-B78B-122B6764CFEB}" name="Watch Manager"/>
    <tableColumn id="7" xr3:uid="{7C5B31AD-AB98-4BB9-82E1-44522E4EB5E3}" name="Crew Manager"/>
    <tableColumn id="8" xr3:uid="{66DA8D59-A187-42B7-92C1-37F3FE04DA5B}" name="Firefighter"/>
  </tableColumns>
  <tableStyleInfo name="TableStyleMedium7" showFirstColumn="0" showLastColumn="0" showRowStripes="1" showColumnStripes="0"/>
</table>
</file>

<file path=xl/tables/table3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94" xr:uid="{8DC3B867-8F6F-4BC4-9338-159ECC2C4BBC}" name="hrod_HR_WT_FTE_RoleArea" displayName="hrod_HR_WT_FTE_RoleArea" ref="A1:L664" totalsRowShown="0">
  <autoFilter ref="A1:L664" xr:uid="{8DC3B867-8F6F-4BC4-9338-159ECC2C4BBC}"/>
  <tableColumns count="12">
    <tableColumn id="1" xr3:uid="{77708B57-7478-4BA5-AD01-075B0BC7BAC8}" name="Year" dataDxfId="130"/>
    <tableColumn id="2" xr3:uid="{A81DD950-3722-4116-A66B-8F7FAF0BA8A2}" name="ReportingLevel" dataDxfId="129"/>
    <tableColumn id="3" xr3:uid="{BD071C85-4142-4D98-B664-5796BFA20228}" name="Code" dataDxfId="128"/>
    <tableColumn id="4" xr3:uid="{1CAEADA7-69AC-4A5A-8787-A9B65046ACD5}" name="lvl" dataDxfId="127"/>
    <tableColumn id="5" xr3:uid="{67ABA77C-8D3E-4EF8-8D52-0941F4B048EB}" name="Total"/>
    <tableColumn id="6" xr3:uid="{6AABBB89-4F31-4901-9A85-795B89E9F70C}" name="Area Manager"/>
    <tableColumn id="7" xr3:uid="{0D6193CA-7AB9-4ED2-B88F-186AE7A4E921}" name="Brigade Manager"/>
    <tableColumn id="8" xr3:uid="{3182F4E4-6736-438E-94B7-94E302D23AA7}" name="Crew Manager"/>
    <tableColumn id="9" xr3:uid="{FD5A953A-8184-4C63-AFF3-037503FDF3B7}" name="Firefighter"/>
    <tableColumn id="10" xr3:uid="{A8DC5EC0-E59F-4E98-9C7E-38748A0B33E6}" name="Group Manager"/>
    <tableColumn id="11" xr3:uid="{023FD608-A501-4E0C-AFA1-6342C1969C47}" name="Station Manager"/>
    <tableColumn id="12" xr3:uid="{881B65B1-B7F1-4AD6-91D8-037A7DFCBAC3}" name="Watch Manager"/>
  </tableColumns>
  <tableStyleInfo name="TableStyleMedium7" showFirstColumn="0" showLastColumn="0" showRowStripes="1" showColumnStripes="0"/>
</table>
</file>

<file path=xl/tables/table3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1" xr:uid="{46F1C5AE-2BE6-4DAB-98C5-2D8DA8415001}" name="hrod_HR_RDS_FTE_RoleArea" displayName="hrod_HR_RDS_FTE_RoleArea" ref="A1:H404" totalsRowShown="0">
  <autoFilter ref="A1:H404" xr:uid="{46F1C5AE-2BE6-4DAB-98C5-2D8DA8415001}">
    <filterColumn colId="0">
      <filters>
        <filter val="2025-26"/>
      </filters>
    </filterColumn>
  </autoFilter>
  <tableColumns count="8">
    <tableColumn id="1" xr3:uid="{3F7A117E-6047-4DE4-B3AB-49FA6B6880A8}" name="Year" dataDxfId="126"/>
    <tableColumn id="2" xr3:uid="{3BE09136-0FC9-40D1-B64D-6DA48AB1E7A6}" name="ReportingLevel" dataDxfId="125"/>
    <tableColumn id="3" xr3:uid="{6D07AA2D-0B04-4C5D-B579-DC487C10DC2F}" name="Code" dataDxfId="124"/>
    <tableColumn id="4" xr3:uid="{84512358-8ACC-41EF-8454-957A99AD85F5}" name="lvl" dataDxfId="123"/>
    <tableColumn id="5" xr3:uid="{AEF290DC-83E2-49FF-BA6F-88C78D650864}" name="Total"/>
    <tableColumn id="6" xr3:uid="{9A72BAA2-A762-47BB-A039-B6220A15E2D3}" name="Watch Manager"/>
    <tableColumn id="7" xr3:uid="{0AA8E616-A33C-467B-B458-0F34B144B31D}" name="Crew Manager"/>
    <tableColumn id="8" xr3:uid="{23980FF7-7970-4758-9B6A-F3B191DDE4D6}" name="Firefighter"/>
  </tableColumns>
  <tableStyleInfo name="TableStyleMedium7" showFirstColumn="0" showLastColumn="0" showRowStripes="1" showColumnStripes="0"/>
</table>
</file>

<file path=xl/tables/table3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96" xr:uid="{1982464E-17A2-424B-981A-5808034CF9B2}" name="hrod_HR_CS_FTE_RoleArea_Control" displayName="hrod_HR_CS_FTE_RoleArea_Control" ref="A1:K14" totalsRowShown="0">
  <autoFilter ref="A1:K14" xr:uid="{1982464E-17A2-424B-981A-5808034CF9B2}"/>
  <tableColumns count="11">
    <tableColumn id="1" xr3:uid="{C5C4FC41-A86C-4C91-B419-77D55D0CF71F}" name="Year" dataDxfId="122"/>
    <tableColumn id="2" xr3:uid="{FAC0C06C-C1B5-4284-8735-A984A4BF7EC3}" name="ReportingLevel" dataDxfId="121"/>
    <tableColumn id="3" xr3:uid="{F6E1AE57-7AEB-4FDD-83C2-B7C6A80C4A22}" name="lvl" dataDxfId="120"/>
    <tableColumn id="4" xr3:uid="{EC454C1E-A67E-4C9E-AD24-C96B1C279F44}" name="Code" dataDxfId="119"/>
    <tableColumn id="5" xr3:uid="{8C9788DD-1538-4402-8CFF-FE0DF1378BBA}" name="Total"/>
    <tableColumn id="6" xr3:uid="{17320A7B-9730-4AB1-86ED-E8A155A9DBEF}" name="Area Manager"/>
    <tableColumn id="7" xr3:uid="{C03A28DF-B4C0-4557-8082-BA53C62E7F68}" name="Group Manager"/>
    <tableColumn id="8" xr3:uid="{D80A3C64-BC0D-4F4C-A06C-F06610B47ED8}" name="Station Manager"/>
    <tableColumn id="9" xr3:uid="{5BDFF775-787B-47CE-B7FB-9A10DC3B78F9}" name="Watch Manager"/>
    <tableColumn id="10" xr3:uid="{255936F8-0067-489D-94E8-997F83249F6D}" name="Crew Manager"/>
    <tableColumn id="11" xr3:uid="{7FCEA9D0-4AD9-4772-B126-162FA55DE021}" name="Control Operator"/>
  </tableColumns>
  <tableStyleInfo name="TableStyleMedium7" showFirstColumn="0" showLastColumn="0" showRowStripes="1" showColumnStripes="0"/>
</table>
</file>

<file path=xl/tables/table3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97" xr:uid="{9B175D80-1889-40D4-A7B1-1DDCE9FD927B}" name="hrod_HR_CS_FTE_RoleArea_Support" displayName="hrod_HR_CS_FTE_RoleArea_Support" ref="A1:L14" totalsRowShown="0">
  <autoFilter ref="A1:L14" xr:uid="{9B175D80-1889-40D4-A7B1-1DDCE9FD927B}"/>
  <tableColumns count="12">
    <tableColumn id="1" xr3:uid="{638A12AF-A161-4BA4-92A2-F3F85F9AF711}" name="Year" dataDxfId="118"/>
    <tableColumn id="2" xr3:uid="{89103708-5DFF-4CFB-9D18-E9FC0566705E}" name="Code" dataDxfId="117"/>
    <tableColumn id="3" xr3:uid="{040A427E-7FFF-4F64-B18A-85E12C5BA336}" name="ReportingLevel" dataDxfId="116"/>
    <tableColumn id="4" xr3:uid="{2366DE90-17E8-4328-99DF-AFACF9716BAF}" name="lvl" dataDxfId="115"/>
    <tableColumn id="5" xr3:uid="{03A8F032-D93F-470B-9640-6C34954107EF}" name="Director"/>
    <tableColumn id="6" xr3:uid="{C290AEC1-E8D2-4565-92BB-B6D452D2DAC9}" name="Service Manager"/>
    <tableColumn id="7" xr3:uid="{7BE056C7-AC71-436F-BBEF-954BDDD21219}" name="Team Leader"/>
    <tableColumn id="8" xr3:uid="{6784CBC1-0A39-4AFE-AEBE-5AB004713140}" name="Professional"/>
    <tableColumn id="9" xr3:uid="{8597ACF5-B5B5-46AB-AF4B-40347D1C0E02}" name="Specialist Technical"/>
    <tableColumn id="10" xr3:uid="{68896065-DC7E-4535-A890-FCB418526569}" name="Tech Support"/>
    <tableColumn id="11" xr3:uid="{504A6B89-BC6F-4EF9-A394-2D9E54803F1B}" name="Administration"/>
    <tableColumn id="12" xr3:uid="{309E8C75-A43F-4611-BD19-C15984FA1D86}" name="Total"/>
  </tableColumns>
  <tableStyleInfo name="TableStyleMedium7" showFirstColumn="0" showLastColumn="0" showRowStripes="1" showColumnStripes="0"/>
</table>
</file>

<file path=xl/tables/table3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 xr:uid="{98AF73A8-B815-421B-927D-C601E6A97363}" name="hrod_HR_Gender_Timeseries_1" displayName="hrod_HR_Gender_Timeseries_1" ref="A1:M17" totalsRowShown="0">
  <autoFilter ref="A1:M17" xr:uid="{98AF73A8-B815-421B-927D-C601E6A97363}"/>
  <tableColumns count="13">
    <tableColumn id="1" xr3:uid="{E4370C63-747B-4DDB-8201-2D9A0353777E}" name="Year" dataDxfId="114"/>
    <tableColumn id="2" xr3:uid="{DF1DE518-9E89-4C6A-9423-76E2F6D59DEA}" name="WTFemale"/>
    <tableColumn id="3" xr3:uid="{23228D77-19EE-4D2C-A62F-E9505B789EAD}" name="WTMale"/>
    <tableColumn id="4" xr3:uid="{58E10DD5-4193-45D7-BDA0-3D5EA6232D53}" name="RDSFemale"/>
    <tableColumn id="5" xr3:uid="{6F5E7A67-448D-44AB-80B8-69C1960B5F91}" name="RDSMale"/>
    <tableColumn id="6" xr3:uid="{79EDB83C-E572-41E4-A017-18B00B70018D}" name="RDS FulltimeFemale"/>
    <tableColumn id="7" xr3:uid="{6D37B22C-6886-47BE-8DC0-0502FD21BFF8}" name="RDS FulltimeMale"/>
    <tableColumn id="8" xr3:uid="{7AF919E1-B213-4406-A55F-39C0E50CCFF3}" name="ControlFemale"/>
    <tableColumn id="9" xr3:uid="{3C87F518-A485-4B1F-9396-34FCB88E74B4}" name="ControlMale"/>
    <tableColumn id="10" xr3:uid="{B6FCA22E-D7AF-4E30-9F08-980B9E21FE76}" name="SupportFemale"/>
    <tableColumn id="11" xr3:uid="{CD96ABCE-CF8B-4641-8C89-6A72CDB942F4}" name="SupportMale"/>
    <tableColumn id="12" xr3:uid="{26517A5D-559C-4C42-AC72-8D39066D964A}" name="VolFemale"/>
    <tableColumn id="13" xr3:uid="{24C2A2E4-EE85-4935-804F-30AAEF8EDC8E}" name="VolMale"/>
  </tableColumns>
  <tableStyleInfo name="TableStyleMedium7" showFirstColumn="0" showLastColumn="0" showRowStripes="1" showColumnStripes="0"/>
</table>
</file>

<file path=xl/tables/table3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4" xr:uid="{6B4867C4-35B7-44B2-A725-BEF56FF7BC91}" name="hrod_HR_Gender" displayName="hrod_HR_Gender" ref="A1:E74" totalsRowShown="0">
  <autoFilter ref="A1:E74" xr:uid="{6B4867C4-35B7-44B2-A725-BEF56FF7BC91}"/>
  <tableColumns count="5">
    <tableColumn id="1" xr3:uid="{35880438-05E8-4961-A648-CBDE894D12DE}" name="Year" dataDxfId="113"/>
    <tableColumn id="2" xr3:uid="{688A128C-C696-419D-A9D6-FED5FD2F2ACA}" name="Type" dataDxfId="112"/>
    <tableColumn id="3" xr3:uid="{C69CD400-5DF8-4412-85D6-19E54CAC307B}" name="Total"/>
    <tableColumn id="4" xr3:uid="{7D01F7F6-924B-47A1-8228-4113518AF8A3}" name="Female"/>
    <tableColumn id="5" xr3:uid="{98B85E24-F2C8-4925-8B0A-BBDC01DE3C62}" name="Male"/>
  </tableColumns>
  <tableStyleInfo name="TableStyleMedium7" showFirstColumn="0" showLastColumn="0" showRowStripes="1" showColumnStripes="0"/>
</table>
</file>

<file path=xl/tables/table3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5" xr:uid="{B2FFB878-F63A-4992-B3C3-24EC7259ED51}" name="hrod_HR_Gender_Role" displayName="hrod_HR_Gender_Role" ref="A1:F347" totalsRowShown="0">
  <autoFilter ref="A1:F347" xr:uid="{B2FFB878-F63A-4992-B3C3-24EC7259ED51}"/>
  <tableColumns count="6">
    <tableColumn id="1" xr3:uid="{58F78C1B-0670-4C53-9EE8-7BB10F72C1B1}" name="Year" dataDxfId="111"/>
    <tableColumn id="2" xr3:uid="{B818DCE5-4A60-4464-80E8-1467CA53A6D6}" name="Type" dataDxfId="110"/>
    <tableColumn id="3" xr3:uid="{D979CD2C-10FD-48C7-909A-445232A69D8D}" name="PostConv" dataDxfId="109"/>
    <tableColumn id="4" xr3:uid="{72853211-44E9-4908-8F4E-5956E4B405C5}" name="Total"/>
    <tableColumn id="5" xr3:uid="{866BB4DE-D4DE-4065-A8B4-7D2694209FE7}" name="Female"/>
    <tableColumn id="6" xr3:uid="{4889F357-5597-4293-86EA-FF5AF8AA1B58}" name="Male"/>
  </tableColumns>
  <tableStyleInfo name="TableStyleMedium7" showFirstColumn="0" showLastColumn="0" showRowStripes="1" showColumnStripes="0"/>
</table>
</file>

<file path=xl/tables/table3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2" xr:uid="{356D95BE-E13C-44F8-AAD9-BCA9FC67B279}" name="hrod_HR_FTE_Gender_Role" displayName="hrod_HR_FTE_Gender_Role" ref="A1:F308" totalsRowShown="0">
  <tableColumns count="6">
    <tableColumn id="1" xr3:uid="{DD724336-7321-46B7-A70D-BB1B787B967F}" name="Year" dataDxfId="108"/>
    <tableColumn id="2" xr3:uid="{014F935F-3C40-4735-A573-9A21BC505AE4}" name="Type" dataDxfId="107"/>
    <tableColumn id="3" xr3:uid="{1F3496DA-4F71-4538-88C2-B17485FCC3B5}" name="PostConv" dataDxfId="106"/>
    <tableColumn id="4" xr3:uid="{F1C68362-6278-40DB-B742-3F4D6B3F00FD}" name="Total"/>
    <tableColumn id="5" xr3:uid="{978735C7-6A41-441D-97D3-31C787024B64}" name="Female"/>
    <tableColumn id="6" xr3:uid="{44A030A8-676F-4DEC-9BDA-AE698B963B0B}" name="Male"/>
  </tableColumns>
  <tableStyleInfo name="TableStyleMedium7" showFirstColumn="0" showLastColumn="0" showRowStripes="1" showColumnStripes="0"/>
</table>
</file>

<file path=xl/tables/table3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9" xr:uid="{B11C69C7-3000-4C1C-9651-315FAE5C729E}" name="hrod_HR_Age__2" displayName="hrod_HR_Age__2" ref="A1:H159" totalsRowShown="0">
  <autoFilter ref="A1:H159" xr:uid="{B11C69C7-3000-4C1C-9651-315FAE5C729E}"/>
  <tableColumns count="8">
    <tableColumn id="9" xr3:uid="{5DD7A4F0-C2E1-4677-BB92-795B624B3228}" name="Year" dataDxfId="105"/>
    <tableColumn id="10" xr3:uid="{F307159F-0518-4BC7-8F13-DB2B2C892EF3}" name="Age Range" dataDxfId="104"/>
    <tableColumn id="11" xr3:uid="{2C767531-8F4C-4763-8D0D-CFCB300A84B3}" name="Wholetime Operational"/>
    <tableColumn id="12" xr3:uid="{21017D79-F8D9-4A4F-A779-A1D547E06956}" name="Retained Duty System"/>
    <tableColumn id="13" xr3:uid="{869961A2-AABE-4E0B-AD76-CC570087214D}" name="Retained Full-time"/>
    <tableColumn id="14" xr3:uid="{719564A6-4E53-4310-9710-EE1AB52971EA}" name="Control"/>
    <tableColumn id="15" xr3:uid="{36BC57A9-E9B5-4264-BA36-92C6F951DF35}" name="Support Staff"/>
    <tableColumn id="16" xr3:uid="{224D2A3B-8B74-4E82-9B62-B2E4B2E16984}" name="Volunteer"/>
  </tableColumns>
  <tableStyleInfo name="TableStyleMedium7" showFirstColumn="0" showLastColumn="0" showRowStripes="1" showColumnStripes="0"/>
</table>
</file>

<file path=xl/tables/table3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7" xr:uid="{469B2DF5-F8E7-48A7-9339-0CCD66008F56}" name="hrod_HR_Service" displayName="hrod_HR_Service" ref="A1:G82" totalsRowShown="0">
  <autoFilter ref="A1:G82" xr:uid="{469B2DF5-F8E7-48A7-9339-0CCD66008F56}"/>
  <tableColumns count="7">
    <tableColumn id="1" xr3:uid="{F6932FF3-FA9C-478F-9651-341C88ADD694}" name="Year" dataDxfId="103"/>
    <tableColumn id="2" xr3:uid="{B8CD8E9A-B2D7-4F50-84FA-476D58029C5A}" name="Service Length (Years)" dataDxfId="102"/>
    <tableColumn id="3" xr3:uid="{B3E51A1A-9562-4B53-ADAA-AF4C2AA10731}" name="Wholetime Operational"/>
    <tableColumn id="4" xr3:uid="{4EA5BCA3-8A56-4186-99A5-25AFE94DF1A9}" name="Retained Duty System"/>
    <tableColumn id="5" xr3:uid="{FE84DB32-17B8-43B4-AB29-032FABC3EFB7}" name="Retained Full-time"/>
    <tableColumn id="6" xr3:uid="{6B6AEBAD-A0FC-41DB-B679-671A3F6AACCB}" name="Control"/>
    <tableColumn id="7" xr3:uid="{AD226EFC-024B-434F-AC4C-EF0E60529875}" name="Volunteer"/>
  </tableColumns>
  <tableStyleInfo name="TableStyleMedium7" showFirstColumn="0" showLastColumn="0" showRowStripes="1" showColumnStripes="0"/>
</table>
</file>

<file path=xl/tables/table4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8" xr:uid="{F3AF0CC5-CFEF-423D-B0DC-7FBCB9B6E473}" name="hrod_HR_Ethnicity" displayName="hrod_HR_Ethnicity" ref="A1:E125" totalsRowShown="0">
  <autoFilter ref="A1:E125" xr:uid="{F3AF0CC5-CFEF-423D-B0DC-7FBCB9B6E473}"/>
  <tableColumns count="5">
    <tableColumn id="1" xr3:uid="{2C037641-B18F-4161-9529-6EC52C82DFA3}" name="FisYr" dataDxfId="101"/>
    <tableColumn id="2" xr3:uid="{5F7B95B2-2FC8-40A9-AA1F-389BABD098C5}" name="Type" dataDxfId="100"/>
    <tableColumn id="3" xr3:uid="{7B503B1E-8A29-43A6-85A5-3E0854985EAE}" name="White"/>
    <tableColumn id="4" xr3:uid="{A41518E7-A6EF-48DF-9618-A94EC4386818}" name="Ethnic Minority"/>
    <tableColumn id="5" xr3:uid="{51C19495-71E2-49DD-9173-EC4635B2DAEE}" name="Not Stated"/>
  </tableColumns>
  <tableStyleInfo name="TableStyleMedium7" showFirstColumn="0" showLastColumn="0" showRowStripes="1" showColumnStripes="0"/>
</table>
</file>

<file path=xl/tables/table4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9" xr:uid="{98F9A7EC-2A89-4B48-9DCA-1A2E1ACB2136}" name="hrod_HR_Disability_Known" displayName="hrod_HR_Disability_Known" ref="A1:I16" totalsRowShown="0">
  <autoFilter ref="A1:I16" xr:uid="{98F9A7EC-2A89-4B48-9DCA-1A2E1ACB2136}"/>
  <sortState xmlns:xlrd2="http://schemas.microsoft.com/office/spreadsheetml/2017/richdata2" ref="A2:I16">
    <sortCondition ref="A1:A16"/>
  </sortState>
  <tableColumns count="9">
    <tableColumn id="1" xr3:uid="{EB2D8186-A3DE-4453-B128-187204EACCC2}" name="Year" dataDxfId="99"/>
    <tableColumn id="2" xr3:uid="{DC9E076B-2C35-4E0C-8FD7-474373ED4298}" name="Wholetime Operational"/>
    <tableColumn id="3" xr3:uid="{44ABDC09-B9DC-46CD-8BEE-29150027F61C}" name="Retained Duty System"/>
    <tableColumn id="4" xr3:uid="{606BED5A-8A9F-480C-84DE-9DE237F5A9CE}" name="Retained Fulltime"/>
    <tableColumn id="5" xr3:uid="{917C32DB-CE65-4153-AD00-7FD3BD19C82A}" name="Control"/>
    <tableColumn id="6" xr3:uid="{1F3E3B37-0D63-4714-B54C-5A135C66C3FF}" name="Support"/>
    <tableColumn id="7" xr3:uid="{3ACCB9BD-0E7B-4286-B242-198E490E034F}" name="Volunteer"/>
    <tableColumn id="8" xr3:uid="{739537D6-4848-40B9-B5D7-B5A1E5C35929}" name="Total"/>
    <tableColumn id="9" xr3:uid="{E214DC34-FC57-4AB5-AE4E-3421552AB2F8}" name="Total (excluding volunters)"/>
  </tableColumns>
  <tableStyleInfo name="TableStyleMedium7" showFirstColumn="0" showLastColumn="0" showRowStripes="1" showColumnStripes="0"/>
</table>
</file>

<file path=xl/tables/table4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0" xr:uid="{418AA7BA-AC0B-46F6-BDBD-CE024CAE91EB}" name="hrod_HR_Disability_NotKnown__2" displayName="hrod_HR_Disability_NotKnown__2" ref="A27:I39" totalsRowShown="0">
  <autoFilter ref="A27:I39" xr:uid="{418AA7BA-AC0B-46F6-BDBD-CE024CAE91EB}"/>
  <tableColumns count="9">
    <tableColumn id="1" xr3:uid="{B72A2917-1124-472D-B228-2A7A0B5134CD}" name="Year" dataDxfId="98"/>
    <tableColumn id="2" xr3:uid="{576F2040-EE55-4F52-ABEB-6E6E3C16D7B9}" name="Wholetime Operational"/>
    <tableColumn id="3" xr3:uid="{BCDBF6BF-DF7A-42EF-9816-450CB0E9177F}" name="Retained Duty System"/>
    <tableColumn id="4" xr3:uid="{51CB949A-1625-4B64-83F9-C968892045E1}" name="Retained Fulltime"/>
    <tableColumn id="5" xr3:uid="{AE49993F-2551-401F-85A9-A1F5CF4B6EE4}" name="Control"/>
    <tableColumn id="6" xr3:uid="{35070EF8-E4A7-47F2-9175-A569938C0341}" name="Support"/>
    <tableColumn id="7" xr3:uid="{41019DBB-5DDB-41B3-83D8-3507AD94DD09}" name="Volunteer"/>
    <tableColumn id="8" xr3:uid="{3B2B719B-4CF7-4DE8-B6D9-9F8A2B485B02}" name="Total"/>
    <tableColumn id="9" xr3:uid="{BF509C44-B7A6-451F-A487-37F3B35855DA}" name="Total (excluding volunters)"/>
  </tableColumns>
  <tableStyleInfo name="TableStyleMedium7" showFirstColumn="0" showLastColumn="0" showRowStripes="1" showColumnStripes="0"/>
</table>
</file>

<file path=xl/tables/table4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6" xr:uid="{00000000-000C-0000-FFFF-FFFF23000000}" name="hrod_HR_Disability_NotKnown" displayName="hrod_HR_Disability_NotKnown" ref="A35:I47" totalsRowShown="0" headerRowDxfId="97" headerRowBorderDxfId="96">
  <tableColumns count="9">
    <tableColumn id="10" xr3:uid="{00000000-0010-0000-2300-00000A000000}" name="Year" dataDxfId="95"/>
    <tableColumn id="2" xr3:uid="{00000000-0010-0000-2300-000002000000}" name="Wholetime Operational" dataDxfId="94">
      <calculatedColumnFormula>GETPIVOTDATA("Sum of Wholetime Operational",DisabilityPivot!$A$27,"Year",A36)</calculatedColumnFormula>
    </tableColumn>
    <tableColumn id="3" xr3:uid="{00000000-0010-0000-2300-000003000000}" name="Retained Duty System" dataDxfId="93">
      <calculatedColumnFormula>GETPIVOTDATA("Sum of Retained Duty System",DisabilityPivot!$A$27,"Year",A36)</calculatedColumnFormula>
    </tableColumn>
    <tableColumn id="4" xr3:uid="{00000000-0010-0000-2300-000004000000}" name="Retained Full-time" dataDxfId="92"/>
    <tableColumn id="5" xr3:uid="{00000000-0010-0000-2300-000005000000}" name="Control" dataDxfId="91">
      <calculatedColumnFormula>GETPIVOTDATA("Sum of Control",DisabilityPivot!$A$27,"Year",A36)</calculatedColumnFormula>
    </tableColumn>
    <tableColumn id="6" xr3:uid="{00000000-0010-0000-2300-000006000000}" name="Support" dataDxfId="90">
      <calculatedColumnFormula>GETPIVOTDATA("Sum of Control",DisabilityPivot!$A$27,"Year",A36)</calculatedColumnFormula>
    </tableColumn>
    <tableColumn id="7" xr3:uid="{00000000-0010-0000-2300-000007000000}" name="Volunteer" dataDxfId="89">
      <calculatedColumnFormula>GETPIVOTDATA("Sum of Volunteer",DisabilityPivot!$A$27,"Year",A36)</calculatedColumnFormula>
    </tableColumn>
    <tableColumn id="8" xr3:uid="{00000000-0010-0000-2300-000008000000}" name="Total" dataDxfId="88">
      <calculatedColumnFormula>GETPIVOTDATA("Sum of Total",DisabilityPivot!$A$27,"Year",A36)</calculatedColumnFormula>
    </tableColumn>
    <tableColumn id="9" xr3:uid="{00000000-0010-0000-2300-000009000000}" name="Total (excluding Volunteers)" dataDxfId="87">
      <calculatedColumnFormula>GETPIVOTDATA("Sum of Total (excluding volunters)",DisabilityPivot!$A$27,"Year",A36)</calculatedColumnFormula>
    </tableColumn>
  </tableColumns>
  <tableStyleInfo showFirstColumn="0" showLastColumn="0" showRowStripes="1" showColumnStripes="0"/>
</table>
</file>

<file path=xl/tables/table4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9" xr:uid="{7F79F14E-37A1-4569-9F5D-041F2D40DE76}" name="hrod_HR_Leavers__2" displayName="hrod_HR_Leavers__2" ref="A1:I63" totalsRowShown="0">
  <autoFilter ref="A1:I63" xr:uid="{7F79F14E-37A1-4569-9F5D-041F2D40DE76}"/>
  <tableColumns count="9">
    <tableColumn id="1" xr3:uid="{15B9FD28-A6A9-4BAF-B3E7-6F687F398F0F}" name="Year" dataDxfId="86"/>
    <tableColumn id="2" xr3:uid="{62B22CF9-7631-4BB6-8004-F2F9742ABA4F}" name="Reason for Leaving" dataDxfId="85"/>
    <tableColumn id="3" xr3:uid="{695B87FC-53BC-4908-B325-22F3B2EC1B3E}" name="Wholetime Operational"/>
    <tableColumn id="4" xr3:uid="{6B5CA53E-DC5A-419E-A0AA-6C4AFD1715A6}" name="Retained Duty System"/>
    <tableColumn id="5" xr3:uid="{95C071AA-DDAD-48F7-B5F7-622AF611A181}" name="Retained Full-time"/>
    <tableColumn id="6" xr3:uid="{4E94138F-34B2-4DC3-9077-F2A5C8A3961C}" name="Control"/>
    <tableColumn id="7" xr3:uid="{50A934E4-A01A-410F-9335-A0834D7949A5}" name="Support"/>
    <tableColumn id="8" xr3:uid="{61ABD148-0274-452B-8955-466521A1816C}" name="Volunteers"/>
    <tableColumn id="9" xr3:uid="{7B982E0C-C739-4919-8E5F-D314069AC8C6}" name="Total"/>
  </tableColumns>
  <tableStyleInfo name="TableStyleMedium7" showFirstColumn="0" showLastColumn="0" showRowStripes="1" showColumnStripes="0"/>
</table>
</file>

<file path=xl/tables/table4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0" xr:uid="{9446732C-6181-4C34-B474-4D5E39B63CF4}" name="hrod_HR_Entrants_Ethnicity__2" displayName="hrod_HR_Entrants_Ethnicity__2" ref="A1:G22" totalsRowShown="0">
  <autoFilter ref="A1:G22" xr:uid="{9446732C-6181-4C34-B474-4D5E39B63CF4}"/>
  <tableColumns count="7">
    <tableColumn id="1" xr3:uid="{6EA9CD1C-546B-4F34-8BDA-4C761AC2B75B}" name="FiscalYr" dataDxfId="84"/>
    <tableColumn id="2" xr3:uid="{8155BCC9-EAE4-4AF8-8739-8F644022C4F0}" name="EthStat" dataDxfId="83"/>
    <tableColumn id="3" xr3:uid="{021471DC-762D-4CAA-966D-9C9000B077AB}" name="WT"/>
    <tableColumn id="4" xr3:uid="{1F8977B8-4FD8-4DBA-8EBD-EC8E61F770A3}" name="RDS"/>
    <tableColumn id="5" xr3:uid="{AEB11DA6-9B72-441A-A883-FCA09BD63913}" name="Control"/>
    <tableColumn id="6" xr3:uid="{7011BA45-98CC-409B-B84E-C767354F0872}" name="Support"/>
    <tableColumn id="7" xr3:uid="{C9C321C7-4DA5-49B9-9B80-0244B396DED8}" name="Vol"/>
  </tableColumns>
  <tableStyleInfo name="TableStyleMedium7" showFirstColumn="0" showLastColumn="0" showRowStripes="1" showColumnStripes="0"/>
</table>
</file>

<file path=xl/tables/table4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1" xr:uid="{4864638D-CE21-41E7-A7E2-9258F6BAE887}" name="hrod_HR_Entrants_Gender" displayName="hrod_HR_Entrants_Gender" ref="J1:Q17" totalsRowShown="0">
  <autoFilter ref="J1:Q17" xr:uid="{4864638D-CE21-41E7-A7E2-9258F6BAE887}"/>
  <tableColumns count="8">
    <tableColumn id="1" xr3:uid="{FC614FC6-B8A9-465E-AFD8-9213E8DE76A1}" name="Year" dataDxfId="82"/>
    <tableColumn id="2" xr3:uid="{9F527464-A9D0-4BA2-9F60-46DA51E3FEC3}" name="Gender" dataDxfId="81"/>
    <tableColumn id="3" xr3:uid="{CD31C54B-0019-4460-B3C5-AE7E9C336B02}" name="Wholetime Operational"/>
    <tableColumn id="4" xr3:uid="{002A657B-792F-4984-BCFC-99D7271AFA24}" name="Retained Duty System"/>
    <tableColumn id="5" xr3:uid="{B9A6A18D-C706-4C4F-A3F1-4AB2BCF3A525}" name="Control"/>
    <tableColumn id="6" xr3:uid="{066433EC-E8E8-4E0E-A5AC-F1BE9E8184A1}" name="Support"/>
    <tableColumn id="7" xr3:uid="{F0F05319-8BDD-4E88-A24C-5D182B35BB0A}" name="Volunteers"/>
    <tableColumn id="8" xr3:uid="{A101DC21-2BFA-4461-B777-549A1C25F385}" name="Total"/>
  </tableColumns>
  <tableStyleInfo name="TableStyleMedium7" showFirstColumn="0" showLastColumn="0" showRowStripes="1" showColumnStripes="0"/>
</table>
</file>

<file path=xl/tables/table4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2" xr:uid="{A1BB409A-2154-4C7F-86F1-4B0570815F8E}" name="hrod_HR_Entrants_Disability__2" displayName="hrod_HR_Entrants_Disability__2" ref="A28:G48" totalsRowShown="0">
  <autoFilter ref="A28:G48" xr:uid="{A1BB409A-2154-4C7F-86F1-4B0570815F8E}"/>
  <tableColumns count="7">
    <tableColumn id="1" xr3:uid="{6C7C2AAA-9E7E-41A7-A918-36E3CA60592A}" name="FiscalYr" dataDxfId="80"/>
    <tableColumn id="2" xr3:uid="{C8A2E386-527D-4EF4-92F1-54EB17AF3022}" name="DisStat" dataDxfId="79"/>
    <tableColumn id="3" xr3:uid="{525AC9AC-C30E-4E3E-991E-46AA730B6EAB}" name="WT"/>
    <tableColumn id="4" xr3:uid="{8D2437DB-747D-40A2-9F8E-2B04BE65F3D9}" name="RDS"/>
    <tableColumn id="5" xr3:uid="{CA84D5CD-61FC-42D0-8D3D-A1B7B95C491E}" name="Control"/>
    <tableColumn id="6" xr3:uid="{74CE0BB2-F6A0-4991-A32D-6347C34B32B9}" name="Support"/>
    <tableColumn id="7" xr3:uid="{2F16725C-E1D6-4C7B-A75B-21349A3C8840}" name="Vol"/>
  </tableColumns>
  <tableStyleInfo name="TableStyleMedium7" showFirstColumn="0" showLastColumn="0" showRowStripes="1" showColumnStripes="0"/>
</table>
</file>

<file path=xl/tables/table4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3" xr:uid="{187C88AC-827C-4ACB-ACE5-161819F9DB82}" name="hrod_HR_Entrants_Age" displayName="hrod_HR_Entrants_Age" ref="J26:Q112" totalsRowShown="0">
  <autoFilter ref="J26:Q112" xr:uid="{187C88AC-827C-4ACB-ACE5-161819F9DB82}"/>
  <tableColumns count="8">
    <tableColumn id="1" xr3:uid="{8335361A-D56E-4E9D-BF5C-60EFEFB21AC3}" name="Year" dataDxfId="78"/>
    <tableColumn id="2" xr3:uid="{E8CC4931-48ED-4CC9-B0F2-7215ACFA633E}" name="Age Range" dataDxfId="77"/>
    <tableColumn id="3" xr3:uid="{FDA2294B-2DCF-4A81-BAB1-0A56CFB0606B}" name="Wholetime Operational"/>
    <tableColumn id="4" xr3:uid="{606B6B3E-EB5C-461E-8882-FDFBDC5D2B38}" name="Retained Duty System"/>
    <tableColumn id="5" xr3:uid="{E237AB43-86A4-43D5-8F37-A72EA35B308E}" name="Control"/>
    <tableColumn id="6" xr3:uid="{C5594785-FE90-43E7-BC83-71FC513BBEC8}" name="Support"/>
    <tableColumn id="7" xr3:uid="{65C2FF2A-DDAB-4A9B-992D-6A0C03A31183}" name="Volunteers"/>
    <tableColumn id="8" xr3:uid="{694CC731-297F-4577-A9E3-F37A7476AF81}" name="Total"/>
  </tableColumns>
  <tableStyleInfo name="TableStyleMedium7" showFirstColumn="0" showLastColumn="0" showRowStripes="1" showColumnStripes="0"/>
</table>
</file>

<file path=xl/tables/table4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8" xr:uid="{D85FC460-6F33-4406-90E3-2BEFFB04AFE2}" name="hsw_Attacks_Operational__2" displayName="hsw_Attacks_Operational__2" ref="A1:F11" totalsRowShown="0">
  <autoFilter ref="A1:F11" xr:uid="{D85FC460-6F33-4406-90E3-2BEFFB04AFE2}"/>
  <tableColumns count="6">
    <tableColumn id="1" xr3:uid="{AFC42E17-F66A-403D-AEA2-29A88CC31FC5}" name="Op" dataDxfId="76"/>
    <tableColumn id="2" xr3:uid="{30C31308-9BA0-4DE5-8D49-BC1B0A774AC3}" name="FinYear" dataDxfId="75"/>
    <tableColumn id="3" xr3:uid="{A3755DBC-849E-4A58-9D39-F89FC3B078FF}" name="Attack against property/equipment"/>
    <tableColumn id="4" xr3:uid="{B9013A9B-FC02-4AB1-BCBC-2D179622BFDC}" name="Verbal assault"/>
    <tableColumn id="5" xr3:uid="{E2A7AE4E-7953-4924-A109-A51C27FB2870}" name="Physical assault"/>
    <tableColumn id="6" xr3:uid="{81B3CD4B-DB65-419D-BBDD-1EFDA5BDBB0C}" name="Total"/>
  </tableColumns>
  <tableStyleInfo name="TableStyleMedium7" showFirstColumn="0" showLastColumn="0" showRowStripes="1" showColumnStripes="0"/>
</table>
</file>

<file path=xl/tables/table5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0" xr:uid="{4C9FF2A8-F8E7-4C29-9189-3099066874AE}" name="hsw_Attacks_Non_Operational__2" displayName="hsw_Attacks_Non_Operational__2" ref="A15:F25" totalsRowShown="0">
  <autoFilter ref="A15:F25" xr:uid="{4C9FF2A8-F8E7-4C29-9189-3099066874AE}"/>
  <tableColumns count="6">
    <tableColumn id="1" xr3:uid="{D0F4CED2-A991-4B34-8BA0-13C151AD3103}" name="Op" dataDxfId="74"/>
    <tableColumn id="2" xr3:uid="{50E0AB84-6A92-4431-9026-8C3BAE033FFE}" name="FinYear" dataDxfId="73"/>
    <tableColumn id="3" xr3:uid="{981B3819-38AE-4547-8256-5800A9F00FD7}" name="Attack against property/equipment"/>
    <tableColumn id="4" xr3:uid="{0C426B3C-7326-47C9-B626-F95A0171C6EC}" name="Verbal assault"/>
    <tableColumn id="5" xr3:uid="{149CCEA1-CC61-49E2-A8D9-C5DEC79164DC}" name="Physical assault"/>
    <tableColumn id="6" xr3:uid="{78785AA3-75F0-4EB2-8D21-5C7063F560E6}" name="Total"/>
  </tableColumns>
  <tableStyleInfo name="TableStyleMedium7" showFirstColumn="0" showLastColumn="0" showRowStripes="1" showColumnStripes="0"/>
</table>
</file>

<file path=xl/tables/table5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2" xr:uid="{EFEBC753-360B-41E8-840A-C2E998D9D807}" name="hsw_Injuries_Operational__2" displayName="hsw_Injuries_Operational__2" ref="A30:F40" totalsRowShown="0">
  <autoFilter ref="A30:F40" xr:uid="{EFEBC753-360B-41E8-840A-C2E998D9D807}"/>
  <tableColumns count="6">
    <tableColumn id="1" xr3:uid="{E9F7B1CB-9694-4BB1-8253-CEB22161B392}" name="Op" dataDxfId="72"/>
    <tableColumn id="2" xr3:uid="{F96B7DE0-FD51-4E79-8233-FB9927126A86}" name="FinYear" dataDxfId="71"/>
    <tableColumn id="3" xr3:uid="{5AD0CFFD-8CFA-46DD-94EA-1BE41DCF379C}" name="Attack against property/equipment" dataDxfId="70"/>
    <tableColumn id="4" xr3:uid="{0096D94A-243F-4E5C-82E1-1FA429C76224}" name="Verbal assault" dataDxfId="69"/>
    <tableColumn id="5" xr3:uid="{E536FCAA-431F-49D9-83F3-D5524C15AB44}" name="Physical assault" dataDxfId="68"/>
    <tableColumn id="6" xr3:uid="{C4CC3151-E7E4-4A68-BD60-9B8BC0C3527A}" name="Total" dataDxfId="67"/>
  </tableColumns>
  <tableStyleInfo name="TableStyleMedium7" showFirstColumn="0" showLastColumn="0" showRowStripes="1" showColumnStripes="0"/>
</table>
</file>

<file path=xl/tables/table5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3" xr:uid="{C597260C-D120-4C53-88FC-24DE498445B4}" name="hsw_Injuries_Non_Operational__2" displayName="hsw_Injuries_Non_Operational__2" ref="A45:F55" totalsRowShown="0">
  <autoFilter ref="A45:F55" xr:uid="{C597260C-D120-4C53-88FC-24DE498445B4}"/>
  <tableColumns count="6">
    <tableColumn id="1" xr3:uid="{CA004E02-9334-40D3-A9E1-A98A74FF64F1}" name="Op" dataDxfId="66"/>
    <tableColumn id="2" xr3:uid="{0811938D-EF7C-4073-A527-51B6B2679674}" name="FinYear" dataDxfId="65"/>
    <tableColumn id="3" xr3:uid="{EDEA8DE2-E1D6-4280-9C8F-CDBE3CFE0658}" name="Attack against property/equipment" dataDxfId="64"/>
    <tableColumn id="4" xr3:uid="{3DB46FEC-C1D2-495D-B1F9-F7F96B9E2987}" name="Verbal assault" dataDxfId="63"/>
    <tableColumn id="5" xr3:uid="{BDB65830-8FE1-485E-B2BF-20CB7C273389}" name="Physical assault" dataDxfId="62"/>
    <tableColumn id="6" xr3:uid="{8B3A56FD-EBDE-4166-A2F1-111829F4237F}" name="Total" dataDxfId="61"/>
  </tableColumns>
  <tableStyleInfo name="TableStyleMedium7" showFirstColumn="0" showLastColumn="0" showRowStripes="1" showColumnStripes="0"/>
</table>
</file>

<file path=xl/tables/table5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8" xr:uid="{85ACE4EA-A5EC-42A2-8013-710BCD792798}" name="hsw_vAOV_LA" displayName="hsw_vAOV_LA" ref="A1:L29" totalsRowShown="0">
  <autoFilter ref="A1:L29" xr:uid="{85ACE4EA-A5EC-42A2-8013-710BCD792798}"/>
  <tableColumns count="12">
    <tableColumn id="1" xr3:uid="{C1DAAD9B-EEB7-4A7B-A00D-7B40217CA686}" name="LA" dataDxfId="60"/>
    <tableColumn id="2" xr3:uid="{FEFF1BF6-5BF8-4F1A-84A9-1EA924554E5E}" name="GEOCode_LA" dataDxfId="59"/>
    <tableColumn id="3" xr3:uid="{BBD569FC-CD83-4062-8FFE-36BEECCE9C8C}" name="2016-17"/>
    <tableColumn id="4" xr3:uid="{967627EB-06EE-48E5-8032-24DAD1E96BC4}" name="2017-18"/>
    <tableColumn id="5" xr3:uid="{A79F4B3B-1549-4945-AFFA-9776EE42CA7D}" name="2018-19"/>
    <tableColumn id="6" xr3:uid="{1AE1B1E4-6C18-413B-A0B9-5F348BFC91EB}" name="2019-20"/>
    <tableColumn id="7" xr3:uid="{D0FCB83E-0073-418F-BD84-46D9F3A93EFA}" name="2020-21"/>
    <tableColumn id="8" xr3:uid="{90BF0348-8C6E-4C6E-8A41-6AAC1FFBD487}" name="2021-22"/>
    <tableColumn id="9" xr3:uid="{B829DB62-9666-4086-B89F-E7ED3B5CD811}" name="2022-23"/>
    <tableColumn id="10" xr3:uid="{8D636FDB-54C5-415F-A784-50C220419B4D}" name="2023-24"/>
    <tableColumn id="11" xr3:uid="{FF433635-4EC9-449B-8F51-32C6484FF507}" name="2024-25"/>
    <tableColumn id="12" xr3:uid="{602E68D6-4F33-4E17-9279-0E7EB905F7CB}" name="2025-26"/>
  </tableColumns>
  <tableStyleInfo name="TableStyleMedium7" showFirstColumn="0" showLastColumn="0" showRowStripes="1" showColumnStripes="0"/>
</table>
</file>

<file path=xl/tables/table5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F38C9E3F-BFA9-41A1-8F08-343E9B1F3736}" name="cset_HFSV_Outcome_Final" displayName="cset_HFSV_Outcome_Final" ref="A1:G17" totalsRowShown="0">
  <autoFilter ref="A1:G17" xr:uid="{F38C9E3F-BFA9-41A1-8F08-343E9B1F3736}"/>
  <sortState xmlns:xlrd2="http://schemas.microsoft.com/office/spreadsheetml/2017/richdata2" ref="A2:G17">
    <sortCondition ref="A1:A17"/>
  </sortState>
  <tableColumns count="7">
    <tableColumn id="1" xr3:uid="{65FFBFB4-B537-4100-B556-44FBFB52422D}" name="Year" dataDxfId="58"/>
    <tableColumn id="2" xr3:uid="{E47D66E3-9DCD-41E1-98B1-E2E3F5C99FC9}" name="HFSV_AlarmsInstalled"/>
    <tableColumn id="3" xr3:uid="{19C0BD04-723F-448A-A7CF-C14847F8EEC4}" name="HFSV_AdviceOnly"/>
    <tableColumn id="4" xr3:uid="{6E7594EB-CD1E-4BB5-AE97-70C288B8B202}" name="Total_HFSV"/>
    <tableColumn id="5" xr3:uid="{B350C37F-772E-4852-83E9-9D2EE4017621}" name="Total_Alarms"/>
    <tableColumn id="6" xr3:uid="{5119D8B0-93FA-4DD7-9DB5-5545F16CDE06}" name="New"/>
    <tableColumn id="7" xr3:uid="{0B73616D-0475-4397-B511-B09EB028F3B4}" name="Replacement"/>
  </tableColumns>
  <tableStyleInfo name="TableStyleMedium7" showFirstColumn="0" showLastColumn="0" showRowStripes="1" showColumnStripes="0"/>
</table>
</file>

<file path=xl/tables/table5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5" xr:uid="{5FCA7D48-B8D1-4348-88D3-C01F872FEADA}" name="Table35" displayName="Table35" ref="A3:C4" totalsRowShown="0">
  <autoFilter ref="A3:C4" xr:uid="{5FCA7D48-B8D1-4348-88D3-C01F872FEADA}"/>
  <tableColumns count="3">
    <tableColumn id="1" xr3:uid="{507058F5-F35D-49E7-99CB-55975C49EDB0}" name="Council"/>
    <tableColumn id="2" xr3:uid="{BD470D56-54D7-4763-96C5-95710E35DB58}" name="Year"/>
    <tableColumn id="3" xr3:uid="{83C478EC-5B25-4639-A7E2-D633DD1772F5}" name="Households"/>
  </tableColumns>
  <tableStyleInfo name="TableStyleMedium2" showFirstColumn="0" showLastColumn="0" showRowStripes="1" showColumnStripes="0"/>
</table>
</file>

<file path=xl/tables/table5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7" xr:uid="{148A7EE6-144D-42B8-A307-004636B7B2F6}" name="NR_Households" displayName="NR_Households" ref="A1:C27" totalsRowShown="0">
  <autoFilter ref="A1:C27" xr:uid="{148A7EE6-144D-42B8-A307-004636B7B2F6}"/>
  <tableColumns count="3">
    <tableColumn id="1" xr3:uid="{860E22B3-06C4-47F7-AE14-11546DA7D657}" name="Council" dataDxfId="57"/>
    <tableColumn id="2" xr3:uid="{10A2DA82-52D5-447F-8B73-C8110894D6D6}" name="Year"/>
    <tableColumn id="3" xr3:uid="{F272AEC2-EFFD-47FE-A6A5-C5C0C98F32C5}" name="Households"/>
  </tableColumns>
  <tableStyleInfo name="TableStyleMedium7" showFirstColumn="0" showLastColumn="0" showRowStripes="1" showColumnStripes="0"/>
</table>
</file>

<file path=xl/tables/table5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4" xr:uid="{00000000-000C-0000-FFFF-FFFF2E000000}" name="Table_s_srs_v01_pds_RAP_HFSV_Outcome" displayName="Table_s_srs_v01_pds_RAP_HFSV_Outcome" ref="A9:G25" tableType="queryTable" totalsRowShown="0" headerRowDxfId="56" headerRowBorderDxfId="55" tableBorderDxfId="54">
  <tableColumns count="7">
    <tableColumn id="1" xr3:uid="{00000000-0010-0000-2E00-000001000000}" uniqueName="1" name="Year" queryTableFieldId="1" dataDxfId="53"/>
    <tableColumn id="2" xr3:uid="{00000000-0010-0000-2E00-000002000000}" uniqueName="2" name="HFSV - smoke and heat alarms installed" queryTableFieldId="2" dataDxfId="52"/>
    <tableColumn id="3" xr3:uid="{00000000-0010-0000-2E00-000003000000}" uniqueName="3" name="HFSV - advice only" queryTableFieldId="3" dataDxfId="51"/>
    <tableColumn id="4" xr3:uid="{00000000-0010-0000-2E00-000004000000}" uniqueName="4" name="Total HFSV" queryTableFieldId="4" dataDxfId="50"/>
    <tableColumn id="5" xr3:uid="{00000000-0010-0000-2E00-000005000000}" uniqueName="5" name="Smoke and heat alarms installed during HFSV" queryTableFieldId="5" dataDxfId="49"/>
    <tableColumn id="6" xr3:uid="{00000000-0010-0000-2E00-000006000000}" uniqueName="6" name="New" queryTableFieldId="6" dataDxfId="48"/>
    <tableColumn id="7" xr3:uid="{00000000-0010-0000-2E00-000007000000}" uniqueName="7" name="Replacement" queryTableFieldId="7" dataDxfId="47"/>
  </tableColumns>
  <tableStyleInfo showFirstColumn="0" showLastColumn="0" showRowStripes="1" showColumnStripes="0"/>
</table>
</file>

<file path=xl/tables/table5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9" xr:uid="{B20E0214-5F36-4A14-8279-DBA05661ED21}" name="cset_DistinctVisits_Final" displayName="cset_DistinctVisits_Final" ref="A1:L26" totalsRowShown="0">
  <autoFilter ref="A1:L26" xr:uid="{B20E0214-5F36-4A14-8279-DBA05661ED21}"/>
  <tableColumns count="12">
    <tableColumn id="1" xr3:uid="{E206F7BD-AE02-4DC4-99D3-2335448D9656}" name="FisYr" dataDxfId="46"/>
    <tableColumn id="2" xr3:uid="{F34166FB-D639-451C-8BE6-4B22DC18C70E}" name="Counted" dataDxfId="45"/>
    <tableColumn id="3" xr3:uid="{BD524A47-1ECB-4861-B675-560EF83FCFD5}" name="OneYrDistinct"/>
    <tableColumn id="4" xr3:uid="{6F4A0036-D4CF-471A-BA5C-069ED99041B9}" name="ThreeYrDistinct"/>
    <tableColumn id="5" xr3:uid="{C0E90DC4-BB35-4256-A3F9-DD6710F808CD}" name="FiveYrDistinct"/>
    <tableColumn id="6" xr3:uid="{0DD1371D-2A5F-40CD-8304-E7181F2964BB}" name="OneYrDistinctNew"/>
    <tableColumn id="7" xr3:uid="{BF3E4279-EFD7-43A8-B5BE-52A48610C04E}" name="HouseholdsinYr"/>
    <tableColumn id="8" xr3:uid="{DC0B5F55-0A2A-4920-9CFA-E1525B0DDFB0}" name="HouseholdsThreeYrAv"/>
    <tableColumn id="9" xr3:uid="{8351AD02-FB6C-4802-96CB-9D9D7272D5D3}" name="HouseholdsFiveYrAv"/>
    <tableColumn id="10" xr3:uid="{95F4E1CF-6065-42D5-BA49-62A6906FC086}" name="pcOYDH"/>
    <tableColumn id="11" xr3:uid="{596060B9-6E24-4EEA-8F79-D6754F37E51F}" name="pcTYDH"/>
    <tableColumn id="12" xr3:uid="{2D409C68-B895-4201-BCEB-081200DF3850}" name="pcFYDH"/>
  </tableColumns>
  <tableStyleInfo name="TableStyleMedium7" showFirstColumn="0" showLastColumn="0" showRowStripes="1" showColumnStripes="0"/>
</table>
</file>

<file path=xl/tables/table5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4" xr:uid="{38E8B5D2-AACE-4B08-A6E7-1340185F42AA}" name="cset_DistinctVisits_percent__2" displayName="cset_DistinctVisits_percent__2" ref="B4:E17" totalsRowShown="0">
  <autoFilter ref="B4:E17" xr:uid="{38E8B5D2-AACE-4B08-A6E7-1340185F42AA}"/>
  <tableColumns count="4">
    <tableColumn id="1" xr3:uid="{AD038608-DAB0-4737-B2F4-14D4BBB97F5B}" name="Year" dataDxfId="44"/>
    <tableColumn id="2" xr3:uid="{474F97AF-AC5A-4CF9-9204-2203422C9E6B}" name="In One Year"/>
    <tableColumn id="3" xr3:uid="{E5524CD5-4546-4921-B121-0C4E5EEA60BE}" name="Over Three Years"/>
    <tableColumn id="4" xr3:uid="{79B91C34-ED8D-4D5D-AFC5-B9044CA0448D}" name="Over Five Years"/>
  </tableColumns>
  <tableStyleInfo name="TableStyleMedium7" showFirstColumn="0" showLastColumn="0" showRowStripes="1" showColumnStripes="0"/>
</table>
</file>

<file path=xl/tables/table6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 xr:uid="{2C8A8518-6555-485A-A505-A21F5749E080}" name="cset_AgeProfile_Residents_Final" displayName="cset_AgeProfile_Residents_Final" ref="A1:I13" totalsRowShown="0">
  <autoFilter ref="A1:I13" xr:uid="{2C8A8518-6555-485A-A505-A21F5749E080}"/>
  <tableColumns count="9">
    <tableColumn id="1" xr3:uid="{1C5504E5-7F31-41DF-A0C1-5D2543F41D6E}" name="Year" dataDxfId="43"/>
    <tableColumn id="2" xr3:uid="{12101CF9-25EA-44A5-9985-C9F4B87997ED}" name="Under 5s"/>
    <tableColumn id="3" xr3:uid="{326A8632-3F06-4BC5-97AA-613A79F4C4E7}" name="5 to 10"/>
    <tableColumn id="4" xr3:uid="{DF8ED929-0113-4BEA-B821-5D8FFC60E17F}" name="11 to 16"/>
    <tableColumn id="5" xr3:uid="{BCB3B2CD-D9B4-4050-B82D-02932F19309A}" name="17 to 30"/>
    <tableColumn id="6" xr3:uid="{92CD6DE7-2AB5-4754-9BCF-217552E35781}" name="31 to 60"/>
    <tableColumn id="7" xr3:uid="{3F0C100F-62DB-44F7-B7AE-82287BEDAFF7}" name="Over 60"/>
    <tableColumn id="8" xr3:uid="{95BDD616-9C85-4CED-A16E-ECD356888CDD}" name="Not Known"/>
    <tableColumn id="9" xr3:uid="{463150CB-C88E-4681-9AF1-F98A0C95A32E}" name="All Residents"/>
  </tableColumns>
  <tableStyleInfo name="TableStyleMedium7" showFirstColumn="0" showLastColumn="0" showRowStripes="1" showColumnStripes="0"/>
</table>
</file>

<file path=xl/tables/table6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9" xr:uid="{6F5A9908-F294-4A13-BEB4-2AEB588FFDE4}" name="cset_AgeProfile_Percent" displayName="cset_AgeProfile_Percent" ref="A1:H13" totalsRowShown="0">
  <autoFilter ref="A1:H13" xr:uid="{6F5A9908-F294-4A13-BEB4-2AEB588FFDE4}"/>
  <tableColumns count="8">
    <tableColumn id="1" xr3:uid="{642D2198-49B2-4607-9469-C781CE1975D8}" name="Year" dataDxfId="42"/>
    <tableColumn id="2" xr3:uid="{731751EB-34F3-4497-9297-40C6F2D0B0E3}" name="Under 5s"/>
    <tableColumn id="3" xr3:uid="{AE991517-B02D-4A66-A821-81C316A31A11}" name="5 to 10"/>
    <tableColumn id="4" xr3:uid="{27F2E5DB-FF34-4E36-86D3-9B4020E5BC4E}" name="11 to 16"/>
    <tableColumn id="5" xr3:uid="{820ED38D-864B-41F2-9706-EA379F308230}" name="17 to 30"/>
    <tableColumn id="6" xr3:uid="{B7B559D8-52E0-4AD0-9138-CD64DD0F120D}" name="31 to 60"/>
    <tableColumn id="7" xr3:uid="{3BDAB413-FC60-4D6B-AF2A-7312068AFFD9}" name="Over 60"/>
    <tableColumn id="8" xr3:uid="{414B3567-5ADA-41D5-A398-83B38A9AAADB}" name="All Residents"/>
  </tableColumns>
  <tableStyleInfo name="TableStyleMedium7" showFirstColumn="0" showLastColumn="0" showRowStripes="1" showColumnStripes="0"/>
</table>
</file>

<file path=xl/tables/table6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 xr:uid="{3F5DF93F-34FF-4FAB-A447-88BA961B5993}" name="cset_HFSV_Tenure_Outcome_Final" displayName="cset_HFSV_Tenure_Outcome_Final" ref="A1:L7" totalsRowShown="0">
  <autoFilter ref="A1:L7" xr:uid="{3F5DF93F-34FF-4FAB-A447-88BA961B5993}"/>
  <tableColumns count="12">
    <tableColumn id="1" xr3:uid="{14A3E3AD-20CA-4C99-888B-C29AC9F2C4AB}" name="Tenure" dataDxfId="41"/>
    <tableColumn id="2" xr3:uid="{E59334AE-D906-406D-9464-76099DFEBF5B}" name="2015-16"/>
    <tableColumn id="3" xr3:uid="{DA07B16B-A6CC-48E2-8523-EF7696BFD42F}" name="2016-17"/>
    <tableColumn id="4" xr3:uid="{46E7CA61-F512-4267-85B9-6DEB875AD609}" name="2017-18"/>
    <tableColumn id="5" xr3:uid="{ABC3BE99-A855-4C9C-B3FB-2A2A3C9DE16C}" name="2018-19"/>
    <tableColumn id="6" xr3:uid="{087EC467-CD82-4EB6-9778-1AAE7DFD1B3B}" name="2019-20"/>
    <tableColumn id="7" xr3:uid="{BF3E8314-4FE4-4C74-AA2A-BDBCF73C1711}" name="2020-21"/>
    <tableColumn id="8" xr3:uid="{B6D89153-0989-441D-B6C6-554B47E5C3C2}" name="2021-22"/>
    <tableColumn id="9" xr3:uid="{63B5F43F-92AB-487A-9E92-155ED090796C}" name="2022-23"/>
    <tableColumn id="10" xr3:uid="{D15D7FE9-E706-46FC-8BC0-FE1850475396}" name="2023-24"/>
    <tableColumn id="11" xr3:uid="{76F05DC5-74C8-4274-A30C-B4BA32951120}" name="2024-25"/>
    <tableColumn id="12" xr3:uid="{4E44D386-32A2-4D22-8DFF-429DF38DE1F3}" name="2025-26"/>
  </tableColumns>
  <tableStyleInfo name="TableStyleMedium7" showFirstColumn="0" showLastColumn="0" showRowStripes="1" showColumnStripes="0"/>
</table>
</file>

<file path=xl/tables/table6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7" xr:uid="{91311995-2FBF-422E-81BD-919F831CD3BD}" name="cset_SIMD_Visits__2" displayName="cset_SIMD_Visits__2" ref="A1:H13" totalsRowShown="0">
  <autoFilter ref="A1:H13" xr:uid="{91311995-2FBF-422E-81BD-919F831CD3BD}"/>
  <tableColumns count="8">
    <tableColumn id="1" xr3:uid="{A3B1D857-3777-417F-9909-6EE6BBD23766}" name="Year" dataDxfId="40"/>
    <tableColumn id="2" xr3:uid="{B9B8A5BD-AC8D-4909-8233-41C388A176E0}" name="1 - Most Deprived 20%"/>
    <tableColumn id="3" xr3:uid="{30300E23-74F1-4060-A805-B60A0EE70606}" name="2"/>
    <tableColumn id="4" xr3:uid="{776C06B6-BD53-415D-9C19-169F3E60C4C8}" name="3"/>
    <tableColumn id="5" xr3:uid="{639B4639-58E9-4829-8319-AEF52F440DB3}" name="4"/>
    <tableColumn id="6" xr3:uid="{CC11DDFA-FE04-467A-AD20-A22138E1BDC3}" name="5 - Least Deprived 20%"/>
    <tableColumn id="7" xr3:uid="{62D66D35-C35A-4DA7-9C8A-49B237BD021C}" name="NotKnown"/>
    <tableColumn id="8" xr3:uid="{D4155742-6FAA-40FA-99BD-109507587CE2}" name="All Scotland"/>
  </tableColumns>
  <tableStyleInfo name="TableStyleMedium7" showFirstColumn="0" showLastColumn="0" showRowStripes="1" showColumnStripes="0"/>
</table>
</file>

<file path=xl/tables/table6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1" xr:uid="{36CE739F-3DFE-49B5-8DC2-2E5005E02F29}" name="cset_SIMD_Visits_OccupiedDwellings__2" displayName="cset_SIMD_Visits_OccupiedDwellings__2" ref="A21:G33" totalsRowShown="0">
  <autoFilter ref="A21:G33" xr:uid="{36CE739F-3DFE-49B5-8DC2-2E5005E02F29}"/>
  <tableColumns count="7">
    <tableColumn id="1" xr3:uid="{F9F34EF3-D10B-4835-A289-010860F89AF2}" name="Year" dataDxfId="39"/>
    <tableColumn id="2" xr3:uid="{FFE52D4B-8A32-4EAB-8502-6622F7191CE3}" name="1 - Most Deprived 20%"/>
    <tableColumn id="3" xr3:uid="{405C5CD6-F1F2-4893-9F88-39EB2ED8D2C0}" name="2"/>
    <tableColumn id="4" xr3:uid="{EBFC29F4-7911-4C41-8CC3-C842A229FCE2}" name="3"/>
    <tableColumn id="5" xr3:uid="{5F3D0B0A-14D8-4A39-BEAC-E23CF5D1F832}" name="4"/>
    <tableColumn id="6" xr3:uid="{32238AB5-E651-4EDD-8640-C7C8F90F8AF6}" name="5 - Least Deprived 20%"/>
    <tableColumn id="7" xr3:uid="{119AFB90-BA69-4068-A46F-A1B48404A78A}" name="All Scotland"/>
  </tableColumns>
  <tableStyleInfo name="TableStyleMedium7" showFirstColumn="0" showLastColumn="0" showRowStripes="1" showColumnStripes="0"/>
</table>
</file>

<file path=xl/tables/table6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6" xr:uid="{944C789B-7074-40C9-935D-87CC3BE52121}" name="cset_SIMD_Alarms__2" displayName="cset_SIMD_Alarms__2" ref="A1:G13" totalsRowShown="0">
  <autoFilter ref="A1:G13" xr:uid="{944C789B-7074-40C9-935D-87CC3BE52121}"/>
  <tableColumns count="7">
    <tableColumn id="1" xr3:uid="{C124D563-D511-4F3D-B510-11E0A170BB46}" name="Year" dataDxfId="38"/>
    <tableColumn id="2" xr3:uid="{10251FAC-774D-4496-8480-684302AE5891}" name="1 - Most Deprived 20%"/>
    <tableColumn id="3" xr3:uid="{CA174603-6B84-4338-81F0-F2C7384E8B38}" name="2"/>
    <tableColumn id="4" xr3:uid="{67236860-85E4-479F-A956-326EA5EA7393}" name="3"/>
    <tableColumn id="5" xr3:uid="{F86E0A9B-6FD5-4EC0-9A8A-A80712801A8B}" name="4"/>
    <tableColumn id="6" xr3:uid="{71F3115B-42AA-4171-BCDF-2287A5EB1412}" name="5 - Least Deprived 20%"/>
    <tableColumn id="7" xr3:uid="{2C2722EA-6DC8-480F-BC86-A7877C8EA8DB}" name="All Scotland"/>
  </tableColumns>
  <tableStyleInfo name="TableStyleMedium7" showFirstColumn="0" showLastColumn="0" showRowStripes="1" showColumnStripes="0"/>
</table>
</file>

<file path=xl/tables/table6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3" xr:uid="{54E490D4-A740-448B-84EF-2F17AA04C944}" name="cset_SIMD_Alarms_OccupiedDwellings__2" displayName="cset_SIMD_Alarms_OccupiedDwellings__2" ref="A21:G33" totalsRowShown="0">
  <autoFilter ref="A21:G33" xr:uid="{54E490D4-A740-448B-84EF-2F17AA04C944}"/>
  <tableColumns count="7">
    <tableColumn id="1" xr3:uid="{FC417AC4-7273-46E9-AC75-F7FF276348C9}" name="Year" dataDxfId="37"/>
    <tableColumn id="2" xr3:uid="{7623F827-12D3-4BDA-BBA8-F3CEE023A7D7}" name="1 - Most Deprived 20%"/>
    <tableColumn id="3" xr3:uid="{BEA2B8B0-B479-44DF-B82C-B296BC1DABD5}" name="2"/>
    <tableColumn id="4" xr3:uid="{F8429348-9E9C-4898-B46C-6AA7B118680F}" name="3"/>
    <tableColumn id="5" xr3:uid="{343E11AC-AA8B-4B91-B47C-057EBD5F2A84}" name="4"/>
    <tableColumn id="6" xr3:uid="{5416FFD0-CE8F-4F6C-9DD0-58A28740925C}" name="5 - Least Deprived 20%"/>
    <tableColumn id="7" xr3:uid="{5515B526-9ACF-4F88-BF61-6CF3FAF3D531}" name="All Scotland"/>
  </tableColumns>
  <tableStyleInfo name="TableStyleMedium7" showFirstColumn="0" showLastColumn="0" showRowStripes="1" showColumnStripes="0"/>
</table>
</file>

<file path=xl/tables/table6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1" xr:uid="{E7ECB837-FB87-4716-81F1-2179DC624C25}" name="cset_simd_ownerocc" displayName="cset_simd_ownerocc" ref="A1:G62" totalsRowShown="0">
  <autoFilter ref="A1:G62" xr:uid="{E7ECB837-FB87-4716-81F1-2179DC624C25}"/>
  <tableColumns count="7">
    <tableColumn id="1" xr3:uid="{E75E9AA6-C1D9-4CCC-BA85-18EA8446190E}" name="FisYr" dataDxfId="36"/>
    <tableColumn id="2" xr3:uid="{F0596EE0-AB7A-4951-A2DF-E52329DE2C44}" name="SIMD2020_Quintile"/>
    <tableColumn id="3" xr3:uid="{B0F1A09E-1596-4A7D-9D32-BA31064878BE}" name="Visits"/>
    <tableColumn id="4" xr3:uid="{3796A542-85A5-4347-AF5D-557446333A7B}" name="WithAlarmsFitted"/>
    <tableColumn id="5" xr3:uid="{234EA83D-9396-4286-808F-9BFA3936CBBC}" name="pcAlarmsFitted"/>
    <tableColumn id="6" xr3:uid="{0BB57122-80FE-45F6-900B-C7BEB0AE7BF2}" name="RateAlarmsFittedper100OccupiedDwellings"/>
    <tableColumn id="7" xr3:uid="{3DC7C1AA-1CF0-4617-984E-3812A46BB94B}" name="OccupiedDwellings"/>
  </tableColumns>
  <tableStyleInfo name="TableStyleMedium7" showFirstColumn="0" showLastColumn="0" showRowStripes="1" showColumnStripes="0"/>
</table>
</file>

<file path=xl/tables/table6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5" xr:uid="{472B0532-7604-49B3-B702-F3850988EF4C}" name="cset_UrbanRural__3" displayName="cset_UrbanRural__3" ref="A2:H14" totalsRowShown="0">
  <autoFilter ref="A2:H14" xr:uid="{472B0532-7604-49B3-B702-F3850988EF4C}"/>
  <tableColumns count="8">
    <tableColumn id="1" xr3:uid="{1931E5A6-3D2A-4E97-A219-543399AA9C5C}" name="Year" dataDxfId="35"/>
    <tableColumn id="2" xr3:uid="{4AF32F97-5D65-42C0-ADBE-BA55FFEC9A85}" name="1 - Large Urban Areas"/>
    <tableColumn id="3" xr3:uid="{A79988B6-D6B1-4D98-AC1A-F8D7F6AF1A0B}" name="2 - Other Urban Areas"/>
    <tableColumn id="4" xr3:uid="{F5CCC0E8-0C70-4BE0-86F0-D4C20CE83EC8}" name="3 - Accessible Small Towns"/>
    <tableColumn id="5" xr3:uid="{0D6BA62A-7B78-4B59-8E38-713E7993938B}" name="4 - Remote Small Towns"/>
    <tableColumn id="6" xr3:uid="{2F14F32B-F4C2-4A61-B11E-C5345D664F49}" name="5 - Accessible Rural"/>
    <tableColumn id="7" xr3:uid="{464D8D3B-1AB0-4642-AEF6-2153BC182D07}" name="6 - Remote Rural"/>
    <tableColumn id="8" xr3:uid="{DC653CA8-BDE2-4C40-BD00-53389FAF5C84}" name="All Scotland"/>
  </tableColumns>
  <tableStyleInfo name="TableStyleMedium7" showFirstColumn="0" showLastColumn="0" showRowStripes="1" showColumnStripes="0"/>
</table>
</file>

<file path=xl/tables/table6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4" xr:uid="{103ECC2F-7D80-4AB8-A893-2B1AD664F829}" name="cset_UrbanRural_OccupiedDwellings__3" displayName="cset_UrbanRural_OccupiedDwellings__3" ref="A24:H36" totalsRowShown="0">
  <autoFilter ref="A24:H36" xr:uid="{103ECC2F-7D80-4AB8-A893-2B1AD664F829}"/>
  <tableColumns count="8">
    <tableColumn id="1" xr3:uid="{EF67A75E-C506-4E9D-A966-9D94C47AF85F}" name="Year" dataDxfId="34"/>
    <tableColumn id="2" xr3:uid="{639FDB75-A29D-4D02-9C77-9222F059B32C}" name="1 - Large Urban Areas"/>
    <tableColumn id="3" xr3:uid="{AEA6D4B3-247B-4B36-99B8-81933E469AD1}" name="2 - Other Urban Areas"/>
    <tableColumn id="4" xr3:uid="{22E306DD-843B-44A9-AC43-7D5526D0D1FC}" name="3 - Accessible Small Towns"/>
    <tableColumn id="5" xr3:uid="{58FBF480-3BD9-4D57-BBBB-F73281608BFF}" name="4 - Remote Small Towns"/>
    <tableColumn id="6" xr3:uid="{C941C1DB-94C8-4031-94E1-5E8DC00DCACA}" name="5 - Accessible Rural"/>
    <tableColumn id="7" xr3:uid="{BA3FFF46-C7D7-4AF2-883D-5A42AD04EDCD}" name="6 - Remote Rural"/>
    <tableColumn id="8" xr3:uid="{E0B6B4C4-6CBF-46BF-8063-E2C74B9CB589}" name="All Scotland"/>
  </tableColumns>
  <tableStyleInfo name="TableStyleMedium7" showFirstColumn="0" showLastColumn="0" showRowStripes="1" showColumnStripes="0"/>
</table>
</file>

<file path=xl/tables/table7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3" xr:uid="{7450F726-4485-45E4-A189-16AF0B5A7E2B}" name="cset_HFSV_Rate_LA_All_Final" displayName="cset_HFSV_Rate_LA_All_Final" ref="A1:O450" totalsRowCount="1">
  <autoFilter ref="A1:O449" xr:uid="{7450F726-4485-45E4-A189-16AF0B5A7E2B}">
    <filterColumn colId="0">
      <filters>
        <filter val="2025-26"/>
      </filters>
    </filterColumn>
  </autoFilter>
  <tableColumns count="15">
    <tableColumn id="1" xr3:uid="{8E877354-3B48-4393-8345-B9B99EE422FA}" name="Year" dataDxfId="33"/>
    <tableColumn id="2" xr3:uid="{39DD9D5A-6713-4F65-B414-180232BE7F08}" name="Council" dataDxfId="32"/>
    <tableColumn id="3" xr3:uid="{F9BE0D35-D980-4BE2-AC21-F77863E8664F}" name="GSSCode" dataDxfId="31"/>
    <tableColumn id="4" xr3:uid="{8B7D306F-8E3A-47AA-AF64-4D74B4EE875B}" name="HFSV - alarms installed" dataDxfId="30" totalsRowDxfId="29"/>
    <tableColumn id="5" xr3:uid="{806F2A3A-8705-4931-9952-A01F17250D32}" name="HFSV - advice only" dataDxfId="28" totalsRowDxfId="27"/>
    <tableColumn id="6" xr3:uid="{F960890D-3C85-4EF7-9662-469EAD7B34C0}" name="Total HFSV" dataDxfId="26" totalsRowDxfId="25"/>
    <tableColumn id="7" xr3:uid="{3476FD3A-9011-4E88-989F-68D25D219728}" name="TotalNewAlarms" dataDxfId="24" totalsRowDxfId="23"/>
    <tableColumn id="8" xr3:uid="{0B1E3C5C-984F-4F4B-8C89-A272547533DC}" name="TotalReplacedAlarms" dataDxfId="22" totalsRowDxfId="21"/>
    <tableColumn id="9" xr3:uid="{F2C789C8-2901-4863-98A1-1EF49F9B75DE}" name="TotalAlarms" dataDxfId="20" totalsRowDxfId="19"/>
    <tableColumn id="10" xr3:uid="{AA22EEC1-2B81-4C8D-9A4F-5FC9EDEDB7AA}" name="Dwellings"/>
    <tableColumn id="11" xr3:uid="{997F9764-813D-4ACD-92D2-BCDD8B91FAD9}" name="VisitsPer100Dwelling"/>
    <tableColumn id="12" xr3:uid="{826166FA-2D98-408E-BD56-443B1D5E7CC0}" name="AlarmsPer100Dwelling"/>
    <tableColumn id="13" xr3:uid="{2AA06F13-9727-4688-B44E-0AC1B13BC69E}" name="Households"/>
    <tableColumn id="14" xr3:uid="{F8EE8A7E-2957-4FB6-9C09-9F42458C300E}" name="VisitsPer100Household"/>
    <tableColumn id="15" xr3:uid="{CD501EA2-73B7-49E8-834F-D5423FF719D8}" name="AlarmsPer100Household"/>
  </tableColumns>
  <tableStyleInfo name="TableStyleMedium7" showFirstColumn="0" showLastColumn="0" showRowStripes="1" showColumnStripes="0"/>
</table>
</file>

<file path=xl/tables/table7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0" xr:uid="{10F5B5BA-0064-4739-BBC5-5E9051E70EA8}" name="pp_PPED_Workflows__3" displayName="pp_PPED_Workflows__3" ref="A3:E15" totalsRowShown="0">
  <autoFilter ref="A3:E15" xr:uid="{10F5B5BA-0064-4739-BBC5-5E9051E70EA8}"/>
  <tableColumns count="5">
    <tableColumn id="1" xr3:uid="{4FC329BE-E112-41A0-8925-0FB662A4272D}" name="Year" dataDxfId="18"/>
    <tableColumn id="2" xr3:uid="{B00A57F8-7702-4347-BF6C-8B5D90CCA790}" name="Audits"/>
    <tableColumn id="3" xr3:uid="{C5191DC2-8B8B-4016-A94B-6643ECB6B0D5}" name="Post Fire Short Audits"/>
    <tableColumn id="4" xr3:uid="{A41FBCAD-2B66-4A32-96AF-86A783AB9745}" name="Site Visits"/>
    <tableColumn id="5" xr3:uid="{7AA74D63-1676-49B8-AC5F-21B65A5D3119}" name="Consultations"/>
  </tableColumns>
  <tableStyleInfo name="TableStyleMedium7" showFirstColumn="0" showLastColumn="0" showRowStripes="1" showColumnStripes="0"/>
</table>
</file>

<file path=xl/tables/table7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1" xr:uid="{EB4B91C6-B182-45A7-8BDC-29E25D4D254F}" name="pp_PPED_Workflow_FireEngineeringConsultations__2" displayName="pp_PPED_Workflow_FireEngineeringConsultations__2" ref="J3:K10" totalsRowShown="0">
  <autoFilter ref="J3:K10" xr:uid="{EB4B91C6-B182-45A7-8BDC-29E25D4D254F}"/>
  <tableColumns count="2">
    <tableColumn id="1" xr3:uid="{68316A08-794E-4B13-86FC-2B18DDB0F5AE}" name="Fiscal_Yr" dataDxfId="17"/>
    <tableColumn id="2" xr3:uid="{79817148-C0CA-41F5-A00C-08449AC35AE6}" name="Count"/>
  </tableColumns>
  <tableStyleInfo name="TableStyleMedium7" showFirstColumn="0" showLastColumn="0" showRowStripes="1" showColumnStripes="0"/>
</table>
</file>

<file path=xl/tables/table7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7" xr:uid="{4A1A1DE4-A806-4C89-B800-36127869A43C}" name="pp_PPED_Audits__3" displayName="pp_PPED_Audits__3" ref="A1:T16" totalsRowShown="0">
  <autoFilter ref="A1:T16" xr:uid="{4A1A1DE4-A806-4C89-B800-36127869A43C}"/>
  <tableColumns count="20">
    <tableColumn id="1" xr3:uid="{1C92A3DB-AA4A-45C3-ADDA-852C933B1E12}" name="FSEC" dataDxfId="16"/>
    <tableColumn id="2" xr3:uid="{7C66F6CA-76D1-4118-AAAB-1A9A485DCEE1}" name="PremisesType" dataDxfId="15"/>
    <tableColumn id="3" xr3:uid="{415D9A17-934E-4503-809B-3153F41F13B3}" name="Total"/>
    <tableColumn id="4" xr3:uid="{6CEB7962-EBDF-4A57-9B12-7E320F41008C}" name="2009-10"/>
    <tableColumn id="5" xr3:uid="{681714CB-127F-4250-88DA-59CF2EBCE6FF}" name="2010-11"/>
    <tableColumn id="6" xr3:uid="{CBEBDBF9-0C80-4694-9888-3F987C6DAD2B}" name="2011-12"/>
    <tableColumn id="7" xr3:uid="{B100D348-A218-43B6-A12F-032CED8584FF}" name="2012-13"/>
    <tableColumn id="8" xr3:uid="{F192373C-C3DF-4EB8-8A3F-771A5B20DC22}" name="2013-14"/>
    <tableColumn id="9" xr3:uid="{316D5575-1BEE-4D3D-9B3C-2A29B08C4FE5}" name="2014-15"/>
    <tableColumn id="10" xr3:uid="{805EFB7B-C4F0-4547-A079-31AAE12ADD26}" name="2015-16"/>
    <tableColumn id="11" xr3:uid="{A173A30A-8E11-4970-8B6F-CA12081507F9}" name="2016-17"/>
    <tableColumn id="12" xr3:uid="{700B2B87-EF4A-4840-B76C-8386D5B0AEC6}" name="2017-18"/>
    <tableColumn id="13" xr3:uid="{20C465EC-F599-43E5-BFBB-F6340DEA0920}" name="2018-19"/>
    <tableColumn id="14" xr3:uid="{8BB9F511-BF0D-4938-97A3-4C6C50667791}" name="2019-20"/>
    <tableColumn id="15" xr3:uid="{76CD5FF8-D1EF-4965-B56B-10160130FA9C}" name="2020-21"/>
    <tableColumn id="16" xr3:uid="{802FC463-DCEB-494C-98AC-EE70D81CD3CD}" name="2021-22"/>
    <tableColumn id="17" xr3:uid="{2B8A8A8E-0147-41E4-8A35-5E909A303712}" name="2022-23"/>
    <tableColumn id="18" xr3:uid="{94C5879D-4234-45FB-AEA5-D36F86A3BD0B}" name="2023-24"/>
    <tableColumn id="19" xr3:uid="{9D2B322C-D078-4343-9E64-BC0408AAC5AF}" name="2024-25"/>
    <tableColumn id="20" xr3:uid="{41CF76AC-83E7-43FB-8B44-FD0A9363C48C}" name="2025-26"/>
  </tableColumns>
  <tableStyleInfo name="TableStyleMedium7" showFirstColumn="0" showLastColumn="0" showRowStripes="1" showColumnStripes="0"/>
</table>
</file>

<file path=xl/tables/table7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8" xr:uid="{9A3EA395-9317-4B4A-BAF5-9265061241FD}" name="pp_PPED_Audits_LA__2" displayName="pp_PPED_Audits_LA__2" ref="A1:R386" totalsRowShown="0">
  <autoFilter ref="A1:R386" xr:uid="{9A3EA395-9317-4B4A-BAF5-9265061241FD}"/>
  <tableColumns count="18">
    <tableColumn id="1" xr3:uid="{7EEE5608-562E-4EBC-8F26-27658B411FFD}" name="Year" dataDxfId="14"/>
    <tableColumn id="2" xr3:uid="{1AE5CB59-9A33-4A55-99AC-FA915FA56D49}" name="Local Authority" dataDxfId="13"/>
    <tableColumn id="3" xr3:uid="{8B652BC3-519C-42EE-B91D-EC4030A6AAD5}" name="LA Code" dataDxfId="12"/>
    <tableColumn id="4" xr3:uid="{00BE7885-46F9-4D54-B744-4BF4C60480C8}" name="Hospital / Prison"/>
    <tableColumn id="5" xr3:uid="{B38F5B4E-CCD2-4809-8D61-5F09D8431FFB}" name="Care Home"/>
    <tableColumn id="6" xr3:uid="{C6B1EEF6-CCBF-4D94-85EE-C662024DF2C8}" name="HMO"/>
    <tableColumn id="7" xr3:uid="{140CC973-D674-45F8-9CEA-5C0CF40E4848}" name="Hostel"/>
    <tableColumn id="8" xr3:uid="{11E4E03D-FFA8-4E5C-BE93-6CE64E665872}" name="Hotel"/>
    <tableColumn id="9" xr3:uid="{1774745F-EADB-456E-8CD4-2B81F6A63B05}" name="Other Sleeping Accomm"/>
    <tableColumn id="10" xr3:uid="{70D92D83-FF81-4EAA-931D-A99EAD4C896E}" name="Further Education"/>
    <tableColumn id="11" xr3:uid="{3BDD6BEE-3D7C-4529-80B6-39BC8572FC03}" name="Public Building"/>
    <tableColumn id="12" xr3:uid="{1306EE48-5C27-4AE2-9C68-47E15018F1E0}" name="Licensed Premises"/>
    <tableColumn id="13" xr3:uid="{09C56BBE-B018-4EBE-BB78-037DF1E1B61A}" name="School"/>
    <tableColumn id="14" xr3:uid="{0E94B193-5642-48EF-B91D-1B7EFF72E4E4}" name="Shop"/>
    <tableColumn id="15" xr3:uid="{7E5A5499-C2A4-4CE6-96D3-316238DCE8EF}" name="Other Premises Open to Public"/>
    <tableColumn id="16" xr3:uid="{26E6EB30-8F60-4254-BD23-5BF42D02ACB5}" name="Factory or Warehouse"/>
    <tableColumn id="17" xr3:uid="{6C69772A-2ADB-463E-8938-F2FCD2D8D644}" name="Office"/>
    <tableColumn id="18" xr3:uid="{BACC4895-8824-4E5C-AD3B-B4D15042F08C}" name="Other Workplace"/>
  </tableColumns>
  <tableStyleInfo name="TableStyleMedium7" showFirstColumn="0" showLastColumn="0" showRowStripes="1" showColumnStripes="0"/>
</table>
</file>

<file path=xl/tables/table7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5" xr:uid="{8F34B224-5B2A-4F01-AB44-A71C06BB0D40}" name="pp_PPED_Audits_Outcome_Premises" displayName="pp_PPED_Audits_Outcome_Premises" ref="B4:L184" totalsRowShown="0">
  <autoFilter ref="B4:L184" xr:uid="{8F34B224-5B2A-4F01-AB44-A71C06BB0D40}"/>
  <tableColumns count="11">
    <tableColumn id="1" xr3:uid="{FBD984E3-954C-4D5B-BE53-9E1DAF9BC4CE}" name="FisYr" dataDxfId="11"/>
    <tableColumn id="2" xr3:uid="{240583FE-F8D5-4EA8-86FF-C6A09ADFDAC5}" name="FSEC" dataDxfId="10"/>
    <tableColumn id="3" xr3:uid="{A18BC7C3-40CD-46FC-93B3-C93FEF1616D4}" name="Type of Premises" dataDxfId="9"/>
    <tableColumn id="4" xr3:uid="{88323848-F3E5-44B6-960C-DD8D029C7C2C}" name="A_Tally"/>
    <tableColumn id="5" xr3:uid="{010631D4-1B36-4B61-AAE8-206E8E1A210A}" name="A_Hours"/>
    <tableColumn id="6" xr3:uid="{0FEB0375-30A6-45CB-BD1F-30495A5D0699}" name="B_Tally"/>
    <tableColumn id="7" xr3:uid="{A143DB98-1338-4A3D-9861-635E9856DA71}" name="B_Hours"/>
    <tableColumn id="8" xr3:uid="{DA1A892B-9154-4645-890C-FCEB7E3FD333}" name="Enforcement_Tally"/>
    <tableColumn id="9" xr3:uid="{A9488588-B2CB-4B0E-8251-B70DC39F8360}" name="Enforcement_Hours"/>
    <tableColumn id="10" xr3:uid="{4D15FC71-DA67-49CB-A499-2D84A2EEC502}" name="Prohibition_Tally"/>
    <tableColumn id="11" xr3:uid="{1DA16869-E59B-4F3E-AAF8-16D40455AED5}" name="Prohibition_Hours"/>
  </tableColumns>
  <tableStyleInfo name="TableStyleMedium7" showFirstColumn="0" showLastColumn="0" showRowStripes="1" showColumnStripes="0"/>
</table>
</file>

<file path=xl/tables/table7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4" xr:uid="{27414D4F-AC77-4391-A407-AEB959137087}" name="pp_PPED_Audits_Outcome__2" displayName="pp_PPED_Audits_Outcome__2" ref="B4:J21" totalsRowShown="0">
  <autoFilter ref="B4:J21" xr:uid="{27414D4F-AC77-4391-A407-AEB959137087}"/>
  <tableColumns count="9">
    <tableColumn id="1" xr3:uid="{712823FC-F8B9-4EA3-9D46-50C078D493BC}" name="FisYr" dataDxfId="8"/>
    <tableColumn id="2" xr3:uid="{D68BDD1C-6FEF-40F5-A163-E15AD95866D0}" name="A_Tally"/>
    <tableColumn id="3" xr3:uid="{9A7EEE87-34E4-4EF0-8A27-5244747911F4}" name="A_Hours"/>
    <tableColumn id="4" xr3:uid="{569FFD1F-E2A4-451B-B115-36ABFE4E3C21}" name="B_Tally"/>
    <tableColumn id="5" xr3:uid="{E40DDBAF-3D2A-4C1F-B9FE-72F03B35A9F6}" name="B_Hours"/>
    <tableColumn id="6" xr3:uid="{C179629D-AE01-4BE8-A3C2-4D8D72E6BE2D}" name="Enforcement_Tally"/>
    <tableColumn id="7" xr3:uid="{444923A6-704F-44D9-B26A-9D42465E0EA2}" name="Enforcement_Hours"/>
    <tableColumn id="8" xr3:uid="{0A4B60A2-9B83-4AF4-BB26-F406E03DAB02}" name="Prohibition_Tally"/>
    <tableColumn id="9" xr3:uid="{ADD2F825-CD1E-4ED6-BBA9-73F1E3C73812}" name="Prohibition_Hours"/>
  </tableColumns>
  <tableStyleInfo name="TableStyleMedium7" showFirstColumn="0" showLastColumn="0" showRowStripes="1" showColumnStripes="0"/>
</table>
</file>

<file path=xl/tables/table7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6" xr:uid="{533DAD9E-D0CA-4DB1-8227-F18379D4B1A3}" name="pp_PPED_Audits_Outcome_LA" displayName="pp_PPED_Audits_Outcome_LA" ref="A1:K385" totalsRowShown="0">
  <autoFilter ref="A1:K385" xr:uid="{533DAD9E-D0CA-4DB1-8227-F18379D4B1A3}"/>
  <tableColumns count="11">
    <tableColumn id="1" xr3:uid="{DCD5CD19-9BE3-4B02-923D-9F7E3F139F5B}" name="FisYr" dataDxfId="7"/>
    <tableColumn id="2" xr3:uid="{0A8E724A-5D9D-4306-A2C9-06B5D092B8D4}" name="Council" dataDxfId="6"/>
    <tableColumn id="3" xr3:uid="{396CA86B-8E9B-4D6F-9D48-45BAA5DF54E6}" name="GSSCode" dataDxfId="5"/>
    <tableColumn id="4" xr3:uid="{26E9748E-7821-48BD-9C05-2F2B06EAD47F}" name="A_Tally"/>
    <tableColumn id="5" xr3:uid="{BBF6AF9D-662E-4FF5-816D-B68985798C19}" name="A_Hours"/>
    <tableColumn id="6" xr3:uid="{D29F0974-56BF-421F-90AF-1C65559B065C}" name="B_Tally"/>
    <tableColumn id="7" xr3:uid="{7336A288-DE55-4BF5-9E2A-B8C0E66211F8}" name="B_Hours"/>
    <tableColumn id="8" xr3:uid="{927680E9-6E8B-407E-9F06-A8A96D0A4AEB}" name="Enforcement_Tally"/>
    <tableColumn id="9" xr3:uid="{098FC417-B899-4341-BC17-5CB57C6C365E}" name="Enforcement_Hours"/>
    <tableColumn id="10" xr3:uid="{868F2499-2454-4805-B7F6-66C565AB99BF}" name="Prohibition_Tally"/>
    <tableColumn id="11" xr3:uid="{89D10D1F-9142-488F-8AD4-98E24DC31D5A}" name="Prohibition_Hours"/>
  </tableColumns>
  <tableStyleInfo name="TableStyleMedium7" showFirstColumn="0" showLastColumn="0" showRowStripes="1" showColumnStripes="0"/>
</table>
</file>

<file path=xl/tables/table7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6" xr:uid="{A6A62CBD-2523-4C1F-8974-26D26899C200}" name="pp_PPED_Notices__3" displayName="pp_PPED_Notices__3" ref="B4:E16" totalsRowShown="0">
  <autoFilter ref="B4:E16" xr:uid="{A6A62CBD-2523-4C1F-8974-26D26899C200}"/>
  <tableColumns count="4">
    <tableColumn id="1" xr3:uid="{EC476CDB-CE94-401E-A256-7D7E66481165}" name="Year" dataDxfId="4"/>
    <tableColumn id="2" xr3:uid="{E3549896-81C1-418F-A7F2-AC1521D603BD}" name="Enforcement Notice"/>
    <tableColumn id="3" xr3:uid="{52837D34-2820-47E9-83E4-13391CBF4C42}" name="Prohibition Notice"/>
    <tableColumn id="4" xr3:uid="{21E78BDA-944E-4820-811D-969A262484DD}" name="Alterations Notice"/>
  </tableColumns>
  <tableStyleInfo name="TableStyleMedium7" showFirstColumn="0" showLastColumn="0" showRowStripes="1" showColumnStripes="0"/>
</table>
</file>

<file path=xl/tables/table7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3" xr:uid="{CC6BAF88-EDE0-45EE-A343-9C4881409986}" name="pp_PPED_Risk__2" displayName="pp_PPED_Risk__2" ref="B4:K184" totalsRowShown="0">
  <autoFilter ref="B4:K184" xr:uid="{CC6BAF88-EDE0-45EE-A343-9C4881409986}"/>
  <tableColumns count="10">
    <tableColumn id="1" xr3:uid="{6248829B-DB3B-4CEF-B439-C28555DDAEC2}" name="Year" dataDxfId="3"/>
    <tableColumn id="2" xr3:uid="{0399AAEB-3E3A-4346-A206-60AB89A37A88}" name="FSEC" dataDxfId="2"/>
    <tableColumn id="3" xr3:uid="{39803529-88EB-4387-9651-A6A23AFDD368}" name="PremisesType" dataDxfId="1"/>
    <tableColumn id="4" xr3:uid="{78A83F39-7864-4B92-BAB1-86D99C38FC8E}" name="VL"/>
    <tableColumn id="5" xr3:uid="{236768E2-3EB1-444E-B7E0-09B44DF7C5E4}" name="L"/>
    <tableColumn id="6" xr3:uid="{C1CD27D0-1579-42C9-A026-2DB6B7FCE50E}" name="M"/>
    <tableColumn id="7" xr3:uid="{43D301F5-9405-4574-B554-2D4224D4A4BC}" name="H"/>
    <tableColumn id="8" xr3:uid="{CED4860F-8DA1-4971-9645-193C3F5F4CCE}" name="VH"/>
    <tableColumn id="9" xr3:uid="{23222FA4-4DCB-46EE-B341-5F9015475249}" name="Not Known"/>
    <tableColumn id="10" xr3:uid="{0D966535-0BA7-4FC0-8D0F-5F102AC2E437}" name="Total"/>
  </tableColumns>
  <tableStyleInfo name="TableStyleMedium7"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hyperlink" Target="mailto:National.Statistics@firescotland.gov.uk" TargetMode="External"/><Relationship Id="rId2" Type="http://schemas.openxmlformats.org/officeDocument/2006/relationships/hyperlink" Target="http://www.firescotland.gov.uk/about-us/fire-and-rescue-statistics.aspx" TargetMode="External"/><Relationship Id="rId1" Type="http://schemas.openxmlformats.org/officeDocument/2006/relationships/hyperlink" Target="http://www.firescotland.gov.uk/about-us/fire-and-rescue-statistics.aspx" TargetMode="External"/><Relationship Id="rId4"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table" Target="../tables/table1.xml"/><Relationship Id="rId2" Type="http://schemas.openxmlformats.org/officeDocument/2006/relationships/drawing" Target="../drawings/drawing1.xml"/><Relationship Id="rId1" Type="http://schemas.openxmlformats.org/officeDocument/2006/relationships/printerSettings" Target="../printerSettings/printerSettings3.bin"/><Relationship Id="rId4" Type="http://schemas.microsoft.com/office/2007/relationships/slicer" Target="../slicers/slicer1.xml"/></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3" Type="http://schemas.microsoft.com/office/2007/relationships/slicer" Target="../slicers/slicer2.xml"/><Relationship Id="rId2" Type="http://schemas.openxmlformats.org/officeDocument/2006/relationships/drawing" Target="../drawings/drawing2.xml"/><Relationship Id="rId1" Type="http://schemas.openxmlformats.org/officeDocument/2006/relationships/pivotTable" Target="../pivotTables/pivotTable1.xml"/></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3" Type="http://schemas.microsoft.com/office/2007/relationships/slicer" Target="../slicers/slicer3.xml"/><Relationship Id="rId2" Type="http://schemas.openxmlformats.org/officeDocument/2006/relationships/drawing" Target="../drawings/drawing3.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microsoft.com/office/2007/relationships/slicer" Target="../slicers/slicer4.xml"/><Relationship Id="rId2" Type="http://schemas.openxmlformats.org/officeDocument/2006/relationships/drawing" Target="../drawings/drawing4.xml"/><Relationship Id="rId1" Type="http://schemas.openxmlformats.org/officeDocument/2006/relationships/pivotTable" Target="../pivotTables/pivotTable2.xml"/></Relationships>
</file>

<file path=xl/worksheets/_rels/sheet11.xml.rels><?xml version="1.0" encoding="UTF-8" standalone="yes"?>
<Relationships xmlns="http://schemas.openxmlformats.org/package/2006/relationships"><Relationship Id="rId2" Type="http://schemas.microsoft.com/office/2007/relationships/slicer" Target="../slicers/slicer5.xml"/><Relationship Id="rId1" Type="http://schemas.openxmlformats.org/officeDocument/2006/relationships/drawing" Target="../drawings/drawing5.xml"/></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3.xml.rels><?xml version="1.0" encoding="UTF-8" standalone="yes"?>
<Relationships xmlns="http://schemas.openxmlformats.org/package/2006/relationships"><Relationship Id="rId2" Type="http://schemas.openxmlformats.org/officeDocument/2006/relationships/table" Target="../tables/table3.xml"/><Relationship Id="rId1" Type="http://schemas.openxmlformats.org/officeDocument/2006/relationships/table" Target="../tables/table2.xml"/></Relationships>
</file>

<file path=xl/worksheets/_rels/sheet14.xml.rels><?xml version="1.0" encoding="UTF-8" standalone="yes"?>
<Relationships xmlns="http://schemas.openxmlformats.org/package/2006/relationships"><Relationship Id="rId2" Type="http://schemas.openxmlformats.org/officeDocument/2006/relationships/pivotTable" Target="../pivotTables/pivotTable4.xml"/><Relationship Id="rId1" Type="http://schemas.openxmlformats.org/officeDocument/2006/relationships/pivotTable" Target="../pivotTables/pivotTable3.xml"/></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9.bin"/></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9.xml.rels><?xml version="1.0" encoding="UTF-8" standalone="yes"?>
<Relationships xmlns="http://schemas.openxmlformats.org/package/2006/relationships"><Relationship Id="rId1" Type="http://schemas.openxmlformats.org/officeDocument/2006/relationships/pivotTable" Target="../pivotTables/pivotTable5.xml"/></Relationships>
</file>

<file path=xl/worksheets/_rels/sheet20.xml.rels><?xml version="1.0" encoding="UTF-8" standalone="yes"?>
<Relationships xmlns="http://schemas.openxmlformats.org/package/2006/relationships"><Relationship Id="rId1" Type="http://schemas.openxmlformats.org/officeDocument/2006/relationships/table" Target="../tables/table4.xml"/></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22.xml.rels><?xml version="1.0" encoding="UTF-8" standalone="yes"?>
<Relationships xmlns="http://schemas.openxmlformats.org/package/2006/relationships"><Relationship Id="rId3" Type="http://schemas.microsoft.com/office/2007/relationships/slicer" Target="../slicers/slicer6.xml"/><Relationship Id="rId2" Type="http://schemas.openxmlformats.org/officeDocument/2006/relationships/drawing" Target="../drawings/drawing9.xml"/><Relationship Id="rId1" Type="http://schemas.openxmlformats.org/officeDocument/2006/relationships/pivotTable" Target="../pivotTables/pivotTable6.xml"/></Relationships>
</file>

<file path=xl/worksheets/_rels/sheet23.xml.rels><?xml version="1.0" encoding="UTF-8" standalone="yes"?>
<Relationships xmlns="http://schemas.openxmlformats.org/package/2006/relationships"><Relationship Id="rId1" Type="http://schemas.openxmlformats.org/officeDocument/2006/relationships/table" Target="../tables/table5.xml"/></Relationships>
</file>

<file path=xl/worksheets/_rels/sheet24.xml.rels><?xml version="1.0" encoding="UTF-8" standalone="yes"?>
<Relationships xmlns="http://schemas.openxmlformats.org/package/2006/relationships"><Relationship Id="rId3" Type="http://schemas.microsoft.com/office/2007/relationships/slicer" Target="../slicers/slicer7.xml"/><Relationship Id="rId2" Type="http://schemas.openxmlformats.org/officeDocument/2006/relationships/drawing" Target="../drawings/drawing10.xml"/><Relationship Id="rId1" Type="http://schemas.openxmlformats.org/officeDocument/2006/relationships/printerSettings" Target="../printerSettings/printerSettings11.bin"/></Relationships>
</file>

<file path=xl/worksheets/_rels/sheet25.xml.rels><?xml version="1.0" encoding="UTF-8" standalone="yes"?>
<Relationships xmlns="http://schemas.openxmlformats.org/package/2006/relationships"><Relationship Id="rId2" Type="http://schemas.openxmlformats.org/officeDocument/2006/relationships/pivotTable" Target="../pivotTables/pivotTable8.xml"/><Relationship Id="rId1" Type="http://schemas.openxmlformats.org/officeDocument/2006/relationships/pivotTable" Target="../pivotTables/pivotTable7.xml"/></Relationships>
</file>

<file path=xl/worksheets/_rels/sheet26.xml.rels><?xml version="1.0" encoding="UTF-8" standalone="yes"?>
<Relationships xmlns="http://schemas.openxmlformats.org/package/2006/relationships"><Relationship Id="rId2" Type="http://schemas.openxmlformats.org/officeDocument/2006/relationships/table" Target="../tables/table7.xml"/><Relationship Id="rId1" Type="http://schemas.openxmlformats.org/officeDocument/2006/relationships/table" Target="../tables/table6.xml"/></Relationships>
</file>

<file path=xl/worksheets/_rels/sheet27.xml.rels><?xml version="1.0" encoding="UTF-8" standalone="yes"?>
<Relationships xmlns="http://schemas.openxmlformats.org/package/2006/relationships"><Relationship Id="rId3" Type="http://schemas.openxmlformats.org/officeDocument/2006/relationships/table" Target="../tables/table9.xml"/><Relationship Id="rId2" Type="http://schemas.openxmlformats.org/officeDocument/2006/relationships/table" Target="../tables/table8.xml"/><Relationship Id="rId1" Type="http://schemas.openxmlformats.org/officeDocument/2006/relationships/printerSettings" Target="../printerSettings/printerSettings12.bin"/></Relationships>
</file>

<file path=xl/worksheets/_rels/sheet28.xml.rels><?xml version="1.0" encoding="UTF-8" standalone="yes"?>
<Relationships xmlns="http://schemas.openxmlformats.org/package/2006/relationships"><Relationship Id="rId1" Type="http://schemas.openxmlformats.org/officeDocument/2006/relationships/pivotTable" Target="../pivotTables/pivotTable9.xml"/></Relationships>
</file>

<file path=xl/worksheets/_rels/sheet29.xml.rels><?xml version="1.0" encoding="UTF-8" standalone="yes"?>
<Relationships xmlns="http://schemas.openxmlformats.org/package/2006/relationships"><Relationship Id="rId1" Type="http://schemas.openxmlformats.org/officeDocument/2006/relationships/table" Target="../tables/table10.xml"/></Relationships>
</file>

<file path=xl/worksheets/_rels/sheet30.xml.rels><?xml version="1.0" encoding="UTF-8" standalone="yes"?>
<Relationships xmlns="http://schemas.openxmlformats.org/package/2006/relationships"><Relationship Id="rId2" Type="http://schemas.openxmlformats.org/officeDocument/2006/relationships/table" Target="../tables/table11.xml"/><Relationship Id="rId1" Type="http://schemas.openxmlformats.org/officeDocument/2006/relationships/printerSettings" Target="../printerSettings/printerSettings13.bin"/></Relationships>
</file>

<file path=xl/worksheets/_rels/sheet31.xml.rels><?xml version="1.0" encoding="UTF-8" standalone="yes"?>
<Relationships xmlns="http://schemas.openxmlformats.org/package/2006/relationships"><Relationship Id="rId3" Type="http://schemas.microsoft.com/office/2007/relationships/slicer" Target="../slicers/slicer8.xml"/><Relationship Id="rId2" Type="http://schemas.openxmlformats.org/officeDocument/2006/relationships/drawing" Target="../drawings/drawing11.xml"/><Relationship Id="rId1" Type="http://schemas.openxmlformats.org/officeDocument/2006/relationships/pivotTable" Target="../pivotTables/pivotTable10.xml"/></Relationships>
</file>

<file path=xl/worksheets/_rels/sheet32.xml.rels><?xml version="1.0" encoding="UTF-8" standalone="yes"?>
<Relationships xmlns="http://schemas.openxmlformats.org/package/2006/relationships"><Relationship Id="rId1" Type="http://schemas.openxmlformats.org/officeDocument/2006/relationships/table" Target="../tables/table12.xml"/></Relationships>
</file>

<file path=xl/worksheets/_rels/sheet33.xml.rels><?xml version="1.0" encoding="UTF-8" standalone="yes"?>
<Relationships xmlns="http://schemas.openxmlformats.org/package/2006/relationships"><Relationship Id="rId3" Type="http://schemas.openxmlformats.org/officeDocument/2006/relationships/table" Target="../tables/table14.xml"/><Relationship Id="rId2" Type="http://schemas.openxmlformats.org/officeDocument/2006/relationships/table" Target="../tables/table13.xml"/><Relationship Id="rId1" Type="http://schemas.openxmlformats.org/officeDocument/2006/relationships/printerSettings" Target="../printerSettings/printerSettings14.bin"/></Relationships>
</file>

<file path=xl/worksheets/_rels/sheet34.xml.rels><?xml version="1.0" encoding="UTF-8" standalone="yes"?>
<Relationships xmlns="http://schemas.openxmlformats.org/package/2006/relationships"><Relationship Id="rId3" Type="http://schemas.microsoft.com/office/2007/relationships/slicer" Target="../slicers/slicer9.xml"/><Relationship Id="rId2" Type="http://schemas.openxmlformats.org/officeDocument/2006/relationships/drawing" Target="../drawings/drawing12.xml"/><Relationship Id="rId1" Type="http://schemas.openxmlformats.org/officeDocument/2006/relationships/printerSettings" Target="../printerSettings/printerSettings15.bin"/></Relationships>
</file>

<file path=xl/worksheets/_rels/sheet35.xml.rels><?xml version="1.0" encoding="UTF-8" standalone="yes"?>
<Relationships xmlns="http://schemas.openxmlformats.org/package/2006/relationships"><Relationship Id="rId3" Type="http://schemas.openxmlformats.org/officeDocument/2006/relationships/table" Target="../tables/table15.xml"/><Relationship Id="rId2" Type="http://schemas.openxmlformats.org/officeDocument/2006/relationships/drawing" Target="../drawings/drawing13.xml"/><Relationship Id="rId1" Type="http://schemas.openxmlformats.org/officeDocument/2006/relationships/printerSettings" Target="../printerSettings/printerSettings16.bin"/><Relationship Id="rId5" Type="http://schemas.microsoft.com/office/2007/relationships/slicer" Target="../slicers/slicer10.xml"/><Relationship Id="rId4" Type="http://schemas.openxmlformats.org/officeDocument/2006/relationships/table" Target="../tables/table16.xml"/></Relationships>
</file>

<file path=xl/worksheets/_rels/sheet36.xml.rels><?xml version="1.0" encoding="UTF-8" standalone="yes"?>
<Relationships xmlns="http://schemas.openxmlformats.org/package/2006/relationships"><Relationship Id="rId3" Type="http://schemas.microsoft.com/office/2007/relationships/slicer" Target="../slicers/slicer11.xml"/><Relationship Id="rId2" Type="http://schemas.openxmlformats.org/officeDocument/2006/relationships/drawing" Target="../drawings/drawing14.xml"/><Relationship Id="rId1" Type="http://schemas.openxmlformats.org/officeDocument/2006/relationships/pivotTable" Target="../pivotTables/pivotTable11.xml"/></Relationships>
</file>

<file path=xl/worksheets/_rels/sheet37.xml.rels><?xml version="1.0" encoding="UTF-8" standalone="yes"?>
<Relationships xmlns="http://schemas.openxmlformats.org/package/2006/relationships"><Relationship Id="rId1" Type="http://schemas.openxmlformats.org/officeDocument/2006/relationships/table" Target="../tables/table17.xml"/></Relationships>
</file>

<file path=xl/worksheets/_rels/sheet38.xml.rels><?xml version="1.0" encoding="UTF-8" standalone="yes"?>
<Relationships xmlns="http://schemas.openxmlformats.org/package/2006/relationships"><Relationship Id="rId3" Type="http://schemas.microsoft.com/office/2007/relationships/slicer" Target="../slicers/slicer12.xml"/><Relationship Id="rId2" Type="http://schemas.openxmlformats.org/officeDocument/2006/relationships/drawing" Target="../drawings/drawing15.xml"/><Relationship Id="rId1" Type="http://schemas.openxmlformats.org/officeDocument/2006/relationships/printerSettings" Target="../printerSettings/printerSettings17.bin"/></Relationships>
</file>

<file path=xl/worksheets/_rels/sheet39.xml.rels><?xml version="1.0" encoding="UTF-8" standalone="yes"?>
<Relationships xmlns="http://schemas.openxmlformats.org/package/2006/relationships"><Relationship Id="rId3" Type="http://schemas.microsoft.com/office/2007/relationships/slicer" Target="../slicers/slicer13.xml"/><Relationship Id="rId2" Type="http://schemas.openxmlformats.org/officeDocument/2006/relationships/drawing" Target="../drawings/drawing16.xml"/><Relationship Id="rId1" Type="http://schemas.openxmlformats.org/officeDocument/2006/relationships/pivotTable" Target="../pivotTables/pivotTable12.xml"/></Relationships>
</file>

<file path=xl/worksheets/_rels/sheet40.xml.rels><?xml version="1.0" encoding="UTF-8" standalone="yes"?>
<Relationships xmlns="http://schemas.openxmlformats.org/package/2006/relationships"><Relationship Id="rId1" Type="http://schemas.openxmlformats.org/officeDocument/2006/relationships/table" Target="../tables/table18.xml"/></Relationships>
</file>

<file path=xl/worksheets/_rels/sheet41.xml.rels><?xml version="1.0" encoding="UTF-8" standalone="yes"?>
<Relationships xmlns="http://schemas.openxmlformats.org/package/2006/relationships"><Relationship Id="rId3" Type="http://schemas.openxmlformats.org/officeDocument/2006/relationships/table" Target="../tables/table19.xml"/><Relationship Id="rId2" Type="http://schemas.openxmlformats.org/officeDocument/2006/relationships/drawing" Target="../drawings/drawing17.xml"/><Relationship Id="rId1" Type="http://schemas.openxmlformats.org/officeDocument/2006/relationships/printerSettings" Target="../printerSettings/printerSettings18.bin"/><Relationship Id="rId6" Type="http://schemas.microsoft.com/office/2007/relationships/slicer" Target="../slicers/slicer14.xml"/><Relationship Id="rId5" Type="http://schemas.openxmlformats.org/officeDocument/2006/relationships/table" Target="../tables/table21.xml"/><Relationship Id="rId4" Type="http://schemas.openxmlformats.org/officeDocument/2006/relationships/table" Target="../tables/table20.xml"/></Relationships>
</file>

<file path=xl/worksheets/_rels/sheet42.xml.rels><?xml version="1.0" encoding="UTF-8" standalone="yes"?>
<Relationships xmlns="http://schemas.openxmlformats.org/package/2006/relationships"><Relationship Id="rId1" Type="http://schemas.openxmlformats.org/officeDocument/2006/relationships/table" Target="../tables/table22.xml"/></Relationships>
</file>

<file path=xl/worksheets/_rels/sheet43.xml.rels><?xml version="1.0" encoding="UTF-8" standalone="yes"?>
<Relationships xmlns="http://schemas.openxmlformats.org/package/2006/relationships"><Relationship Id="rId3" Type="http://schemas.microsoft.com/office/2007/relationships/slicer" Target="../slicers/slicer15.xml"/><Relationship Id="rId2" Type="http://schemas.openxmlformats.org/officeDocument/2006/relationships/drawing" Target="../drawings/drawing18.xml"/><Relationship Id="rId1" Type="http://schemas.openxmlformats.org/officeDocument/2006/relationships/pivotTable" Target="../pivotTables/pivotTable13.xml"/></Relationships>
</file>

<file path=xl/worksheets/_rels/sheet44.xml.rels><?xml version="1.0" encoding="UTF-8" standalone="yes"?>
<Relationships xmlns="http://schemas.openxmlformats.org/package/2006/relationships"><Relationship Id="rId2" Type="http://schemas.microsoft.com/office/2007/relationships/slicer" Target="../slicers/slicer16.xml"/><Relationship Id="rId1" Type="http://schemas.openxmlformats.org/officeDocument/2006/relationships/drawing" Target="../drawings/drawing19.xml"/></Relationships>
</file>

<file path=xl/worksheets/_rels/sheet45.xml.rels><?xml version="1.0" encoding="UTF-8" standalone="yes"?>
<Relationships xmlns="http://schemas.openxmlformats.org/package/2006/relationships"><Relationship Id="rId3" Type="http://schemas.microsoft.com/office/2007/relationships/slicer" Target="../slicers/slicer17.xml"/><Relationship Id="rId2" Type="http://schemas.openxmlformats.org/officeDocument/2006/relationships/drawing" Target="../drawings/drawing20.xml"/><Relationship Id="rId1" Type="http://schemas.openxmlformats.org/officeDocument/2006/relationships/pivotTable" Target="../pivotTables/pivotTable14.xml"/></Relationships>
</file>

<file path=xl/worksheets/_rels/sheet46.xml.rels><?xml version="1.0" encoding="UTF-8" standalone="yes"?>
<Relationships xmlns="http://schemas.openxmlformats.org/package/2006/relationships"><Relationship Id="rId1" Type="http://schemas.openxmlformats.org/officeDocument/2006/relationships/table" Target="../tables/table23.xml"/></Relationships>
</file>

<file path=xl/worksheets/_rels/sheet47.xml.rels><?xml version="1.0" encoding="UTF-8" standalone="yes"?>
<Relationships xmlns="http://schemas.openxmlformats.org/package/2006/relationships"><Relationship Id="rId3" Type="http://schemas.microsoft.com/office/2007/relationships/slicer" Target="../slicers/slicer18.xml"/><Relationship Id="rId2" Type="http://schemas.openxmlformats.org/officeDocument/2006/relationships/drawing" Target="../drawings/drawing21.xml"/><Relationship Id="rId1" Type="http://schemas.openxmlformats.org/officeDocument/2006/relationships/printerSettings" Target="../printerSettings/printerSettings19.bin"/></Relationships>
</file>

<file path=xl/worksheets/_rels/sheet48.xml.rels><?xml version="1.0" encoding="UTF-8" standalone="yes"?>
<Relationships xmlns="http://schemas.openxmlformats.org/package/2006/relationships"><Relationship Id="rId3" Type="http://schemas.microsoft.com/office/2007/relationships/slicer" Target="../slicers/slicer19.xml"/><Relationship Id="rId2" Type="http://schemas.openxmlformats.org/officeDocument/2006/relationships/drawing" Target="../drawings/drawing22.xml"/><Relationship Id="rId1" Type="http://schemas.openxmlformats.org/officeDocument/2006/relationships/pivotTable" Target="../pivotTables/pivotTable15.xml"/></Relationships>
</file>

<file path=xl/worksheets/_rels/sheet49.xml.rels><?xml version="1.0" encoding="UTF-8" standalone="yes"?>
<Relationships xmlns="http://schemas.openxmlformats.org/package/2006/relationships"><Relationship Id="rId1" Type="http://schemas.openxmlformats.org/officeDocument/2006/relationships/table" Target="../tables/table24.xml"/></Relationships>
</file>

<file path=xl/worksheets/_rels/sheet50.xml.rels><?xml version="1.0" encoding="UTF-8" standalone="yes"?>
<Relationships xmlns="http://schemas.openxmlformats.org/package/2006/relationships"><Relationship Id="rId2" Type="http://schemas.microsoft.com/office/2007/relationships/slicer" Target="../slicers/slicer20.xml"/><Relationship Id="rId1" Type="http://schemas.openxmlformats.org/officeDocument/2006/relationships/drawing" Target="../drawings/drawing23.xml"/></Relationships>
</file>

<file path=xl/worksheets/_rels/sheet51.xml.rels><?xml version="1.0" encoding="UTF-8" standalone="yes"?>
<Relationships xmlns="http://schemas.openxmlformats.org/package/2006/relationships"><Relationship Id="rId3" Type="http://schemas.microsoft.com/office/2007/relationships/slicer" Target="../slicers/slicer21.xml"/><Relationship Id="rId2" Type="http://schemas.openxmlformats.org/officeDocument/2006/relationships/drawing" Target="../drawings/drawing24.xml"/><Relationship Id="rId1" Type="http://schemas.openxmlformats.org/officeDocument/2006/relationships/pivotTable" Target="../pivotTables/pivotTable16.xml"/></Relationships>
</file>

<file path=xl/worksheets/_rels/sheet52.xml.rels><?xml version="1.0" encoding="UTF-8" standalone="yes"?>
<Relationships xmlns="http://schemas.openxmlformats.org/package/2006/relationships"><Relationship Id="rId1" Type="http://schemas.openxmlformats.org/officeDocument/2006/relationships/table" Target="../tables/table25.xml"/></Relationships>
</file>

<file path=xl/worksheets/_rels/sheet53.xml.rels><?xml version="1.0" encoding="UTF-8" standalone="yes"?>
<Relationships xmlns="http://schemas.openxmlformats.org/package/2006/relationships"><Relationship Id="rId3" Type="http://schemas.microsoft.com/office/2007/relationships/slicer" Target="../slicers/slicer22.xml"/><Relationship Id="rId2" Type="http://schemas.openxmlformats.org/officeDocument/2006/relationships/drawing" Target="../drawings/drawing25.xml"/><Relationship Id="rId1" Type="http://schemas.openxmlformats.org/officeDocument/2006/relationships/printerSettings" Target="../printerSettings/printerSettings20.bin"/></Relationships>
</file>

<file path=xl/worksheets/_rels/sheet54.xml.rels><?xml version="1.0" encoding="UTF-8" standalone="yes"?>
<Relationships xmlns="http://schemas.openxmlformats.org/package/2006/relationships"><Relationship Id="rId3" Type="http://schemas.microsoft.com/office/2007/relationships/slicer" Target="../slicers/slicer23.xml"/><Relationship Id="rId2" Type="http://schemas.openxmlformats.org/officeDocument/2006/relationships/drawing" Target="../drawings/drawing26.xml"/><Relationship Id="rId1" Type="http://schemas.openxmlformats.org/officeDocument/2006/relationships/pivotTable" Target="../pivotTables/pivotTable17.xml"/></Relationships>
</file>

<file path=xl/worksheets/_rels/sheet55.xml.rels><?xml version="1.0" encoding="UTF-8" standalone="yes"?>
<Relationships xmlns="http://schemas.openxmlformats.org/package/2006/relationships"><Relationship Id="rId1" Type="http://schemas.openxmlformats.org/officeDocument/2006/relationships/table" Target="../tables/table26.xml"/></Relationships>
</file>

<file path=xl/worksheets/_rels/sheet56.xml.rels><?xml version="1.0" encoding="UTF-8" standalone="yes"?>
<Relationships xmlns="http://schemas.openxmlformats.org/package/2006/relationships"><Relationship Id="rId3" Type="http://schemas.microsoft.com/office/2007/relationships/slicer" Target="../slicers/slicer24.xml"/><Relationship Id="rId2" Type="http://schemas.openxmlformats.org/officeDocument/2006/relationships/drawing" Target="../drawings/drawing27.xml"/><Relationship Id="rId1" Type="http://schemas.openxmlformats.org/officeDocument/2006/relationships/printerSettings" Target="../printerSettings/printerSettings21.bin"/></Relationships>
</file>

<file path=xl/worksheets/_rels/sheet57.xml.rels><?xml version="1.0" encoding="UTF-8" standalone="yes"?>
<Relationships xmlns="http://schemas.openxmlformats.org/package/2006/relationships"><Relationship Id="rId3" Type="http://schemas.microsoft.com/office/2007/relationships/slicer" Target="../slicers/slicer25.xml"/><Relationship Id="rId2" Type="http://schemas.openxmlformats.org/officeDocument/2006/relationships/drawing" Target="../drawings/drawing28.xml"/><Relationship Id="rId1" Type="http://schemas.openxmlformats.org/officeDocument/2006/relationships/pivotTable" Target="../pivotTables/pivotTable18.xml"/></Relationships>
</file>

<file path=xl/worksheets/_rels/sheet58.xml.rels><?xml version="1.0" encoding="UTF-8" standalone="yes"?>
<Relationships xmlns="http://schemas.openxmlformats.org/package/2006/relationships"><Relationship Id="rId1" Type="http://schemas.openxmlformats.org/officeDocument/2006/relationships/table" Target="../tables/table27.xml"/></Relationships>
</file>

<file path=xl/worksheets/_rels/sheet59.xml.rels><?xml version="1.0" encoding="UTF-8" standalone="yes"?>
<Relationships xmlns="http://schemas.openxmlformats.org/package/2006/relationships"><Relationship Id="rId3" Type="http://schemas.microsoft.com/office/2007/relationships/slicer" Target="../slicers/slicer26.xml"/><Relationship Id="rId2" Type="http://schemas.openxmlformats.org/officeDocument/2006/relationships/drawing" Target="../drawings/drawing29.xml"/><Relationship Id="rId1" Type="http://schemas.openxmlformats.org/officeDocument/2006/relationships/pivotTable" Target="../pivotTables/pivotTable19.xml"/></Relationships>
</file>

<file path=xl/worksheets/_rels/sheet60.xml.rels><?xml version="1.0" encoding="UTF-8" standalone="yes"?>
<Relationships xmlns="http://schemas.openxmlformats.org/package/2006/relationships"><Relationship Id="rId1" Type="http://schemas.openxmlformats.org/officeDocument/2006/relationships/table" Target="../tables/table28.xml"/></Relationships>
</file>

<file path=xl/worksheets/_rels/sheet61.xml.rels><?xml version="1.0" encoding="UTF-8" standalone="yes"?>
<Relationships xmlns="http://schemas.openxmlformats.org/package/2006/relationships"><Relationship Id="rId3" Type="http://schemas.microsoft.com/office/2007/relationships/slicer" Target="../slicers/slicer27.xml"/><Relationship Id="rId2" Type="http://schemas.openxmlformats.org/officeDocument/2006/relationships/drawing" Target="../drawings/drawing30.xml"/><Relationship Id="rId1" Type="http://schemas.openxmlformats.org/officeDocument/2006/relationships/printerSettings" Target="../printerSettings/printerSettings22.bin"/></Relationships>
</file>

<file path=xl/worksheets/_rels/sheet62.xml.rels><?xml version="1.0" encoding="UTF-8" standalone="yes"?>
<Relationships xmlns="http://schemas.openxmlformats.org/package/2006/relationships"><Relationship Id="rId3" Type="http://schemas.microsoft.com/office/2007/relationships/slicer" Target="../slicers/slicer28.xml"/><Relationship Id="rId2" Type="http://schemas.openxmlformats.org/officeDocument/2006/relationships/drawing" Target="../drawings/drawing31.xml"/><Relationship Id="rId1" Type="http://schemas.openxmlformats.org/officeDocument/2006/relationships/pivotTable" Target="../pivotTables/pivotTable20.xml"/></Relationships>
</file>

<file path=xl/worksheets/_rels/sheet63.xml.rels><?xml version="1.0" encoding="UTF-8" standalone="yes"?>
<Relationships xmlns="http://schemas.openxmlformats.org/package/2006/relationships"><Relationship Id="rId1" Type="http://schemas.openxmlformats.org/officeDocument/2006/relationships/table" Target="../tables/table29.xml"/></Relationships>
</file>

<file path=xl/worksheets/_rels/sheet64.xml.rels><?xml version="1.0" encoding="UTF-8" standalone="yes"?>
<Relationships xmlns="http://schemas.openxmlformats.org/package/2006/relationships"><Relationship Id="rId3" Type="http://schemas.microsoft.com/office/2007/relationships/slicer" Target="../slicers/slicer29.xml"/><Relationship Id="rId2" Type="http://schemas.openxmlformats.org/officeDocument/2006/relationships/drawing" Target="../drawings/drawing32.xml"/><Relationship Id="rId1" Type="http://schemas.openxmlformats.org/officeDocument/2006/relationships/printerSettings" Target="../printerSettings/printerSettings23.bin"/></Relationships>
</file>

<file path=xl/worksheets/_rels/sheet65.xml.rels><?xml version="1.0" encoding="UTF-8" standalone="yes"?>
<Relationships xmlns="http://schemas.openxmlformats.org/package/2006/relationships"><Relationship Id="rId3" Type="http://schemas.microsoft.com/office/2007/relationships/slicer" Target="../slicers/slicer30.xml"/><Relationship Id="rId2" Type="http://schemas.openxmlformats.org/officeDocument/2006/relationships/drawing" Target="../drawings/drawing33.xml"/><Relationship Id="rId1" Type="http://schemas.openxmlformats.org/officeDocument/2006/relationships/pivotTable" Target="../pivotTables/pivotTable21.xml"/></Relationships>
</file>

<file path=xl/worksheets/_rels/sheet66.xml.rels><?xml version="1.0" encoding="UTF-8" standalone="yes"?>
<Relationships xmlns="http://schemas.openxmlformats.org/package/2006/relationships"><Relationship Id="rId1" Type="http://schemas.openxmlformats.org/officeDocument/2006/relationships/table" Target="../tables/table30.xml"/></Relationships>
</file>

<file path=xl/worksheets/_rels/sheet67.xml.rels><?xml version="1.0" encoding="UTF-8" standalone="yes"?>
<Relationships xmlns="http://schemas.openxmlformats.org/package/2006/relationships"><Relationship Id="rId3" Type="http://schemas.microsoft.com/office/2007/relationships/slicer" Target="../slicers/slicer31.xml"/><Relationship Id="rId2" Type="http://schemas.openxmlformats.org/officeDocument/2006/relationships/drawing" Target="../drawings/drawing34.xml"/><Relationship Id="rId1" Type="http://schemas.openxmlformats.org/officeDocument/2006/relationships/printerSettings" Target="../printerSettings/printerSettings24.bin"/></Relationships>
</file>

<file path=xl/worksheets/_rels/sheet68.xml.rels><?xml version="1.0" encoding="UTF-8" standalone="yes"?>
<Relationships xmlns="http://schemas.openxmlformats.org/package/2006/relationships"><Relationship Id="rId3" Type="http://schemas.microsoft.com/office/2007/relationships/slicer" Target="../slicers/slicer32.xml"/><Relationship Id="rId2" Type="http://schemas.openxmlformats.org/officeDocument/2006/relationships/drawing" Target="../drawings/drawing35.xml"/><Relationship Id="rId1" Type="http://schemas.openxmlformats.org/officeDocument/2006/relationships/pivotTable" Target="../pivotTables/pivotTable22.xml"/></Relationships>
</file>

<file path=xl/worksheets/_rels/sheet69.xml.rels><?xml version="1.0" encoding="UTF-8" standalone="yes"?>
<Relationships xmlns="http://schemas.openxmlformats.org/package/2006/relationships"><Relationship Id="rId1" Type="http://schemas.openxmlformats.org/officeDocument/2006/relationships/table" Target="../tables/table31.xml"/></Relationships>
</file>

<file path=xl/worksheets/_rels/sheet70.xml.rels><?xml version="1.0" encoding="UTF-8" standalone="yes"?>
<Relationships xmlns="http://schemas.openxmlformats.org/package/2006/relationships"><Relationship Id="rId3" Type="http://schemas.microsoft.com/office/2007/relationships/slicer" Target="../slicers/slicer33.xml"/><Relationship Id="rId2" Type="http://schemas.openxmlformats.org/officeDocument/2006/relationships/drawing" Target="../drawings/drawing36.xml"/><Relationship Id="rId1" Type="http://schemas.openxmlformats.org/officeDocument/2006/relationships/printerSettings" Target="../printerSettings/printerSettings25.bin"/></Relationships>
</file>

<file path=xl/worksheets/_rels/sheet71.xml.rels><?xml version="1.0" encoding="UTF-8" standalone="yes"?>
<Relationships xmlns="http://schemas.openxmlformats.org/package/2006/relationships"><Relationship Id="rId3" Type="http://schemas.microsoft.com/office/2007/relationships/slicer" Target="../slicers/slicer34.xml"/><Relationship Id="rId2" Type="http://schemas.openxmlformats.org/officeDocument/2006/relationships/drawing" Target="../drawings/drawing37.xml"/><Relationship Id="rId1" Type="http://schemas.openxmlformats.org/officeDocument/2006/relationships/pivotTable" Target="../pivotTables/pivotTable23.xml"/></Relationships>
</file>

<file path=xl/worksheets/_rels/sheet72.xml.rels><?xml version="1.0" encoding="UTF-8" standalone="yes"?>
<Relationships xmlns="http://schemas.openxmlformats.org/package/2006/relationships"><Relationship Id="rId1" Type="http://schemas.openxmlformats.org/officeDocument/2006/relationships/table" Target="../tables/table32.xml"/></Relationships>
</file>

<file path=xl/worksheets/_rels/sheet73.xml.rels><?xml version="1.0" encoding="UTF-8" standalone="yes"?>
<Relationships xmlns="http://schemas.openxmlformats.org/package/2006/relationships"><Relationship Id="rId3" Type="http://schemas.microsoft.com/office/2007/relationships/slicer" Target="../slicers/slicer35.xml"/><Relationship Id="rId2" Type="http://schemas.openxmlformats.org/officeDocument/2006/relationships/drawing" Target="../drawings/drawing38.xml"/><Relationship Id="rId1" Type="http://schemas.openxmlformats.org/officeDocument/2006/relationships/pivotTable" Target="../pivotTables/pivotTable24.xml"/></Relationships>
</file>

<file path=xl/worksheets/_rels/sheet74.xml.rels><?xml version="1.0" encoding="UTF-8" standalone="yes"?>
<Relationships xmlns="http://schemas.openxmlformats.org/package/2006/relationships"><Relationship Id="rId1" Type="http://schemas.openxmlformats.org/officeDocument/2006/relationships/table" Target="../tables/table33.xml"/></Relationships>
</file>

<file path=xl/worksheets/_rels/sheet75.xml.rels><?xml version="1.0" encoding="UTF-8" standalone="yes"?>
<Relationships xmlns="http://schemas.openxmlformats.org/package/2006/relationships"><Relationship Id="rId3" Type="http://schemas.microsoft.com/office/2007/relationships/slicer" Target="../slicers/slicer36.xml"/><Relationship Id="rId2" Type="http://schemas.openxmlformats.org/officeDocument/2006/relationships/drawing" Target="../drawings/drawing39.xml"/><Relationship Id="rId1" Type="http://schemas.openxmlformats.org/officeDocument/2006/relationships/printerSettings" Target="../printerSettings/printerSettings26.bin"/></Relationships>
</file>

<file path=xl/worksheets/_rels/sheet76.xml.rels><?xml version="1.0" encoding="UTF-8" standalone="yes"?>
<Relationships xmlns="http://schemas.openxmlformats.org/package/2006/relationships"><Relationship Id="rId1" Type="http://schemas.openxmlformats.org/officeDocument/2006/relationships/pivotTable" Target="../pivotTables/pivotTable25.xml"/></Relationships>
</file>

<file path=xl/worksheets/_rels/sheet77.xml.rels><?xml version="1.0" encoding="UTF-8" standalone="yes"?>
<Relationships xmlns="http://schemas.openxmlformats.org/package/2006/relationships"><Relationship Id="rId1" Type="http://schemas.openxmlformats.org/officeDocument/2006/relationships/table" Target="../tables/table34.xml"/></Relationships>
</file>

<file path=xl/worksheets/_rels/sheet78.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79.xml.rels><?xml version="1.0" encoding="UTF-8" standalone="yes"?>
<Relationships xmlns="http://schemas.openxmlformats.org/package/2006/relationships"><Relationship Id="rId3" Type="http://schemas.microsoft.com/office/2007/relationships/slicer" Target="../slicers/slicer37.xml"/><Relationship Id="rId2" Type="http://schemas.openxmlformats.org/officeDocument/2006/relationships/drawing" Target="../drawings/drawing40.xml"/><Relationship Id="rId1" Type="http://schemas.openxmlformats.org/officeDocument/2006/relationships/pivotTable" Target="../pivotTables/pivotTable26.xml"/></Relationships>
</file>

<file path=xl/worksheets/_rels/sheet80.xml.rels><?xml version="1.0" encoding="UTF-8" standalone="yes"?>
<Relationships xmlns="http://schemas.openxmlformats.org/package/2006/relationships"><Relationship Id="rId1" Type="http://schemas.openxmlformats.org/officeDocument/2006/relationships/table" Target="../tables/table35.xml"/></Relationships>
</file>

<file path=xl/worksheets/_rels/sheet81.xml.rels><?xml version="1.0" encoding="UTF-8" standalone="yes"?>
<Relationships xmlns="http://schemas.openxmlformats.org/package/2006/relationships"><Relationship Id="rId3" Type="http://schemas.microsoft.com/office/2007/relationships/slicer" Target="../slicers/slicer38.xml"/><Relationship Id="rId2" Type="http://schemas.openxmlformats.org/officeDocument/2006/relationships/drawing" Target="../drawings/drawing41.xml"/><Relationship Id="rId1" Type="http://schemas.openxmlformats.org/officeDocument/2006/relationships/printerSettings" Target="../printerSettings/printerSettings28.bin"/></Relationships>
</file>

<file path=xl/worksheets/_rels/sheet82.xml.rels><?xml version="1.0" encoding="UTF-8" standalone="yes"?>
<Relationships xmlns="http://schemas.openxmlformats.org/package/2006/relationships"><Relationship Id="rId3" Type="http://schemas.microsoft.com/office/2007/relationships/slicer" Target="../slicers/slicer39.xml"/><Relationship Id="rId2" Type="http://schemas.openxmlformats.org/officeDocument/2006/relationships/drawing" Target="../drawings/drawing42.xml"/><Relationship Id="rId1" Type="http://schemas.openxmlformats.org/officeDocument/2006/relationships/pivotTable" Target="../pivotTables/pivotTable27.xml"/></Relationships>
</file>

<file path=xl/worksheets/_rels/sheet83.xml.rels><?xml version="1.0" encoding="UTF-8" standalone="yes"?>
<Relationships xmlns="http://schemas.openxmlformats.org/package/2006/relationships"><Relationship Id="rId1" Type="http://schemas.openxmlformats.org/officeDocument/2006/relationships/table" Target="../tables/table36.xml"/></Relationships>
</file>

<file path=xl/worksheets/_rels/sheet84.xml.rels><?xml version="1.0" encoding="UTF-8" standalone="yes"?>
<Relationships xmlns="http://schemas.openxmlformats.org/package/2006/relationships"><Relationship Id="rId3" Type="http://schemas.microsoft.com/office/2007/relationships/slicer" Target="../slicers/slicer40.xml"/><Relationship Id="rId2" Type="http://schemas.openxmlformats.org/officeDocument/2006/relationships/drawing" Target="../drawings/drawing43.xml"/><Relationship Id="rId1" Type="http://schemas.openxmlformats.org/officeDocument/2006/relationships/printerSettings" Target="../printerSettings/printerSettings29.bin"/></Relationships>
</file>

<file path=xl/worksheets/_rels/sheet85.xml.rels><?xml version="1.0" encoding="UTF-8" standalone="yes"?>
<Relationships xmlns="http://schemas.openxmlformats.org/package/2006/relationships"><Relationship Id="rId3" Type="http://schemas.microsoft.com/office/2007/relationships/slicer" Target="../slicers/slicer41.xml"/><Relationship Id="rId2" Type="http://schemas.openxmlformats.org/officeDocument/2006/relationships/drawing" Target="../drawings/drawing44.xml"/><Relationship Id="rId1" Type="http://schemas.openxmlformats.org/officeDocument/2006/relationships/pivotTable" Target="../pivotTables/pivotTable28.xml"/></Relationships>
</file>

<file path=xl/worksheets/_rels/sheet86.xml.rels><?xml version="1.0" encoding="UTF-8" standalone="yes"?>
<Relationships xmlns="http://schemas.openxmlformats.org/package/2006/relationships"><Relationship Id="rId1" Type="http://schemas.openxmlformats.org/officeDocument/2006/relationships/table" Target="../tables/table37.xml"/></Relationships>
</file>

<file path=xl/worksheets/_rels/sheet87.xml.rels><?xml version="1.0" encoding="UTF-8" standalone="yes"?>
<Relationships xmlns="http://schemas.openxmlformats.org/package/2006/relationships"><Relationship Id="rId3" Type="http://schemas.microsoft.com/office/2007/relationships/slicer" Target="../slicers/slicer42.xml"/><Relationship Id="rId2" Type="http://schemas.openxmlformats.org/officeDocument/2006/relationships/drawing" Target="../drawings/drawing45.xml"/><Relationship Id="rId1" Type="http://schemas.openxmlformats.org/officeDocument/2006/relationships/printerSettings" Target="../printerSettings/printerSettings30.bin"/></Relationships>
</file>

<file path=xl/worksheets/_rels/sheet88.xml.rels><?xml version="1.0" encoding="UTF-8" standalone="yes"?>
<Relationships xmlns="http://schemas.openxmlformats.org/package/2006/relationships"><Relationship Id="rId3" Type="http://schemas.microsoft.com/office/2007/relationships/slicer" Target="../slicers/slicer43.xml"/><Relationship Id="rId2" Type="http://schemas.openxmlformats.org/officeDocument/2006/relationships/drawing" Target="../drawings/drawing46.xml"/><Relationship Id="rId1" Type="http://schemas.openxmlformats.org/officeDocument/2006/relationships/pivotTable" Target="../pivotTables/pivotTable29.xml"/></Relationships>
</file>

<file path=xl/worksheets/_rels/sheet89.xml.rels><?xml version="1.0" encoding="UTF-8" standalone="yes"?>
<Relationships xmlns="http://schemas.openxmlformats.org/package/2006/relationships"><Relationship Id="rId1" Type="http://schemas.openxmlformats.org/officeDocument/2006/relationships/table" Target="../tables/table38.xml"/></Relationships>
</file>

<file path=xl/worksheets/_rels/sheet90.xml.rels><?xml version="1.0" encoding="UTF-8" standalone="yes"?>
<Relationships xmlns="http://schemas.openxmlformats.org/package/2006/relationships"><Relationship Id="rId3" Type="http://schemas.microsoft.com/office/2007/relationships/slicer" Target="../slicers/slicer44.xml"/><Relationship Id="rId2" Type="http://schemas.openxmlformats.org/officeDocument/2006/relationships/drawing" Target="../drawings/drawing47.xml"/><Relationship Id="rId1" Type="http://schemas.openxmlformats.org/officeDocument/2006/relationships/printerSettings" Target="../printerSettings/printerSettings31.bin"/></Relationships>
</file>

<file path=xl/worksheets/_rels/sheet91.xml.rels><?xml version="1.0" encoding="UTF-8" standalone="yes"?>
<Relationships xmlns="http://schemas.openxmlformats.org/package/2006/relationships"><Relationship Id="rId3" Type="http://schemas.microsoft.com/office/2007/relationships/slicer" Target="../slicers/slicer45.xml"/><Relationship Id="rId2" Type="http://schemas.openxmlformats.org/officeDocument/2006/relationships/drawing" Target="../drawings/drawing48.xml"/><Relationship Id="rId1" Type="http://schemas.openxmlformats.org/officeDocument/2006/relationships/pivotTable" Target="../pivotTables/pivotTable30.xml"/></Relationships>
</file>

<file path=xl/worksheets/_rels/sheet92.xml.rels><?xml version="1.0" encoding="UTF-8" standalone="yes"?>
<Relationships xmlns="http://schemas.openxmlformats.org/package/2006/relationships"><Relationship Id="rId1" Type="http://schemas.openxmlformats.org/officeDocument/2006/relationships/table" Target="../tables/table39.xml"/></Relationships>
</file>

<file path=xl/worksheets/_rels/sheet93.xml.rels><?xml version="1.0" encoding="UTF-8" standalone="yes"?>
<Relationships xmlns="http://schemas.openxmlformats.org/package/2006/relationships"><Relationship Id="rId3" Type="http://schemas.microsoft.com/office/2007/relationships/slicer" Target="../slicers/slicer46.xml"/><Relationship Id="rId2" Type="http://schemas.openxmlformats.org/officeDocument/2006/relationships/drawing" Target="../drawings/drawing49.xml"/><Relationship Id="rId1" Type="http://schemas.openxmlformats.org/officeDocument/2006/relationships/printerSettings" Target="../printerSettings/printerSettings32.bin"/></Relationships>
</file>

<file path=xl/worksheets/_rels/sheet94.xml.rels><?xml version="1.0" encoding="UTF-8" standalone="yes"?>
<Relationships xmlns="http://schemas.openxmlformats.org/package/2006/relationships"><Relationship Id="rId1" Type="http://schemas.openxmlformats.org/officeDocument/2006/relationships/table" Target="../tables/table40.xml"/></Relationships>
</file>

<file path=xl/worksheets/_rels/sheet95.xml.rels><?xml version="1.0" encoding="UTF-8" standalone="yes"?>
<Relationships xmlns="http://schemas.openxmlformats.org/package/2006/relationships"><Relationship Id="rId1" Type="http://schemas.openxmlformats.org/officeDocument/2006/relationships/pivotTable" Target="../pivotTables/pivotTable31.xml"/></Relationships>
</file>

<file path=xl/worksheets/_rels/sheet96.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97.xml.rels><?xml version="1.0" encoding="UTF-8" standalone="yes"?>
<Relationships xmlns="http://schemas.openxmlformats.org/package/2006/relationships"><Relationship Id="rId2" Type="http://schemas.openxmlformats.org/officeDocument/2006/relationships/pivotTable" Target="../pivotTables/pivotTable33.xml"/><Relationship Id="rId1" Type="http://schemas.openxmlformats.org/officeDocument/2006/relationships/pivotTable" Target="../pivotTables/pivotTable32.xml"/></Relationships>
</file>

<file path=xl/worksheets/_rels/sheet98.xml.rels><?xml version="1.0" encoding="UTF-8" standalone="yes"?>
<Relationships xmlns="http://schemas.openxmlformats.org/package/2006/relationships"><Relationship Id="rId2" Type="http://schemas.openxmlformats.org/officeDocument/2006/relationships/table" Target="../tables/table42.xml"/><Relationship Id="rId1" Type="http://schemas.openxmlformats.org/officeDocument/2006/relationships/table" Target="../tables/table41.xml"/></Relationships>
</file>

<file path=xl/worksheets/_rels/sheet99.xml.rels><?xml version="1.0" encoding="UTF-8" standalone="yes"?>
<Relationships xmlns="http://schemas.openxmlformats.org/package/2006/relationships"><Relationship Id="rId2" Type="http://schemas.openxmlformats.org/officeDocument/2006/relationships/table" Target="../tables/table43.xml"/><Relationship Id="rId1" Type="http://schemas.openxmlformats.org/officeDocument/2006/relationships/printerSettings" Target="../printerSettings/printerSettings34.bin"/></Relationships>
</file>

<file path=xl/worksheets/_rels/sheet100.xml.rels><?xml version="1.0" encoding="UTF-8" standalone="yes"?>
<Relationships xmlns="http://schemas.openxmlformats.org/package/2006/relationships"><Relationship Id="rId1" Type="http://schemas.openxmlformats.org/officeDocument/2006/relationships/table" Target="../tables/table44.xml"/></Relationships>
</file>

<file path=xl/worksheets/_rels/sheet101.xml.rels><?xml version="1.0" encoding="UTF-8" standalone="yes"?>
<Relationships xmlns="http://schemas.openxmlformats.org/package/2006/relationships"><Relationship Id="rId3" Type="http://schemas.microsoft.com/office/2007/relationships/slicer" Target="../slicers/slicer47.xml"/><Relationship Id="rId2" Type="http://schemas.openxmlformats.org/officeDocument/2006/relationships/drawing" Target="../drawings/drawing50.xml"/><Relationship Id="rId1" Type="http://schemas.openxmlformats.org/officeDocument/2006/relationships/pivotTable" Target="../pivotTables/pivotTable34.xml"/></Relationships>
</file>

<file path=xl/worksheets/_rels/sheet102.xml.rels><?xml version="1.0" encoding="UTF-8" standalone="yes"?>
<Relationships xmlns="http://schemas.openxmlformats.org/package/2006/relationships"><Relationship Id="rId3" Type="http://schemas.microsoft.com/office/2007/relationships/slicer" Target="../slicers/slicer48.xml"/><Relationship Id="rId2" Type="http://schemas.openxmlformats.org/officeDocument/2006/relationships/drawing" Target="../drawings/drawing51.xml"/><Relationship Id="rId1" Type="http://schemas.openxmlformats.org/officeDocument/2006/relationships/printerSettings" Target="../printerSettings/printerSettings35.bin"/></Relationships>
</file>

<file path=xl/worksheets/_rels/sheet103.xml.rels><?xml version="1.0" encoding="UTF-8" standalone="yes"?>
<Relationships xmlns="http://schemas.openxmlformats.org/package/2006/relationships"><Relationship Id="rId3" Type="http://schemas.openxmlformats.org/officeDocument/2006/relationships/pivotTable" Target="../pivotTables/pivotTable37.xml"/><Relationship Id="rId2" Type="http://schemas.openxmlformats.org/officeDocument/2006/relationships/pivotTable" Target="../pivotTables/pivotTable36.xml"/><Relationship Id="rId1" Type="http://schemas.openxmlformats.org/officeDocument/2006/relationships/pivotTable" Target="../pivotTables/pivotTable35.xml"/><Relationship Id="rId6" Type="http://schemas.microsoft.com/office/2007/relationships/slicer" Target="../slicers/slicer49.xml"/><Relationship Id="rId5" Type="http://schemas.openxmlformats.org/officeDocument/2006/relationships/drawing" Target="../drawings/drawing52.xml"/><Relationship Id="rId4" Type="http://schemas.openxmlformats.org/officeDocument/2006/relationships/pivotTable" Target="../pivotTables/pivotTable38.xml"/></Relationships>
</file>

<file path=xl/worksheets/_rels/sheet104.xml.rels><?xml version="1.0" encoding="UTF-8" standalone="yes"?>
<Relationships xmlns="http://schemas.openxmlformats.org/package/2006/relationships"><Relationship Id="rId3" Type="http://schemas.openxmlformats.org/officeDocument/2006/relationships/table" Target="../tables/table47.xml"/><Relationship Id="rId2" Type="http://schemas.openxmlformats.org/officeDocument/2006/relationships/table" Target="../tables/table46.xml"/><Relationship Id="rId1" Type="http://schemas.openxmlformats.org/officeDocument/2006/relationships/table" Target="../tables/table45.xml"/><Relationship Id="rId4" Type="http://schemas.openxmlformats.org/officeDocument/2006/relationships/table" Target="../tables/table48.xml"/></Relationships>
</file>

<file path=xl/worksheets/_rels/sheet105.xml.rels><?xml version="1.0" encoding="UTF-8" standalone="yes"?>
<Relationships xmlns="http://schemas.openxmlformats.org/package/2006/relationships"><Relationship Id="rId3" Type="http://schemas.microsoft.com/office/2007/relationships/slicer" Target="../slicers/slicer50.xml"/><Relationship Id="rId2" Type="http://schemas.openxmlformats.org/officeDocument/2006/relationships/drawing" Target="../drawings/drawing53.xml"/><Relationship Id="rId1" Type="http://schemas.openxmlformats.org/officeDocument/2006/relationships/printerSettings" Target="../printerSettings/printerSettings36.bin"/></Relationships>
</file>

<file path=xl/worksheets/_rels/sheet106.xml.rels><?xml version="1.0" encoding="UTF-8" standalone="yes"?>
<Relationships xmlns="http://schemas.openxmlformats.org/package/2006/relationships"><Relationship Id="rId2" Type="http://schemas.openxmlformats.org/officeDocument/2006/relationships/drawing" Target="../drawings/drawing54.xml"/><Relationship Id="rId1" Type="http://schemas.openxmlformats.org/officeDocument/2006/relationships/printerSettings" Target="../printerSettings/printerSettings37.bin"/></Relationships>
</file>

<file path=xl/worksheets/_rels/sheet107.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108.xml.rels><?xml version="1.0" encoding="UTF-8" standalone="yes"?>
<Relationships xmlns="http://schemas.openxmlformats.org/package/2006/relationships"><Relationship Id="rId2" Type="http://schemas.openxmlformats.org/officeDocument/2006/relationships/drawing" Target="../drawings/drawing56.xml"/><Relationship Id="rId1" Type="http://schemas.openxmlformats.org/officeDocument/2006/relationships/printerSettings" Target="../printerSettings/printerSettings38.bin"/></Relationships>
</file>

<file path=xl/worksheets/_rels/sheet109.xml.rels><?xml version="1.0" encoding="UTF-8" standalone="yes"?>
<Relationships xmlns="http://schemas.openxmlformats.org/package/2006/relationships"><Relationship Id="rId2" Type="http://schemas.openxmlformats.org/officeDocument/2006/relationships/drawing" Target="../drawings/drawing57.xml"/><Relationship Id="rId1" Type="http://schemas.openxmlformats.org/officeDocument/2006/relationships/printerSettings" Target="../printerSettings/printerSettings39.bin"/></Relationships>
</file>

<file path=xl/worksheets/_rels/sheet110.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111.xml.rels><?xml version="1.0" encoding="UTF-8" standalone="yes"?>
<Relationships xmlns="http://schemas.openxmlformats.org/package/2006/relationships"><Relationship Id="rId3" Type="http://schemas.openxmlformats.org/officeDocument/2006/relationships/pivotTable" Target="../pivotTables/pivotTable41.xml"/><Relationship Id="rId2" Type="http://schemas.openxmlformats.org/officeDocument/2006/relationships/pivotTable" Target="../pivotTables/pivotTable40.xml"/><Relationship Id="rId1" Type="http://schemas.openxmlformats.org/officeDocument/2006/relationships/pivotTable" Target="../pivotTables/pivotTable39.xml"/><Relationship Id="rId4" Type="http://schemas.openxmlformats.org/officeDocument/2006/relationships/pivotTable" Target="../pivotTables/pivotTable42.xml"/></Relationships>
</file>

<file path=xl/worksheets/_rels/sheet112.xml.rels><?xml version="1.0" encoding="UTF-8" standalone="yes"?>
<Relationships xmlns="http://schemas.openxmlformats.org/package/2006/relationships"><Relationship Id="rId3" Type="http://schemas.openxmlformats.org/officeDocument/2006/relationships/table" Target="../tables/table51.xml"/><Relationship Id="rId2" Type="http://schemas.openxmlformats.org/officeDocument/2006/relationships/table" Target="../tables/table50.xml"/><Relationship Id="rId1" Type="http://schemas.openxmlformats.org/officeDocument/2006/relationships/table" Target="../tables/table49.xml"/><Relationship Id="rId4" Type="http://schemas.openxmlformats.org/officeDocument/2006/relationships/table" Target="../tables/table52.xml"/></Relationships>
</file>

<file path=xl/worksheets/_rels/sheet113.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_rels/sheet114.xml.rels><?xml version="1.0" encoding="UTF-8" standalone="yes"?>
<Relationships xmlns="http://schemas.openxmlformats.org/package/2006/relationships"><Relationship Id="rId1" Type="http://schemas.openxmlformats.org/officeDocument/2006/relationships/pivotTable" Target="../pivotTables/pivotTable43.xml"/></Relationships>
</file>

<file path=xl/worksheets/_rels/sheet115.xml.rels><?xml version="1.0" encoding="UTF-8" standalone="yes"?>
<Relationships xmlns="http://schemas.openxmlformats.org/package/2006/relationships"><Relationship Id="rId1" Type="http://schemas.openxmlformats.org/officeDocument/2006/relationships/table" Target="../tables/table53.xml"/></Relationships>
</file>

<file path=xl/worksheets/_rels/sheet116.xml.rels><?xml version="1.0" encoding="UTF-8" standalone="yes"?>
<Relationships xmlns="http://schemas.openxmlformats.org/package/2006/relationships"><Relationship Id="rId1" Type="http://schemas.openxmlformats.org/officeDocument/2006/relationships/printerSettings" Target="../printerSettings/printerSettings41.bin"/></Relationships>
</file>

<file path=xl/worksheets/_rels/sheet117.xml.rels><?xml version="1.0" encoding="UTF-8" standalone="yes"?>
<Relationships xmlns="http://schemas.openxmlformats.org/package/2006/relationships"><Relationship Id="rId2" Type="http://schemas.openxmlformats.org/officeDocument/2006/relationships/drawing" Target="../drawings/drawing59.xml"/><Relationship Id="rId1" Type="http://schemas.openxmlformats.org/officeDocument/2006/relationships/printerSettings" Target="../printerSettings/printerSettings42.bin"/></Relationships>
</file>

<file path=xl/worksheets/_rels/sheet118.xml.rels><?xml version="1.0" encoding="UTF-8" standalone="yes"?>
<Relationships xmlns="http://schemas.openxmlformats.org/package/2006/relationships"><Relationship Id="rId2" Type="http://schemas.openxmlformats.org/officeDocument/2006/relationships/drawing" Target="../drawings/drawing60.xml"/><Relationship Id="rId1" Type="http://schemas.openxmlformats.org/officeDocument/2006/relationships/printerSettings" Target="../printerSettings/printerSettings43.bin"/></Relationships>
</file>

<file path=xl/worksheets/_rels/sheet119.xml.rels><?xml version="1.0" encoding="UTF-8" standalone="yes"?>
<Relationships xmlns="http://schemas.openxmlformats.org/package/2006/relationships"><Relationship Id="rId1" Type="http://schemas.openxmlformats.org/officeDocument/2006/relationships/drawing" Target="../drawings/drawing61.xml"/></Relationships>
</file>

<file path=xl/worksheets/_rels/sheet120.xml.rels><?xml version="1.0" encoding="UTF-8" standalone="yes"?>
<Relationships xmlns="http://schemas.openxmlformats.org/package/2006/relationships"><Relationship Id="rId1" Type="http://schemas.openxmlformats.org/officeDocument/2006/relationships/pivotTable" Target="../pivotTables/pivotTable44.xml"/></Relationships>
</file>

<file path=xl/worksheets/_rels/sheet121.xml.rels><?xml version="1.0" encoding="UTF-8" standalone="yes"?>
<Relationships xmlns="http://schemas.openxmlformats.org/package/2006/relationships"><Relationship Id="rId1" Type="http://schemas.openxmlformats.org/officeDocument/2006/relationships/table" Target="../tables/table54.xml"/></Relationships>
</file>

<file path=xl/worksheets/_rels/sheet122.xml.rels><?xml version="1.0" encoding="UTF-8" standalone="yes"?>
<Relationships xmlns="http://schemas.openxmlformats.org/package/2006/relationships"><Relationship Id="rId1" Type="http://schemas.openxmlformats.org/officeDocument/2006/relationships/table" Target="../tables/table55.xml"/></Relationships>
</file>

<file path=xl/worksheets/_rels/sheet123.xml.rels><?xml version="1.0" encoding="UTF-8" standalone="yes"?>
<Relationships xmlns="http://schemas.openxmlformats.org/package/2006/relationships"><Relationship Id="rId2" Type="http://schemas.openxmlformats.org/officeDocument/2006/relationships/table" Target="../tables/table56.xml"/><Relationship Id="rId1" Type="http://schemas.openxmlformats.org/officeDocument/2006/relationships/pivotTable" Target="../pivotTables/pivotTable45.xml"/></Relationships>
</file>

<file path=xl/worksheets/_rels/sheet124.xml.rels><?xml version="1.0" encoding="UTF-8" standalone="yes"?>
<Relationships xmlns="http://schemas.openxmlformats.org/package/2006/relationships"><Relationship Id="rId3" Type="http://schemas.openxmlformats.org/officeDocument/2006/relationships/printerSettings" Target="../printerSettings/printerSettings44.bin"/><Relationship Id="rId2" Type="http://schemas.openxmlformats.org/officeDocument/2006/relationships/hyperlink" Target="https://www.nrscotland.gov.uk/statistics-and-data/statistics/statistics-by-theme/households/household-estimates" TargetMode="External"/><Relationship Id="rId1" Type="http://schemas.openxmlformats.org/officeDocument/2006/relationships/hyperlink" Target="https://www.nrscotland.gov.uk/statistics-and-data/statistics/statistics-by-theme/households/household-estimates/2016/list-of-tables" TargetMode="External"/><Relationship Id="rId4" Type="http://schemas.openxmlformats.org/officeDocument/2006/relationships/table" Target="../tables/table57.xml"/></Relationships>
</file>

<file path=xl/worksheets/_rels/sheet125.xml.rels><?xml version="1.0" encoding="UTF-8" standalone="yes"?>
<Relationships xmlns="http://schemas.openxmlformats.org/package/2006/relationships"><Relationship Id="rId1" Type="http://schemas.openxmlformats.org/officeDocument/2006/relationships/pivotTable" Target="../pivotTables/pivotTable46.xml"/></Relationships>
</file>

<file path=xl/worksheets/_rels/sheet126.xml.rels><?xml version="1.0" encoding="UTF-8" standalone="yes"?>
<Relationships xmlns="http://schemas.openxmlformats.org/package/2006/relationships"><Relationship Id="rId1" Type="http://schemas.openxmlformats.org/officeDocument/2006/relationships/table" Target="../tables/table58.xml"/></Relationships>
</file>

<file path=xl/worksheets/_rels/sheet127.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_rels/sheet128.xml.rels><?xml version="1.0" encoding="UTF-8" standalone="yes"?>
<Relationships xmlns="http://schemas.openxmlformats.org/package/2006/relationships"><Relationship Id="rId1" Type="http://schemas.openxmlformats.org/officeDocument/2006/relationships/pivotTable" Target="../pivotTables/pivotTable47.xml"/></Relationships>
</file>

<file path=xl/worksheets/_rels/sheet129.xml.rels><?xml version="1.0" encoding="UTF-8" standalone="yes"?>
<Relationships xmlns="http://schemas.openxmlformats.org/package/2006/relationships"><Relationship Id="rId1" Type="http://schemas.openxmlformats.org/officeDocument/2006/relationships/table" Target="../tables/table59.xml"/></Relationships>
</file>

<file path=xl/worksheets/_rels/sheet130.xml.rels><?xml version="1.0" encoding="UTF-8" standalone="yes"?>
<Relationships xmlns="http://schemas.openxmlformats.org/package/2006/relationships"><Relationship Id="rId2" Type="http://schemas.openxmlformats.org/officeDocument/2006/relationships/hyperlink" Target="https://www.nrscotland.gov.uk/statistics-and-data/statistics/statistics-by-theme/households/household-estimates" TargetMode="External"/><Relationship Id="rId1" Type="http://schemas.openxmlformats.org/officeDocument/2006/relationships/hyperlink" Target="https://www.nrscotland.gov.uk/statistics-and-data/statistics/statistics-by-theme/households/household-estimates" TargetMode="External"/></Relationships>
</file>

<file path=xl/worksheets/_rels/sheet131.xml.rels><?xml version="1.0" encoding="UTF-8" standalone="yes"?>
<Relationships xmlns="http://schemas.openxmlformats.org/package/2006/relationships"><Relationship Id="rId1" Type="http://schemas.openxmlformats.org/officeDocument/2006/relationships/pivotTable" Target="../pivotTables/pivotTable48.xml"/></Relationships>
</file>

<file path=xl/worksheets/_rels/sheet132.xml.rels><?xml version="1.0" encoding="UTF-8" standalone="yes"?>
<Relationships xmlns="http://schemas.openxmlformats.org/package/2006/relationships"><Relationship Id="rId1" Type="http://schemas.openxmlformats.org/officeDocument/2006/relationships/table" Target="../tables/table60.xml"/></Relationships>
</file>

<file path=xl/worksheets/_rels/sheet133.xml.rels><?xml version="1.0" encoding="UTF-8" standalone="yes"?>
<Relationships xmlns="http://schemas.openxmlformats.org/package/2006/relationships"><Relationship Id="rId1" Type="http://schemas.openxmlformats.org/officeDocument/2006/relationships/pivotTable" Target="../pivotTables/pivotTable49.xml"/></Relationships>
</file>

<file path=xl/worksheets/_rels/sheet134.xml.rels><?xml version="1.0" encoding="UTF-8" standalone="yes"?>
<Relationships xmlns="http://schemas.openxmlformats.org/package/2006/relationships"><Relationship Id="rId1" Type="http://schemas.openxmlformats.org/officeDocument/2006/relationships/table" Target="../tables/table61.xml"/></Relationships>
</file>

<file path=xl/worksheets/_rels/sheet135.xml.rels><?xml version="1.0" encoding="UTF-8" standalone="yes"?>
<Relationships xmlns="http://schemas.openxmlformats.org/package/2006/relationships"><Relationship Id="rId2" Type="http://schemas.openxmlformats.org/officeDocument/2006/relationships/printerSettings" Target="../printerSettings/printerSettings46.bin"/><Relationship Id="rId1" Type="http://schemas.openxmlformats.org/officeDocument/2006/relationships/hyperlink" Target="https://www.nrscotland.gov.uk/statistics-and-data/statistics/statistics-by-theme/population/population-estimates/mid-year-population-estimates" TargetMode="External"/></Relationships>
</file>

<file path=xl/worksheets/_rels/sheet136.xml.rels><?xml version="1.0" encoding="UTF-8" standalone="yes"?>
<Relationships xmlns="http://schemas.openxmlformats.org/package/2006/relationships"><Relationship Id="rId1" Type="http://schemas.openxmlformats.org/officeDocument/2006/relationships/pivotTable" Target="../pivotTables/pivotTable50.xml"/></Relationships>
</file>

<file path=xl/worksheets/_rels/sheet137.xml.rels><?xml version="1.0" encoding="UTF-8" standalone="yes"?>
<Relationships xmlns="http://schemas.openxmlformats.org/package/2006/relationships"><Relationship Id="rId1" Type="http://schemas.openxmlformats.org/officeDocument/2006/relationships/table" Target="../tables/table62.xml"/></Relationships>
</file>

<file path=xl/worksheets/_rels/sheet138.xml.rels><?xml version="1.0" encoding="UTF-8" standalone="yes"?>
<Relationships xmlns="http://schemas.openxmlformats.org/package/2006/relationships"><Relationship Id="rId1" Type="http://schemas.openxmlformats.org/officeDocument/2006/relationships/printerSettings" Target="../printerSettings/printerSettings47.bin"/></Relationships>
</file>

<file path=xl/worksheets/_rels/sheet139.xml.rels><?xml version="1.0" encoding="UTF-8" standalone="yes"?>
<Relationships xmlns="http://schemas.openxmlformats.org/package/2006/relationships"><Relationship Id="rId2" Type="http://schemas.openxmlformats.org/officeDocument/2006/relationships/pivotTable" Target="../pivotTables/pivotTable52.xml"/><Relationship Id="rId1" Type="http://schemas.openxmlformats.org/officeDocument/2006/relationships/pivotTable" Target="../pivotTables/pivotTable51.xml"/></Relationships>
</file>

<file path=xl/worksheets/_rels/sheet140.xml.rels><?xml version="1.0" encoding="UTF-8" standalone="yes"?>
<Relationships xmlns="http://schemas.openxmlformats.org/package/2006/relationships"><Relationship Id="rId2" Type="http://schemas.openxmlformats.org/officeDocument/2006/relationships/table" Target="../tables/table64.xml"/><Relationship Id="rId1" Type="http://schemas.openxmlformats.org/officeDocument/2006/relationships/table" Target="../tables/table63.xml"/></Relationships>
</file>

<file path=xl/worksheets/_rels/sheet141.xml.rels><?xml version="1.0" encoding="UTF-8" standalone="yes"?>
<Relationships xmlns="http://schemas.openxmlformats.org/package/2006/relationships"><Relationship Id="rId3" Type="http://schemas.openxmlformats.org/officeDocument/2006/relationships/hyperlink" Target="https://www.nrscotland.gov.uk/statistics-and-data/statistics/statistics-by-theme/households/household-estimates/small-area-statistics-on-households-and-dwellings" TargetMode="External"/><Relationship Id="rId2" Type="http://schemas.openxmlformats.org/officeDocument/2006/relationships/hyperlink" Target="https://www2.gov.scot/Topics/Statistics/SIMD" TargetMode="External"/><Relationship Id="rId1" Type="http://schemas.openxmlformats.org/officeDocument/2006/relationships/hyperlink" Target="https://www2.gov.scot/Topics/Statistics/SIMD" TargetMode="External"/><Relationship Id="rId4" Type="http://schemas.openxmlformats.org/officeDocument/2006/relationships/printerSettings" Target="../printerSettings/printerSettings48.bin"/></Relationships>
</file>

<file path=xl/worksheets/_rels/sheet142.xml.rels><?xml version="1.0" encoding="UTF-8" standalone="yes"?>
<Relationships xmlns="http://schemas.openxmlformats.org/package/2006/relationships"><Relationship Id="rId2" Type="http://schemas.openxmlformats.org/officeDocument/2006/relationships/pivotTable" Target="../pivotTables/pivotTable54.xml"/><Relationship Id="rId1" Type="http://schemas.openxmlformats.org/officeDocument/2006/relationships/pivotTable" Target="../pivotTables/pivotTable53.xml"/></Relationships>
</file>

<file path=xl/worksheets/_rels/sheet143.xml.rels><?xml version="1.0" encoding="UTF-8" standalone="yes"?>
<Relationships xmlns="http://schemas.openxmlformats.org/package/2006/relationships"><Relationship Id="rId2" Type="http://schemas.openxmlformats.org/officeDocument/2006/relationships/table" Target="../tables/table66.xml"/><Relationship Id="rId1" Type="http://schemas.openxmlformats.org/officeDocument/2006/relationships/table" Target="../tables/table65.xml"/></Relationships>
</file>

<file path=xl/worksheets/_rels/sheet144.xml.rels><?xml version="1.0" encoding="UTF-8" standalone="yes"?>
<Relationships xmlns="http://schemas.openxmlformats.org/package/2006/relationships"><Relationship Id="rId3" Type="http://schemas.openxmlformats.org/officeDocument/2006/relationships/hyperlink" Target="https://www.nrscotland.gov.uk/statistics-and-data/statistics/statistics-by-theme/households/household-estimates/small-area-statistics-on-households-and-dwellings" TargetMode="External"/><Relationship Id="rId2" Type="http://schemas.openxmlformats.org/officeDocument/2006/relationships/hyperlink" Target="https://www2.gov.scot/Topics/Statistics/SIMD" TargetMode="External"/><Relationship Id="rId1" Type="http://schemas.openxmlformats.org/officeDocument/2006/relationships/hyperlink" Target="https://www2.gov.scot/Topics/Statistics/SIMD" TargetMode="External"/><Relationship Id="rId4" Type="http://schemas.openxmlformats.org/officeDocument/2006/relationships/printerSettings" Target="../printerSettings/printerSettings49.bin"/></Relationships>
</file>

<file path=xl/worksheets/_rels/sheet145.xml.rels><?xml version="1.0" encoding="UTF-8" standalone="yes"?>
<Relationships xmlns="http://schemas.openxmlformats.org/package/2006/relationships"><Relationship Id="rId1" Type="http://schemas.openxmlformats.org/officeDocument/2006/relationships/pivotTable" Target="../pivotTables/pivotTable55.xml"/></Relationships>
</file>

<file path=xl/worksheets/_rels/sheet146.xml.rels><?xml version="1.0" encoding="UTF-8" standalone="yes"?>
<Relationships xmlns="http://schemas.openxmlformats.org/package/2006/relationships"><Relationship Id="rId1" Type="http://schemas.openxmlformats.org/officeDocument/2006/relationships/table" Target="../tables/table67.xml"/></Relationships>
</file>

<file path=xl/worksheets/_rels/sheet147.xml.rels><?xml version="1.0" encoding="UTF-8" standalone="yes"?>
<Relationships xmlns="http://schemas.openxmlformats.org/package/2006/relationships"><Relationship Id="rId2" Type="http://schemas.openxmlformats.org/officeDocument/2006/relationships/hyperlink" Target="https://www2.gov.scot/Topics/Statistics/SIMD" TargetMode="External"/><Relationship Id="rId1" Type="http://schemas.openxmlformats.org/officeDocument/2006/relationships/hyperlink" Target="https://www2.gov.scot/Topics/Statistics/SIMD" TargetMode="External"/></Relationships>
</file>

<file path=xl/worksheets/_rels/sheet148.xml.rels><?xml version="1.0" encoding="UTF-8" standalone="yes"?>
<Relationships xmlns="http://schemas.openxmlformats.org/package/2006/relationships"><Relationship Id="rId2" Type="http://schemas.openxmlformats.org/officeDocument/2006/relationships/pivotTable" Target="../pivotTables/pivotTable57.xml"/><Relationship Id="rId1" Type="http://schemas.openxmlformats.org/officeDocument/2006/relationships/pivotTable" Target="../pivotTables/pivotTable56.xml"/></Relationships>
</file>

<file path=xl/worksheets/_rels/sheet149.xml.rels><?xml version="1.0" encoding="UTF-8" standalone="yes"?>
<Relationships xmlns="http://schemas.openxmlformats.org/package/2006/relationships"><Relationship Id="rId2" Type="http://schemas.openxmlformats.org/officeDocument/2006/relationships/table" Target="../tables/table69.xml"/><Relationship Id="rId1" Type="http://schemas.openxmlformats.org/officeDocument/2006/relationships/table" Target="../tables/table68.xml"/></Relationships>
</file>

<file path=xl/worksheets/_rels/sheet150.xml.rels><?xml version="1.0" encoding="UTF-8" standalone="yes"?>
<Relationships xmlns="http://schemas.openxmlformats.org/package/2006/relationships"><Relationship Id="rId3" Type="http://schemas.openxmlformats.org/officeDocument/2006/relationships/hyperlink" Target="https://www.nrscotland.gov.uk/statistics-and-data/statistics/statistics-by-theme/households/household-estimates/small-area-statistics-on-households-and-dwellings" TargetMode="External"/><Relationship Id="rId2" Type="http://schemas.openxmlformats.org/officeDocument/2006/relationships/hyperlink" Target="https://www2.gov.scot/Topics/Statistics/About/Methodology/UrbanRuralClassification" TargetMode="External"/><Relationship Id="rId1" Type="http://schemas.openxmlformats.org/officeDocument/2006/relationships/hyperlink" Target="https://www2.gov.scot/Topics/Statistics/About/Methodology/UrbanRuralClassification" TargetMode="External"/><Relationship Id="rId4" Type="http://schemas.openxmlformats.org/officeDocument/2006/relationships/printerSettings" Target="../printerSettings/printerSettings50.bin"/></Relationships>
</file>

<file path=xl/worksheets/_rels/sheet151.xml.rels><?xml version="1.0" encoding="UTF-8" standalone="yes"?>
<Relationships xmlns="http://schemas.openxmlformats.org/package/2006/relationships"><Relationship Id="rId3" Type="http://schemas.microsoft.com/office/2007/relationships/slicer" Target="../slicers/slicer51.xml"/><Relationship Id="rId2" Type="http://schemas.openxmlformats.org/officeDocument/2006/relationships/drawing" Target="../drawings/drawing62.xml"/><Relationship Id="rId1" Type="http://schemas.openxmlformats.org/officeDocument/2006/relationships/pivotTable" Target="../pivotTables/pivotTable58.xml"/></Relationships>
</file>

<file path=xl/worksheets/_rels/sheet152.xml.rels><?xml version="1.0" encoding="UTF-8" standalone="yes"?>
<Relationships xmlns="http://schemas.openxmlformats.org/package/2006/relationships"><Relationship Id="rId2" Type="http://schemas.openxmlformats.org/officeDocument/2006/relationships/table" Target="../tables/table70.xml"/><Relationship Id="rId1" Type="http://schemas.openxmlformats.org/officeDocument/2006/relationships/printerSettings" Target="../printerSettings/printerSettings51.bin"/></Relationships>
</file>

<file path=xl/worksheets/_rels/sheet153.xml.rels><?xml version="1.0" encoding="UTF-8" standalone="yes"?>
<Relationships xmlns="http://schemas.openxmlformats.org/package/2006/relationships"><Relationship Id="rId3" Type="http://schemas.microsoft.com/office/2007/relationships/slicer" Target="../slicers/slicer52.xml"/><Relationship Id="rId2" Type="http://schemas.openxmlformats.org/officeDocument/2006/relationships/drawing" Target="../drawings/drawing63.xml"/><Relationship Id="rId1" Type="http://schemas.openxmlformats.org/officeDocument/2006/relationships/printerSettings" Target="../printerSettings/printerSettings52.bin"/></Relationships>
</file>

<file path=xl/worksheets/_rels/sheet154.xml.rels><?xml version="1.0" encoding="UTF-8" standalone="yes"?>
<Relationships xmlns="http://schemas.openxmlformats.org/package/2006/relationships"><Relationship Id="rId3" Type="http://schemas.microsoft.com/office/2007/relationships/slicer" Target="../slicers/slicer53.xml"/><Relationship Id="rId2" Type="http://schemas.openxmlformats.org/officeDocument/2006/relationships/drawing" Target="../drawings/drawing64.xml"/><Relationship Id="rId1" Type="http://schemas.openxmlformats.org/officeDocument/2006/relationships/printerSettings" Target="../printerSettings/printerSettings53.bin"/></Relationships>
</file>

<file path=xl/worksheets/_rels/sheet155.xml.rels><?xml version="1.0" encoding="UTF-8" standalone="yes"?>
<Relationships xmlns="http://schemas.openxmlformats.org/package/2006/relationships"><Relationship Id="rId3" Type="http://schemas.openxmlformats.org/officeDocument/2006/relationships/printerSettings" Target="../printerSettings/printerSettings54.bin"/><Relationship Id="rId2" Type="http://schemas.openxmlformats.org/officeDocument/2006/relationships/hyperlink" Target="https://www.nrscotland.gov.uk/statistics-and-data/statistics/statistics-by-theme/households/household-estimates" TargetMode="External"/><Relationship Id="rId1" Type="http://schemas.openxmlformats.org/officeDocument/2006/relationships/hyperlink" Target="https://www.nrscotland.gov.uk/statistics-and-data/statistics/statistics-by-theme/households/household-estimates/2016/list-of-tables" TargetMode="External"/><Relationship Id="rId5" Type="http://schemas.microsoft.com/office/2007/relationships/slicer" Target="../slicers/slicer54.xml"/><Relationship Id="rId4" Type="http://schemas.openxmlformats.org/officeDocument/2006/relationships/drawing" Target="../drawings/drawing65.xml"/></Relationships>
</file>

<file path=xl/worksheets/_rels/sheet156.xml.rels><?xml version="1.0" encoding="UTF-8" standalone="yes"?>
<Relationships xmlns="http://schemas.openxmlformats.org/package/2006/relationships"><Relationship Id="rId2" Type="http://schemas.openxmlformats.org/officeDocument/2006/relationships/drawing" Target="../drawings/drawing66.xml"/><Relationship Id="rId1" Type="http://schemas.openxmlformats.org/officeDocument/2006/relationships/printerSettings" Target="../printerSettings/printerSettings55.bin"/></Relationships>
</file>

<file path=xl/worksheets/_rels/sheet157.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159.xml.rels><?xml version="1.0" encoding="UTF-8" standalone="yes"?>
<Relationships xmlns="http://schemas.openxmlformats.org/package/2006/relationships"><Relationship Id="rId2" Type="http://schemas.openxmlformats.org/officeDocument/2006/relationships/drawing" Target="../drawings/drawing68.xml"/><Relationship Id="rId1" Type="http://schemas.openxmlformats.org/officeDocument/2006/relationships/printerSettings" Target="../printerSettings/printerSettings56.bin"/></Relationships>
</file>

<file path=xl/worksheets/_rels/sheet160.xml.rels><?xml version="1.0" encoding="UTF-8" standalone="yes"?>
<Relationships xmlns="http://schemas.openxmlformats.org/package/2006/relationships"><Relationship Id="rId1" Type="http://schemas.openxmlformats.org/officeDocument/2006/relationships/drawing" Target="../drawings/drawing69.xml"/></Relationships>
</file>

<file path=xl/worksheets/_rels/sheet161.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162.xml.rels><?xml version="1.0" encoding="UTF-8" standalone="yes"?>
<Relationships xmlns="http://schemas.openxmlformats.org/package/2006/relationships"><Relationship Id="rId1" Type="http://schemas.openxmlformats.org/officeDocument/2006/relationships/drawing" Target="../drawings/drawing71.xml"/></Relationships>
</file>

<file path=xl/worksheets/_rels/sheet163.xml.rels><?xml version="1.0" encoding="UTF-8" standalone="yes"?>
<Relationships xmlns="http://schemas.openxmlformats.org/package/2006/relationships"><Relationship Id="rId1" Type="http://schemas.openxmlformats.org/officeDocument/2006/relationships/drawing" Target="../drawings/drawing72.xml"/></Relationships>
</file>

<file path=xl/worksheets/_rels/sheet164.xml.rels><?xml version="1.0" encoding="UTF-8" standalone="yes"?>
<Relationships xmlns="http://schemas.openxmlformats.org/package/2006/relationships"><Relationship Id="rId1" Type="http://schemas.openxmlformats.org/officeDocument/2006/relationships/drawing" Target="../drawings/drawing73.xml"/></Relationships>
</file>

<file path=xl/worksheets/_rels/sheet165.xml.rels><?xml version="1.0" encoding="UTF-8" standalone="yes"?>
<Relationships xmlns="http://schemas.openxmlformats.org/package/2006/relationships"><Relationship Id="rId2" Type="http://schemas.openxmlformats.org/officeDocument/2006/relationships/drawing" Target="../drawings/drawing74.xml"/><Relationship Id="rId1" Type="http://schemas.openxmlformats.org/officeDocument/2006/relationships/printerSettings" Target="../printerSettings/printerSettings57.bin"/></Relationships>
</file>

<file path=xl/worksheets/_rels/sheet166.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167.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168.xml.rels><?xml version="1.0" encoding="UTF-8" standalone="yes"?>
<Relationships xmlns="http://schemas.openxmlformats.org/package/2006/relationships"><Relationship Id="rId1" Type="http://schemas.openxmlformats.org/officeDocument/2006/relationships/drawing" Target="../drawings/drawing77.xml"/></Relationships>
</file>

<file path=xl/worksheets/_rels/sheet169.xml.rels><?xml version="1.0" encoding="UTF-8" standalone="yes"?>
<Relationships xmlns="http://schemas.openxmlformats.org/package/2006/relationships"><Relationship Id="rId1" Type="http://schemas.openxmlformats.org/officeDocument/2006/relationships/printerSettings" Target="../printerSettings/printerSettings58.bin"/></Relationships>
</file>

<file path=xl/worksheets/_rels/sheet170.xml.rels><?xml version="1.0" encoding="UTF-8" standalone="yes"?>
<Relationships xmlns="http://schemas.openxmlformats.org/package/2006/relationships"><Relationship Id="rId2" Type="http://schemas.openxmlformats.org/officeDocument/2006/relationships/pivotTable" Target="../pivotTables/pivotTable60.xml"/><Relationship Id="rId1" Type="http://schemas.openxmlformats.org/officeDocument/2006/relationships/pivotTable" Target="../pivotTables/pivotTable59.xml"/></Relationships>
</file>

<file path=xl/worksheets/_rels/sheet171.xml.rels><?xml version="1.0" encoding="UTF-8" standalone="yes"?>
<Relationships xmlns="http://schemas.openxmlformats.org/package/2006/relationships"><Relationship Id="rId2" Type="http://schemas.openxmlformats.org/officeDocument/2006/relationships/table" Target="../tables/table72.xml"/><Relationship Id="rId1" Type="http://schemas.openxmlformats.org/officeDocument/2006/relationships/table" Target="../tables/table71.xml"/></Relationships>
</file>

<file path=xl/worksheets/_rels/sheet172.xml.rels><?xml version="1.0" encoding="UTF-8" standalone="yes"?>
<Relationships xmlns="http://schemas.openxmlformats.org/package/2006/relationships"><Relationship Id="rId1" Type="http://schemas.openxmlformats.org/officeDocument/2006/relationships/pivotTable" Target="../pivotTables/pivotTable61.xml"/></Relationships>
</file>

<file path=xl/worksheets/_rels/sheet173.xml.rels><?xml version="1.0" encoding="UTF-8" standalone="yes"?>
<Relationships xmlns="http://schemas.openxmlformats.org/package/2006/relationships"><Relationship Id="rId1" Type="http://schemas.openxmlformats.org/officeDocument/2006/relationships/table" Target="../tables/table73.xml"/></Relationships>
</file>

<file path=xl/worksheets/_rels/sheet174.xml.rels><?xml version="1.0" encoding="UTF-8" standalone="yes"?>
<Relationships xmlns="http://schemas.openxmlformats.org/package/2006/relationships"><Relationship Id="rId1" Type="http://schemas.openxmlformats.org/officeDocument/2006/relationships/printerSettings" Target="../printerSettings/printerSettings59.bin"/></Relationships>
</file>

<file path=xl/worksheets/_rels/sheet175.xml.rels><?xml version="1.0" encoding="UTF-8" standalone="yes"?>
<Relationships xmlns="http://schemas.openxmlformats.org/package/2006/relationships"><Relationship Id="rId3" Type="http://schemas.microsoft.com/office/2007/relationships/slicer" Target="../slicers/slicer55.xml"/><Relationship Id="rId2" Type="http://schemas.openxmlformats.org/officeDocument/2006/relationships/drawing" Target="../drawings/drawing78.xml"/><Relationship Id="rId1" Type="http://schemas.openxmlformats.org/officeDocument/2006/relationships/printerSettings" Target="../printerSettings/printerSettings60.bin"/></Relationships>
</file>

<file path=xl/worksheets/_rels/sheet176.xml.rels><?xml version="1.0" encoding="UTF-8" standalone="yes"?>
<Relationships xmlns="http://schemas.openxmlformats.org/package/2006/relationships"><Relationship Id="rId3" Type="http://schemas.microsoft.com/office/2007/relationships/slicer" Target="../slicers/slicer56.xml"/><Relationship Id="rId2" Type="http://schemas.openxmlformats.org/officeDocument/2006/relationships/drawing" Target="../drawings/drawing79.xml"/><Relationship Id="rId1" Type="http://schemas.openxmlformats.org/officeDocument/2006/relationships/pivotTable" Target="../pivotTables/pivotTable62.xml"/></Relationships>
</file>

<file path=xl/worksheets/_rels/sheet177.xml.rels><?xml version="1.0" encoding="UTF-8" standalone="yes"?>
<Relationships xmlns="http://schemas.openxmlformats.org/package/2006/relationships"><Relationship Id="rId1" Type="http://schemas.openxmlformats.org/officeDocument/2006/relationships/table" Target="../tables/table74.xml"/></Relationships>
</file>

<file path=xl/worksheets/_rels/sheet178.xml.rels><?xml version="1.0" encoding="UTF-8" standalone="yes"?>
<Relationships xmlns="http://schemas.openxmlformats.org/package/2006/relationships"><Relationship Id="rId3" Type="http://schemas.microsoft.com/office/2007/relationships/slicer" Target="../slicers/slicer57.xml"/><Relationship Id="rId2" Type="http://schemas.openxmlformats.org/officeDocument/2006/relationships/drawing" Target="../drawings/drawing80.xml"/><Relationship Id="rId1" Type="http://schemas.openxmlformats.org/officeDocument/2006/relationships/pivotTable" Target="../pivotTables/pivotTable63.xml"/></Relationships>
</file>

<file path=xl/worksheets/_rels/sheet179.xml.rels><?xml version="1.0" encoding="UTF-8" standalone="yes"?>
<Relationships xmlns="http://schemas.openxmlformats.org/package/2006/relationships"><Relationship Id="rId1" Type="http://schemas.openxmlformats.org/officeDocument/2006/relationships/table" Target="../tables/table75.xml"/></Relationships>
</file>

<file path=xl/worksheets/_rels/sheet180.xml.rels><?xml version="1.0" encoding="UTF-8" standalone="yes"?>
<Relationships xmlns="http://schemas.openxmlformats.org/package/2006/relationships"><Relationship Id="rId1" Type="http://schemas.openxmlformats.org/officeDocument/2006/relationships/table" Target="../tables/table76.xml"/></Relationships>
</file>

<file path=xl/worksheets/_rels/sheet181.xml.rels><?xml version="1.0" encoding="UTF-8" standalone="yes"?>
<Relationships xmlns="http://schemas.openxmlformats.org/package/2006/relationships"><Relationship Id="rId1" Type="http://schemas.openxmlformats.org/officeDocument/2006/relationships/pivotTable" Target="../pivotTables/pivotTable64.xml"/></Relationships>
</file>

<file path=xl/worksheets/_rels/sheet182.xml.rels><?xml version="1.0" encoding="UTF-8" standalone="yes"?>
<Relationships xmlns="http://schemas.openxmlformats.org/package/2006/relationships"><Relationship Id="rId3" Type="http://schemas.microsoft.com/office/2007/relationships/slicer" Target="../slicers/slicer58.xml"/><Relationship Id="rId2" Type="http://schemas.openxmlformats.org/officeDocument/2006/relationships/drawing" Target="../drawings/drawing81.xml"/><Relationship Id="rId1" Type="http://schemas.openxmlformats.org/officeDocument/2006/relationships/printerSettings" Target="../printerSettings/printerSettings61.bin"/></Relationships>
</file>

<file path=xl/worksheets/_rels/sheet183.xml.rels><?xml version="1.0" encoding="UTF-8" standalone="yes"?>
<Relationships xmlns="http://schemas.openxmlformats.org/package/2006/relationships"><Relationship Id="rId3" Type="http://schemas.microsoft.com/office/2007/relationships/slicer" Target="../slicers/slicer59.xml"/><Relationship Id="rId2" Type="http://schemas.openxmlformats.org/officeDocument/2006/relationships/drawing" Target="../drawings/drawing82.xml"/><Relationship Id="rId1" Type="http://schemas.openxmlformats.org/officeDocument/2006/relationships/pivotTable" Target="../pivotTables/pivotTable65.xml"/></Relationships>
</file>

<file path=xl/worksheets/_rels/sheet184.xml.rels><?xml version="1.0" encoding="UTF-8" standalone="yes"?>
<Relationships xmlns="http://schemas.openxmlformats.org/package/2006/relationships"><Relationship Id="rId1" Type="http://schemas.openxmlformats.org/officeDocument/2006/relationships/table" Target="../tables/table77.xml"/></Relationships>
</file>

<file path=xl/worksheets/_rels/sheet185.xml.rels><?xml version="1.0" encoding="UTF-8" standalone="yes"?>
<Relationships xmlns="http://schemas.openxmlformats.org/package/2006/relationships"><Relationship Id="rId3" Type="http://schemas.microsoft.com/office/2007/relationships/slicer" Target="../slicers/slicer60.xml"/><Relationship Id="rId2" Type="http://schemas.openxmlformats.org/officeDocument/2006/relationships/drawing" Target="../drawings/drawing83.xml"/><Relationship Id="rId1" Type="http://schemas.openxmlformats.org/officeDocument/2006/relationships/printerSettings" Target="../printerSettings/printerSettings62.bin"/></Relationships>
</file>

<file path=xl/worksheets/_rels/sheet186.xml.rels><?xml version="1.0" encoding="UTF-8" standalone="yes"?>
<Relationships xmlns="http://schemas.openxmlformats.org/package/2006/relationships"><Relationship Id="rId1" Type="http://schemas.openxmlformats.org/officeDocument/2006/relationships/pivotTable" Target="../pivotTables/pivotTable66.xml"/></Relationships>
</file>

<file path=xl/worksheets/_rels/sheet187.xml.rels><?xml version="1.0" encoding="UTF-8" standalone="yes"?>
<Relationships xmlns="http://schemas.openxmlformats.org/package/2006/relationships"><Relationship Id="rId1" Type="http://schemas.openxmlformats.org/officeDocument/2006/relationships/table" Target="../tables/table78.xml"/></Relationships>
</file>

<file path=xl/worksheets/_rels/sheet188.xml.rels><?xml version="1.0" encoding="UTF-8" standalone="yes"?>
<Relationships xmlns="http://schemas.openxmlformats.org/package/2006/relationships"><Relationship Id="rId1" Type="http://schemas.openxmlformats.org/officeDocument/2006/relationships/printerSettings" Target="../printerSettings/printerSettings63.bin"/></Relationships>
</file>

<file path=xl/worksheets/_rels/sheet189.xml.rels><?xml version="1.0" encoding="UTF-8" standalone="yes"?>
<Relationships xmlns="http://schemas.openxmlformats.org/package/2006/relationships"><Relationship Id="rId3" Type="http://schemas.microsoft.com/office/2007/relationships/slicer" Target="../slicers/slicer61.xml"/><Relationship Id="rId2" Type="http://schemas.openxmlformats.org/officeDocument/2006/relationships/drawing" Target="../drawings/drawing84.xml"/><Relationship Id="rId1" Type="http://schemas.openxmlformats.org/officeDocument/2006/relationships/pivotTable" Target="../pivotTables/pivotTable67.xml"/></Relationships>
</file>

<file path=xl/worksheets/_rels/sheet190.xml.rels><?xml version="1.0" encoding="UTF-8" standalone="yes"?>
<Relationships xmlns="http://schemas.openxmlformats.org/package/2006/relationships"><Relationship Id="rId1" Type="http://schemas.openxmlformats.org/officeDocument/2006/relationships/table" Target="../tables/table79.xml"/></Relationships>
</file>

<file path=xl/worksheets/_rels/sheet191.xml.rels><?xml version="1.0" encoding="UTF-8" standalone="yes"?>
<Relationships xmlns="http://schemas.openxmlformats.org/package/2006/relationships"><Relationship Id="rId2" Type="http://schemas.microsoft.com/office/2007/relationships/slicer" Target="../slicers/slicer62.xml"/><Relationship Id="rId1" Type="http://schemas.openxmlformats.org/officeDocument/2006/relationships/drawing" Target="../drawings/drawing85.xml"/></Relationships>
</file>

<file path=xl/worksheets/_rels/sheet192.xml.rels><?xml version="1.0" encoding="UTF-8" standalone="yes"?>
<Relationships xmlns="http://schemas.openxmlformats.org/package/2006/relationships"><Relationship Id="rId2" Type="http://schemas.openxmlformats.org/officeDocument/2006/relationships/drawing" Target="../drawings/drawing86.xml"/><Relationship Id="rId1" Type="http://schemas.openxmlformats.org/officeDocument/2006/relationships/printerSettings" Target="../printerSettings/printerSettings64.bin"/></Relationships>
</file>

<file path=xl/worksheets/_rels/sheet193.xml.rels><?xml version="1.0" encoding="UTF-8" standalone="yes"?>
<Relationships xmlns="http://schemas.openxmlformats.org/package/2006/relationships"><Relationship Id="rId2" Type="http://schemas.openxmlformats.org/officeDocument/2006/relationships/drawing" Target="../drawings/drawing87.xml"/><Relationship Id="rId1" Type="http://schemas.openxmlformats.org/officeDocument/2006/relationships/printerSettings" Target="../printerSettings/printerSettings65.bin"/></Relationships>
</file>

<file path=xl/worksheets/_rels/sheet194.xml.rels><?xml version="1.0" encoding="UTF-8" standalone="yes"?>
<Relationships xmlns="http://schemas.openxmlformats.org/package/2006/relationships"><Relationship Id="rId1" Type="http://schemas.openxmlformats.org/officeDocument/2006/relationships/drawing" Target="../drawings/drawing88.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pageSetUpPr fitToPage="1"/>
  </sheetPr>
  <dimension ref="A1:M30"/>
  <sheetViews>
    <sheetView showGridLines="0" tabSelected="1" zoomScaleNormal="100" workbookViewId="0"/>
  </sheetViews>
  <sheetFormatPr defaultColWidth="9.109375" defaultRowHeight="14.4" x14ac:dyDescent="0.3"/>
  <cols>
    <col min="1" max="1" width="15" customWidth="1"/>
    <col min="2" max="2" width="7.6640625" customWidth="1"/>
    <col min="3" max="3" width="15" customWidth="1"/>
  </cols>
  <sheetData>
    <row r="1" spans="1:13" ht="23.4" x14ac:dyDescent="0.3">
      <c r="A1" s="384"/>
      <c r="B1" s="384"/>
      <c r="C1" s="384"/>
      <c r="D1" s="384"/>
      <c r="E1" s="384"/>
      <c r="F1" s="385" t="s">
        <v>0</v>
      </c>
      <c r="G1" s="384"/>
      <c r="H1" s="384"/>
      <c r="I1" s="384"/>
      <c r="J1" s="384"/>
      <c r="K1" s="384"/>
      <c r="L1" s="326"/>
      <c r="M1" s="326"/>
    </row>
    <row r="2" spans="1:13" ht="23.4" x14ac:dyDescent="0.3">
      <c r="A2" s="384"/>
      <c r="B2" s="384"/>
      <c r="C2" s="384"/>
      <c r="D2" s="384"/>
      <c r="E2" s="384"/>
      <c r="F2" s="385" t="s">
        <v>1</v>
      </c>
      <c r="G2" s="384"/>
      <c r="H2" s="384"/>
      <c r="I2" s="384"/>
      <c r="J2" s="384"/>
      <c r="K2" s="384"/>
      <c r="L2" s="326"/>
      <c r="M2" s="326"/>
    </row>
    <row r="3" spans="1:13" ht="15.75" customHeight="1" x14ac:dyDescent="0.3">
      <c r="A3" s="327"/>
      <c r="B3" s="327"/>
      <c r="C3" s="327"/>
      <c r="D3" s="260"/>
      <c r="E3" s="327"/>
      <c r="F3" s="328" t="s">
        <v>2</v>
      </c>
      <c r="G3" s="327"/>
      <c r="H3" s="260"/>
      <c r="I3" s="260"/>
      <c r="J3" s="260"/>
      <c r="K3" s="260"/>
      <c r="L3" s="260"/>
    </row>
    <row r="4" spans="1:13" ht="15.75" customHeight="1" x14ac:dyDescent="0.3">
      <c r="A4" s="329"/>
      <c r="B4" s="329"/>
      <c r="C4" s="329"/>
      <c r="D4" s="260"/>
      <c r="E4" s="329"/>
      <c r="F4" s="564" t="s">
        <v>3</v>
      </c>
      <c r="G4" s="329"/>
      <c r="H4" s="260"/>
      <c r="I4" s="260"/>
      <c r="J4" s="260"/>
      <c r="K4" s="260"/>
    </row>
    <row r="5" spans="1:13" ht="15.75" customHeight="1" x14ac:dyDescent="0.3">
      <c r="A5" s="329"/>
      <c r="B5" s="329"/>
      <c r="C5" s="329"/>
      <c r="D5" s="260"/>
      <c r="E5" s="329"/>
      <c r="F5" s="564" t="s">
        <v>4</v>
      </c>
      <c r="G5" s="329"/>
      <c r="H5" s="260"/>
      <c r="I5" s="260"/>
      <c r="J5" s="260"/>
      <c r="K5" s="260"/>
    </row>
    <row r="6" spans="1:13" ht="15.6" x14ac:dyDescent="0.3">
      <c r="A6" s="381"/>
      <c r="B6" s="381"/>
      <c r="C6" s="381"/>
      <c r="D6" s="260"/>
      <c r="E6" s="381"/>
      <c r="F6" s="382" t="s">
        <v>5</v>
      </c>
      <c r="G6" s="381"/>
      <c r="H6" s="260"/>
      <c r="I6" s="260"/>
      <c r="J6" s="260"/>
      <c r="K6" s="260"/>
      <c r="L6" s="260"/>
    </row>
    <row r="7" spans="1:13" ht="15.6" x14ac:dyDescent="0.3">
      <c r="A7" s="381"/>
      <c r="B7" s="381"/>
      <c r="C7" s="381"/>
      <c r="D7" s="260"/>
      <c r="E7" s="381"/>
      <c r="F7" s="382"/>
      <c r="G7" s="381"/>
      <c r="H7" s="260"/>
      <c r="I7" s="260"/>
      <c r="J7" s="260"/>
      <c r="K7" s="260"/>
      <c r="L7" s="260"/>
    </row>
    <row r="8" spans="1:13" ht="30.75" customHeight="1" x14ac:dyDescent="0.3">
      <c r="A8" s="381"/>
      <c r="B8" s="1028" t="s">
        <v>6</v>
      </c>
      <c r="C8" s="1028"/>
      <c r="D8" s="1028"/>
      <c r="E8" s="1028"/>
      <c r="F8" s="1028"/>
      <c r="G8" s="1028"/>
      <c r="H8" s="1028"/>
      <c r="I8" s="1028"/>
      <c r="J8" s="1028"/>
      <c r="K8" s="1028"/>
      <c r="L8" s="260"/>
    </row>
    <row r="9" spans="1:13" ht="15.6" x14ac:dyDescent="0.3">
      <c r="A9" s="381"/>
      <c r="B9" s="381"/>
      <c r="C9" s="381"/>
      <c r="D9" s="260"/>
      <c r="E9" s="381"/>
      <c r="F9" s="382"/>
      <c r="G9" s="381"/>
      <c r="H9" s="260"/>
      <c r="I9" s="260"/>
      <c r="J9" s="260"/>
      <c r="K9" s="260"/>
      <c r="L9" s="260"/>
    </row>
    <row r="10" spans="1:13" ht="15.6" x14ac:dyDescent="0.3">
      <c r="A10" s="330"/>
      <c r="B10" s="331" t="s">
        <v>7</v>
      </c>
      <c r="D10" s="260"/>
      <c r="E10" s="330"/>
      <c r="F10" s="260"/>
      <c r="G10" s="330"/>
      <c r="H10" s="260"/>
      <c r="I10" s="260"/>
      <c r="J10" s="260"/>
      <c r="K10" s="260"/>
      <c r="L10" s="260"/>
    </row>
    <row r="11" spans="1:13" ht="15.6" x14ac:dyDescent="0.3">
      <c r="A11" s="330"/>
      <c r="B11" s="331"/>
      <c r="C11" s="331" t="s">
        <v>8</v>
      </c>
      <c r="D11" s="260"/>
      <c r="E11" s="330"/>
      <c r="F11" s="260"/>
      <c r="G11" s="330"/>
      <c r="H11" s="260"/>
      <c r="I11" s="260"/>
      <c r="J11" s="260"/>
      <c r="K11" s="260"/>
      <c r="L11" s="260"/>
    </row>
    <row r="12" spans="1:13" ht="15.75" customHeight="1" x14ac:dyDescent="0.3">
      <c r="A12" s="327"/>
      <c r="B12" s="327"/>
      <c r="C12" s="331" t="s">
        <v>9</v>
      </c>
      <c r="D12" s="260"/>
      <c r="F12" s="327"/>
      <c r="G12" s="327"/>
      <c r="H12" s="260"/>
      <c r="I12" s="260"/>
      <c r="J12" s="260"/>
      <c r="K12" s="260"/>
      <c r="L12" s="260"/>
    </row>
    <row r="13" spans="1:13" ht="15.75" customHeight="1" x14ac:dyDescent="0.3">
      <c r="A13" s="327"/>
      <c r="B13" s="327"/>
      <c r="C13" s="331" t="s">
        <v>10</v>
      </c>
      <c r="D13" s="260"/>
      <c r="F13" s="327"/>
      <c r="G13" s="327"/>
      <c r="H13" s="260"/>
      <c r="I13" s="260"/>
      <c r="J13" s="260"/>
      <c r="K13" s="260"/>
      <c r="L13" s="260"/>
    </row>
    <row r="14" spans="1:13" ht="15.75" customHeight="1" x14ac:dyDescent="0.3">
      <c r="A14" s="327"/>
      <c r="B14" s="327"/>
      <c r="C14" s="331" t="s">
        <v>11</v>
      </c>
      <c r="D14" s="260"/>
      <c r="F14" s="327"/>
      <c r="G14" s="327"/>
      <c r="H14" s="260"/>
      <c r="I14" s="260"/>
      <c r="J14" s="260"/>
      <c r="K14" s="260"/>
      <c r="L14" s="260"/>
    </row>
    <row r="15" spans="1:13" ht="15.75" customHeight="1" x14ac:dyDescent="0.3">
      <c r="A15" s="327"/>
      <c r="B15" s="327"/>
      <c r="C15" s="331" t="s">
        <v>12</v>
      </c>
      <c r="D15" s="260"/>
      <c r="F15" s="327"/>
      <c r="G15" s="327"/>
      <c r="H15" s="260"/>
      <c r="I15" s="260"/>
      <c r="J15" s="260"/>
      <c r="K15" s="260"/>
      <c r="L15" s="260"/>
    </row>
    <row r="16" spans="1:13" ht="15.75" customHeight="1" x14ac:dyDescent="0.3">
      <c r="A16" s="327"/>
      <c r="B16" s="327"/>
      <c r="C16" s="331" t="s">
        <v>13</v>
      </c>
      <c r="D16" s="260"/>
      <c r="F16" s="327"/>
      <c r="G16" s="327"/>
      <c r="H16" s="260"/>
      <c r="I16" s="260"/>
      <c r="J16" s="260"/>
      <c r="K16" s="260"/>
      <c r="L16" s="260"/>
    </row>
    <row r="17" spans="1:12" ht="15.75" customHeight="1" x14ac:dyDescent="0.3">
      <c r="A17" s="327"/>
      <c r="B17" s="327"/>
      <c r="C17" s="331" t="s">
        <v>14</v>
      </c>
      <c r="D17" s="260"/>
      <c r="F17" s="327"/>
      <c r="G17" s="327"/>
      <c r="H17" s="260"/>
      <c r="I17" s="260"/>
      <c r="J17" s="260"/>
      <c r="K17" s="260"/>
      <c r="L17" s="260"/>
    </row>
    <row r="18" spans="1:12" ht="15.75" customHeight="1" x14ac:dyDescent="0.3">
      <c r="A18" s="327"/>
      <c r="B18" s="327"/>
      <c r="C18" s="331"/>
      <c r="D18" s="260"/>
      <c r="F18" s="327"/>
      <c r="G18" s="327"/>
      <c r="H18" s="260"/>
      <c r="I18" s="260"/>
      <c r="J18" s="260"/>
      <c r="K18" s="260"/>
      <c r="L18" s="260"/>
    </row>
    <row r="19" spans="1:12" ht="15" customHeight="1" x14ac:dyDescent="0.3">
      <c r="A19" s="327"/>
      <c r="B19" s="1026" t="s">
        <v>15</v>
      </c>
      <c r="C19" s="1026"/>
      <c r="D19" s="1026"/>
      <c r="E19" s="1026"/>
      <c r="F19" s="1026"/>
      <c r="G19" s="1026"/>
      <c r="H19" s="1026"/>
      <c r="I19" s="1026"/>
      <c r="J19" s="1026"/>
      <c r="K19" s="1026"/>
      <c r="L19" s="260"/>
    </row>
    <row r="20" spans="1:12" ht="15" customHeight="1" x14ac:dyDescent="0.3">
      <c r="A20" s="327"/>
      <c r="B20" s="559"/>
      <c r="C20" s="556"/>
      <c r="D20" s="556"/>
      <c r="E20" s="556"/>
      <c r="F20" s="556"/>
      <c r="G20" s="556"/>
      <c r="H20" s="556"/>
      <c r="I20" s="556"/>
      <c r="J20" s="556"/>
      <c r="K20" s="556"/>
      <c r="L20" s="260"/>
    </row>
    <row r="21" spans="1:12" ht="30" customHeight="1" x14ac:dyDescent="0.3">
      <c r="A21" s="327"/>
      <c r="B21" s="1026" t="s">
        <v>16</v>
      </c>
      <c r="C21" s="1026"/>
      <c r="D21" s="1026"/>
      <c r="E21" s="1026"/>
      <c r="F21" s="1026"/>
      <c r="G21" s="1026"/>
      <c r="H21" s="1026"/>
      <c r="I21" s="1026"/>
      <c r="J21" s="1026"/>
      <c r="K21" s="1026"/>
      <c r="L21" s="260"/>
    </row>
    <row r="22" spans="1:12" ht="30" customHeight="1" x14ac:dyDescent="0.3">
      <c r="A22" s="327"/>
      <c r="B22" s="1026" t="s">
        <v>17</v>
      </c>
      <c r="C22" s="1026"/>
      <c r="D22" s="1026"/>
      <c r="E22" s="1026"/>
      <c r="F22" s="1026"/>
      <c r="G22" s="1026"/>
      <c r="H22" s="1026"/>
      <c r="I22" s="1026"/>
      <c r="J22" s="1026"/>
      <c r="K22" s="1026"/>
      <c r="L22" s="260"/>
    </row>
    <row r="23" spans="1:12" ht="15.6" x14ac:dyDescent="0.3">
      <c r="A23" s="327"/>
      <c r="B23" s="260"/>
      <c r="C23" s="260"/>
      <c r="D23" s="260"/>
      <c r="E23" s="260"/>
      <c r="F23" s="260"/>
      <c r="G23" s="260"/>
      <c r="H23" s="260"/>
      <c r="I23" s="260"/>
      <c r="J23" s="260"/>
      <c r="K23" s="260"/>
      <c r="L23" s="260"/>
    </row>
    <row r="24" spans="1:12" ht="15.6" x14ac:dyDescent="0.3">
      <c r="A24" s="330"/>
      <c r="B24" s="1027" t="s">
        <v>18</v>
      </c>
      <c r="C24" s="1027"/>
      <c r="D24" s="1027"/>
      <c r="E24" s="1027"/>
      <c r="F24" s="383" t="s">
        <v>19</v>
      </c>
      <c r="G24" s="330"/>
      <c r="H24" s="260"/>
      <c r="I24" s="260"/>
      <c r="J24" s="260"/>
      <c r="K24" s="260"/>
      <c r="L24" s="260"/>
    </row>
    <row r="25" spans="1:12" ht="18" customHeight="1" x14ac:dyDescent="0.3">
      <c r="G25" s="332"/>
      <c r="H25" s="260"/>
      <c r="I25" s="260"/>
      <c r="J25" s="260"/>
      <c r="K25" s="260"/>
      <c r="L25" s="260"/>
    </row>
    <row r="26" spans="1:12" ht="15.6" x14ac:dyDescent="0.3">
      <c r="G26" s="260"/>
      <c r="H26" s="260"/>
      <c r="I26" s="260"/>
      <c r="J26" s="260"/>
      <c r="K26" s="260"/>
      <c r="L26" s="260"/>
    </row>
    <row r="27" spans="1:12" ht="15.6" x14ac:dyDescent="0.3">
      <c r="G27" s="260"/>
      <c r="H27" s="260"/>
      <c r="I27" s="260"/>
      <c r="J27" s="260"/>
      <c r="K27" s="260"/>
      <c r="L27" s="260"/>
    </row>
    <row r="28" spans="1:12" ht="15.6" x14ac:dyDescent="0.3">
      <c r="G28" s="260"/>
      <c r="H28" s="260"/>
      <c r="I28" s="260"/>
      <c r="J28" s="260"/>
      <c r="K28" s="260"/>
      <c r="L28" s="260"/>
    </row>
    <row r="29" spans="1:12" ht="15.6" x14ac:dyDescent="0.3">
      <c r="G29" s="260"/>
      <c r="H29" s="260"/>
      <c r="I29" s="260"/>
      <c r="J29" s="260"/>
      <c r="K29" s="260"/>
      <c r="L29" s="260"/>
    </row>
    <row r="30" spans="1:12" ht="15.6" x14ac:dyDescent="0.3">
      <c r="G30" s="260"/>
      <c r="H30" s="260"/>
      <c r="I30" s="260"/>
      <c r="J30" s="260"/>
      <c r="K30" s="260"/>
      <c r="L30" s="260"/>
    </row>
  </sheetData>
  <sheetProtection algorithmName="SHA-512" hashValue="EtLx4weG2RBbiM0CtTYPAuc9ACv+cxN1YolS0l4ng8F/HbvqO14nnxMLMGGJqmYqk27iSCS71scr/MmQlhSdOw==" saltValue="4PZJE0baPrGToLCL0zuXXw==" spinCount="100000" sheet="1" scenarios="1" formatCells="0" sort="0" autoFilter="0" pivotTables="0"/>
  <mergeCells count="5">
    <mergeCell ref="B21:K21"/>
    <mergeCell ref="B24:E24"/>
    <mergeCell ref="B22:K22"/>
    <mergeCell ref="B19:K19"/>
    <mergeCell ref="B8:K8"/>
  </mergeCells>
  <hyperlinks>
    <hyperlink ref="F6" r:id="rId1" display="Scottish Fire and Rescue Service Fire Safety and Organisational Statistics, Scotland, 2015-16" xr:uid="{00000000-0004-0000-0000-000000000000}"/>
    <hyperlink ref="A6:G6" r:id="rId2" display="Scottish Fire and Rescue Service Fire Safety and Organisational Statistics, Scotland" xr:uid="{00000000-0004-0000-0000-000001000000}"/>
    <hyperlink ref="F24" r:id="rId3" xr:uid="{00000000-0004-0000-0000-000002000000}"/>
  </hyperlinks>
  <pageMargins left="0.7" right="0.7" top="0.75" bottom="0.75" header="0.3" footer="0.3"/>
  <pageSetup paperSize="9" scale="72" orientation="portrait"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H110"/>
  <sheetViews>
    <sheetView showGridLines="0" zoomScaleNormal="100" workbookViewId="0">
      <pane ySplit="5" topLeftCell="A12" activePane="bottomLeft" state="frozen"/>
      <selection pane="bottomLeft" activeCell="F37" sqref="F37"/>
    </sheetView>
  </sheetViews>
  <sheetFormatPr defaultRowHeight="14.4" x14ac:dyDescent="0.3"/>
  <cols>
    <col min="1" max="1" width="34.6640625" customWidth="1"/>
    <col min="2" max="2" width="38.88671875" bestFit="1" customWidth="1"/>
    <col min="3" max="4" width="18.5546875" bestFit="1" customWidth="1"/>
    <col min="5" max="5" width="19.33203125" bestFit="1" customWidth="1"/>
    <col min="6" max="6" width="8.88671875" customWidth="1"/>
    <col min="7" max="7" width="15.5546875" bestFit="1" customWidth="1"/>
    <col min="8" max="8" width="11.44140625" customWidth="1"/>
  </cols>
  <sheetData>
    <row r="1" spans="1:8" ht="15.6" x14ac:dyDescent="0.3">
      <c r="A1" s="420" t="s">
        <v>20</v>
      </c>
    </row>
    <row r="3" spans="1:8" x14ac:dyDescent="0.3">
      <c r="A3" t="s">
        <v>21</v>
      </c>
    </row>
    <row r="5" spans="1:8" s="312" customFormat="1" x14ac:dyDescent="0.3">
      <c r="A5" s="312" t="s">
        <v>22</v>
      </c>
      <c r="E5" s="312" t="s">
        <v>23</v>
      </c>
      <c r="F5" s="312" t="s">
        <v>24</v>
      </c>
      <c r="G5" s="312" t="s">
        <v>25</v>
      </c>
      <c r="H5" s="595"/>
    </row>
    <row r="6" spans="1:8" x14ac:dyDescent="0.3">
      <c r="A6" s="312" t="s">
        <v>26</v>
      </c>
      <c r="E6" t="s">
        <v>27</v>
      </c>
      <c r="F6" s="498" t="s">
        <v>28</v>
      </c>
      <c r="G6" t="s">
        <v>29</v>
      </c>
    </row>
    <row r="7" spans="1:8" x14ac:dyDescent="0.3">
      <c r="A7" s="312" t="s">
        <v>30</v>
      </c>
      <c r="B7" t="s">
        <v>31</v>
      </c>
      <c r="E7" t="s">
        <v>32</v>
      </c>
      <c r="F7" s="498" t="s">
        <v>28</v>
      </c>
      <c r="G7" t="s">
        <v>33</v>
      </c>
    </row>
    <row r="8" spans="1:8" x14ac:dyDescent="0.3">
      <c r="B8" t="s">
        <v>31</v>
      </c>
      <c r="C8" t="s">
        <v>34</v>
      </c>
      <c r="E8" t="s">
        <v>32</v>
      </c>
      <c r="F8" s="498" t="s">
        <v>28</v>
      </c>
      <c r="G8" t="s">
        <v>35</v>
      </c>
    </row>
    <row r="9" spans="1:8" x14ac:dyDescent="0.3">
      <c r="B9" t="s">
        <v>36</v>
      </c>
      <c r="E9" t="s">
        <v>32</v>
      </c>
      <c r="F9" s="498" t="s">
        <v>28</v>
      </c>
      <c r="G9" t="s">
        <v>37</v>
      </c>
    </row>
    <row r="10" spans="1:8" x14ac:dyDescent="0.3">
      <c r="B10" t="s">
        <v>36</v>
      </c>
      <c r="C10" t="s">
        <v>34</v>
      </c>
      <c r="E10" t="s">
        <v>32</v>
      </c>
      <c r="F10" s="498" t="s">
        <v>28</v>
      </c>
      <c r="G10" t="s">
        <v>38</v>
      </c>
    </row>
    <row r="11" spans="1:8" x14ac:dyDescent="0.3">
      <c r="B11" t="s">
        <v>39</v>
      </c>
      <c r="E11" t="s">
        <v>32</v>
      </c>
      <c r="F11" s="590" t="s">
        <v>28</v>
      </c>
      <c r="G11" t="s">
        <v>40</v>
      </c>
    </row>
    <row r="12" spans="1:8" x14ac:dyDescent="0.3">
      <c r="B12" t="s">
        <v>41</v>
      </c>
      <c r="E12" t="s">
        <v>32</v>
      </c>
      <c r="F12" s="590" t="s">
        <v>28</v>
      </c>
      <c r="G12" t="s">
        <v>42</v>
      </c>
    </row>
    <row r="13" spans="1:8" ht="13.8" customHeight="1" x14ac:dyDescent="0.3">
      <c r="A13" s="312" t="s">
        <v>43</v>
      </c>
      <c r="B13" t="s">
        <v>1314</v>
      </c>
      <c r="E13" t="s">
        <v>32</v>
      </c>
      <c r="F13" s="498" t="s">
        <v>28</v>
      </c>
      <c r="G13" t="s">
        <v>45</v>
      </c>
    </row>
    <row r="14" spans="1:8" x14ac:dyDescent="0.3">
      <c r="B14" t="s">
        <v>44</v>
      </c>
      <c r="C14" t="s">
        <v>34</v>
      </c>
      <c r="E14" t="s">
        <v>32</v>
      </c>
      <c r="F14" s="498" t="s">
        <v>28</v>
      </c>
      <c r="G14" t="s">
        <v>46</v>
      </c>
    </row>
    <row r="15" spans="1:8" x14ac:dyDescent="0.3">
      <c r="B15" t="s">
        <v>36</v>
      </c>
      <c r="E15" t="s">
        <v>47</v>
      </c>
      <c r="F15" s="498" t="s">
        <v>28</v>
      </c>
      <c r="G15" t="s">
        <v>48</v>
      </c>
    </row>
    <row r="16" spans="1:8" x14ac:dyDescent="0.3">
      <c r="A16" s="312" t="s">
        <v>49</v>
      </c>
      <c r="B16" t="s">
        <v>50</v>
      </c>
      <c r="E16" t="s">
        <v>32</v>
      </c>
      <c r="F16" s="498" t="s">
        <v>28</v>
      </c>
      <c r="G16" t="s">
        <v>51</v>
      </c>
    </row>
    <row r="17" spans="1:7" x14ac:dyDescent="0.3">
      <c r="B17" t="s">
        <v>50</v>
      </c>
      <c r="C17" t="s">
        <v>34</v>
      </c>
      <c r="E17" t="s">
        <v>32</v>
      </c>
      <c r="F17" s="498" t="s">
        <v>28</v>
      </c>
      <c r="G17" t="s">
        <v>52</v>
      </c>
    </row>
    <row r="18" spans="1:7" x14ac:dyDescent="0.3">
      <c r="A18" s="312" t="s">
        <v>53</v>
      </c>
      <c r="B18" t="s">
        <v>54</v>
      </c>
      <c r="E18" t="s">
        <v>55</v>
      </c>
      <c r="F18" s="498" t="s">
        <v>28</v>
      </c>
      <c r="G18" t="s">
        <v>1293</v>
      </c>
    </row>
    <row r="19" spans="1:7" x14ac:dyDescent="0.3">
      <c r="A19" s="312"/>
      <c r="B19" t="s">
        <v>54</v>
      </c>
      <c r="E19" t="s">
        <v>1296</v>
      </c>
      <c r="F19" s="498" t="s">
        <v>28</v>
      </c>
      <c r="G19" t="s">
        <v>56</v>
      </c>
    </row>
    <row r="20" spans="1:7" x14ac:dyDescent="0.3">
      <c r="B20" t="s">
        <v>54</v>
      </c>
      <c r="E20" t="s">
        <v>57</v>
      </c>
      <c r="F20" s="498" t="s">
        <v>28</v>
      </c>
      <c r="G20" t="s">
        <v>58</v>
      </c>
    </row>
    <row r="21" spans="1:7" x14ac:dyDescent="0.3">
      <c r="B21" t="s">
        <v>59</v>
      </c>
      <c r="C21" t="s">
        <v>60</v>
      </c>
      <c r="E21" t="s">
        <v>1296</v>
      </c>
      <c r="F21" s="498" t="s">
        <v>28</v>
      </c>
      <c r="G21" t="s">
        <v>61</v>
      </c>
    </row>
    <row r="22" spans="1:7" x14ac:dyDescent="0.3">
      <c r="B22" t="s">
        <v>59</v>
      </c>
      <c r="C22" t="s">
        <v>60</v>
      </c>
      <c r="D22" t="s">
        <v>62</v>
      </c>
      <c r="E22" t="s">
        <v>1296</v>
      </c>
      <c r="F22" s="498" t="s">
        <v>28</v>
      </c>
      <c r="G22" t="s">
        <v>63</v>
      </c>
    </row>
    <row r="23" spans="1:7" x14ac:dyDescent="0.3">
      <c r="B23" t="s">
        <v>54</v>
      </c>
      <c r="C23" t="s">
        <v>64</v>
      </c>
      <c r="E23" t="s">
        <v>1296</v>
      </c>
      <c r="F23" s="498" t="s">
        <v>28</v>
      </c>
      <c r="G23" t="s">
        <v>65</v>
      </c>
    </row>
    <row r="24" spans="1:7" x14ac:dyDescent="0.3">
      <c r="B24" t="s">
        <v>54</v>
      </c>
      <c r="C24" t="s">
        <v>64</v>
      </c>
      <c r="E24" t="s">
        <v>57</v>
      </c>
      <c r="F24" s="498" t="s">
        <v>28</v>
      </c>
      <c r="G24" t="s">
        <v>66</v>
      </c>
    </row>
    <row r="25" spans="1:7" x14ac:dyDescent="0.3">
      <c r="B25" t="s">
        <v>54</v>
      </c>
      <c r="C25" t="s">
        <v>67</v>
      </c>
      <c r="E25" t="s">
        <v>1296</v>
      </c>
      <c r="F25" s="498" t="s">
        <v>28</v>
      </c>
      <c r="G25" t="s">
        <v>68</v>
      </c>
    </row>
    <row r="26" spans="1:7" x14ac:dyDescent="0.3">
      <c r="B26" t="s">
        <v>54</v>
      </c>
      <c r="C26" t="s">
        <v>62</v>
      </c>
      <c r="E26" t="s">
        <v>1296</v>
      </c>
      <c r="F26" s="498" t="s">
        <v>28</v>
      </c>
      <c r="G26" t="s">
        <v>69</v>
      </c>
    </row>
    <row r="27" spans="1:7" x14ac:dyDescent="0.3">
      <c r="B27" t="s">
        <v>54</v>
      </c>
      <c r="C27" t="s">
        <v>70</v>
      </c>
      <c r="E27" t="s">
        <v>1296</v>
      </c>
      <c r="F27" s="498" t="s">
        <v>28</v>
      </c>
      <c r="G27" t="s">
        <v>71</v>
      </c>
    </row>
    <row r="28" spans="1:7" x14ac:dyDescent="0.3">
      <c r="B28" t="s">
        <v>59</v>
      </c>
      <c r="C28" t="s">
        <v>70</v>
      </c>
      <c r="D28" t="s">
        <v>60</v>
      </c>
      <c r="E28" t="s">
        <v>1296</v>
      </c>
      <c r="F28" s="498" t="s">
        <v>28</v>
      </c>
      <c r="G28" t="s">
        <v>72</v>
      </c>
    </row>
    <row r="29" spans="1:7" x14ac:dyDescent="0.3">
      <c r="B29" t="s">
        <v>59</v>
      </c>
      <c r="C29" t="s">
        <v>70</v>
      </c>
      <c r="D29" t="s">
        <v>67</v>
      </c>
      <c r="E29" t="s">
        <v>1296</v>
      </c>
      <c r="F29" s="498" t="s">
        <v>28</v>
      </c>
      <c r="G29" t="s">
        <v>73</v>
      </c>
    </row>
    <row r="30" spans="1:7" x14ac:dyDescent="0.3">
      <c r="B30" t="s">
        <v>59</v>
      </c>
      <c r="C30" t="s">
        <v>70</v>
      </c>
      <c r="D30" t="s">
        <v>62</v>
      </c>
      <c r="E30" t="s">
        <v>1296</v>
      </c>
      <c r="F30" s="498" t="s">
        <v>28</v>
      </c>
      <c r="G30" t="s">
        <v>74</v>
      </c>
    </row>
    <row r="31" spans="1:7" x14ac:dyDescent="0.3">
      <c r="B31" t="s">
        <v>75</v>
      </c>
      <c r="C31" t="s">
        <v>70</v>
      </c>
      <c r="D31" t="s">
        <v>62</v>
      </c>
      <c r="E31" t="s">
        <v>1296</v>
      </c>
      <c r="F31" s="498" t="s">
        <v>28</v>
      </c>
      <c r="G31" t="s">
        <v>76</v>
      </c>
    </row>
    <row r="32" spans="1:7" x14ac:dyDescent="0.3">
      <c r="B32" t="s">
        <v>77</v>
      </c>
      <c r="C32" t="s">
        <v>70</v>
      </c>
      <c r="D32" t="s">
        <v>62</v>
      </c>
      <c r="E32" t="s">
        <v>1296</v>
      </c>
      <c r="F32" s="498" t="s">
        <v>28</v>
      </c>
      <c r="G32" t="s">
        <v>78</v>
      </c>
    </row>
    <row r="33" spans="2:7" x14ac:dyDescent="0.3">
      <c r="B33" t="s">
        <v>79</v>
      </c>
      <c r="C33" t="s">
        <v>70</v>
      </c>
      <c r="D33" t="s">
        <v>62</v>
      </c>
      <c r="E33" t="s">
        <v>1296</v>
      </c>
      <c r="F33" s="498" t="s">
        <v>28</v>
      </c>
      <c r="G33" t="s">
        <v>80</v>
      </c>
    </row>
    <row r="34" spans="2:7" x14ac:dyDescent="0.3">
      <c r="B34" t="s">
        <v>81</v>
      </c>
      <c r="C34" t="s">
        <v>70</v>
      </c>
      <c r="D34" t="s">
        <v>62</v>
      </c>
      <c r="E34" t="s">
        <v>1296</v>
      </c>
      <c r="F34" s="498" t="s">
        <v>28</v>
      </c>
      <c r="G34" t="s">
        <v>82</v>
      </c>
    </row>
    <row r="35" spans="2:7" x14ac:dyDescent="0.3">
      <c r="B35" t="s">
        <v>59</v>
      </c>
      <c r="C35" t="s">
        <v>70</v>
      </c>
      <c r="D35" t="s">
        <v>62</v>
      </c>
      <c r="E35" t="s">
        <v>57</v>
      </c>
      <c r="F35" s="498" t="s">
        <v>28</v>
      </c>
      <c r="G35" t="s">
        <v>83</v>
      </c>
    </row>
    <row r="36" spans="2:7" x14ac:dyDescent="0.3">
      <c r="B36" t="s">
        <v>75</v>
      </c>
      <c r="C36" t="s">
        <v>70</v>
      </c>
      <c r="D36" t="s">
        <v>62</v>
      </c>
      <c r="E36" t="s">
        <v>57</v>
      </c>
      <c r="F36" s="498" t="s">
        <v>28</v>
      </c>
      <c r="G36" t="s">
        <v>84</v>
      </c>
    </row>
    <row r="37" spans="2:7" x14ac:dyDescent="0.3">
      <c r="B37" t="s">
        <v>77</v>
      </c>
      <c r="C37" t="s">
        <v>70</v>
      </c>
      <c r="D37" t="s">
        <v>62</v>
      </c>
      <c r="E37" t="s">
        <v>57</v>
      </c>
      <c r="F37" s="498" t="s">
        <v>28</v>
      </c>
      <c r="G37" t="s">
        <v>85</v>
      </c>
    </row>
    <row r="38" spans="2:7" x14ac:dyDescent="0.3">
      <c r="B38" t="s">
        <v>79</v>
      </c>
      <c r="C38" t="s">
        <v>70</v>
      </c>
      <c r="D38" t="s">
        <v>62</v>
      </c>
      <c r="E38" t="s">
        <v>57</v>
      </c>
      <c r="F38" s="498" t="s">
        <v>28</v>
      </c>
      <c r="G38" t="s">
        <v>86</v>
      </c>
    </row>
    <row r="39" spans="2:7" x14ac:dyDescent="0.3">
      <c r="B39" t="s">
        <v>54</v>
      </c>
      <c r="C39" t="s">
        <v>87</v>
      </c>
      <c r="E39" t="s">
        <v>1296</v>
      </c>
      <c r="F39" s="498" t="s">
        <v>28</v>
      </c>
      <c r="G39" t="s">
        <v>88</v>
      </c>
    </row>
    <row r="40" spans="2:7" x14ac:dyDescent="0.3">
      <c r="B40" t="s">
        <v>54</v>
      </c>
      <c r="C40" t="s">
        <v>87</v>
      </c>
      <c r="E40" t="s">
        <v>1296</v>
      </c>
      <c r="F40" s="498" t="s">
        <v>28</v>
      </c>
      <c r="G40" t="s">
        <v>89</v>
      </c>
    </row>
    <row r="41" spans="2:7" x14ac:dyDescent="0.3">
      <c r="B41" t="s">
        <v>54</v>
      </c>
      <c r="C41" t="s">
        <v>87</v>
      </c>
      <c r="D41" t="s">
        <v>70</v>
      </c>
      <c r="E41" t="s">
        <v>1296</v>
      </c>
      <c r="F41" s="498" t="s">
        <v>28</v>
      </c>
      <c r="G41" t="s">
        <v>90</v>
      </c>
    </row>
    <row r="42" spans="2:7" x14ac:dyDescent="0.3">
      <c r="B42" t="s">
        <v>54</v>
      </c>
      <c r="C42" t="s">
        <v>87</v>
      </c>
      <c r="D42" t="s">
        <v>70</v>
      </c>
      <c r="E42" t="s">
        <v>57</v>
      </c>
      <c r="F42" s="498" t="s">
        <v>28</v>
      </c>
      <c r="G42" t="s">
        <v>91</v>
      </c>
    </row>
    <row r="43" spans="2:7" x14ac:dyDescent="0.3">
      <c r="B43" t="s">
        <v>54</v>
      </c>
      <c r="C43" t="s">
        <v>92</v>
      </c>
      <c r="E43" t="s">
        <v>1296</v>
      </c>
      <c r="F43" s="498" t="s">
        <v>28</v>
      </c>
      <c r="G43" t="s">
        <v>93</v>
      </c>
    </row>
    <row r="44" spans="2:7" x14ac:dyDescent="0.3">
      <c r="B44" t="s">
        <v>54</v>
      </c>
      <c r="C44" t="s">
        <v>92</v>
      </c>
      <c r="E44" t="s">
        <v>94</v>
      </c>
      <c r="F44" s="498" t="s">
        <v>28</v>
      </c>
      <c r="G44" t="s">
        <v>95</v>
      </c>
    </row>
    <row r="45" spans="2:7" x14ac:dyDescent="0.3">
      <c r="B45" t="s">
        <v>54</v>
      </c>
      <c r="C45" t="s">
        <v>96</v>
      </c>
      <c r="E45" t="s">
        <v>1296</v>
      </c>
      <c r="F45" s="498" t="s">
        <v>28</v>
      </c>
      <c r="G45" t="s">
        <v>97</v>
      </c>
    </row>
    <row r="46" spans="2:7" x14ac:dyDescent="0.3">
      <c r="B46" t="s">
        <v>54</v>
      </c>
      <c r="C46" t="s">
        <v>96</v>
      </c>
      <c r="E46" t="s">
        <v>94</v>
      </c>
      <c r="F46" s="498" t="s">
        <v>28</v>
      </c>
      <c r="G46" t="s">
        <v>98</v>
      </c>
    </row>
    <row r="47" spans="2:7" x14ac:dyDescent="0.3">
      <c r="B47" t="s">
        <v>54</v>
      </c>
      <c r="C47" t="s">
        <v>99</v>
      </c>
      <c r="E47" t="s">
        <v>94</v>
      </c>
      <c r="F47" s="498" t="s">
        <v>28</v>
      </c>
      <c r="G47" t="s">
        <v>100</v>
      </c>
    </row>
    <row r="48" spans="2:7" x14ac:dyDescent="0.3">
      <c r="B48" t="s">
        <v>54</v>
      </c>
      <c r="C48" t="s">
        <v>101</v>
      </c>
      <c r="E48" t="s">
        <v>94</v>
      </c>
      <c r="F48" s="498" t="s">
        <v>28</v>
      </c>
      <c r="G48" t="s">
        <v>102</v>
      </c>
    </row>
    <row r="49" spans="1:8" x14ac:dyDescent="0.3">
      <c r="B49" t="s">
        <v>54</v>
      </c>
      <c r="C49" t="s">
        <v>103</v>
      </c>
      <c r="E49" t="s">
        <v>94</v>
      </c>
      <c r="F49" s="498" t="s">
        <v>28</v>
      </c>
      <c r="G49" t="s">
        <v>104</v>
      </c>
    </row>
    <row r="50" spans="1:8" x14ac:dyDescent="0.3">
      <c r="B50" t="s">
        <v>105</v>
      </c>
      <c r="C50" t="s">
        <v>92</v>
      </c>
      <c r="E50" t="s">
        <v>32</v>
      </c>
      <c r="F50" s="498" t="s">
        <v>28</v>
      </c>
      <c r="G50" t="s">
        <v>106</v>
      </c>
    </row>
    <row r="51" spans="1:8" x14ac:dyDescent="0.3">
      <c r="B51" t="s">
        <v>105</v>
      </c>
      <c r="C51" t="s">
        <v>87</v>
      </c>
      <c r="E51" t="s">
        <v>32</v>
      </c>
      <c r="F51" s="498" t="s">
        <v>28</v>
      </c>
      <c r="G51" t="s">
        <v>107</v>
      </c>
    </row>
    <row r="52" spans="1:8" x14ac:dyDescent="0.3">
      <c r="B52" t="s">
        <v>105</v>
      </c>
      <c r="C52" t="s">
        <v>99</v>
      </c>
      <c r="E52" t="s">
        <v>32</v>
      </c>
      <c r="F52" s="498" t="s">
        <v>28</v>
      </c>
      <c r="G52" t="s">
        <v>108</v>
      </c>
    </row>
    <row r="53" spans="1:8" x14ac:dyDescent="0.3">
      <c r="B53" t="s">
        <v>105</v>
      </c>
      <c r="C53" t="s">
        <v>101</v>
      </c>
      <c r="E53" t="s">
        <v>32</v>
      </c>
      <c r="F53" s="498" t="s">
        <v>28</v>
      </c>
      <c r="G53" t="s">
        <v>109</v>
      </c>
    </row>
    <row r="54" spans="1:8" x14ac:dyDescent="0.3">
      <c r="B54" t="s">
        <v>110</v>
      </c>
      <c r="C54" t="s">
        <v>111</v>
      </c>
      <c r="E54" t="s">
        <v>32</v>
      </c>
      <c r="F54" s="498" t="s">
        <v>28</v>
      </c>
      <c r="G54" t="s">
        <v>112</v>
      </c>
    </row>
    <row r="55" spans="1:8" x14ac:dyDescent="0.3">
      <c r="A55" s="312" t="s">
        <v>113</v>
      </c>
      <c r="B55" t="s">
        <v>54</v>
      </c>
      <c r="E55" t="s">
        <v>1296</v>
      </c>
      <c r="F55" s="498" t="s">
        <v>28</v>
      </c>
      <c r="G55" t="s">
        <v>114</v>
      </c>
    </row>
    <row r="56" spans="1:8" x14ac:dyDescent="0.3">
      <c r="B56" t="s">
        <v>54</v>
      </c>
      <c r="E56" t="s">
        <v>57</v>
      </c>
      <c r="F56" s="498" t="s">
        <v>28</v>
      </c>
      <c r="G56" t="s">
        <v>115</v>
      </c>
    </row>
    <row r="57" spans="1:8" x14ac:dyDescent="0.3">
      <c r="B57" t="s">
        <v>54</v>
      </c>
      <c r="C57" t="s">
        <v>87</v>
      </c>
      <c r="E57" t="s">
        <v>1296</v>
      </c>
      <c r="F57" s="498" t="s">
        <v>28</v>
      </c>
      <c r="G57" t="s">
        <v>116</v>
      </c>
    </row>
    <row r="58" spans="1:8" x14ac:dyDescent="0.3">
      <c r="B58" t="s">
        <v>54</v>
      </c>
      <c r="C58" t="s">
        <v>92</v>
      </c>
      <c r="E58" t="s">
        <v>1296</v>
      </c>
      <c r="F58" s="498" t="s">
        <v>28</v>
      </c>
      <c r="G58" t="s">
        <v>117</v>
      </c>
      <c r="H58" s="560"/>
    </row>
    <row r="59" spans="1:8" x14ac:dyDescent="0.3">
      <c r="B59" t="s">
        <v>54</v>
      </c>
      <c r="C59" t="s">
        <v>96</v>
      </c>
      <c r="E59" t="s">
        <v>1296</v>
      </c>
      <c r="F59" s="498" t="s">
        <v>28</v>
      </c>
      <c r="G59" t="s">
        <v>118</v>
      </c>
      <c r="H59" s="560"/>
    </row>
    <row r="60" spans="1:8" x14ac:dyDescent="0.3">
      <c r="A60" s="312" t="s">
        <v>119</v>
      </c>
      <c r="B60" t="s">
        <v>120</v>
      </c>
      <c r="E60" t="s">
        <v>32</v>
      </c>
      <c r="F60" s="498" t="s">
        <v>28</v>
      </c>
      <c r="G60" t="s">
        <v>121</v>
      </c>
    </row>
    <row r="61" spans="1:8" x14ac:dyDescent="0.3">
      <c r="B61" t="s">
        <v>122</v>
      </c>
      <c r="E61" t="s">
        <v>32</v>
      </c>
      <c r="F61" s="498" t="s">
        <v>28</v>
      </c>
      <c r="G61" t="s">
        <v>123</v>
      </c>
    </row>
    <row r="62" spans="1:8" x14ac:dyDescent="0.3">
      <c r="B62" t="s">
        <v>120</v>
      </c>
      <c r="C62" t="s">
        <v>34</v>
      </c>
      <c r="E62" t="s">
        <v>32</v>
      </c>
      <c r="F62" s="498" t="s">
        <v>28</v>
      </c>
      <c r="G62" t="s">
        <v>124</v>
      </c>
    </row>
    <row r="63" spans="1:8" x14ac:dyDescent="0.3">
      <c r="A63" s="312" t="s">
        <v>125</v>
      </c>
      <c r="B63" t="s">
        <v>126</v>
      </c>
      <c r="E63" t="s">
        <v>32</v>
      </c>
      <c r="F63" s="498" t="s">
        <v>28</v>
      </c>
      <c r="G63" t="s">
        <v>127</v>
      </c>
    </row>
    <row r="64" spans="1:8" x14ac:dyDescent="0.3">
      <c r="B64" t="s">
        <v>128</v>
      </c>
      <c r="E64" t="s">
        <v>32</v>
      </c>
      <c r="F64" s="498" t="s">
        <v>28</v>
      </c>
      <c r="G64" t="s">
        <v>129</v>
      </c>
      <c r="H64" s="560"/>
    </row>
    <row r="65" spans="1:8" x14ac:dyDescent="0.3">
      <c r="B65" t="s">
        <v>130</v>
      </c>
      <c r="C65" t="s">
        <v>34</v>
      </c>
      <c r="E65" t="s">
        <v>32</v>
      </c>
      <c r="F65" s="498" t="s">
        <v>28</v>
      </c>
      <c r="G65" t="s">
        <v>131</v>
      </c>
      <c r="H65" s="560"/>
    </row>
    <row r="66" spans="1:8" x14ac:dyDescent="0.3">
      <c r="A66" s="312" t="s">
        <v>132</v>
      </c>
      <c r="B66" t="s">
        <v>133</v>
      </c>
      <c r="E66" t="s">
        <v>32</v>
      </c>
      <c r="F66" s="498" t="s">
        <v>28</v>
      </c>
      <c r="G66" t="s">
        <v>134</v>
      </c>
    </row>
    <row r="67" spans="1:8" x14ac:dyDescent="0.3">
      <c r="B67" t="s">
        <v>133</v>
      </c>
      <c r="E67" t="s">
        <v>135</v>
      </c>
      <c r="F67" s="498" t="s">
        <v>28</v>
      </c>
      <c r="G67" t="s">
        <v>136</v>
      </c>
    </row>
    <row r="68" spans="1:8" x14ac:dyDescent="0.3">
      <c r="B68" t="s">
        <v>137</v>
      </c>
      <c r="E68" t="s">
        <v>138</v>
      </c>
      <c r="F68" s="498" t="s">
        <v>28</v>
      </c>
      <c r="G68" t="s">
        <v>139</v>
      </c>
    </row>
    <row r="69" spans="1:8" x14ac:dyDescent="0.3">
      <c r="B69" t="s">
        <v>140</v>
      </c>
      <c r="E69" t="s">
        <v>32</v>
      </c>
      <c r="F69" s="498" t="s">
        <v>28</v>
      </c>
      <c r="G69" t="s">
        <v>141</v>
      </c>
    </row>
    <row r="70" spans="1:8" x14ac:dyDescent="0.3">
      <c r="B70" t="s">
        <v>140</v>
      </c>
      <c r="C70" t="s">
        <v>142</v>
      </c>
      <c r="E70" t="s">
        <v>32</v>
      </c>
      <c r="F70" s="498" t="s">
        <v>28</v>
      </c>
      <c r="G70" t="s">
        <v>143</v>
      </c>
    </row>
    <row r="71" spans="1:8" x14ac:dyDescent="0.3">
      <c r="B71" t="s">
        <v>140</v>
      </c>
      <c r="E71" t="s">
        <v>94</v>
      </c>
      <c r="F71" s="498" t="s">
        <v>28</v>
      </c>
      <c r="G71" t="s">
        <v>144</v>
      </c>
    </row>
    <row r="72" spans="1:8" x14ac:dyDescent="0.3">
      <c r="B72" t="s">
        <v>140</v>
      </c>
      <c r="C72" t="s">
        <v>142</v>
      </c>
      <c r="E72" t="s">
        <v>94</v>
      </c>
      <c r="F72" s="498" t="s">
        <v>28</v>
      </c>
      <c r="G72" t="s">
        <v>145</v>
      </c>
    </row>
    <row r="73" spans="1:8" x14ac:dyDescent="0.3">
      <c r="B73" t="s">
        <v>146</v>
      </c>
      <c r="C73" t="s">
        <v>92</v>
      </c>
      <c r="E73" t="s">
        <v>32</v>
      </c>
      <c r="F73" s="498" t="s">
        <v>28</v>
      </c>
      <c r="G73" t="s">
        <v>147</v>
      </c>
    </row>
    <row r="74" spans="1:8" x14ac:dyDescent="0.3">
      <c r="B74" t="s">
        <v>146</v>
      </c>
      <c r="C74" t="s">
        <v>92</v>
      </c>
      <c r="E74" t="s">
        <v>94</v>
      </c>
      <c r="F74" s="498" t="s">
        <v>28</v>
      </c>
      <c r="G74" t="s">
        <v>148</v>
      </c>
    </row>
    <row r="75" spans="1:8" x14ac:dyDescent="0.3">
      <c r="B75" t="s">
        <v>149</v>
      </c>
      <c r="E75" t="s">
        <v>32</v>
      </c>
      <c r="F75" s="590" t="s">
        <v>28</v>
      </c>
      <c r="G75" t="s">
        <v>150</v>
      </c>
    </row>
    <row r="76" spans="1:8" x14ac:dyDescent="0.3">
      <c r="B76" t="s">
        <v>151</v>
      </c>
      <c r="E76" t="s">
        <v>32</v>
      </c>
      <c r="F76" s="590" t="s">
        <v>28</v>
      </c>
      <c r="G76" t="s">
        <v>152</v>
      </c>
    </row>
    <row r="77" spans="1:8" x14ac:dyDescent="0.3">
      <c r="B77" t="s">
        <v>151</v>
      </c>
      <c r="E77" t="s">
        <v>94</v>
      </c>
      <c r="F77" s="590" t="s">
        <v>28</v>
      </c>
      <c r="G77" t="s">
        <v>153</v>
      </c>
    </row>
    <row r="78" spans="1:8" x14ac:dyDescent="0.3">
      <c r="B78" t="s">
        <v>151</v>
      </c>
      <c r="C78" t="s">
        <v>154</v>
      </c>
      <c r="E78" t="s">
        <v>32</v>
      </c>
      <c r="F78" s="590" t="s">
        <v>28</v>
      </c>
      <c r="G78" t="s">
        <v>155</v>
      </c>
    </row>
    <row r="79" spans="1:8" x14ac:dyDescent="0.3">
      <c r="B79" t="s">
        <v>151</v>
      </c>
      <c r="C79" t="s">
        <v>142</v>
      </c>
      <c r="E79" t="s">
        <v>135</v>
      </c>
      <c r="F79" s="590" t="s">
        <v>28</v>
      </c>
      <c r="G79" t="s">
        <v>156</v>
      </c>
    </row>
    <row r="80" spans="1:8" x14ac:dyDescent="0.3">
      <c r="B80" t="s">
        <v>151</v>
      </c>
      <c r="C80" t="s">
        <v>142</v>
      </c>
      <c r="E80" t="s">
        <v>94</v>
      </c>
      <c r="F80" s="590" t="s">
        <v>28</v>
      </c>
      <c r="G80" t="s">
        <v>157</v>
      </c>
    </row>
    <row r="81" spans="1:7" x14ac:dyDescent="0.3">
      <c r="B81" t="s">
        <v>151</v>
      </c>
      <c r="C81" t="s">
        <v>142</v>
      </c>
      <c r="D81" t="s">
        <v>158</v>
      </c>
      <c r="E81" t="s">
        <v>94</v>
      </c>
      <c r="F81" s="590" t="s">
        <v>28</v>
      </c>
      <c r="G81" t="s">
        <v>159</v>
      </c>
    </row>
    <row r="82" spans="1:7" x14ac:dyDescent="0.3">
      <c r="B82" t="s">
        <v>160</v>
      </c>
      <c r="E82" t="s">
        <v>32</v>
      </c>
      <c r="F82" s="590" t="s">
        <v>28</v>
      </c>
      <c r="G82" t="s">
        <v>161</v>
      </c>
    </row>
    <row r="83" spans="1:7" x14ac:dyDescent="0.3">
      <c r="B83" t="s">
        <v>160</v>
      </c>
      <c r="E83" t="s">
        <v>94</v>
      </c>
      <c r="F83" s="498" t="s">
        <v>28</v>
      </c>
      <c r="G83" t="s">
        <v>162</v>
      </c>
    </row>
    <row r="84" spans="1:7" x14ac:dyDescent="0.3">
      <c r="B84" t="s">
        <v>133</v>
      </c>
      <c r="C84" t="s">
        <v>34</v>
      </c>
      <c r="E84" t="s">
        <v>32</v>
      </c>
      <c r="F84" s="498" t="s">
        <v>28</v>
      </c>
      <c r="G84" t="s">
        <v>163</v>
      </c>
    </row>
    <row r="85" spans="1:7" x14ac:dyDescent="0.3">
      <c r="B85" t="s">
        <v>133</v>
      </c>
      <c r="C85" t="s">
        <v>34</v>
      </c>
      <c r="E85" t="s">
        <v>94</v>
      </c>
      <c r="F85" s="498" t="s">
        <v>28</v>
      </c>
      <c r="G85" t="s">
        <v>164</v>
      </c>
    </row>
    <row r="86" spans="1:7" x14ac:dyDescent="0.3">
      <c r="B86" t="s">
        <v>165</v>
      </c>
      <c r="C86" t="s">
        <v>34</v>
      </c>
      <c r="E86" t="s">
        <v>138</v>
      </c>
      <c r="F86" s="498" t="s">
        <v>28</v>
      </c>
      <c r="G86" t="s">
        <v>166</v>
      </c>
    </row>
    <row r="87" spans="1:7" x14ac:dyDescent="0.3">
      <c r="A87" s="312" t="s">
        <v>167</v>
      </c>
      <c r="B87" t="s">
        <v>165</v>
      </c>
      <c r="E87" t="s">
        <v>32</v>
      </c>
      <c r="F87" s="498" t="s">
        <v>28</v>
      </c>
      <c r="G87" t="s">
        <v>168</v>
      </c>
    </row>
    <row r="88" spans="1:7" x14ac:dyDescent="0.3">
      <c r="B88" t="s">
        <v>142</v>
      </c>
      <c r="E88" t="s">
        <v>32</v>
      </c>
      <c r="F88" s="498" t="s">
        <v>28</v>
      </c>
      <c r="G88" t="s">
        <v>169</v>
      </c>
    </row>
    <row r="89" spans="1:7" x14ac:dyDescent="0.3">
      <c r="B89" t="s">
        <v>146</v>
      </c>
      <c r="E89" t="s">
        <v>94</v>
      </c>
      <c r="F89" s="498" t="s">
        <v>28</v>
      </c>
      <c r="G89" t="s">
        <v>170</v>
      </c>
    </row>
    <row r="90" spans="1:7" x14ac:dyDescent="0.3">
      <c r="B90" t="s">
        <v>151</v>
      </c>
      <c r="E90" t="s">
        <v>94</v>
      </c>
      <c r="F90" s="498" t="s">
        <v>28</v>
      </c>
      <c r="G90" t="s">
        <v>171</v>
      </c>
    </row>
    <row r="91" spans="1:7" x14ac:dyDescent="0.3">
      <c r="B91" t="s">
        <v>151</v>
      </c>
      <c r="C91" t="s">
        <v>154</v>
      </c>
      <c r="E91" t="s">
        <v>94</v>
      </c>
      <c r="F91" s="498" t="s">
        <v>28</v>
      </c>
      <c r="G91" t="s">
        <v>172</v>
      </c>
    </row>
    <row r="92" spans="1:7" x14ac:dyDescent="0.3">
      <c r="B92" t="s">
        <v>151</v>
      </c>
      <c r="C92" t="s">
        <v>154</v>
      </c>
      <c r="E92" t="s">
        <v>135</v>
      </c>
      <c r="F92" s="498" t="s">
        <v>28</v>
      </c>
      <c r="G92" t="s">
        <v>173</v>
      </c>
    </row>
    <row r="93" spans="1:7" x14ac:dyDescent="0.3">
      <c r="B93" t="s">
        <v>151</v>
      </c>
      <c r="C93" t="s">
        <v>154</v>
      </c>
      <c r="D93" t="s">
        <v>158</v>
      </c>
      <c r="E93" t="s">
        <v>94</v>
      </c>
      <c r="F93" s="498" t="s">
        <v>28</v>
      </c>
      <c r="G93" t="s">
        <v>174</v>
      </c>
    </row>
    <row r="94" spans="1:7" x14ac:dyDescent="0.3">
      <c r="B94" t="s">
        <v>151</v>
      </c>
      <c r="C94" t="s">
        <v>154</v>
      </c>
      <c r="D94" t="s">
        <v>158</v>
      </c>
      <c r="E94" t="s">
        <v>175</v>
      </c>
      <c r="F94" s="498" t="s">
        <v>28</v>
      </c>
      <c r="G94" t="s">
        <v>176</v>
      </c>
    </row>
    <row r="95" spans="1:7" x14ac:dyDescent="0.3">
      <c r="B95" t="s">
        <v>160</v>
      </c>
      <c r="E95" t="s">
        <v>94</v>
      </c>
      <c r="F95" s="498" t="s">
        <v>28</v>
      </c>
      <c r="G95" t="s">
        <v>177</v>
      </c>
    </row>
    <row r="96" spans="1:7" x14ac:dyDescent="0.3">
      <c r="B96" t="s">
        <v>34</v>
      </c>
      <c r="E96" t="s">
        <v>94</v>
      </c>
      <c r="F96" s="498" t="s">
        <v>28</v>
      </c>
      <c r="G96" t="s">
        <v>178</v>
      </c>
    </row>
    <row r="97" spans="1:7" x14ac:dyDescent="0.3">
      <c r="B97" t="s">
        <v>34</v>
      </c>
      <c r="E97" t="s">
        <v>47</v>
      </c>
      <c r="F97" s="498" t="s">
        <v>28</v>
      </c>
      <c r="G97" t="s">
        <v>179</v>
      </c>
    </row>
    <row r="98" spans="1:7" x14ac:dyDescent="0.3">
      <c r="B98" t="s">
        <v>34</v>
      </c>
      <c r="C98" t="s">
        <v>154</v>
      </c>
      <c r="E98" t="s">
        <v>47</v>
      </c>
      <c r="F98" s="498" t="s">
        <v>28</v>
      </c>
      <c r="G98" t="s">
        <v>180</v>
      </c>
    </row>
    <row r="99" spans="1:7" x14ac:dyDescent="0.3">
      <c r="A99" s="312" t="s">
        <v>182</v>
      </c>
      <c r="B99" t="s">
        <v>183</v>
      </c>
      <c r="E99" t="s">
        <v>32</v>
      </c>
      <c r="F99" s="498" t="s">
        <v>28</v>
      </c>
      <c r="G99" t="s">
        <v>184</v>
      </c>
    </row>
    <row r="100" spans="1:7" x14ac:dyDescent="0.3">
      <c r="B100" t="s">
        <v>185</v>
      </c>
      <c r="C100" t="s">
        <v>186</v>
      </c>
      <c r="E100" t="s">
        <v>32</v>
      </c>
      <c r="F100" s="498" t="s">
        <v>28</v>
      </c>
      <c r="G100" t="s">
        <v>187</v>
      </c>
    </row>
    <row r="101" spans="1:7" x14ac:dyDescent="0.3">
      <c r="B101" t="s">
        <v>185</v>
      </c>
      <c r="C101" t="s">
        <v>186</v>
      </c>
      <c r="D101" t="s">
        <v>34</v>
      </c>
      <c r="E101" t="s">
        <v>32</v>
      </c>
      <c r="F101" s="498" t="s">
        <v>28</v>
      </c>
      <c r="G101" t="s">
        <v>188</v>
      </c>
    </row>
    <row r="102" spans="1:7" x14ac:dyDescent="0.3">
      <c r="B102" t="s">
        <v>189</v>
      </c>
      <c r="E102" t="s">
        <v>32</v>
      </c>
      <c r="F102" s="498" t="s">
        <v>28</v>
      </c>
      <c r="G102" t="s">
        <v>190</v>
      </c>
    </row>
    <row r="103" spans="1:7" x14ac:dyDescent="0.3">
      <c r="B103" t="s">
        <v>189</v>
      </c>
      <c r="C103" t="s">
        <v>186</v>
      </c>
      <c r="E103" t="s">
        <v>32</v>
      </c>
      <c r="F103" s="498" t="s">
        <v>28</v>
      </c>
      <c r="G103" t="s">
        <v>191</v>
      </c>
    </row>
    <row r="104" spans="1:7" x14ac:dyDescent="0.3">
      <c r="B104" t="s">
        <v>189</v>
      </c>
      <c r="C104" t="s">
        <v>186</v>
      </c>
      <c r="D104" t="s">
        <v>34</v>
      </c>
      <c r="E104" t="s">
        <v>32</v>
      </c>
      <c r="F104" s="498" t="s">
        <v>28</v>
      </c>
      <c r="G104" t="s">
        <v>192</v>
      </c>
    </row>
    <row r="105" spans="1:7" x14ac:dyDescent="0.3">
      <c r="B105" t="s">
        <v>193</v>
      </c>
      <c r="E105" t="s">
        <v>32</v>
      </c>
      <c r="F105" s="498" t="s">
        <v>28</v>
      </c>
      <c r="G105" t="s">
        <v>194</v>
      </c>
    </row>
    <row r="106" spans="1:7" x14ac:dyDescent="0.3">
      <c r="B106" t="s">
        <v>185</v>
      </c>
      <c r="C106" t="s">
        <v>195</v>
      </c>
      <c r="E106" t="s">
        <v>32</v>
      </c>
      <c r="F106" s="498" t="s">
        <v>28</v>
      </c>
      <c r="G106" t="s">
        <v>196</v>
      </c>
    </row>
    <row r="107" spans="1:7" x14ac:dyDescent="0.3">
      <c r="B107" t="s">
        <v>185</v>
      </c>
      <c r="C107" t="s">
        <v>195</v>
      </c>
      <c r="E107" t="s">
        <v>94</v>
      </c>
      <c r="F107" s="498" t="s">
        <v>28</v>
      </c>
      <c r="G107" t="s">
        <v>197</v>
      </c>
    </row>
    <row r="108" spans="1:7" x14ac:dyDescent="0.3">
      <c r="A108" s="312" t="s">
        <v>198</v>
      </c>
      <c r="B108" t="s">
        <v>183</v>
      </c>
      <c r="E108" t="s">
        <v>32</v>
      </c>
      <c r="F108" s="498" t="s">
        <v>28</v>
      </c>
      <c r="G108" t="s">
        <v>199</v>
      </c>
    </row>
    <row r="109" spans="1:7" x14ac:dyDescent="0.3">
      <c r="B109" t="s">
        <v>185</v>
      </c>
      <c r="C109" t="s">
        <v>195</v>
      </c>
      <c r="E109" t="s">
        <v>32</v>
      </c>
      <c r="F109" s="498" t="s">
        <v>28</v>
      </c>
      <c r="G109" t="s">
        <v>200</v>
      </c>
    </row>
    <row r="110" spans="1:7" x14ac:dyDescent="0.3">
      <c r="F110" s="498"/>
    </row>
  </sheetData>
  <sheetProtection algorithmName="SHA-512" hashValue="HTri33mtTtydt1LqIeuuJwMf9ioFmiHzr2b61rA2lgfg11bEte5CepLyqMmN0XOPC6IdrgIsCUCyVpoG9OgWIg==" saltValue="k4XHjqpco76mWOhPC8YlmQ==" spinCount="100000" sheet="1" formatCells="0" sort="0" autoFilter="0" pivotTables="0"/>
  <hyperlinks>
    <hyperlink ref="F6" location="Structure!A4" display="link" xr:uid="{00000000-0004-0000-0100-000000000000}"/>
    <hyperlink ref="F7" location="'Crewing Model'!A4" display="link" xr:uid="{00000000-0004-0000-0100-000001000000}"/>
    <hyperlink ref="F8" location="'Crewing Model - Area'!A4" display="link" xr:uid="{00000000-0004-0000-0100-000002000000}"/>
    <hyperlink ref="F9" location="'Primary Crewing'!A4" display="link" xr:uid="{00000000-0004-0000-0100-000003000000}"/>
    <hyperlink ref="F10" location="'Primary Crewing - Area'!A4" display="link" xr:uid="{00000000-0004-0000-0100-000004000000}"/>
    <hyperlink ref="F13" location="'Chart - Station Type'!A4" display="link" xr:uid="{00000000-0004-0000-0100-000005000000}"/>
    <hyperlink ref="F14" location="'Chart - Area'!A4" display="link" xr:uid="{00000000-0004-0000-0100-000006000000}"/>
    <hyperlink ref="F15" location="'Chart - Map'!A4" display="link" xr:uid="{00000000-0004-0000-0100-000007000000}"/>
    <hyperlink ref="F16" location="Vehicles!A4" display="link" xr:uid="{00000000-0004-0000-0100-000008000000}"/>
    <hyperlink ref="F17" location="'Appliances LA'!A4" display="link" xr:uid="{00000000-0004-0000-0100-000009000000}"/>
    <hyperlink ref="F19" location="Staffing!A4" display="link" xr:uid="{00000000-0004-0000-0100-00000A000000}"/>
    <hyperlink ref="F20" location="Staffing!A36" display="link" xr:uid="{00000000-0004-0000-0100-00000B000000}"/>
    <hyperlink ref="F23" location="Department!A4" display="link" xr:uid="{00000000-0004-0000-0100-00000C000000}"/>
    <hyperlink ref="F24" location="Department!A117" display="link" xr:uid="{00000000-0004-0000-0100-00000D000000}"/>
    <hyperlink ref="F25" location="'Geographic Structure'!A4" display="link" xr:uid="{00000000-0004-0000-0100-00000E000000}"/>
    <hyperlink ref="F26" location="'Staff - Small Area'!A4" display="link" xr:uid="{00000000-0004-0000-0100-00000F000000}"/>
    <hyperlink ref="F27" location="Role!A4" display="link" xr:uid="{00000000-0004-0000-0100-000010000000}"/>
    <hyperlink ref="F29" location="'Role - Area'!A4" display="link" xr:uid="{00000000-0004-0000-0100-000011000000}"/>
    <hyperlink ref="F30" location="'WT Role - Area'!A4" display="link" xr:uid="{00000000-0004-0000-0100-000012000000}"/>
    <hyperlink ref="F31" location="'RDS Role - Area'!A4" display="link" xr:uid="{00000000-0004-0000-0100-000013000000}"/>
    <hyperlink ref="F32" location="'C&amp;S Role - Area'!A4" display="link" xr:uid="{00000000-0004-0000-0100-000014000000}"/>
    <hyperlink ref="F33" location="'C&amp;S Role - Area'!A19" display="link" xr:uid="{00000000-0004-0000-0100-000015000000}"/>
    <hyperlink ref="F34" location="'Vol Role - Area'!A4" display="link" xr:uid="{00000000-0004-0000-0100-000016000000}"/>
    <hyperlink ref="F35" location="'WT FTE Role - Area'!A4" display="link" xr:uid="{00000000-0004-0000-0100-000017000000}"/>
    <hyperlink ref="F36" location="'RDS FTE Role - Area'!A4" display="link" xr:uid="{00000000-0004-0000-0100-000018000000}"/>
    <hyperlink ref="F37" location="'C&amp;S FTE Role - Area'!A4" display="link" xr:uid="{00000000-0004-0000-0100-000019000000}"/>
    <hyperlink ref="F38" location="'C&amp;S FTE Role - Area'!A17" display="link" xr:uid="{00000000-0004-0000-0100-00001A000000}"/>
    <hyperlink ref="F39" location="'Sex Timeseries'!A4" display="link" xr:uid="{00000000-0004-0000-0100-00001B000000}"/>
    <hyperlink ref="F40" location="Sex!A4" display="link" xr:uid="{00000000-0004-0000-0100-00001C000000}"/>
    <hyperlink ref="F41" location="'Sex and Role'!A4" display="link" xr:uid="{00000000-0004-0000-0100-00001D000000}"/>
    <hyperlink ref="F42" location="'FTE Sex and Role'!A4" display="link" xr:uid="{00000000-0004-0000-0100-00001E000000}"/>
    <hyperlink ref="F43" location="Age!A4" display="link" xr:uid="{00000000-0004-0000-0100-00001F000000}"/>
    <hyperlink ref="F44" location="Age!A31" display="link" xr:uid="{00000000-0004-0000-0100-000020000000}"/>
    <hyperlink ref="F45" location="'Service Length'!A4" display="link" xr:uid="{00000000-0004-0000-0100-000021000000}"/>
    <hyperlink ref="F46" location="'Service Length'!A25" display="link" xr:uid="{00000000-0004-0000-0100-000022000000}"/>
    <hyperlink ref="F47" location="Ethnicity!A4" display="link" xr:uid="{00000000-0004-0000-0100-000023000000}"/>
    <hyperlink ref="F48" location="Disability!A4" display="link" xr:uid="{00000000-0004-0000-0100-000024000000}"/>
    <hyperlink ref="F49" location="Disability!A28" display="link" xr:uid="{00000000-0004-0000-0100-000025000000}"/>
    <hyperlink ref="F50" location="'Entrants - Demographics'!A4" display="link" xr:uid="{00000000-0004-0000-0100-000026000000}"/>
    <hyperlink ref="F51" location="'Entrants - Demographics'!A29" display="link" xr:uid="{00000000-0004-0000-0100-000027000000}"/>
    <hyperlink ref="F52" location="'Entrants - Demographics'!A44" display="link" xr:uid="{00000000-0004-0000-0100-000028000000}"/>
    <hyperlink ref="F53" location="'Entrants - Demographics'!A60" display="link" xr:uid="{00000000-0004-0000-0100-000029000000}"/>
    <hyperlink ref="F54" location="Leavers!A4" display="link" xr:uid="{00000000-0004-0000-0100-00002A000000}"/>
    <hyperlink ref="F55" location="'Chart Number of Roles'!A1" display="link" xr:uid="{00000000-0004-0000-0100-00002B000000}"/>
    <hyperlink ref="F56" location="'Chart FTE'!A4" display="link" xr:uid="{00000000-0004-0000-0100-00002C000000}"/>
    <hyperlink ref="F57" location="'Chart Sex'!A4" display="link" xr:uid="{00000000-0004-0000-0100-00002D000000}"/>
    <hyperlink ref="F58" location="'Chart Age'!A4" display="link" xr:uid="{00000000-0004-0000-0100-00002E000000}"/>
    <hyperlink ref="F60" location="Attacks!A4" display="link" xr:uid="{00000000-0004-0000-0100-00002F000000}"/>
    <hyperlink ref="F61" location="Attacks!A25" display="link" xr:uid="{00000000-0004-0000-0100-000030000000}"/>
    <hyperlink ref="F62" location="'Attacks - Area'!A4" display="link" xr:uid="{00000000-0004-0000-0100-000031000000}"/>
    <hyperlink ref="F63" location="'Chart - Attacks'!A4" display="link" xr:uid="{00000000-0004-0000-0100-000032000000}"/>
    <hyperlink ref="F64" location="'Chart - Injuries'!A4" display="link" xr:uid="{00000000-0004-0000-0100-000033000000}"/>
    <hyperlink ref="F66" location="HFSVs!A4" display="link" xr:uid="{00000000-0004-0000-0100-000034000000}"/>
    <hyperlink ref="F67" location="HFSVs!A39" display="link" xr:uid="{00000000-0004-0000-0100-000035000000}"/>
    <hyperlink ref="F68" location="HFSVs!A66" display="link" xr:uid="{00000000-0004-0000-0100-000036000000}"/>
    <hyperlink ref="F69" location="'Distinct Properties'!A4" display="link" xr:uid="{00000000-0004-0000-0100-000037000000}"/>
    <hyperlink ref="F70" location="'Distinct Properties'!A27" display="link" xr:uid="{00000000-0004-0000-0100-000038000000}"/>
    <hyperlink ref="F71" location="'Distinct Propert. Popul.'!A4" display="link" xr:uid="{00000000-0004-0000-0100-000039000000}"/>
    <hyperlink ref="F72" location="'Distinct Propert. Popul.'!A27" display="link" xr:uid="{00000000-0004-0000-0100-00003A000000}"/>
    <hyperlink ref="F73" location="Residents!A4" display="link" xr:uid="{00000000-0004-0000-0100-00003B000000}"/>
    <hyperlink ref="F74" location="Residents!A26" display="link" xr:uid="{00000000-0004-0000-0100-00003C000000}"/>
    <hyperlink ref="F76" location="'SIMD-Visits'!A4" display="link" xr:uid="{00000000-0004-0000-0100-00003D000000}"/>
    <hyperlink ref="F77" location="'SIMD-Visits'!A28" display="link" xr:uid="{00000000-0004-0000-0100-00003E000000}"/>
    <hyperlink ref="F82" location="Rurality!A4" display="link" xr:uid="{00000000-0004-0000-0100-00003F000000}"/>
    <hyperlink ref="F83" location="Rurality!A26" display="link" xr:uid="{00000000-0004-0000-0100-000040000000}"/>
    <hyperlink ref="F84" location="'HFSVs LA'!A4" display="link" xr:uid="{00000000-0004-0000-0100-000041000000}"/>
    <hyperlink ref="F85" location="'Outcome LA'!A4" display="link" xr:uid="{00000000-0004-0000-0100-000042000000}"/>
    <hyperlink ref="F86" location="'Rate LA'!A4" display="link" xr:uid="{00000000-0004-0000-0100-000043000000}"/>
    <hyperlink ref="F87" location="'Chart HFSVs'!A4" display="link" xr:uid="{00000000-0004-0000-0100-000044000000}"/>
    <hyperlink ref="F88" location="'Chart Alarms'!A4" display="link" xr:uid="{00000000-0004-0000-0100-000045000000}"/>
    <hyperlink ref="F89" location="'Chart Residents'!A4" display="link" xr:uid="{00000000-0004-0000-0100-000046000000}"/>
    <hyperlink ref="F95" location="'Chart Rurality'!A4" display="link" xr:uid="{00000000-0004-0000-0100-000047000000}"/>
    <hyperlink ref="F96" location="'Chart LA'!A4" display="link" xr:uid="{00000000-0004-0000-0100-000048000000}"/>
    <hyperlink ref="F99" location="Workflows!A4" display="link" xr:uid="{00000000-0004-0000-0100-000049000000}"/>
    <hyperlink ref="F100" location="Audits!A4" display="link" xr:uid="{00000000-0004-0000-0100-00004A000000}"/>
    <hyperlink ref="F101" location="'Audits LA'!A4" display="link" xr:uid="{00000000-0004-0000-0100-00004B000000}"/>
    <hyperlink ref="F102" location="'Audits Outcome'!A4" display="link" xr:uid="{00000000-0004-0000-0100-00004C000000}"/>
    <hyperlink ref="F103" location="'Audits Outcome'!A35" display="link" xr:uid="{00000000-0004-0000-0100-00004D000000}"/>
    <hyperlink ref="F104" location="'Audits Outcome LA'!A4" display="link" xr:uid="{00000000-0004-0000-0100-00004E000000}"/>
    <hyperlink ref="F105" location="Notices!A4" display="link" xr:uid="{00000000-0004-0000-0100-00004F000000}"/>
    <hyperlink ref="F106" location="Risk!A4" display="link" xr:uid="{00000000-0004-0000-0100-000050000000}"/>
    <hyperlink ref="F107" location="Risk!A30" display="link" xr:uid="{00000000-0004-0000-0100-000051000000}"/>
    <hyperlink ref="F108" location="'Chart Workflows'!A4" display="link" xr:uid="{00000000-0004-0000-0100-000052000000}"/>
    <hyperlink ref="F109" location="'Chart Audits'!A4" display="link" xr:uid="{00000000-0004-0000-0100-000053000000}"/>
    <hyperlink ref="F11" location="'Crewing Level'!A4" display="link" xr:uid="{00000000-0004-0000-0100-000054000000}"/>
    <hyperlink ref="F12" location="Capabilities!A4" display="link" xr:uid="{00000000-0004-0000-0100-000055000000}"/>
    <hyperlink ref="F59" location="'Chart Service Length'!A4" display="link" xr:uid="{00000000-0004-0000-0100-000056000000}"/>
    <hyperlink ref="F21" location="DutySystem!A4" display="link" xr:uid="{00000000-0004-0000-0100-000057000000}"/>
    <hyperlink ref="F22" location="'DutySytem LA'!A4" display="link" xr:uid="{00000000-0004-0000-0100-000058000000}"/>
    <hyperlink ref="F28" location="'Role DutySystem'!A4" display="link" xr:uid="{00000000-0004-0000-0100-000059000000}"/>
    <hyperlink ref="F65" location="'Chart - AttacksMap'!A4" display="link" xr:uid="{00000000-0004-0000-0100-00005A000000}"/>
    <hyperlink ref="F75" location="Tenure!A4" display="link" xr:uid="{00000000-0004-0000-0100-00005C000000}"/>
    <hyperlink ref="F78" location="'SIMD-Alarms'!A4" display="link" xr:uid="{00000000-0004-0000-0100-00005D000000}"/>
    <hyperlink ref="F79" location="'SIMD-Alarms'!A29" display="link" xr:uid="{00000000-0004-0000-0100-00005E000000}"/>
    <hyperlink ref="F80" location="'SIMD-%Alarm'!A4" display="link" xr:uid="{00000000-0004-0000-0100-00005F000000}"/>
    <hyperlink ref="F81" location="'SIMD-%Alarm'!A28" display="link" xr:uid="{00000000-0004-0000-0100-000060000000}"/>
    <hyperlink ref="F90" location="'Chart SIMD'!A4" display="link" xr:uid="{00000000-0004-0000-0100-000061000000}"/>
    <hyperlink ref="F91" location="'Chart SIMD Alarms'!A4" display="link" xr:uid="{00000000-0004-0000-0100-000062000000}"/>
    <hyperlink ref="F92" location="'Chart SIMD AlarmRate'!A4" display="link" xr:uid="{00000000-0004-0000-0100-000063000000}"/>
    <hyperlink ref="F93" location="'Chart SIMD OwnerOcc'!A4" display="link" xr:uid="{00000000-0004-0000-0100-000064000000}"/>
    <hyperlink ref="F94" location="'Chart SIMD OwnerYears'!A4" display="link" xr:uid="{00000000-0004-0000-0100-000065000000}"/>
    <hyperlink ref="F97" location="'Chart Map'!A4" display="link" xr:uid="{00000000-0004-0000-0100-000066000000}"/>
    <hyperlink ref="F98" location="'Chart Alarms Map'!A4" display="link" xr:uid="{00000000-0004-0000-0100-000067000000}"/>
    <hyperlink ref="F18" location="Headcount!A4" display="link" xr:uid="{A0D3C49B-E771-4C0F-870C-2AA8498FA0A0}"/>
  </hyperlinks>
  <pageMargins left="0.7" right="0.7" top="0.75" bottom="0.75" header="0.3" footer="0.3"/>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38">
    <tabColor rgb="FFFFAFF0"/>
    <pageSetUpPr fitToPage="1"/>
  </sheetPr>
  <dimension ref="A1:J269"/>
  <sheetViews>
    <sheetView showGridLines="0" zoomScaleNormal="100" workbookViewId="0">
      <pane ySplit="2" topLeftCell="A3" activePane="bottomLeft" state="frozen"/>
      <selection pane="bottomLeft"/>
    </sheetView>
  </sheetViews>
  <sheetFormatPr defaultRowHeight="14.4" x14ac:dyDescent="0.3"/>
  <cols>
    <col min="1" max="1" width="7.6640625" bestFit="1" customWidth="1"/>
    <col min="2" max="2" width="9.88671875" bestFit="1" customWidth="1"/>
    <col min="3" max="3" width="21.21875" bestFit="1" customWidth="1"/>
    <col min="4" max="4" width="10.77734375" bestFit="1" customWidth="1"/>
    <col min="5" max="6" width="56.21875" bestFit="1" customWidth="1"/>
    <col min="7" max="7" width="11.109375" bestFit="1" customWidth="1"/>
    <col min="8" max="8" width="21.77734375" bestFit="1" customWidth="1"/>
  </cols>
  <sheetData>
    <row r="1" spans="1:8" ht="15.6" x14ac:dyDescent="0.3">
      <c r="A1" s="420" t="s">
        <v>26</v>
      </c>
    </row>
    <row r="2" spans="1:8" x14ac:dyDescent="0.3">
      <c r="A2" s="498" t="s">
        <v>202</v>
      </c>
    </row>
    <row r="3" spans="1:8" ht="15.6" x14ac:dyDescent="0.3">
      <c r="B3" s="420"/>
      <c r="C3" s="420"/>
      <c r="D3" s="420"/>
      <c r="E3" s="420"/>
    </row>
    <row r="4" spans="1:8" ht="15" customHeight="1" x14ac:dyDescent="0.3">
      <c r="A4" t="s">
        <v>203</v>
      </c>
      <c r="B4" t="s">
        <v>29</v>
      </c>
      <c r="C4" s="347"/>
      <c r="F4" s="347"/>
      <c r="G4" s="347"/>
    </row>
    <row r="5" spans="1:8" ht="15" customHeight="1" x14ac:dyDescent="0.3">
      <c r="A5" t="s">
        <v>204</v>
      </c>
      <c r="B5" s="347" t="s">
        <v>205</v>
      </c>
      <c r="C5" s="347"/>
      <c r="D5" s="347"/>
      <c r="E5" s="347"/>
      <c r="F5" s="347"/>
      <c r="G5" s="347"/>
    </row>
    <row r="6" spans="1:8" ht="15" customHeight="1" x14ac:dyDescent="0.3">
      <c r="A6" t="s">
        <v>206</v>
      </c>
      <c r="B6" t="s">
        <v>207</v>
      </c>
      <c r="C6" s="347"/>
      <c r="D6" s="347"/>
      <c r="E6" s="347"/>
      <c r="F6" s="347"/>
      <c r="G6" s="347"/>
    </row>
    <row r="7" spans="1:8" ht="15" customHeight="1" x14ac:dyDescent="0.3">
      <c r="B7" s="347"/>
      <c r="C7" s="347"/>
      <c r="D7" s="594"/>
      <c r="E7" s="347"/>
      <c r="F7" s="347"/>
      <c r="G7" s="347"/>
    </row>
    <row r="8" spans="1:8" x14ac:dyDescent="0.3">
      <c r="A8" s="525" t="s">
        <v>806</v>
      </c>
      <c r="B8" s="300" t="s">
        <v>1288</v>
      </c>
      <c r="C8" s="525" t="s">
        <v>912</v>
      </c>
      <c r="D8" s="300" t="s">
        <v>1289</v>
      </c>
      <c r="E8" s="525" t="s">
        <v>553</v>
      </c>
      <c r="F8" s="525" t="s">
        <v>1290</v>
      </c>
      <c r="G8" s="300" t="s">
        <v>1291</v>
      </c>
      <c r="H8" s="525" t="s">
        <v>212</v>
      </c>
    </row>
    <row r="9" spans="1:8" hidden="1" x14ac:dyDescent="0.3">
      <c r="A9" s="312" t="s">
        <v>320</v>
      </c>
      <c r="B9" t="s">
        <v>214</v>
      </c>
      <c r="C9" t="s">
        <v>215</v>
      </c>
      <c r="D9" t="s">
        <v>321</v>
      </c>
      <c r="E9" t="s">
        <v>322</v>
      </c>
      <c r="F9" t="s">
        <v>322</v>
      </c>
      <c r="G9" t="s">
        <v>217</v>
      </c>
      <c r="H9" t="s">
        <v>218</v>
      </c>
    </row>
    <row r="10" spans="1:8" hidden="1" x14ac:dyDescent="0.3">
      <c r="A10" s="312" t="s">
        <v>320</v>
      </c>
      <c r="B10" t="s">
        <v>219</v>
      </c>
      <c r="C10" t="s">
        <v>220</v>
      </c>
      <c r="D10" t="s">
        <v>321</v>
      </c>
      <c r="E10" t="s">
        <v>322</v>
      </c>
      <c r="F10" t="s">
        <v>322</v>
      </c>
      <c r="G10" t="s">
        <v>217</v>
      </c>
      <c r="H10" t="s">
        <v>218</v>
      </c>
    </row>
    <row r="11" spans="1:8" hidden="1" x14ac:dyDescent="0.3">
      <c r="A11" s="312" t="s">
        <v>320</v>
      </c>
      <c r="B11" t="s">
        <v>223</v>
      </c>
      <c r="C11" t="s">
        <v>224</v>
      </c>
      <c r="D11" t="s">
        <v>225</v>
      </c>
      <c r="E11" t="s">
        <v>226</v>
      </c>
      <c r="F11" t="s">
        <v>226</v>
      </c>
      <c r="G11" t="s">
        <v>217</v>
      </c>
      <c r="H11" t="s">
        <v>218</v>
      </c>
    </row>
    <row r="12" spans="1:8" hidden="1" x14ac:dyDescent="0.3">
      <c r="A12" s="312" t="s">
        <v>320</v>
      </c>
      <c r="B12" t="s">
        <v>227</v>
      </c>
      <c r="C12" t="s">
        <v>228</v>
      </c>
      <c r="D12" t="s">
        <v>229</v>
      </c>
      <c r="E12" t="s">
        <v>230</v>
      </c>
      <c r="F12" t="s">
        <v>230</v>
      </c>
      <c r="G12" t="s">
        <v>231</v>
      </c>
      <c r="H12" t="s">
        <v>232</v>
      </c>
    </row>
    <row r="13" spans="1:8" hidden="1" x14ac:dyDescent="0.3">
      <c r="A13" s="312" t="s">
        <v>320</v>
      </c>
      <c r="B13" t="s">
        <v>233</v>
      </c>
      <c r="C13" t="s">
        <v>234</v>
      </c>
      <c r="D13" t="s">
        <v>235</v>
      </c>
      <c r="E13" t="s">
        <v>236</v>
      </c>
      <c r="F13" t="s">
        <v>236</v>
      </c>
      <c r="G13" t="s">
        <v>237</v>
      </c>
      <c r="H13" t="s">
        <v>238</v>
      </c>
    </row>
    <row r="14" spans="1:8" hidden="1" x14ac:dyDescent="0.3">
      <c r="A14" s="312" t="s">
        <v>320</v>
      </c>
      <c r="B14" t="s">
        <v>239</v>
      </c>
      <c r="C14" t="s">
        <v>240</v>
      </c>
      <c r="D14" t="s">
        <v>319</v>
      </c>
      <c r="E14" t="s">
        <v>313</v>
      </c>
      <c r="F14" t="s">
        <v>313</v>
      </c>
      <c r="G14" t="s">
        <v>237</v>
      </c>
      <c r="H14" t="s">
        <v>238</v>
      </c>
    </row>
    <row r="15" spans="1:8" hidden="1" x14ac:dyDescent="0.3">
      <c r="A15" s="312" t="s">
        <v>320</v>
      </c>
      <c r="B15" t="s">
        <v>243</v>
      </c>
      <c r="C15" t="s">
        <v>244</v>
      </c>
      <c r="D15" t="s">
        <v>245</v>
      </c>
      <c r="E15" t="s">
        <v>244</v>
      </c>
      <c r="F15" t="s">
        <v>244</v>
      </c>
      <c r="G15" t="s">
        <v>231</v>
      </c>
      <c r="H15" t="s">
        <v>232</v>
      </c>
    </row>
    <row r="16" spans="1:8" hidden="1" x14ac:dyDescent="0.3">
      <c r="A16" s="312" t="s">
        <v>320</v>
      </c>
      <c r="B16" t="s">
        <v>246</v>
      </c>
      <c r="C16" t="s">
        <v>247</v>
      </c>
      <c r="D16" t="s">
        <v>225</v>
      </c>
      <c r="E16" t="s">
        <v>226</v>
      </c>
      <c r="F16" t="s">
        <v>226</v>
      </c>
      <c r="G16" t="s">
        <v>217</v>
      </c>
      <c r="H16" t="s">
        <v>218</v>
      </c>
    </row>
    <row r="17" spans="1:8" hidden="1" x14ac:dyDescent="0.3">
      <c r="A17" s="312" t="s">
        <v>320</v>
      </c>
      <c r="B17" t="s">
        <v>248</v>
      </c>
      <c r="C17" t="s">
        <v>249</v>
      </c>
      <c r="D17" t="s">
        <v>250</v>
      </c>
      <c r="E17" t="s">
        <v>251</v>
      </c>
      <c r="F17" t="s">
        <v>251</v>
      </c>
      <c r="G17" t="s">
        <v>231</v>
      </c>
      <c r="H17" t="s">
        <v>232</v>
      </c>
    </row>
    <row r="18" spans="1:8" hidden="1" x14ac:dyDescent="0.3">
      <c r="A18" s="312" t="s">
        <v>320</v>
      </c>
      <c r="B18" t="s">
        <v>252</v>
      </c>
      <c r="C18" t="s">
        <v>253</v>
      </c>
      <c r="D18" t="s">
        <v>229</v>
      </c>
      <c r="E18" t="s">
        <v>230</v>
      </c>
      <c r="F18" t="s">
        <v>230</v>
      </c>
      <c r="G18" t="s">
        <v>231</v>
      </c>
      <c r="H18" t="s">
        <v>232</v>
      </c>
    </row>
    <row r="19" spans="1:8" hidden="1" x14ac:dyDescent="0.3">
      <c r="A19" s="312" t="s">
        <v>320</v>
      </c>
      <c r="B19" t="s">
        <v>254</v>
      </c>
      <c r="C19" t="s">
        <v>255</v>
      </c>
      <c r="D19" t="s">
        <v>256</v>
      </c>
      <c r="E19" t="s">
        <v>257</v>
      </c>
      <c r="F19" t="s">
        <v>257</v>
      </c>
      <c r="G19" t="s">
        <v>237</v>
      </c>
      <c r="H19" t="s">
        <v>238</v>
      </c>
    </row>
    <row r="20" spans="1:8" hidden="1" x14ac:dyDescent="0.3">
      <c r="A20" s="312" t="s">
        <v>320</v>
      </c>
      <c r="B20" t="s">
        <v>258</v>
      </c>
      <c r="C20" t="s">
        <v>259</v>
      </c>
      <c r="D20" t="s">
        <v>260</v>
      </c>
      <c r="E20" t="s">
        <v>261</v>
      </c>
      <c r="F20" t="s">
        <v>261</v>
      </c>
      <c r="G20" t="s">
        <v>231</v>
      </c>
      <c r="H20" t="s">
        <v>232</v>
      </c>
    </row>
    <row r="21" spans="1:8" hidden="1" x14ac:dyDescent="0.3">
      <c r="A21" s="312" t="s">
        <v>320</v>
      </c>
      <c r="B21" t="s">
        <v>262</v>
      </c>
      <c r="C21" t="s">
        <v>263</v>
      </c>
      <c r="D21" t="s">
        <v>264</v>
      </c>
      <c r="E21" t="s">
        <v>265</v>
      </c>
      <c r="F21" t="s">
        <v>265</v>
      </c>
      <c r="G21" t="s">
        <v>237</v>
      </c>
      <c r="H21" t="s">
        <v>238</v>
      </c>
    </row>
    <row r="22" spans="1:8" hidden="1" x14ac:dyDescent="0.3">
      <c r="A22" s="312" t="s">
        <v>320</v>
      </c>
      <c r="B22" t="s">
        <v>266</v>
      </c>
      <c r="C22" t="s">
        <v>267</v>
      </c>
      <c r="D22" t="s">
        <v>319</v>
      </c>
      <c r="E22" t="s">
        <v>313</v>
      </c>
      <c r="F22" t="s">
        <v>313</v>
      </c>
      <c r="G22" t="s">
        <v>237</v>
      </c>
      <c r="H22" t="s">
        <v>238</v>
      </c>
    </row>
    <row r="23" spans="1:8" hidden="1" x14ac:dyDescent="0.3">
      <c r="A23" s="312" t="s">
        <v>320</v>
      </c>
      <c r="B23" t="s">
        <v>314</v>
      </c>
      <c r="C23" t="s">
        <v>270</v>
      </c>
      <c r="D23" t="s">
        <v>315</v>
      </c>
      <c r="E23" t="s">
        <v>270</v>
      </c>
      <c r="F23" t="s">
        <v>270</v>
      </c>
      <c r="G23" t="s">
        <v>231</v>
      </c>
      <c r="H23" t="s">
        <v>232</v>
      </c>
    </row>
    <row r="24" spans="1:8" hidden="1" x14ac:dyDescent="0.3">
      <c r="A24" s="312" t="s">
        <v>320</v>
      </c>
      <c r="B24" t="s">
        <v>272</v>
      </c>
      <c r="C24" t="s">
        <v>273</v>
      </c>
      <c r="D24" t="s">
        <v>274</v>
      </c>
      <c r="E24" t="s">
        <v>275</v>
      </c>
      <c r="F24" t="s">
        <v>275</v>
      </c>
      <c r="G24" t="s">
        <v>217</v>
      </c>
      <c r="H24" t="s">
        <v>218</v>
      </c>
    </row>
    <row r="25" spans="1:8" hidden="1" x14ac:dyDescent="0.3">
      <c r="A25" s="312" t="s">
        <v>320</v>
      </c>
      <c r="B25" t="s">
        <v>276</v>
      </c>
      <c r="C25" t="s">
        <v>277</v>
      </c>
      <c r="D25" t="s">
        <v>260</v>
      </c>
      <c r="E25" t="s">
        <v>261</v>
      </c>
      <c r="F25" t="s">
        <v>261</v>
      </c>
      <c r="G25" t="s">
        <v>231</v>
      </c>
      <c r="H25" t="s">
        <v>232</v>
      </c>
    </row>
    <row r="26" spans="1:8" hidden="1" x14ac:dyDescent="0.3">
      <c r="A26" s="312" t="s">
        <v>320</v>
      </c>
      <c r="B26" t="s">
        <v>278</v>
      </c>
      <c r="C26" t="s">
        <v>279</v>
      </c>
      <c r="D26" t="s">
        <v>256</v>
      </c>
      <c r="E26" t="s">
        <v>257</v>
      </c>
      <c r="F26" t="s">
        <v>257</v>
      </c>
      <c r="G26" t="s">
        <v>237</v>
      </c>
      <c r="H26" t="s">
        <v>238</v>
      </c>
    </row>
    <row r="27" spans="1:8" hidden="1" x14ac:dyDescent="0.3">
      <c r="A27" s="312" t="s">
        <v>320</v>
      </c>
      <c r="B27" t="s">
        <v>280</v>
      </c>
      <c r="C27" t="s">
        <v>281</v>
      </c>
      <c r="D27" t="s">
        <v>321</v>
      </c>
      <c r="E27" t="s">
        <v>322</v>
      </c>
      <c r="F27" t="s">
        <v>322</v>
      </c>
      <c r="G27" t="s">
        <v>217</v>
      </c>
      <c r="H27" t="s">
        <v>218</v>
      </c>
    </row>
    <row r="28" spans="1:8" hidden="1" x14ac:dyDescent="0.3">
      <c r="A28" s="312" t="s">
        <v>320</v>
      </c>
      <c r="B28" t="s">
        <v>282</v>
      </c>
      <c r="C28" t="s">
        <v>283</v>
      </c>
      <c r="D28" t="s">
        <v>284</v>
      </c>
      <c r="E28" t="s">
        <v>285</v>
      </c>
      <c r="F28" t="s">
        <v>285</v>
      </c>
      <c r="G28" t="s">
        <v>217</v>
      </c>
      <c r="H28" t="s">
        <v>218</v>
      </c>
    </row>
    <row r="29" spans="1:8" hidden="1" x14ac:dyDescent="0.3">
      <c r="A29" s="312" t="s">
        <v>320</v>
      </c>
      <c r="B29" t="s">
        <v>286</v>
      </c>
      <c r="C29" t="s">
        <v>287</v>
      </c>
      <c r="D29" t="s">
        <v>250</v>
      </c>
      <c r="E29" t="s">
        <v>251</v>
      </c>
      <c r="F29" t="s">
        <v>251</v>
      </c>
      <c r="G29" t="s">
        <v>231</v>
      </c>
      <c r="H29" t="s">
        <v>232</v>
      </c>
    </row>
    <row r="30" spans="1:8" hidden="1" x14ac:dyDescent="0.3">
      <c r="A30" s="312" t="s">
        <v>320</v>
      </c>
      <c r="B30" t="s">
        <v>316</v>
      </c>
      <c r="C30" t="s">
        <v>289</v>
      </c>
      <c r="D30" t="s">
        <v>323</v>
      </c>
      <c r="E30" t="s">
        <v>324</v>
      </c>
      <c r="F30" t="s">
        <v>324</v>
      </c>
      <c r="G30" t="s">
        <v>231</v>
      </c>
      <c r="H30" t="s">
        <v>232</v>
      </c>
    </row>
    <row r="31" spans="1:8" hidden="1" x14ac:dyDescent="0.3">
      <c r="A31" s="312" t="s">
        <v>320</v>
      </c>
      <c r="B31" t="s">
        <v>291</v>
      </c>
      <c r="C31" t="s">
        <v>292</v>
      </c>
      <c r="D31" t="s">
        <v>284</v>
      </c>
      <c r="E31" t="s">
        <v>285</v>
      </c>
      <c r="F31" t="s">
        <v>285</v>
      </c>
      <c r="G31" t="s">
        <v>217</v>
      </c>
      <c r="H31" t="s">
        <v>218</v>
      </c>
    </row>
    <row r="32" spans="1:8" hidden="1" x14ac:dyDescent="0.3">
      <c r="A32" s="312" t="s">
        <v>320</v>
      </c>
      <c r="B32" t="s">
        <v>293</v>
      </c>
      <c r="C32" t="s">
        <v>294</v>
      </c>
      <c r="D32" t="s">
        <v>225</v>
      </c>
      <c r="E32" t="s">
        <v>226</v>
      </c>
      <c r="F32" t="s">
        <v>226</v>
      </c>
      <c r="G32" t="s">
        <v>217</v>
      </c>
      <c r="H32" t="s">
        <v>218</v>
      </c>
    </row>
    <row r="33" spans="1:10" hidden="1" x14ac:dyDescent="0.3">
      <c r="A33" s="312" t="s">
        <v>320</v>
      </c>
      <c r="B33" t="s">
        <v>295</v>
      </c>
      <c r="C33" t="s">
        <v>296</v>
      </c>
      <c r="D33" t="s">
        <v>260</v>
      </c>
      <c r="E33" t="s">
        <v>261</v>
      </c>
      <c r="F33" t="s">
        <v>261</v>
      </c>
      <c r="G33" t="s">
        <v>231</v>
      </c>
      <c r="H33" t="s">
        <v>232</v>
      </c>
    </row>
    <row r="34" spans="1:10" hidden="1" x14ac:dyDescent="0.3">
      <c r="A34" s="312" t="s">
        <v>320</v>
      </c>
      <c r="B34" t="s">
        <v>297</v>
      </c>
      <c r="C34" t="s">
        <v>298</v>
      </c>
      <c r="D34" t="s">
        <v>256</v>
      </c>
      <c r="E34" t="s">
        <v>257</v>
      </c>
      <c r="F34" t="s">
        <v>257</v>
      </c>
      <c r="G34" t="s">
        <v>237</v>
      </c>
      <c r="H34" t="s">
        <v>238</v>
      </c>
    </row>
    <row r="35" spans="1:10" hidden="1" x14ac:dyDescent="0.3">
      <c r="A35" s="312" t="s">
        <v>320</v>
      </c>
      <c r="B35" t="s">
        <v>299</v>
      </c>
      <c r="C35" t="s">
        <v>300</v>
      </c>
      <c r="D35" t="s">
        <v>284</v>
      </c>
      <c r="E35" t="s">
        <v>285</v>
      </c>
      <c r="F35" t="s">
        <v>285</v>
      </c>
      <c r="G35" t="s">
        <v>217</v>
      </c>
      <c r="H35" t="s">
        <v>218</v>
      </c>
    </row>
    <row r="36" spans="1:10" hidden="1" x14ac:dyDescent="0.3">
      <c r="A36" s="312" t="s">
        <v>320</v>
      </c>
      <c r="B36" t="s">
        <v>301</v>
      </c>
      <c r="C36" t="s">
        <v>302</v>
      </c>
      <c r="D36" t="s">
        <v>250</v>
      </c>
      <c r="E36" t="s">
        <v>251</v>
      </c>
      <c r="F36" t="s">
        <v>251</v>
      </c>
      <c r="G36" t="s">
        <v>231</v>
      </c>
      <c r="H36" t="s">
        <v>232</v>
      </c>
    </row>
    <row r="37" spans="1:10" hidden="1" x14ac:dyDescent="0.3">
      <c r="A37" s="312" t="s">
        <v>320</v>
      </c>
      <c r="B37" t="s">
        <v>303</v>
      </c>
      <c r="C37" t="s">
        <v>304</v>
      </c>
      <c r="D37" t="s">
        <v>323</v>
      </c>
      <c r="E37" t="s">
        <v>324</v>
      </c>
      <c r="F37" t="s">
        <v>324</v>
      </c>
      <c r="G37" t="s">
        <v>231</v>
      </c>
      <c r="H37" t="s">
        <v>232</v>
      </c>
    </row>
    <row r="38" spans="1:10" hidden="1" x14ac:dyDescent="0.3">
      <c r="A38" s="312" t="s">
        <v>320</v>
      </c>
      <c r="B38" t="s">
        <v>306</v>
      </c>
      <c r="C38" t="s">
        <v>307</v>
      </c>
      <c r="D38" t="s">
        <v>319</v>
      </c>
      <c r="E38" t="s">
        <v>313</v>
      </c>
      <c r="F38" t="s">
        <v>313</v>
      </c>
      <c r="G38" t="s">
        <v>237</v>
      </c>
      <c r="H38" t="s">
        <v>238</v>
      </c>
    </row>
    <row r="39" spans="1:10" hidden="1" x14ac:dyDescent="0.3">
      <c r="A39" s="312" t="s">
        <v>320</v>
      </c>
      <c r="B39" t="s">
        <v>308</v>
      </c>
      <c r="C39" t="s">
        <v>309</v>
      </c>
      <c r="D39" t="s">
        <v>229</v>
      </c>
      <c r="E39" t="s">
        <v>230</v>
      </c>
      <c r="F39" t="s">
        <v>230</v>
      </c>
      <c r="G39" t="s">
        <v>231</v>
      </c>
      <c r="H39" t="s">
        <v>232</v>
      </c>
    </row>
    <row r="40" spans="1:10" hidden="1" x14ac:dyDescent="0.3">
      <c r="A40" s="525" t="s">
        <v>320</v>
      </c>
      <c r="B40" s="300" t="s">
        <v>310</v>
      </c>
      <c r="C40" s="300" t="s">
        <v>311</v>
      </c>
      <c r="D40" s="300" t="s">
        <v>264</v>
      </c>
      <c r="E40" s="300" t="s">
        <v>265</v>
      </c>
      <c r="F40" s="300" t="s">
        <v>265</v>
      </c>
      <c r="G40" s="300" t="s">
        <v>237</v>
      </c>
      <c r="H40" s="300" t="s">
        <v>238</v>
      </c>
    </row>
    <row r="41" spans="1:10" hidden="1" x14ac:dyDescent="0.3">
      <c r="A41" s="312" t="s">
        <v>318</v>
      </c>
      <c r="B41" t="s">
        <v>214</v>
      </c>
      <c r="C41" t="s">
        <v>215</v>
      </c>
      <c r="D41" t="s">
        <v>216</v>
      </c>
      <c r="E41" t="s">
        <v>215</v>
      </c>
      <c r="F41" t="s">
        <v>215</v>
      </c>
      <c r="G41" t="s">
        <v>217</v>
      </c>
      <c r="H41" t="s">
        <v>218</v>
      </c>
    </row>
    <row r="42" spans="1:10" hidden="1" x14ac:dyDescent="0.3">
      <c r="A42" s="312" t="s">
        <v>318</v>
      </c>
      <c r="B42" t="s">
        <v>219</v>
      </c>
      <c r="C42" t="s">
        <v>220</v>
      </c>
      <c r="D42" t="s">
        <v>221</v>
      </c>
      <c r="E42" t="s">
        <v>222</v>
      </c>
      <c r="F42" t="s">
        <v>222</v>
      </c>
      <c r="G42" t="s">
        <v>217</v>
      </c>
      <c r="H42" t="s">
        <v>218</v>
      </c>
    </row>
    <row r="43" spans="1:10" hidden="1" x14ac:dyDescent="0.3">
      <c r="A43" s="312" t="s">
        <v>318</v>
      </c>
      <c r="B43" t="s">
        <v>223</v>
      </c>
      <c r="C43" t="s">
        <v>224</v>
      </c>
      <c r="D43" t="s">
        <v>225</v>
      </c>
      <c r="E43" t="s">
        <v>226</v>
      </c>
      <c r="F43" t="s">
        <v>226</v>
      </c>
      <c r="G43" t="s">
        <v>217</v>
      </c>
      <c r="H43" t="s">
        <v>218</v>
      </c>
      <c r="I43" s="372"/>
      <c r="J43" s="372"/>
    </row>
    <row r="44" spans="1:10" hidden="1" x14ac:dyDescent="0.3">
      <c r="A44" s="312" t="s">
        <v>318</v>
      </c>
      <c r="B44" t="s">
        <v>227</v>
      </c>
      <c r="C44" t="s">
        <v>228</v>
      </c>
      <c r="D44" t="s">
        <v>229</v>
      </c>
      <c r="E44" t="s">
        <v>230</v>
      </c>
      <c r="F44" t="s">
        <v>230</v>
      </c>
      <c r="G44" t="s">
        <v>231</v>
      </c>
      <c r="H44" t="s">
        <v>232</v>
      </c>
    </row>
    <row r="45" spans="1:10" hidden="1" x14ac:dyDescent="0.3">
      <c r="A45" s="312" t="s">
        <v>318</v>
      </c>
      <c r="B45" t="s">
        <v>233</v>
      </c>
      <c r="C45" t="s">
        <v>234</v>
      </c>
      <c r="D45" t="s">
        <v>235</v>
      </c>
      <c r="E45" t="s">
        <v>236</v>
      </c>
      <c r="F45" t="s">
        <v>236</v>
      </c>
      <c r="G45" t="s">
        <v>237</v>
      </c>
      <c r="H45" t="s">
        <v>238</v>
      </c>
    </row>
    <row r="46" spans="1:10" hidden="1" x14ac:dyDescent="0.3">
      <c r="A46" s="312" t="s">
        <v>318</v>
      </c>
      <c r="B46" t="s">
        <v>239</v>
      </c>
      <c r="C46" t="s">
        <v>240</v>
      </c>
      <c r="D46" t="s">
        <v>319</v>
      </c>
      <c r="E46" t="s">
        <v>313</v>
      </c>
      <c r="F46" t="s">
        <v>313</v>
      </c>
      <c r="G46" t="s">
        <v>237</v>
      </c>
      <c r="H46" t="s">
        <v>238</v>
      </c>
    </row>
    <row r="47" spans="1:10" hidden="1" x14ac:dyDescent="0.3">
      <c r="A47" s="312" t="s">
        <v>318</v>
      </c>
      <c r="B47" t="s">
        <v>243</v>
      </c>
      <c r="C47" t="s">
        <v>244</v>
      </c>
      <c r="D47" t="s">
        <v>245</v>
      </c>
      <c r="E47" t="s">
        <v>244</v>
      </c>
      <c r="F47" t="s">
        <v>244</v>
      </c>
      <c r="G47" t="s">
        <v>231</v>
      </c>
      <c r="H47" t="s">
        <v>232</v>
      </c>
    </row>
    <row r="48" spans="1:10" hidden="1" x14ac:dyDescent="0.3">
      <c r="A48" s="312" t="s">
        <v>318</v>
      </c>
      <c r="B48" t="s">
        <v>246</v>
      </c>
      <c r="C48" t="s">
        <v>247</v>
      </c>
      <c r="D48" t="s">
        <v>225</v>
      </c>
      <c r="E48" t="s">
        <v>226</v>
      </c>
      <c r="F48" t="s">
        <v>226</v>
      </c>
      <c r="G48" t="s">
        <v>217</v>
      </c>
      <c r="H48" t="s">
        <v>218</v>
      </c>
    </row>
    <row r="49" spans="1:8" hidden="1" x14ac:dyDescent="0.3">
      <c r="A49" s="312" t="s">
        <v>318</v>
      </c>
      <c r="B49" t="s">
        <v>248</v>
      </c>
      <c r="C49" t="s">
        <v>249</v>
      </c>
      <c r="D49" t="s">
        <v>250</v>
      </c>
      <c r="E49" t="s">
        <v>251</v>
      </c>
      <c r="F49" t="s">
        <v>251</v>
      </c>
      <c r="G49" t="s">
        <v>231</v>
      </c>
      <c r="H49" t="s">
        <v>232</v>
      </c>
    </row>
    <row r="50" spans="1:8" hidden="1" x14ac:dyDescent="0.3">
      <c r="A50" s="312" t="s">
        <v>318</v>
      </c>
      <c r="B50" t="s">
        <v>252</v>
      </c>
      <c r="C50" t="s">
        <v>253</v>
      </c>
      <c r="D50" t="s">
        <v>229</v>
      </c>
      <c r="E50" t="s">
        <v>230</v>
      </c>
      <c r="F50" t="s">
        <v>230</v>
      </c>
      <c r="G50" t="s">
        <v>231</v>
      </c>
      <c r="H50" t="s">
        <v>232</v>
      </c>
    </row>
    <row r="51" spans="1:8" hidden="1" x14ac:dyDescent="0.3">
      <c r="A51" s="312" t="s">
        <v>318</v>
      </c>
      <c r="B51" t="s">
        <v>254</v>
      </c>
      <c r="C51" t="s">
        <v>255</v>
      </c>
      <c r="D51" t="s">
        <v>256</v>
      </c>
      <c r="E51" t="s">
        <v>257</v>
      </c>
      <c r="F51" t="s">
        <v>257</v>
      </c>
      <c r="G51" t="s">
        <v>237</v>
      </c>
      <c r="H51" t="s">
        <v>238</v>
      </c>
    </row>
    <row r="52" spans="1:8" hidden="1" x14ac:dyDescent="0.3">
      <c r="A52" s="312" t="s">
        <v>318</v>
      </c>
      <c r="B52" t="s">
        <v>258</v>
      </c>
      <c r="C52" t="s">
        <v>259</v>
      </c>
      <c r="D52" t="s">
        <v>260</v>
      </c>
      <c r="E52" t="s">
        <v>261</v>
      </c>
      <c r="F52" t="s">
        <v>261</v>
      </c>
      <c r="G52" t="s">
        <v>231</v>
      </c>
      <c r="H52" t="s">
        <v>232</v>
      </c>
    </row>
    <row r="53" spans="1:8" hidden="1" x14ac:dyDescent="0.3">
      <c r="A53" s="312" t="s">
        <v>318</v>
      </c>
      <c r="B53" t="s">
        <v>262</v>
      </c>
      <c r="C53" t="s">
        <v>263</v>
      </c>
      <c r="D53" t="s">
        <v>264</v>
      </c>
      <c r="E53" t="s">
        <v>265</v>
      </c>
      <c r="F53" t="s">
        <v>265</v>
      </c>
      <c r="G53" t="s">
        <v>237</v>
      </c>
      <c r="H53" t="s">
        <v>238</v>
      </c>
    </row>
    <row r="54" spans="1:8" hidden="1" x14ac:dyDescent="0.3">
      <c r="A54" s="312" t="s">
        <v>318</v>
      </c>
      <c r="B54" t="s">
        <v>266</v>
      </c>
      <c r="C54" t="s">
        <v>267</v>
      </c>
      <c r="D54" t="s">
        <v>319</v>
      </c>
      <c r="E54" t="s">
        <v>313</v>
      </c>
      <c r="F54" t="s">
        <v>313</v>
      </c>
      <c r="G54" t="s">
        <v>237</v>
      </c>
      <c r="H54" t="s">
        <v>238</v>
      </c>
    </row>
    <row r="55" spans="1:8" hidden="1" x14ac:dyDescent="0.3">
      <c r="A55" s="312" t="s">
        <v>318</v>
      </c>
      <c r="B55" t="s">
        <v>314</v>
      </c>
      <c r="C55" t="s">
        <v>270</v>
      </c>
      <c r="D55" t="s">
        <v>315</v>
      </c>
      <c r="E55" t="s">
        <v>270</v>
      </c>
      <c r="F55" t="s">
        <v>270</v>
      </c>
      <c r="G55" t="s">
        <v>231</v>
      </c>
      <c r="H55" t="s">
        <v>232</v>
      </c>
    </row>
    <row r="56" spans="1:8" hidden="1" x14ac:dyDescent="0.3">
      <c r="A56" s="312" t="s">
        <v>318</v>
      </c>
      <c r="B56" t="s">
        <v>272</v>
      </c>
      <c r="C56" t="s">
        <v>273</v>
      </c>
      <c r="D56" t="s">
        <v>274</v>
      </c>
      <c r="E56" t="s">
        <v>275</v>
      </c>
      <c r="F56" t="s">
        <v>275</v>
      </c>
      <c r="G56" t="s">
        <v>217</v>
      </c>
      <c r="H56" t="s">
        <v>218</v>
      </c>
    </row>
    <row r="57" spans="1:8" hidden="1" x14ac:dyDescent="0.3">
      <c r="A57" s="312" t="s">
        <v>318</v>
      </c>
      <c r="B57" t="s">
        <v>276</v>
      </c>
      <c r="C57" t="s">
        <v>277</v>
      </c>
      <c r="D57" t="s">
        <v>260</v>
      </c>
      <c r="E57" t="s">
        <v>261</v>
      </c>
      <c r="F57" t="s">
        <v>261</v>
      </c>
      <c r="G57" t="s">
        <v>231</v>
      </c>
      <c r="H57" t="s">
        <v>232</v>
      </c>
    </row>
    <row r="58" spans="1:8" hidden="1" x14ac:dyDescent="0.3">
      <c r="A58" s="312" t="s">
        <v>318</v>
      </c>
      <c r="B58" t="s">
        <v>278</v>
      </c>
      <c r="C58" t="s">
        <v>279</v>
      </c>
      <c r="D58" t="s">
        <v>256</v>
      </c>
      <c r="E58" t="s">
        <v>257</v>
      </c>
      <c r="F58" t="s">
        <v>257</v>
      </c>
      <c r="G58" t="s">
        <v>237</v>
      </c>
      <c r="H58" t="s">
        <v>238</v>
      </c>
    </row>
    <row r="59" spans="1:8" hidden="1" x14ac:dyDescent="0.3">
      <c r="A59" s="312" t="s">
        <v>318</v>
      </c>
      <c r="B59" t="s">
        <v>280</v>
      </c>
      <c r="C59" t="s">
        <v>281</v>
      </c>
      <c r="D59" t="s">
        <v>221</v>
      </c>
      <c r="E59" t="s">
        <v>222</v>
      </c>
      <c r="F59" t="s">
        <v>222</v>
      </c>
      <c r="G59" t="s">
        <v>217</v>
      </c>
      <c r="H59" t="s">
        <v>218</v>
      </c>
    </row>
    <row r="60" spans="1:8" hidden="1" x14ac:dyDescent="0.3">
      <c r="A60" s="312" t="s">
        <v>318</v>
      </c>
      <c r="B60" t="s">
        <v>282</v>
      </c>
      <c r="C60" t="s">
        <v>283</v>
      </c>
      <c r="D60" t="s">
        <v>284</v>
      </c>
      <c r="E60" t="s">
        <v>285</v>
      </c>
      <c r="F60" t="s">
        <v>285</v>
      </c>
      <c r="G60" t="s">
        <v>217</v>
      </c>
      <c r="H60" t="s">
        <v>218</v>
      </c>
    </row>
    <row r="61" spans="1:8" hidden="1" x14ac:dyDescent="0.3">
      <c r="A61" s="312" t="s">
        <v>318</v>
      </c>
      <c r="B61" t="s">
        <v>286</v>
      </c>
      <c r="C61" t="s">
        <v>287</v>
      </c>
      <c r="D61" t="s">
        <v>250</v>
      </c>
      <c r="E61" t="s">
        <v>251</v>
      </c>
      <c r="F61" t="s">
        <v>251</v>
      </c>
      <c r="G61" t="s">
        <v>231</v>
      </c>
      <c r="H61" t="s">
        <v>232</v>
      </c>
    </row>
    <row r="62" spans="1:8" hidden="1" x14ac:dyDescent="0.3">
      <c r="A62" s="312" t="s">
        <v>318</v>
      </c>
      <c r="B62" t="s">
        <v>316</v>
      </c>
      <c r="C62" t="s">
        <v>289</v>
      </c>
      <c r="D62" t="s">
        <v>317</v>
      </c>
      <c r="E62" t="s">
        <v>289</v>
      </c>
      <c r="F62" t="s">
        <v>289</v>
      </c>
      <c r="G62" t="s">
        <v>231</v>
      </c>
      <c r="H62" t="s">
        <v>232</v>
      </c>
    </row>
    <row r="63" spans="1:8" hidden="1" x14ac:dyDescent="0.3">
      <c r="A63" s="312" t="s">
        <v>318</v>
      </c>
      <c r="B63" t="s">
        <v>291</v>
      </c>
      <c r="C63" t="s">
        <v>292</v>
      </c>
      <c r="D63" t="s">
        <v>284</v>
      </c>
      <c r="E63" t="s">
        <v>285</v>
      </c>
      <c r="F63" t="s">
        <v>285</v>
      </c>
      <c r="G63" t="s">
        <v>217</v>
      </c>
      <c r="H63" t="s">
        <v>218</v>
      </c>
    </row>
    <row r="64" spans="1:8" hidden="1" x14ac:dyDescent="0.3">
      <c r="A64" s="312" t="s">
        <v>318</v>
      </c>
      <c r="B64" t="s">
        <v>293</v>
      </c>
      <c r="C64" t="s">
        <v>294</v>
      </c>
      <c r="D64" t="s">
        <v>225</v>
      </c>
      <c r="E64" t="s">
        <v>226</v>
      </c>
      <c r="F64" t="s">
        <v>226</v>
      </c>
      <c r="G64" t="s">
        <v>217</v>
      </c>
      <c r="H64" t="s">
        <v>218</v>
      </c>
    </row>
    <row r="65" spans="1:8" hidden="1" x14ac:dyDescent="0.3">
      <c r="A65" s="312" t="s">
        <v>318</v>
      </c>
      <c r="B65" t="s">
        <v>295</v>
      </c>
      <c r="C65" t="s">
        <v>296</v>
      </c>
      <c r="D65" t="s">
        <v>260</v>
      </c>
      <c r="E65" t="s">
        <v>261</v>
      </c>
      <c r="F65" t="s">
        <v>261</v>
      </c>
      <c r="G65" t="s">
        <v>231</v>
      </c>
      <c r="H65" t="s">
        <v>232</v>
      </c>
    </row>
    <row r="66" spans="1:8" hidden="1" x14ac:dyDescent="0.3">
      <c r="A66" s="312" t="s">
        <v>318</v>
      </c>
      <c r="B66" t="s">
        <v>297</v>
      </c>
      <c r="C66" t="s">
        <v>298</v>
      </c>
      <c r="D66" t="s">
        <v>256</v>
      </c>
      <c r="E66" t="s">
        <v>257</v>
      </c>
      <c r="F66" t="s">
        <v>257</v>
      </c>
      <c r="G66" t="s">
        <v>237</v>
      </c>
      <c r="H66" t="s">
        <v>238</v>
      </c>
    </row>
    <row r="67" spans="1:8" hidden="1" x14ac:dyDescent="0.3">
      <c r="A67" s="312" t="s">
        <v>318</v>
      </c>
      <c r="B67" t="s">
        <v>299</v>
      </c>
      <c r="C67" t="s">
        <v>300</v>
      </c>
      <c r="D67" t="s">
        <v>284</v>
      </c>
      <c r="E67" t="s">
        <v>285</v>
      </c>
      <c r="F67" t="s">
        <v>285</v>
      </c>
      <c r="G67" t="s">
        <v>217</v>
      </c>
      <c r="H67" t="s">
        <v>218</v>
      </c>
    </row>
    <row r="68" spans="1:8" hidden="1" x14ac:dyDescent="0.3">
      <c r="A68" s="312" t="s">
        <v>318</v>
      </c>
      <c r="B68" t="s">
        <v>301</v>
      </c>
      <c r="C68" t="s">
        <v>302</v>
      </c>
      <c r="D68" t="s">
        <v>250</v>
      </c>
      <c r="E68" t="s">
        <v>251</v>
      </c>
      <c r="F68" t="s">
        <v>251</v>
      </c>
      <c r="G68" t="s">
        <v>231</v>
      </c>
      <c r="H68" t="s">
        <v>232</v>
      </c>
    </row>
    <row r="69" spans="1:8" hidden="1" x14ac:dyDescent="0.3">
      <c r="A69" s="312" t="s">
        <v>318</v>
      </c>
      <c r="B69" t="s">
        <v>303</v>
      </c>
      <c r="C69" t="s">
        <v>304</v>
      </c>
      <c r="D69" t="s">
        <v>305</v>
      </c>
      <c r="E69" t="s">
        <v>304</v>
      </c>
      <c r="F69" t="s">
        <v>304</v>
      </c>
      <c r="G69" t="s">
        <v>231</v>
      </c>
      <c r="H69" t="s">
        <v>232</v>
      </c>
    </row>
    <row r="70" spans="1:8" hidden="1" x14ac:dyDescent="0.3">
      <c r="A70" s="312" t="s">
        <v>318</v>
      </c>
      <c r="B70" t="s">
        <v>306</v>
      </c>
      <c r="C70" t="s">
        <v>307</v>
      </c>
      <c r="D70" t="s">
        <v>319</v>
      </c>
      <c r="E70" t="s">
        <v>313</v>
      </c>
      <c r="F70" t="s">
        <v>313</v>
      </c>
      <c r="G70" t="s">
        <v>237</v>
      </c>
      <c r="H70" t="s">
        <v>238</v>
      </c>
    </row>
    <row r="71" spans="1:8" hidden="1" x14ac:dyDescent="0.3">
      <c r="A71" s="312" t="s">
        <v>318</v>
      </c>
      <c r="B71" t="s">
        <v>308</v>
      </c>
      <c r="C71" t="s">
        <v>309</v>
      </c>
      <c r="D71" t="s">
        <v>229</v>
      </c>
      <c r="E71" t="s">
        <v>230</v>
      </c>
      <c r="F71" t="s">
        <v>230</v>
      </c>
      <c r="G71" t="s">
        <v>231</v>
      </c>
      <c r="H71" t="s">
        <v>232</v>
      </c>
    </row>
    <row r="72" spans="1:8" hidden="1" x14ac:dyDescent="0.3">
      <c r="A72" s="525" t="s">
        <v>318</v>
      </c>
      <c r="B72" s="300" t="s">
        <v>310</v>
      </c>
      <c r="C72" s="300" t="s">
        <v>311</v>
      </c>
      <c r="D72" s="300" t="s">
        <v>264</v>
      </c>
      <c r="E72" s="300" t="s">
        <v>265</v>
      </c>
      <c r="F72" s="300" t="s">
        <v>265</v>
      </c>
      <c r="G72" s="300" t="s">
        <v>237</v>
      </c>
      <c r="H72" s="300" t="s">
        <v>238</v>
      </c>
    </row>
    <row r="73" spans="1:8" hidden="1" x14ac:dyDescent="0.3">
      <c r="A73" s="312" t="s">
        <v>312</v>
      </c>
      <c r="B73" t="s">
        <v>214</v>
      </c>
      <c r="C73" t="s">
        <v>215</v>
      </c>
      <c r="D73" t="s">
        <v>216</v>
      </c>
      <c r="E73" t="s">
        <v>215</v>
      </c>
      <c r="F73" t="s">
        <v>215</v>
      </c>
      <c r="G73" t="s">
        <v>217</v>
      </c>
      <c r="H73" t="s">
        <v>218</v>
      </c>
    </row>
    <row r="74" spans="1:8" hidden="1" x14ac:dyDescent="0.3">
      <c r="A74" s="312" t="s">
        <v>312</v>
      </c>
      <c r="B74" t="s">
        <v>219</v>
      </c>
      <c r="C74" t="s">
        <v>220</v>
      </c>
      <c r="D74" t="s">
        <v>221</v>
      </c>
      <c r="E74" t="s">
        <v>222</v>
      </c>
      <c r="F74" t="s">
        <v>222</v>
      </c>
      <c r="G74" t="s">
        <v>217</v>
      </c>
      <c r="H74" t="s">
        <v>218</v>
      </c>
    </row>
    <row r="75" spans="1:8" hidden="1" x14ac:dyDescent="0.3">
      <c r="A75" s="312" t="s">
        <v>312</v>
      </c>
      <c r="B75" t="s">
        <v>223</v>
      </c>
      <c r="C75" t="s">
        <v>224</v>
      </c>
      <c r="D75" t="s">
        <v>225</v>
      </c>
      <c r="E75" t="s">
        <v>226</v>
      </c>
      <c r="F75" t="s">
        <v>226</v>
      </c>
      <c r="G75" t="s">
        <v>217</v>
      </c>
      <c r="H75" t="s">
        <v>218</v>
      </c>
    </row>
    <row r="76" spans="1:8" hidden="1" x14ac:dyDescent="0.3">
      <c r="A76" s="312" t="s">
        <v>312</v>
      </c>
      <c r="B76" t="s">
        <v>227</v>
      </c>
      <c r="C76" t="s">
        <v>228</v>
      </c>
      <c r="D76" t="s">
        <v>229</v>
      </c>
      <c r="E76" t="s">
        <v>230</v>
      </c>
      <c r="F76" t="s">
        <v>230</v>
      </c>
      <c r="G76" t="s">
        <v>231</v>
      </c>
      <c r="H76" t="s">
        <v>232</v>
      </c>
    </row>
    <row r="77" spans="1:8" hidden="1" x14ac:dyDescent="0.3">
      <c r="A77" s="312" t="s">
        <v>312</v>
      </c>
      <c r="B77" t="s">
        <v>233</v>
      </c>
      <c r="C77" t="s">
        <v>234</v>
      </c>
      <c r="D77" t="s">
        <v>235</v>
      </c>
      <c r="E77" t="s">
        <v>236</v>
      </c>
      <c r="F77" t="s">
        <v>236</v>
      </c>
      <c r="G77" t="s">
        <v>237</v>
      </c>
      <c r="H77" t="s">
        <v>238</v>
      </c>
    </row>
    <row r="78" spans="1:8" hidden="1" x14ac:dyDescent="0.3">
      <c r="A78" s="312" t="s">
        <v>312</v>
      </c>
      <c r="B78" t="s">
        <v>239</v>
      </c>
      <c r="C78" t="s">
        <v>240</v>
      </c>
      <c r="D78" t="s">
        <v>241</v>
      </c>
      <c r="E78" t="s">
        <v>242</v>
      </c>
      <c r="F78" t="s">
        <v>313</v>
      </c>
      <c r="G78" t="s">
        <v>237</v>
      </c>
      <c r="H78" t="s">
        <v>238</v>
      </c>
    </row>
    <row r="79" spans="1:8" hidden="1" x14ac:dyDescent="0.3">
      <c r="A79" s="312" t="s">
        <v>312</v>
      </c>
      <c r="B79" t="s">
        <v>243</v>
      </c>
      <c r="C79" t="s">
        <v>244</v>
      </c>
      <c r="D79" t="s">
        <v>245</v>
      </c>
      <c r="E79" t="s">
        <v>244</v>
      </c>
      <c r="F79" t="s">
        <v>244</v>
      </c>
      <c r="G79" t="s">
        <v>231</v>
      </c>
      <c r="H79" t="s">
        <v>232</v>
      </c>
    </row>
    <row r="80" spans="1:8" hidden="1" x14ac:dyDescent="0.3">
      <c r="A80" s="312" t="s">
        <v>312</v>
      </c>
      <c r="B80" t="s">
        <v>246</v>
      </c>
      <c r="C80" t="s">
        <v>247</v>
      </c>
      <c r="D80" t="s">
        <v>225</v>
      </c>
      <c r="E80" t="s">
        <v>226</v>
      </c>
      <c r="F80" t="s">
        <v>226</v>
      </c>
      <c r="G80" t="s">
        <v>217</v>
      </c>
      <c r="H80" t="s">
        <v>218</v>
      </c>
    </row>
    <row r="81" spans="1:8" hidden="1" x14ac:dyDescent="0.3">
      <c r="A81" s="312" t="s">
        <v>312</v>
      </c>
      <c r="B81" t="s">
        <v>248</v>
      </c>
      <c r="C81" t="s">
        <v>249</v>
      </c>
      <c r="D81" t="s">
        <v>250</v>
      </c>
      <c r="E81" t="s">
        <v>251</v>
      </c>
      <c r="F81" t="s">
        <v>251</v>
      </c>
      <c r="G81" t="s">
        <v>231</v>
      </c>
      <c r="H81" t="s">
        <v>232</v>
      </c>
    </row>
    <row r="82" spans="1:8" hidden="1" x14ac:dyDescent="0.3">
      <c r="A82" s="312" t="s">
        <v>312</v>
      </c>
      <c r="B82" t="s">
        <v>252</v>
      </c>
      <c r="C82" t="s">
        <v>253</v>
      </c>
      <c r="D82" t="s">
        <v>229</v>
      </c>
      <c r="E82" t="s">
        <v>230</v>
      </c>
      <c r="F82" t="s">
        <v>230</v>
      </c>
      <c r="G82" t="s">
        <v>231</v>
      </c>
      <c r="H82" t="s">
        <v>232</v>
      </c>
    </row>
    <row r="83" spans="1:8" hidden="1" x14ac:dyDescent="0.3">
      <c r="A83" s="312" t="s">
        <v>312</v>
      </c>
      <c r="B83" t="s">
        <v>254</v>
      </c>
      <c r="C83" t="s">
        <v>255</v>
      </c>
      <c r="D83" t="s">
        <v>256</v>
      </c>
      <c r="E83" t="s">
        <v>257</v>
      </c>
      <c r="F83" t="s">
        <v>257</v>
      </c>
      <c r="G83" t="s">
        <v>237</v>
      </c>
      <c r="H83" t="s">
        <v>238</v>
      </c>
    </row>
    <row r="84" spans="1:8" hidden="1" x14ac:dyDescent="0.3">
      <c r="A84" s="312" t="s">
        <v>312</v>
      </c>
      <c r="B84" t="s">
        <v>258</v>
      </c>
      <c r="C84" t="s">
        <v>259</v>
      </c>
      <c r="D84" t="s">
        <v>260</v>
      </c>
      <c r="E84" t="s">
        <v>261</v>
      </c>
      <c r="F84" t="s">
        <v>261</v>
      </c>
      <c r="G84" t="s">
        <v>231</v>
      </c>
      <c r="H84" t="s">
        <v>232</v>
      </c>
    </row>
    <row r="85" spans="1:8" hidden="1" x14ac:dyDescent="0.3">
      <c r="A85" s="312" t="s">
        <v>312</v>
      </c>
      <c r="B85" t="s">
        <v>262</v>
      </c>
      <c r="C85" t="s">
        <v>263</v>
      </c>
      <c r="D85" t="s">
        <v>264</v>
      </c>
      <c r="E85" t="s">
        <v>265</v>
      </c>
      <c r="F85" t="s">
        <v>265</v>
      </c>
      <c r="G85" t="s">
        <v>237</v>
      </c>
      <c r="H85" t="s">
        <v>238</v>
      </c>
    </row>
    <row r="86" spans="1:8" hidden="1" x14ac:dyDescent="0.3">
      <c r="A86" s="312" t="s">
        <v>312</v>
      </c>
      <c r="B86" t="s">
        <v>266</v>
      </c>
      <c r="C86" t="s">
        <v>267</v>
      </c>
      <c r="D86" t="s">
        <v>268</v>
      </c>
      <c r="E86" t="s">
        <v>267</v>
      </c>
      <c r="F86" t="s">
        <v>313</v>
      </c>
      <c r="G86" t="s">
        <v>237</v>
      </c>
      <c r="H86" t="s">
        <v>238</v>
      </c>
    </row>
    <row r="87" spans="1:8" hidden="1" x14ac:dyDescent="0.3">
      <c r="A87" s="312" t="s">
        <v>312</v>
      </c>
      <c r="B87" t="s">
        <v>314</v>
      </c>
      <c r="C87" t="s">
        <v>270</v>
      </c>
      <c r="D87" t="s">
        <v>315</v>
      </c>
      <c r="E87" t="s">
        <v>270</v>
      </c>
      <c r="F87" t="s">
        <v>270</v>
      </c>
      <c r="G87" t="s">
        <v>231</v>
      </c>
      <c r="H87" t="s">
        <v>232</v>
      </c>
    </row>
    <row r="88" spans="1:8" hidden="1" x14ac:dyDescent="0.3">
      <c r="A88" s="312" t="s">
        <v>312</v>
      </c>
      <c r="B88" t="s">
        <v>272</v>
      </c>
      <c r="C88" t="s">
        <v>273</v>
      </c>
      <c r="D88" t="s">
        <v>274</v>
      </c>
      <c r="E88" t="s">
        <v>275</v>
      </c>
      <c r="F88" t="s">
        <v>275</v>
      </c>
      <c r="G88" t="s">
        <v>217</v>
      </c>
      <c r="H88" t="s">
        <v>218</v>
      </c>
    </row>
    <row r="89" spans="1:8" hidden="1" x14ac:dyDescent="0.3">
      <c r="A89" s="312" t="s">
        <v>312</v>
      </c>
      <c r="B89" t="s">
        <v>276</v>
      </c>
      <c r="C89" t="s">
        <v>277</v>
      </c>
      <c r="D89" t="s">
        <v>260</v>
      </c>
      <c r="E89" t="s">
        <v>261</v>
      </c>
      <c r="F89" t="s">
        <v>261</v>
      </c>
      <c r="G89" t="s">
        <v>231</v>
      </c>
      <c r="H89" t="s">
        <v>232</v>
      </c>
    </row>
    <row r="90" spans="1:8" hidden="1" x14ac:dyDescent="0.3">
      <c r="A90" s="312" t="s">
        <v>312</v>
      </c>
      <c r="B90" t="s">
        <v>278</v>
      </c>
      <c r="C90" t="s">
        <v>279</v>
      </c>
      <c r="D90" t="s">
        <v>256</v>
      </c>
      <c r="E90" t="s">
        <v>257</v>
      </c>
      <c r="F90" t="s">
        <v>257</v>
      </c>
      <c r="G90" t="s">
        <v>237</v>
      </c>
      <c r="H90" t="s">
        <v>238</v>
      </c>
    </row>
    <row r="91" spans="1:8" hidden="1" x14ac:dyDescent="0.3">
      <c r="A91" s="312" t="s">
        <v>312</v>
      </c>
      <c r="B91" t="s">
        <v>280</v>
      </c>
      <c r="C91" t="s">
        <v>281</v>
      </c>
      <c r="D91" t="s">
        <v>221</v>
      </c>
      <c r="E91" t="s">
        <v>222</v>
      </c>
      <c r="F91" t="s">
        <v>222</v>
      </c>
      <c r="G91" t="s">
        <v>217</v>
      </c>
      <c r="H91" t="s">
        <v>218</v>
      </c>
    </row>
    <row r="92" spans="1:8" hidden="1" x14ac:dyDescent="0.3">
      <c r="A92" s="312" t="s">
        <v>312</v>
      </c>
      <c r="B92" t="s">
        <v>282</v>
      </c>
      <c r="C92" t="s">
        <v>283</v>
      </c>
      <c r="D92" t="s">
        <v>284</v>
      </c>
      <c r="E92" t="s">
        <v>285</v>
      </c>
      <c r="F92" t="s">
        <v>285</v>
      </c>
      <c r="G92" t="s">
        <v>217</v>
      </c>
      <c r="H92" t="s">
        <v>218</v>
      </c>
    </row>
    <row r="93" spans="1:8" hidden="1" x14ac:dyDescent="0.3">
      <c r="A93" s="312" t="s">
        <v>312</v>
      </c>
      <c r="B93" t="s">
        <v>286</v>
      </c>
      <c r="C93" t="s">
        <v>287</v>
      </c>
      <c r="D93" t="s">
        <v>250</v>
      </c>
      <c r="E93" t="s">
        <v>251</v>
      </c>
      <c r="F93" t="s">
        <v>251</v>
      </c>
      <c r="G93" t="s">
        <v>231</v>
      </c>
      <c r="H93" t="s">
        <v>232</v>
      </c>
    </row>
    <row r="94" spans="1:8" hidden="1" x14ac:dyDescent="0.3">
      <c r="A94" s="312" t="s">
        <v>312</v>
      </c>
      <c r="B94" t="s">
        <v>316</v>
      </c>
      <c r="C94" t="s">
        <v>289</v>
      </c>
      <c r="D94" t="s">
        <v>317</v>
      </c>
      <c r="E94" t="s">
        <v>289</v>
      </c>
      <c r="F94" t="s">
        <v>289</v>
      </c>
      <c r="G94" t="s">
        <v>231</v>
      </c>
      <c r="H94" t="s">
        <v>232</v>
      </c>
    </row>
    <row r="95" spans="1:8" hidden="1" x14ac:dyDescent="0.3">
      <c r="A95" s="312" t="s">
        <v>312</v>
      </c>
      <c r="B95" t="s">
        <v>291</v>
      </c>
      <c r="C95" t="s">
        <v>292</v>
      </c>
      <c r="D95" t="s">
        <v>284</v>
      </c>
      <c r="E95" t="s">
        <v>285</v>
      </c>
      <c r="F95" t="s">
        <v>285</v>
      </c>
      <c r="G95" t="s">
        <v>217</v>
      </c>
      <c r="H95" t="s">
        <v>218</v>
      </c>
    </row>
    <row r="96" spans="1:8" hidden="1" x14ac:dyDescent="0.3">
      <c r="A96" s="312" t="s">
        <v>312</v>
      </c>
      <c r="B96" t="s">
        <v>293</v>
      </c>
      <c r="C96" t="s">
        <v>294</v>
      </c>
      <c r="D96" t="s">
        <v>225</v>
      </c>
      <c r="E96" t="s">
        <v>226</v>
      </c>
      <c r="F96" t="s">
        <v>226</v>
      </c>
      <c r="G96" t="s">
        <v>217</v>
      </c>
      <c r="H96" t="s">
        <v>218</v>
      </c>
    </row>
    <row r="97" spans="1:8" hidden="1" x14ac:dyDescent="0.3">
      <c r="A97" s="312" t="s">
        <v>312</v>
      </c>
      <c r="B97" t="s">
        <v>295</v>
      </c>
      <c r="C97" t="s">
        <v>296</v>
      </c>
      <c r="D97" t="s">
        <v>260</v>
      </c>
      <c r="E97" t="s">
        <v>261</v>
      </c>
      <c r="F97" t="s">
        <v>261</v>
      </c>
      <c r="G97" t="s">
        <v>231</v>
      </c>
      <c r="H97" t="s">
        <v>232</v>
      </c>
    </row>
    <row r="98" spans="1:8" hidden="1" x14ac:dyDescent="0.3">
      <c r="A98" s="312" t="s">
        <v>312</v>
      </c>
      <c r="B98" t="s">
        <v>297</v>
      </c>
      <c r="C98" t="s">
        <v>298</v>
      </c>
      <c r="D98" t="s">
        <v>256</v>
      </c>
      <c r="E98" t="s">
        <v>257</v>
      </c>
      <c r="F98" t="s">
        <v>257</v>
      </c>
      <c r="G98" t="s">
        <v>237</v>
      </c>
      <c r="H98" t="s">
        <v>238</v>
      </c>
    </row>
    <row r="99" spans="1:8" hidden="1" x14ac:dyDescent="0.3">
      <c r="A99" s="312" t="s">
        <v>312</v>
      </c>
      <c r="B99" t="s">
        <v>299</v>
      </c>
      <c r="C99" t="s">
        <v>300</v>
      </c>
      <c r="D99" t="s">
        <v>284</v>
      </c>
      <c r="E99" t="s">
        <v>285</v>
      </c>
      <c r="F99" t="s">
        <v>285</v>
      </c>
      <c r="G99" t="s">
        <v>217</v>
      </c>
      <c r="H99" t="s">
        <v>218</v>
      </c>
    </row>
    <row r="100" spans="1:8" hidden="1" x14ac:dyDescent="0.3">
      <c r="A100" s="312" t="s">
        <v>312</v>
      </c>
      <c r="B100" t="s">
        <v>301</v>
      </c>
      <c r="C100" t="s">
        <v>302</v>
      </c>
      <c r="D100" t="s">
        <v>250</v>
      </c>
      <c r="E100" t="s">
        <v>251</v>
      </c>
      <c r="F100" t="s">
        <v>251</v>
      </c>
      <c r="G100" t="s">
        <v>231</v>
      </c>
      <c r="H100" t="s">
        <v>232</v>
      </c>
    </row>
    <row r="101" spans="1:8" hidden="1" x14ac:dyDescent="0.3">
      <c r="A101" s="312" t="s">
        <v>312</v>
      </c>
      <c r="B101" t="s">
        <v>303</v>
      </c>
      <c r="C101" t="s">
        <v>304</v>
      </c>
      <c r="D101" t="s">
        <v>305</v>
      </c>
      <c r="E101" t="s">
        <v>304</v>
      </c>
      <c r="F101" t="s">
        <v>304</v>
      </c>
      <c r="G101" t="s">
        <v>231</v>
      </c>
      <c r="H101" t="s">
        <v>232</v>
      </c>
    </row>
    <row r="102" spans="1:8" hidden="1" x14ac:dyDescent="0.3">
      <c r="A102" s="312" t="s">
        <v>312</v>
      </c>
      <c r="B102" t="s">
        <v>306</v>
      </c>
      <c r="C102" t="s">
        <v>307</v>
      </c>
      <c r="D102" t="s">
        <v>241</v>
      </c>
      <c r="E102" t="s">
        <v>242</v>
      </c>
      <c r="F102" t="s">
        <v>313</v>
      </c>
      <c r="G102" t="s">
        <v>237</v>
      </c>
      <c r="H102" t="s">
        <v>238</v>
      </c>
    </row>
    <row r="103" spans="1:8" hidden="1" x14ac:dyDescent="0.3">
      <c r="A103" s="312" t="s">
        <v>312</v>
      </c>
      <c r="B103" t="s">
        <v>308</v>
      </c>
      <c r="C103" t="s">
        <v>309</v>
      </c>
      <c r="D103" t="s">
        <v>229</v>
      </c>
      <c r="E103" t="s">
        <v>230</v>
      </c>
      <c r="F103" t="s">
        <v>230</v>
      </c>
      <c r="G103" t="s">
        <v>231</v>
      </c>
      <c r="H103" t="s">
        <v>232</v>
      </c>
    </row>
    <row r="104" spans="1:8" hidden="1" x14ac:dyDescent="0.3">
      <c r="A104" s="525" t="s">
        <v>312</v>
      </c>
      <c r="B104" s="300" t="s">
        <v>310</v>
      </c>
      <c r="C104" s="300" t="s">
        <v>311</v>
      </c>
      <c r="D104" s="300" t="s">
        <v>264</v>
      </c>
      <c r="E104" s="300" t="s">
        <v>265</v>
      </c>
      <c r="F104" s="300" t="s">
        <v>265</v>
      </c>
      <c r="G104" s="300" t="s">
        <v>237</v>
      </c>
      <c r="H104" s="300" t="s">
        <v>238</v>
      </c>
    </row>
    <row r="105" spans="1:8" hidden="1" x14ac:dyDescent="0.3">
      <c r="A105" s="312" t="s">
        <v>213</v>
      </c>
      <c r="B105" t="s">
        <v>214</v>
      </c>
      <c r="C105" t="s">
        <v>215</v>
      </c>
      <c r="D105" t="s">
        <v>216</v>
      </c>
      <c r="E105" t="s">
        <v>215</v>
      </c>
      <c r="F105" t="s">
        <v>215</v>
      </c>
      <c r="G105" t="s">
        <v>217</v>
      </c>
      <c r="H105" t="s">
        <v>218</v>
      </c>
    </row>
    <row r="106" spans="1:8" hidden="1" x14ac:dyDescent="0.3">
      <c r="A106" s="312" t="s">
        <v>213</v>
      </c>
      <c r="B106" t="s">
        <v>219</v>
      </c>
      <c r="C106" t="s">
        <v>220</v>
      </c>
      <c r="D106" t="s">
        <v>221</v>
      </c>
      <c r="E106" t="s">
        <v>222</v>
      </c>
      <c r="F106" t="s">
        <v>222</v>
      </c>
      <c r="G106" t="s">
        <v>217</v>
      </c>
      <c r="H106" t="s">
        <v>218</v>
      </c>
    </row>
    <row r="107" spans="1:8" hidden="1" x14ac:dyDescent="0.3">
      <c r="A107" s="312" t="s">
        <v>213</v>
      </c>
      <c r="B107" t="s">
        <v>223</v>
      </c>
      <c r="C107" t="s">
        <v>224</v>
      </c>
      <c r="D107" t="s">
        <v>225</v>
      </c>
      <c r="E107" t="s">
        <v>226</v>
      </c>
      <c r="F107" t="s">
        <v>226</v>
      </c>
      <c r="G107" t="s">
        <v>217</v>
      </c>
      <c r="H107" t="s">
        <v>218</v>
      </c>
    </row>
    <row r="108" spans="1:8" hidden="1" x14ac:dyDescent="0.3">
      <c r="A108" s="312" t="s">
        <v>213</v>
      </c>
      <c r="B108" t="s">
        <v>227</v>
      </c>
      <c r="C108" t="s">
        <v>228</v>
      </c>
      <c r="D108" t="s">
        <v>229</v>
      </c>
      <c r="E108" t="s">
        <v>230</v>
      </c>
      <c r="F108" t="s">
        <v>230</v>
      </c>
      <c r="G108" t="s">
        <v>231</v>
      </c>
      <c r="H108" t="s">
        <v>232</v>
      </c>
    </row>
    <row r="109" spans="1:8" hidden="1" x14ac:dyDescent="0.3">
      <c r="A109" s="312" t="s">
        <v>213</v>
      </c>
      <c r="B109" t="s">
        <v>233</v>
      </c>
      <c r="C109" t="s">
        <v>234</v>
      </c>
      <c r="D109" t="s">
        <v>235</v>
      </c>
      <c r="E109" t="s">
        <v>236</v>
      </c>
      <c r="F109" t="s">
        <v>236</v>
      </c>
      <c r="G109" t="s">
        <v>237</v>
      </c>
      <c r="H109" t="s">
        <v>238</v>
      </c>
    </row>
    <row r="110" spans="1:8" hidden="1" x14ac:dyDescent="0.3">
      <c r="A110" s="312" t="s">
        <v>213</v>
      </c>
      <c r="B110" t="s">
        <v>239</v>
      </c>
      <c r="C110" t="s">
        <v>240</v>
      </c>
      <c r="D110" t="s">
        <v>241</v>
      </c>
      <c r="E110" t="s">
        <v>242</v>
      </c>
      <c r="F110" t="s">
        <v>242</v>
      </c>
      <c r="G110" t="s">
        <v>237</v>
      </c>
      <c r="H110" t="s">
        <v>238</v>
      </c>
    </row>
    <row r="111" spans="1:8" hidden="1" x14ac:dyDescent="0.3">
      <c r="A111" s="312" t="s">
        <v>213</v>
      </c>
      <c r="B111" t="s">
        <v>243</v>
      </c>
      <c r="C111" t="s">
        <v>244</v>
      </c>
      <c r="D111" t="s">
        <v>245</v>
      </c>
      <c r="E111" t="s">
        <v>244</v>
      </c>
      <c r="F111" t="s">
        <v>244</v>
      </c>
      <c r="G111" t="s">
        <v>231</v>
      </c>
      <c r="H111" t="s">
        <v>232</v>
      </c>
    </row>
    <row r="112" spans="1:8" hidden="1" x14ac:dyDescent="0.3">
      <c r="A112" s="312" t="s">
        <v>213</v>
      </c>
      <c r="B112" t="s">
        <v>246</v>
      </c>
      <c r="C112" t="s">
        <v>247</v>
      </c>
      <c r="D112" t="s">
        <v>225</v>
      </c>
      <c r="E112" t="s">
        <v>226</v>
      </c>
      <c r="F112" t="s">
        <v>226</v>
      </c>
      <c r="G112" t="s">
        <v>217</v>
      </c>
      <c r="H112" t="s">
        <v>218</v>
      </c>
    </row>
    <row r="113" spans="1:8" hidden="1" x14ac:dyDescent="0.3">
      <c r="A113" s="312" t="s">
        <v>213</v>
      </c>
      <c r="B113" t="s">
        <v>248</v>
      </c>
      <c r="C113" t="s">
        <v>249</v>
      </c>
      <c r="D113" t="s">
        <v>250</v>
      </c>
      <c r="E113" t="s">
        <v>251</v>
      </c>
      <c r="F113" t="s">
        <v>251</v>
      </c>
      <c r="G113" t="s">
        <v>231</v>
      </c>
      <c r="H113" t="s">
        <v>232</v>
      </c>
    </row>
    <row r="114" spans="1:8" hidden="1" x14ac:dyDescent="0.3">
      <c r="A114" s="312" t="s">
        <v>213</v>
      </c>
      <c r="B114" t="s">
        <v>252</v>
      </c>
      <c r="C114" t="s">
        <v>253</v>
      </c>
      <c r="D114" t="s">
        <v>229</v>
      </c>
      <c r="E114" t="s">
        <v>230</v>
      </c>
      <c r="F114" t="s">
        <v>230</v>
      </c>
      <c r="G114" t="s">
        <v>231</v>
      </c>
      <c r="H114" t="s">
        <v>232</v>
      </c>
    </row>
    <row r="115" spans="1:8" hidden="1" x14ac:dyDescent="0.3">
      <c r="A115" s="312" t="s">
        <v>213</v>
      </c>
      <c r="B115" t="s">
        <v>254</v>
      </c>
      <c r="C115" t="s">
        <v>255</v>
      </c>
      <c r="D115" t="s">
        <v>256</v>
      </c>
      <c r="E115" t="s">
        <v>257</v>
      </c>
      <c r="F115" t="s">
        <v>257</v>
      </c>
      <c r="G115" t="s">
        <v>237</v>
      </c>
      <c r="H115" t="s">
        <v>238</v>
      </c>
    </row>
    <row r="116" spans="1:8" hidden="1" x14ac:dyDescent="0.3">
      <c r="A116" s="312" t="s">
        <v>213</v>
      </c>
      <c r="B116" t="s">
        <v>258</v>
      </c>
      <c r="C116" t="s">
        <v>259</v>
      </c>
      <c r="D116" t="s">
        <v>260</v>
      </c>
      <c r="E116" t="s">
        <v>261</v>
      </c>
      <c r="F116" t="s">
        <v>261</v>
      </c>
      <c r="G116" t="s">
        <v>231</v>
      </c>
      <c r="H116" t="s">
        <v>232</v>
      </c>
    </row>
    <row r="117" spans="1:8" hidden="1" x14ac:dyDescent="0.3">
      <c r="A117" s="312" t="s">
        <v>213</v>
      </c>
      <c r="B117" t="s">
        <v>262</v>
      </c>
      <c r="C117" t="s">
        <v>263</v>
      </c>
      <c r="D117" t="s">
        <v>264</v>
      </c>
      <c r="E117" t="s">
        <v>265</v>
      </c>
      <c r="F117" t="s">
        <v>265</v>
      </c>
      <c r="G117" t="s">
        <v>237</v>
      </c>
      <c r="H117" t="s">
        <v>238</v>
      </c>
    </row>
    <row r="118" spans="1:8" hidden="1" x14ac:dyDescent="0.3">
      <c r="A118" s="312" t="s">
        <v>213</v>
      </c>
      <c r="B118" t="s">
        <v>266</v>
      </c>
      <c r="C118" t="s">
        <v>267</v>
      </c>
      <c r="D118" t="s">
        <v>268</v>
      </c>
      <c r="E118" t="s">
        <v>267</v>
      </c>
      <c r="F118" t="s">
        <v>267</v>
      </c>
      <c r="G118" t="s">
        <v>237</v>
      </c>
      <c r="H118" t="s">
        <v>238</v>
      </c>
    </row>
    <row r="119" spans="1:8" hidden="1" x14ac:dyDescent="0.3">
      <c r="A119" s="312" t="s">
        <v>213</v>
      </c>
      <c r="B119" t="s">
        <v>269</v>
      </c>
      <c r="C119" t="s">
        <v>270</v>
      </c>
      <c r="D119" t="s">
        <v>271</v>
      </c>
      <c r="E119" t="s">
        <v>270</v>
      </c>
      <c r="F119" t="s">
        <v>270</v>
      </c>
      <c r="G119" t="s">
        <v>231</v>
      </c>
      <c r="H119" t="s">
        <v>232</v>
      </c>
    </row>
    <row r="120" spans="1:8" hidden="1" x14ac:dyDescent="0.3">
      <c r="A120" s="312" t="s">
        <v>213</v>
      </c>
      <c r="B120" t="s">
        <v>272</v>
      </c>
      <c r="C120" t="s">
        <v>273</v>
      </c>
      <c r="D120" t="s">
        <v>274</v>
      </c>
      <c r="E120" t="s">
        <v>275</v>
      </c>
      <c r="F120" t="s">
        <v>275</v>
      </c>
      <c r="G120" t="s">
        <v>217</v>
      </c>
      <c r="H120" t="s">
        <v>218</v>
      </c>
    </row>
    <row r="121" spans="1:8" hidden="1" x14ac:dyDescent="0.3">
      <c r="A121" s="312" t="s">
        <v>213</v>
      </c>
      <c r="B121" t="s">
        <v>276</v>
      </c>
      <c r="C121" t="s">
        <v>277</v>
      </c>
      <c r="D121" t="s">
        <v>260</v>
      </c>
      <c r="E121" t="s">
        <v>261</v>
      </c>
      <c r="F121" t="s">
        <v>261</v>
      </c>
      <c r="G121" t="s">
        <v>231</v>
      </c>
      <c r="H121" t="s">
        <v>232</v>
      </c>
    </row>
    <row r="122" spans="1:8" hidden="1" x14ac:dyDescent="0.3">
      <c r="A122" s="312" t="s">
        <v>213</v>
      </c>
      <c r="B122" t="s">
        <v>278</v>
      </c>
      <c r="C122" t="s">
        <v>279</v>
      </c>
      <c r="D122" t="s">
        <v>256</v>
      </c>
      <c r="E122" t="s">
        <v>257</v>
      </c>
      <c r="F122" t="s">
        <v>257</v>
      </c>
      <c r="G122" t="s">
        <v>237</v>
      </c>
      <c r="H122" t="s">
        <v>238</v>
      </c>
    </row>
    <row r="123" spans="1:8" hidden="1" x14ac:dyDescent="0.3">
      <c r="A123" s="312" t="s">
        <v>213</v>
      </c>
      <c r="B123" t="s">
        <v>280</v>
      </c>
      <c r="C123" t="s">
        <v>281</v>
      </c>
      <c r="D123" t="s">
        <v>221</v>
      </c>
      <c r="E123" t="s">
        <v>222</v>
      </c>
      <c r="F123" t="s">
        <v>222</v>
      </c>
      <c r="G123" t="s">
        <v>217</v>
      </c>
      <c r="H123" t="s">
        <v>218</v>
      </c>
    </row>
    <row r="124" spans="1:8" hidden="1" x14ac:dyDescent="0.3">
      <c r="A124" s="312" t="s">
        <v>213</v>
      </c>
      <c r="B124" t="s">
        <v>282</v>
      </c>
      <c r="C124" t="s">
        <v>283</v>
      </c>
      <c r="D124" t="s">
        <v>284</v>
      </c>
      <c r="E124" t="s">
        <v>285</v>
      </c>
      <c r="F124" t="s">
        <v>285</v>
      </c>
      <c r="G124" t="s">
        <v>217</v>
      </c>
      <c r="H124" t="s">
        <v>218</v>
      </c>
    </row>
    <row r="125" spans="1:8" hidden="1" x14ac:dyDescent="0.3">
      <c r="A125" s="312" t="s">
        <v>213</v>
      </c>
      <c r="B125" t="s">
        <v>286</v>
      </c>
      <c r="C125" t="s">
        <v>287</v>
      </c>
      <c r="D125" t="s">
        <v>250</v>
      </c>
      <c r="E125" t="s">
        <v>251</v>
      </c>
      <c r="F125" t="s">
        <v>251</v>
      </c>
      <c r="G125" t="s">
        <v>231</v>
      </c>
      <c r="H125" t="s">
        <v>232</v>
      </c>
    </row>
    <row r="126" spans="1:8" hidden="1" x14ac:dyDescent="0.3">
      <c r="A126" s="312" t="s">
        <v>213</v>
      </c>
      <c r="B126" t="s">
        <v>288</v>
      </c>
      <c r="C126" t="s">
        <v>289</v>
      </c>
      <c r="D126" t="s">
        <v>290</v>
      </c>
      <c r="E126" t="s">
        <v>289</v>
      </c>
      <c r="F126" t="s">
        <v>289</v>
      </c>
      <c r="G126" t="s">
        <v>231</v>
      </c>
      <c r="H126" t="s">
        <v>232</v>
      </c>
    </row>
    <row r="127" spans="1:8" hidden="1" x14ac:dyDescent="0.3">
      <c r="A127" s="312" t="s">
        <v>213</v>
      </c>
      <c r="B127" t="s">
        <v>291</v>
      </c>
      <c r="C127" t="s">
        <v>292</v>
      </c>
      <c r="D127" t="s">
        <v>284</v>
      </c>
      <c r="E127" t="s">
        <v>285</v>
      </c>
      <c r="F127" t="s">
        <v>285</v>
      </c>
      <c r="G127" t="s">
        <v>217</v>
      </c>
      <c r="H127" t="s">
        <v>218</v>
      </c>
    </row>
    <row r="128" spans="1:8" hidden="1" x14ac:dyDescent="0.3">
      <c r="A128" s="312" t="s">
        <v>213</v>
      </c>
      <c r="B128" t="s">
        <v>293</v>
      </c>
      <c r="C128" t="s">
        <v>294</v>
      </c>
      <c r="D128" t="s">
        <v>225</v>
      </c>
      <c r="E128" t="s">
        <v>226</v>
      </c>
      <c r="F128" t="s">
        <v>226</v>
      </c>
      <c r="G128" t="s">
        <v>217</v>
      </c>
      <c r="H128" t="s">
        <v>218</v>
      </c>
    </row>
    <row r="129" spans="1:8" hidden="1" x14ac:dyDescent="0.3">
      <c r="A129" s="312" t="s">
        <v>213</v>
      </c>
      <c r="B129" t="s">
        <v>295</v>
      </c>
      <c r="C129" t="s">
        <v>296</v>
      </c>
      <c r="D129" t="s">
        <v>260</v>
      </c>
      <c r="E129" t="s">
        <v>261</v>
      </c>
      <c r="F129" t="s">
        <v>261</v>
      </c>
      <c r="G129" t="s">
        <v>231</v>
      </c>
      <c r="H129" t="s">
        <v>232</v>
      </c>
    </row>
    <row r="130" spans="1:8" hidden="1" x14ac:dyDescent="0.3">
      <c r="A130" s="312" t="s">
        <v>213</v>
      </c>
      <c r="B130" t="s">
        <v>297</v>
      </c>
      <c r="C130" t="s">
        <v>298</v>
      </c>
      <c r="D130" t="s">
        <v>256</v>
      </c>
      <c r="E130" t="s">
        <v>257</v>
      </c>
      <c r="F130" t="s">
        <v>257</v>
      </c>
      <c r="G130" t="s">
        <v>237</v>
      </c>
      <c r="H130" t="s">
        <v>238</v>
      </c>
    </row>
    <row r="131" spans="1:8" hidden="1" x14ac:dyDescent="0.3">
      <c r="A131" s="312" t="s">
        <v>213</v>
      </c>
      <c r="B131" t="s">
        <v>299</v>
      </c>
      <c r="C131" t="s">
        <v>300</v>
      </c>
      <c r="D131" t="s">
        <v>284</v>
      </c>
      <c r="E131" t="s">
        <v>285</v>
      </c>
      <c r="F131" t="s">
        <v>285</v>
      </c>
      <c r="G131" t="s">
        <v>217</v>
      </c>
      <c r="H131" t="s">
        <v>218</v>
      </c>
    </row>
    <row r="132" spans="1:8" hidden="1" x14ac:dyDescent="0.3">
      <c r="A132" s="312" t="s">
        <v>213</v>
      </c>
      <c r="B132" t="s">
        <v>301</v>
      </c>
      <c r="C132" t="s">
        <v>302</v>
      </c>
      <c r="D132" t="s">
        <v>250</v>
      </c>
      <c r="E132" t="s">
        <v>251</v>
      </c>
      <c r="F132" t="s">
        <v>251</v>
      </c>
      <c r="G132" t="s">
        <v>231</v>
      </c>
      <c r="H132" t="s">
        <v>232</v>
      </c>
    </row>
    <row r="133" spans="1:8" hidden="1" x14ac:dyDescent="0.3">
      <c r="A133" s="312" t="s">
        <v>213</v>
      </c>
      <c r="B133" t="s">
        <v>303</v>
      </c>
      <c r="C133" t="s">
        <v>304</v>
      </c>
      <c r="D133" t="s">
        <v>305</v>
      </c>
      <c r="E133" t="s">
        <v>304</v>
      </c>
      <c r="F133" t="s">
        <v>304</v>
      </c>
      <c r="G133" t="s">
        <v>231</v>
      </c>
      <c r="H133" t="s">
        <v>232</v>
      </c>
    </row>
    <row r="134" spans="1:8" hidden="1" x14ac:dyDescent="0.3">
      <c r="A134" s="312" t="s">
        <v>213</v>
      </c>
      <c r="B134" t="s">
        <v>306</v>
      </c>
      <c r="C134" t="s">
        <v>307</v>
      </c>
      <c r="D134" t="s">
        <v>241</v>
      </c>
      <c r="E134" t="s">
        <v>242</v>
      </c>
      <c r="F134" t="s">
        <v>242</v>
      </c>
      <c r="G134" t="s">
        <v>237</v>
      </c>
      <c r="H134" t="s">
        <v>238</v>
      </c>
    </row>
    <row r="135" spans="1:8" hidden="1" x14ac:dyDescent="0.3">
      <c r="A135" s="312" t="s">
        <v>213</v>
      </c>
      <c r="B135" t="s">
        <v>308</v>
      </c>
      <c r="C135" t="s">
        <v>309</v>
      </c>
      <c r="D135" t="s">
        <v>229</v>
      </c>
      <c r="E135" t="s">
        <v>230</v>
      </c>
      <c r="F135" t="s">
        <v>230</v>
      </c>
      <c r="G135" t="s">
        <v>231</v>
      </c>
      <c r="H135" t="s">
        <v>232</v>
      </c>
    </row>
    <row r="136" spans="1:8" hidden="1" x14ac:dyDescent="0.3">
      <c r="A136" s="525" t="s">
        <v>213</v>
      </c>
      <c r="B136" s="300" t="s">
        <v>310</v>
      </c>
      <c r="C136" s="300" t="s">
        <v>311</v>
      </c>
      <c r="D136" s="300" t="s">
        <v>264</v>
      </c>
      <c r="E136" s="300" t="s">
        <v>265</v>
      </c>
      <c r="F136" s="300" t="s">
        <v>265</v>
      </c>
      <c r="G136" s="300" t="s">
        <v>237</v>
      </c>
      <c r="H136" s="300" t="s">
        <v>238</v>
      </c>
    </row>
    <row r="137" spans="1:8" hidden="1" x14ac:dyDescent="0.3">
      <c r="A137" s="312" t="s">
        <v>325</v>
      </c>
      <c r="B137" t="s">
        <v>214</v>
      </c>
      <c r="C137" t="s">
        <v>215</v>
      </c>
      <c r="D137" t="s">
        <v>321</v>
      </c>
      <c r="E137" t="s">
        <v>322</v>
      </c>
      <c r="F137" t="s">
        <v>322</v>
      </c>
      <c r="G137" t="s">
        <v>217</v>
      </c>
      <c r="H137" t="s">
        <v>218</v>
      </c>
    </row>
    <row r="138" spans="1:8" hidden="1" x14ac:dyDescent="0.3">
      <c r="A138" s="312" t="s">
        <v>325</v>
      </c>
      <c r="B138" t="s">
        <v>219</v>
      </c>
      <c r="C138" t="s">
        <v>220</v>
      </c>
      <c r="D138" t="s">
        <v>321</v>
      </c>
      <c r="E138" t="s">
        <v>322</v>
      </c>
      <c r="F138" t="s">
        <v>322</v>
      </c>
      <c r="G138" t="s">
        <v>217</v>
      </c>
      <c r="H138" t="s">
        <v>218</v>
      </c>
    </row>
    <row r="139" spans="1:8" hidden="1" x14ac:dyDescent="0.3">
      <c r="A139" s="312" t="s">
        <v>325</v>
      </c>
      <c r="B139" t="s">
        <v>223</v>
      </c>
      <c r="C139" t="s">
        <v>224</v>
      </c>
      <c r="D139" t="s">
        <v>225</v>
      </c>
      <c r="E139" t="s">
        <v>226</v>
      </c>
      <c r="F139" t="s">
        <v>226</v>
      </c>
      <c r="G139" t="s">
        <v>217</v>
      </c>
      <c r="H139" t="s">
        <v>218</v>
      </c>
    </row>
    <row r="140" spans="1:8" hidden="1" x14ac:dyDescent="0.3">
      <c r="A140" s="312" t="s">
        <v>325</v>
      </c>
      <c r="B140" t="s">
        <v>227</v>
      </c>
      <c r="C140" t="s">
        <v>228</v>
      </c>
      <c r="D140" t="s">
        <v>229</v>
      </c>
      <c r="E140" t="s">
        <v>230</v>
      </c>
      <c r="F140" t="s">
        <v>230</v>
      </c>
      <c r="G140" t="s">
        <v>231</v>
      </c>
      <c r="H140" t="s">
        <v>232</v>
      </c>
    </row>
    <row r="141" spans="1:8" hidden="1" x14ac:dyDescent="0.3">
      <c r="A141" s="312" t="s">
        <v>325</v>
      </c>
      <c r="B141" t="s">
        <v>233</v>
      </c>
      <c r="C141" t="s">
        <v>234</v>
      </c>
      <c r="D141" t="s">
        <v>235</v>
      </c>
      <c r="E141" t="s">
        <v>236</v>
      </c>
      <c r="F141" t="s">
        <v>236</v>
      </c>
      <c r="G141" t="s">
        <v>237</v>
      </c>
      <c r="H141" t="s">
        <v>238</v>
      </c>
    </row>
    <row r="142" spans="1:8" hidden="1" x14ac:dyDescent="0.3">
      <c r="A142" s="312" t="s">
        <v>325</v>
      </c>
      <c r="B142" t="s">
        <v>239</v>
      </c>
      <c r="C142" t="s">
        <v>240</v>
      </c>
      <c r="D142" t="s">
        <v>319</v>
      </c>
      <c r="E142" t="s">
        <v>313</v>
      </c>
      <c r="F142" t="s">
        <v>313</v>
      </c>
      <c r="G142" t="s">
        <v>237</v>
      </c>
      <c r="H142" t="s">
        <v>238</v>
      </c>
    </row>
    <row r="143" spans="1:8" hidden="1" x14ac:dyDescent="0.3">
      <c r="A143" s="312" t="s">
        <v>325</v>
      </c>
      <c r="B143" t="s">
        <v>243</v>
      </c>
      <c r="C143" t="s">
        <v>244</v>
      </c>
      <c r="D143" t="s">
        <v>245</v>
      </c>
      <c r="E143" t="s">
        <v>244</v>
      </c>
      <c r="F143" t="s">
        <v>244</v>
      </c>
      <c r="G143" t="s">
        <v>231</v>
      </c>
      <c r="H143" t="s">
        <v>232</v>
      </c>
    </row>
    <row r="144" spans="1:8" hidden="1" x14ac:dyDescent="0.3">
      <c r="A144" s="312" t="s">
        <v>325</v>
      </c>
      <c r="B144" t="s">
        <v>246</v>
      </c>
      <c r="C144" t="s">
        <v>247</v>
      </c>
      <c r="D144" t="s">
        <v>225</v>
      </c>
      <c r="E144" t="s">
        <v>226</v>
      </c>
      <c r="F144" t="s">
        <v>226</v>
      </c>
      <c r="G144" t="s">
        <v>217</v>
      </c>
      <c r="H144" t="s">
        <v>218</v>
      </c>
    </row>
    <row r="145" spans="1:8" hidden="1" x14ac:dyDescent="0.3">
      <c r="A145" s="312" t="s">
        <v>325</v>
      </c>
      <c r="B145" t="s">
        <v>248</v>
      </c>
      <c r="C145" t="s">
        <v>249</v>
      </c>
      <c r="D145" t="s">
        <v>250</v>
      </c>
      <c r="E145" t="s">
        <v>251</v>
      </c>
      <c r="F145" t="s">
        <v>251</v>
      </c>
      <c r="G145" t="s">
        <v>231</v>
      </c>
      <c r="H145" t="s">
        <v>232</v>
      </c>
    </row>
    <row r="146" spans="1:8" hidden="1" x14ac:dyDescent="0.3">
      <c r="A146" s="312" t="s">
        <v>325</v>
      </c>
      <c r="B146" t="s">
        <v>252</v>
      </c>
      <c r="C146" t="s">
        <v>253</v>
      </c>
      <c r="D146" t="s">
        <v>229</v>
      </c>
      <c r="E146" t="s">
        <v>230</v>
      </c>
      <c r="F146" t="s">
        <v>230</v>
      </c>
      <c r="G146" t="s">
        <v>231</v>
      </c>
      <c r="H146" t="s">
        <v>232</v>
      </c>
    </row>
    <row r="147" spans="1:8" hidden="1" x14ac:dyDescent="0.3">
      <c r="A147" s="312" t="s">
        <v>325</v>
      </c>
      <c r="B147" t="s">
        <v>254</v>
      </c>
      <c r="C147" t="s">
        <v>255</v>
      </c>
      <c r="D147" t="s">
        <v>256</v>
      </c>
      <c r="E147" t="s">
        <v>257</v>
      </c>
      <c r="F147" t="s">
        <v>257</v>
      </c>
      <c r="G147" t="s">
        <v>237</v>
      </c>
      <c r="H147" t="s">
        <v>238</v>
      </c>
    </row>
    <row r="148" spans="1:8" hidden="1" x14ac:dyDescent="0.3">
      <c r="A148" s="312" t="s">
        <v>325</v>
      </c>
      <c r="B148" t="s">
        <v>258</v>
      </c>
      <c r="C148" t="s">
        <v>259</v>
      </c>
      <c r="D148" t="s">
        <v>260</v>
      </c>
      <c r="E148" t="s">
        <v>261</v>
      </c>
      <c r="F148" t="s">
        <v>261</v>
      </c>
      <c r="G148" t="s">
        <v>231</v>
      </c>
      <c r="H148" t="s">
        <v>232</v>
      </c>
    </row>
    <row r="149" spans="1:8" hidden="1" x14ac:dyDescent="0.3">
      <c r="A149" s="312" t="s">
        <v>325</v>
      </c>
      <c r="B149" t="s">
        <v>262</v>
      </c>
      <c r="C149" t="s">
        <v>263</v>
      </c>
      <c r="D149" t="s">
        <v>264</v>
      </c>
      <c r="E149" t="s">
        <v>265</v>
      </c>
      <c r="F149" t="s">
        <v>265</v>
      </c>
      <c r="G149" t="s">
        <v>237</v>
      </c>
      <c r="H149" t="s">
        <v>238</v>
      </c>
    </row>
    <row r="150" spans="1:8" hidden="1" x14ac:dyDescent="0.3">
      <c r="A150" s="312" t="s">
        <v>325</v>
      </c>
      <c r="B150" t="s">
        <v>266</v>
      </c>
      <c r="C150" t="s">
        <v>267</v>
      </c>
      <c r="D150" t="s">
        <v>319</v>
      </c>
      <c r="E150" t="s">
        <v>313</v>
      </c>
      <c r="F150" t="s">
        <v>313</v>
      </c>
      <c r="G150" t="s">
        <v>237</v>
      </c>
      <c r="H150" t="s">
        <v>238</v>
      </c>
    </row>
    <row r="151" spans="1:8" hidden="1" x14ac:dyDescent="0.3">
      <c r="A151" s="312" t="s">
        <v>325</v>
      </c>
      <c r="B151" t="s">
        <v>314</v>
      </c>
      <c r="C151" t="s">
        <v>270</v>
      </c>
      <c r="D151" t="s">
        <v>315</v>
      </c>
      <c r="E151" t="s">
        <v>270</v>
      </c>
      <c r="F151" t="s">
        <v>270</v>
      </c>
      <c r="G151" t="s">
        <v>231</v>
      </c>
      <c r="H151" t="s">
        <v>232</v>
      </c>
    </row>
    <row r="152" spans="1:8" hidden="1" x14ac:dyDescent="0.3">
      <c r="A152" s="312" t="s">
        <v>325</v>
      </c>
      <c r="B152" t="s">
        <v>272</v>
      </c>
      <c r="C152" t="s">
        <v>273</v>
      </c>
      <c r="D152" t="s">
        <v>274</v>
      </c>
      <c r="E152" t="s">
        <v>275</v>
      </c>
      <c r="F152" t="s">
        <v>275</v>
      </c>
      <c r="G152" t="s">
        <v>217</v>
      </c>
      <c r="H152" t="s">
        <v>218</v>
      </c>
    </row>
    <row r="153" spans="1:8" hidden="1" x14ac:dyDescent="0.3">
      <c r="A153" s="312" t="s">
        <v>325</v>
      </c>
      <c r="B153" t="s">
        <v>276</v>
      </c>
      <c r="C153" t="s">
        <v>277</v>
      </c>
      <c r="D153" t="s">
        <v>260</v>
      </c>
      <c r="E153" t="s">
        <v>261</v>
      </c>
      <c r="F153" t="s">
        <v>261</v>
      </c>
      <c r="G153" t="s">
        <v>231</v>
      </c>
      <c r="H153" t="s">
        <v>232</v>
      </c>
    </row>
    <row r="154" spans="1:8" hidden="1" x14ac:dyDescent="0.3">
      <c r="A154" s="312" t="s">
        <v>325</v>
      </c>
      <c r="B154" t="s">
        <v>278</v>
      </c>
      <c r="C154" t="s">
        <v>279</v>
      </c>
      <c r="D154" t="s">
        <v>256</v>
      </c>
      <c r="E154" t="s">
        <v>257</v>
      </c>
      <c r="F154" t="s">
        <v>257</v>
      </c>
      <c r="G154" t="s">
        <v>237</v>
      </c>
      <c r="H154" t="s">
        <v>238</v>
      </c>
    </row>
    <row r="155" spans="1:8" hidden="1" x14ac:dyDescent="0.3">
      <c r="A155" s="312" t="s">
        <v>325</v>
      </c>
      <c r="B155" t="s">
        <v>280</v>
      </c>
      <c r="C155" t="s">
        <v>281</v>
      </c>
      <c r="D155" t="s">
        <v>321</v>
      </c>
      <c r="E155" t="s">
        <v>322</v>
      </c>
      <c r="F155" t="s">
        <v>322</v>
      </c>
      <c r="G155" t="s">
        <v>217</v>
      </c>
      <c r="H155" t="s">
        <v>218</v>
      </c>
    </row>
    <row r="156" spans="1:8" hidden="1" x14ac:dyDescent="0.3">
      <c r="A156" s="312" t="s">
        <v>325</v>
      </c>
      <c r="B156" t="s">
        <v>282</v>
      </c>
      <c r="C156" t="s">
        <v>283</v>
      </c>
      <c r="D156" t="s">
        <v>284</v>
      </c>
      <c r="E156" t="s">
        <v>285</v>
      </c>
      <c r="F156" t="s">
        <v>285</v>
      </c>
      <c r="G156" t="s">
        <v>217</v>
      </c>
      <c r="H156" t="s">
        <v>218</v>
      </c>
    </row>
    <row r="157" spans="1:8" hidden="1" x14ac:dyDescent="0.3">
      <c r="A157" s="312" t="s">
        <v>325</v>
      </c>
      <c r="B157" t="s">
        <v>286</v>
      </c>
      <c r="C157" t="s">
        <v>287</v>
      </c>
      <c r="D157" t="s">
        <v>250</v>
      </c>
      <c r="E157" t="s">
        <v>251</v>
      </c>
      <c r="F157" t="s">
        <v>251</v>
      </c>
      <c r="G157" t="s">
        <v>231</v>
      </c>
      <c r="H157" t="s">
        <v>232</v>
      </c>
    </row>
    <row r="158" spans="1:8" hidden="1" x14ac:dyDescent="0.3">
      <c r="A158" s="312" t="s">
        <v>325</v>
      </c>
      <c r="B158" t="s">
        <v>316</v>
      </c>
      <c r="C158" t="s">
        <v>289</v>
      </c>
      <c r="D158" t="s">
        <v>323</v>
      </c>
      <c r="E158" t="s">
        <v>324</v>
      </c>
      <c r="F158" t="s">
        <v>324</v>
      </c>
      <c r="G158" t="s">
        <v>231</v>
      </c>
      <c r="H158" t="s">
        <v>232</v>
      </c>
    </row>
    <row r="159" spans="1:8" hidden="1" x14ac:dyDescent="0.3">
      <c r="A159" s="312" t="s">
        <v>325</v>
      </c>
      <c r="B159" t="s">
        <v>291</v>
      </c>
      <c r="C159" t="s">
        <v>292</v>
      </c>
      <c r="D159" t="s">
        <v>284</v>
      </c>
      <c r="E159" t="s">
        <v>285</v>
      </c>
      <c r="F159" t="s">
        <v>285</v>
      </c>
      <c r="G159" t="s">
        <v>217</v>
      </c>
      <c r="H159" t="s">
        <v>218</v>
      </c>
    </row>
    <row r="160" spans="1:8" hidden="1" x14ac:dyDescent="0.3">
      <c r="A160" s="312" t="s">
        <v>325</v>
      </c>
      <c r="B160" t="s">
        <v>293</v>
      </c>
      <c r="C160" t="s">
        <v>294</v>
      </c>
      <c r="D160" t="s">
        <v>225</v>
      </c>
      <c r="E160" t="s">
        <v>226</v>
      </c>
      <c r="F160" t="s">
        <v>226</v>
      </c>
      <c r="G160" t="s">
        <v>217</v>
      </c>
      <c r="H160" t="s">
        <v>218</v>
      </c>
    </row>
    <row r="161" spans="1:8" hidden="1" x14ac:dyDescent="0.3">
      <c r="A161" s="312" t="s">
        <v>325</v>
      </c>
      <c r="B161" t="s">
        <v>295</v>
      </c>
      <c r="C161" t="s">
        <v>296</v>
      </c>
      <c r="D161" t="s">
        <v>260</v>
      </c>
      <c r="E161" t="s">
        <v>261</v>
      </c>
      <c r="F161" t="s">
        <v>261</v>
      </c>
      <c r="G161" t="s">
        <v>231</v>
      </c>
      <c r="H161" t="s">
        <v>232</v>
      </c>
    </row>
    <row r="162" spans="1:8" hidden="1" x14ac:dyDescent="0.3">
      <c r="A162" s="312" t="s">
        <v>325</v>
      </c>
      <c r="B162" t="s">
        <v>297</v>
      </c>
      <c r="C162" t="s">
        <v>298</v>
      </c>
      <c r="D162" t="s">
        <v>256</v>
      </c>
      <c r="E162" t="s">
        <v>257</v>
      </c>
      <c r="F162" t="s">
        <v>257</v>
      </c>
      <c r="G162" t="s">
        <v>237</v>
      </c>
      <c r="H162" t="s">
        <v>238</v>
      </c>
    </row>
    <row r="163" spans="1:8" hidden="1" x14ac:dyDescent="0.3">
      <c r="A163" s="312" t="s">
        <v>325</v>
      </c>
      <c r="B163" t="s">
        <v>299</v>
      </c>
      <c r="C163" t="s">
        <v>300</v>
      </c>
      <c r="D163" t="s">
        <v>284</v>
      </c>
      <c r="E163" t="s">
        <v>285</v>
      </c>
      <c r="F163" t="s">
        <v>285</v>
      </c>
      <c r="G163" t="s">
        <v>217</v>
      </c>
      <c r="H163" t="s">
        <v>218</v>
      </c>
    </row>
    <row r="164" spans="1:8" hidden="1" x14ac:dyDescent="0.3">
      <c r="A164" s="312" t="s">
        <v>325</v>
      </c>
      <c r="B164" t="s">
        <v>301</v>
      </c>
      <c r="C164" t="s">
        <v>302</v>
      </c>
      <c r="D164" t="s">
        <v>250</v>
      </c>
      <c r="E164" t="s">
        <v>251</v>
      </c>
      <c r="F164" t="s">
        <v>251</v>
      </c>
      <c r="G164" t="s">
        <v>231</v>
      </c>
      <c r="H164" t="s">
        <v>232</v>
      </c>
    </row>
    <row r="165" spans="1:8" hidden="1" x14ac:dyDescent="0.3">
      <c r="A165" s="312" t="s">
        <v>325</v>
      </c>
      <c r="B165" t="s">
        <v>303</v>
      </c>
      <c r="C165" t="s">
        <v>304</v>
      </c>
      <c r="D165" t="s">
        <v>323</v>
      </c>
      <c r="E165" t="s">
        <v>324</v>
      </c>
      <c r="F165" t="s">
        <v>324</v>
      </c>
      <c r="G165" t="s">
        <v>231</v>
      </c>
      <c r="H165" t="s">
        <v>232</v>
      </c>
    </row>
    <row r="166" spans="1:8" hidden="1" x14ac:dyDescent="0.3">
      <c r="A166" s="312" t="s">
        <v>325</v>
      </c>
      <c r="B166" t="s">
        <v>306</v>
      </c>
      <c r="C166" t="s">
        <v>307</v>
      </c>
      <c r="D166" t="s">
        <v>319</v>
      </c>
      <c r="E166" t="s">
        <v>313</v>
      </c>
      <c r="F166" t="s">
        <v>313</v>
      </c>
      <c r="G166" t="s">
        <v>237</v>
      </c>
      <c r="H166" t="s">
        <v>238</v>
      </c>
    </row>
    <row r="167" spans="1:8" hidden="1" x14ac:dyDescent="0.3">
      <c r="A167" s="312" t="s">
        <v>325</v>
      </c>
      <c r="B167" t="s">
        <v>308</v>
      </c>
      <c r="C167" t="s">
        <v>309</v>
      </c>
      <c r="D167" t="s">
        <v>229</v>
      </c>
      <c r="E167" t="s">
        <v>230</v>
      </c>
      <c r="F167" t="s">
        <v>230</v>
      </c>
      <c r="G167" t="s">
        <v>231</v>
      </c>
      <c r="H167" t="s">
        <v>232</v>
      </c>
    </row>
    <row r="168" spans="1:8" hidden="1" x14ac:dyDescent="0.3">
      <c r="A168" s="525" t="s">
        <v>325</v>
      </c>
      <c r="B168" s="300" t="s">
        <v>310</v>
      </c>
      <c r="C168" s="300" t="s">
        <v>311</v>
      </c>
      <c r="D168" s="300" t="s">
        <v>264</v>
      </c>
      <c r="E168" s="300" t="s">
        <v>265</v>
      </c>
      <c r="F168" s="300" t="s">
        <v>265</v>
      </c>
      <c r="G168" s="300" t="s">
        <v>237</v>
      </c>
      <c r="H168" s="300" t="s">
        <v>238</v>
      </c>
    </row>
    <row r="169" spans="1:8" hidden="1" x14ac:dyDescent="0.3">
      <c r="A169" s="312" t="s">
        <v>326</v>
      </c>
      <c r="B169" t="s">
        <v>214</v>
      </c>
      <c r="C169" t="s">
        <v>215</v>
      </c>
      <c r="D169" t="s">
        <v>321</v>
      </c>
      <c r="E169" t="s">
        <v>322</v>
      </c>
      <c r="F169" t="s">
        <v>322</v>
      </c>
      <c r="G169" t="s">
        <v>217</v>
      </c>
      <c r="H169" t="s">
        <v>218</v>
      </c>
    </row>
    <row r="170" spans="1:8" hidden="1" x14ac:dyDescent="0.3">
      <c r="A170" s="312" t="s">
        <v>326</v>
      </c>
      <c r="B170" t="s">
        <v>219</v>
      </c>
      <c r="C170" t="s">
        <v>220</v>
      </c>
      <c r="D170" t="s">
        <v>321</v>
      </c>
      <c r="E170" t="s">
        <v>322</v>
      </c>
      <c r="F170" t="s">
        <v>322</v>
      </c>
      <c r="G170" t="s">
        <v>217</v>
      </c>
      <c r="H170" t="s">
        <v>218</v>
      </c>
    </row>
    <row r="171" spans="1:8" hidden="1" x14ac:dyDescent="0.3">
      <c r="A171" s="312" t="s">
        <v>326</v>
      </c>
      <c r="B171" t="s">
        <v>223</v>
      </c>
      <c r="C171" t="s">
        <v>224</v>
      </c>
      <c r="D171" t="s">
        <v>225</v>
      </c>
      <c r="E171" t="s">
        <v>226</v>
      </c>
      <c r="F171" t="s">
        <v>226</v>
      </c>
      <c r="G171" t="s">
        <v>217</v>
      </c>
      <c r="H171" t="s">
        <v>218</v>
      </c>
    </row>
    <row r="172" spans="1:8" hidden="1" x14ac:dyDescent="0.3">
      <c r="A172" s="312" t="s">
        <v>326</v>
      </c>
      <c r="B172" t="s">
        <v>227</v>
      </c>
      <c r="C172" t="s">
        <v>228</v>
      </c>
      <c r="D172" t="s">
        <v>229</v>
      </c>
      <c r="E172" t="s">
        <v>230</v>
      </c>
      <c r="F172" t="s">
        <v>230</v>
      </c>
      <c r="G172" t="s">
        <v>231</v>
      </c>
      <c r="H172" t="s">
        <v>232</v>
      </c>
    </row>
    <row r="173" spans="1:8" hidden="1" x14ac:dyDescent="0.3">
      <c r="A173" s="312" t="s">
        <v>326</v>
      </c>
      <c r="B173" t="s">
        <v>233</v>
      </c>
      <c r="C173" t="s">
        <v>234</v>
      </c>
      <c r="D173" t="s">
        <v>235</v>
      </c>
      <c r="E173" t="s">
        <v>236</v>
      </c>
      <c r="F173" t="s">
        <v>236</v>
      </c>
      <c r="G173" t="s">
        <v>237</v>
      </c>
      <c r="H173" t="s">
        <v>238</v>
      </c>
    </row>
    <row r="174" spans="1:8" hidden="1" x14ac:dyDescent="0.3">
      <c r="A174" s="312" t="s">
        <v>326</v>
      </c>
      <c r="B174" t="s">
        <v>239</v>
      </c>
      <c r="C174" t="s">
        <v>240</v>
      </c>
      <c r="D174" t="s">
        <v>319</v>
      </c>
      <c r="E174" t="s">
        <v>327</v>
      </c>
      <c r="F174" t="s">
        <v>327</v>
      </c>
      <c r="G174" t="s">
        <v>237</v>
      </c>
      <c r="H174" t="s">
        <v>238</v>
      </c>
    </row>
    <row r="175" spans="1:8" hidden="1" x14ac:dyDescent="0.3">
      <c r="A175" s="312" t="s">
        <v>326</v>
      </c>
      <c r="B175" t="s">
        <v>243</v>
      </c>
      <c r="C175" t="s">
        <v>244</v>
      </c>
      <c r="D175" t="s">
        <v>245</v>
      </c>
      <c r="E175" t="s">
        <v>244</v>
      </c>
      <c r="F175" t="s">
        <v>244</v>
      </c>
      <c r="G175" t="s">
        <v>231</v>
      </c>
      <c r="H175" t="s">
        <v>232</v>
      </c>
    </row>
    <row r="176" spans="1:8" hidden="1" x14ac:dyDescent="0.3">
      <c r="A176" s="312" t="s">
        <v>326</v>
      </c>
      <c r="B176" t="s">
        <v>246</v>
      </c>
      <c r="C176" t="s">
        <v>247</v>
      </c>
      <c r="D176" t="s">
        <v>225</v>
      </c>
      <c r="E176" t="s">
        <v>226</v>
      </c>
      <c r="F176" t="s">
        <v>226</v>
      </c>
      <c r="G176" t="s">
        <v>217</v>
      </c>
      <c r="H176" t="s">
        <v>218</v>
      </c>
    </row>
    <row r="177" spans="1:8" hidden="1" x14ac:dyDescent="0.3">
      <c r="A177" s="312" t="s">
        <v>326</v>
      </c>
      <c r="B177" t="s">
        <v>248</v>
      </c>
      <c r="C177" t="s">
        <v>249</v>
      </c>
      <c r="D177" t="s">
        <v>250</v>
      </c>
      <c r="E177" t="s">
        <v>251</v>
      </c>
      <c r="F177" t="s">
        <v>251</v>
      </c>
      <c r="G177" t="s">
        <v>231</v>
      </c>
      <c r="H177" t="s">
        <v>232</v>
      </c>
    </row>
    <row r="178" spans="1:8" hidden="1" x14ac:dyDescent="0.3">
      <c r="A178" s="312" t="s">
        <v>326</v>
      </c>
      <c r="B178" t="s">
        <v>252</v>
      </c>
      <c r="C178" t="s">
        <v>253</v>
      </c>
      <c r="D178" t="s">
        <v>229</v>
      </c>
      <c r="E178" t="s">
        <v>230</v>
      </c>
      <c r="F178" t="s">
        <v>230</v>
      </c>
      <c r="G178" t="s">
        <v>231</v>
      </c>
      <c r="H178" t="s">
        <v>232</v>
      </c>
    </row>
    <row r="179" spans="1:8" hidden="1" x14ac:dyDescent="0.3">
      <c r="A179" s="312" t="s">
        <v>326</v>
      </c>
      <c r="B179" t="s">
        <v>254</v>
      </c>
      <c r="C179" t="s">
        <v>255</v>
      </c>
      <c r="D179" t="s">
        <v>256</v>
      </c>
      <c r="E179" t="s">
        <v>257</v>
      </c>
      <c r="F179" t="s">
        <v>257</v>
      </c>
      <c r="G179" t="s">
        <v>237</v>
      </c>
      <c r="H179" t="s">
        <v>238</v>
      </c>
    </row>
    <row r="180" spans="1:8" hidden="1" x14ac:dyDescent="0.3">
      <c r="A180" s="312" t="s">
        <v>326</v>
      </c>
      <c r="B180" t="s">
        <v>258</v>
      </c>
      <c r="C180" t="s">
        <v>259</v>
      </c>
      <c r="D180" t="s">
        <v>260</v>
      </c>
      <c r="E180" t="s">
        <v>261</v>
      </c>
      <c r="F180" t="s">
        <v>261</v>
      </c>
      <c r="G180" t="s">
        <v>231</v>
      </c>
      <c r="H180" t="s">
        <v>232</v>
      </c>
    </row>
    <row r="181" spans="1:8" hidden="1" x14ac:dyDescent="0.3">
      <c r="A181" s="312" t="s">
        <v>326</v>
      </c>
      <c r="B181" t="s">
        <v>262</v>
      </c>
      <c r="C181" t="s">
        <v>263</v>
      </c>
      <c r="D181" t="s">
        <v>264</v>
      </c>
      <c r="E181" t="s">
        <v>265</v>
      </c>
      <c r="F181" t="s">
        <v>265</v>
      </c>
      <c r="G181" t="s">
        <v>237</v>
      </c>
      <c r="H181" t="s">
        <v>238</v>
      </c>
    </row>
    <row r="182" spans="1:8" hidden="1" x14ac:dyDescent="0.3">
      <c r="A182" s="312" t="s">
        <v>326</v>
      </c>
      <c r="B182" t="s">
        <v>266</v>
      </c>
      <c r="C182" t="s">
        <v>267</v>
      </c>
      <c r="D182" t="s">
        <v>319</v>
      </c>
      <c r="E182" t="s">
        <v>327</v>
      </c>
      <c r="F182" t="s">
        <v>327</v>
      </c>
      <c r="G182" t="s">
        <v>237</v>
      </c>
      <c r="H182" t="s">
        <v>238</v>
      </c>
    </row>
    <row r="183" spans="1:8" hidden="1" x14ac:dyDescent="0.3">
      <c r="A183" s="312" t="s">
        <v>326</v>
      </c>
      <c r="B183" t="s">
        <v>314</v>
      </c>
      <c r="C183" t="s">
        <v>270</v>
      </c>
      <c r="D183" t="s">
        <v>315</v>
      </c>
      <c r="E183" t="s">
        <v>270</v>
      </c>
      <c r="F183" t="s">
        <v>270</v>
      </c>
      <c r="G183" t="s">
        <v>231</v>
      </c>
      <c r="H183" t="s">
        <v>232</v>
      </c>
    </row>
    <row r="184" spans="1:8" hidden="1" x14ac:dyDescent="0.3">
      <c r="A184" s="312" t="s">
        <v>326</v>
      </c>
      <c r="B184" t="s">
        <v>272</v>
      </c>
      <c r="C184" t="s">
        <v>273</v>
      </c>
      <c r="D184" t="s">
        <v>274</v>
      </c>
      <c r="E184" t="s">
        <v>275</v>
      </c>
      <c r="F184" t="s">
        <v>275</v>
      </c>
      <c r="G184" t="s">
        <v>217</v>
      </c>
      <c r="H184" t="s">
        <v>218</v>
      </c>
    </row>
    <row r="185" spans="1:8" hidden="1" x14ac:dyDescent="0.3">
      <c r="A185" s="312" t="s">
        <v>326</v>
      </c>
      <c r="B185" t="s">
        <v>276</v>
      </c>
      <c r="C185" t="s">
        <v>277</v>
      </c>
      <c r="D185" t="s">
        <v>260</v>
      </c>
      <c r="E185" t="s">
        <v>261</v>
      </c>
      <c r="F185" t="s">
        <v>261</v>
      </c>
      <c r="G185" t="s">
        <v>231</v>
      </c>
      <c r="H185" t="s">
        <v>232</v>
      </c>
    </row>
    <row r="186" spans="1:8" hidden="1" x14ac:dyDescent="0.3">
      <c r="A186" s="312" t="s">
        <v>326</v>
      </c>
      <c r="B186" t="s">
        <v>278</v>
      </c>
      <c r="C186" t="s">
        <v>279</v>
      </c>
      <c r="D186" t="s">
        <v>256</v>
      </c>
      <c r="E186" t="s">
        <v>257</v>
      </c>
      <c r="F186" t="s">
        <v>257</v>
      </c>
      <c r="G186" t="s">
        <v>237</v>
      </c>
      <c r="H186" t="s">
        <v>238</v>
      </c>
    </row>
    <row r="187" spans="1:8" hidden="1" x14ac:dyDescent="0.3">
      <c r="A187" s="312" t="s">
        <v>326</v>
      </c>
      <c r="B187" t="s">
        <v>280</v>
      </c>
      <c r="C187" t="s">
        <v>281</v>
      </c>
      <c r="D187" t="s">
        <v>321</v>
      </c>
      <c r="E187" t="s">
        <v>322</v>
      </c>
      <c r="F187" t="s">
        <v>322</v>
      </c>
      <c r="G187" t="s">
        <v>217</v>
      </c>
      <c r="H187" t="s">
        <v>218</v>
      </c>
    </row>
    <row r="188" spans="1:8" hidden="1" x14ac:dyDescent="0.3">
      <c r="A188" s="312" t="s">
        <v>326</v>
      </c>
      <c r="B188" t="s">
        <v>282</v>
      </c>
      <c r="C188" t="s">
        <v>283</v>
      </c>
      <c r="D188" t="s">
        <v>284</v>
      </c>
      <c r="E188" t="s">
        <v>285</v>
      </c>
      <c r="F188" t="s">
        <v>285</v>
      </c>
      <c r="G188" t="s">
        <v>217</v>
      </c>
      <c r="H188" t="s">
        <v>218</v>
      </c>
    </row>
    <row r="189" spans="1:8" hidden="1" x14ac:dyDescent="0.3">
      <c r="A189" s="312" t="s">
        <v>326</v>
      </c>
      <c r="B189" t="s">
        <v>286</v>
      </c>
      <c r="C189" t="s">
        <v>287</v>
      </c>
      <c r="D189" t="s">
        <v>250</v>
      </c>
      <c r="E189" t="s">
        <v>251</v>
      </c>
      <c r="F189" t="s">
        <v>251</v>
      </c>
      <c r="G189" t="s">
        <v>231</v>
      </c>
      <c r="H189" t="s">
        <v>232</v>
      </c>
    </row>
    <row r="190" spans="1:8" hidden="1" x14ac:dyDescent="0.3">
      <c r="A190" s="312" t="s">
        <v>326</v>
      </c>
      <c r="B190" t="s">
        <v>316</v>
      </c>
      <c r="C190" t="s">
        <v>289</v>
      </c>
      <c r="D190" t="s">
        <v>323</v>
      </c>
      <c r="E190" t="s">
        <v>324</v>
      </c>
      <c r="F190" t="s">
        <v>324</v>
      </c>
      <c r="G190" t="s">
        <v>231</v>
      </c>
      <c r="H190" t="s">
        <v>232</v>
      </c>
    </row>
    <row r="191" spans="1:8" hidden="1" x14ac:dyDescent="0.3">
      <c r="A191" s="312" t="s">
        <v>326</v>
      </c>
      <c r="B191" t="s">
        <v>291</v>
      </c>
      <c r="C191" t="s">
        <v>292</v>
      </c>
      <c r="D191" t="s">
        <v>284</v>
      </c>
      <c r="E191" t="s">
        <v>285</v>
      </c>
      <c r="F191" t="s">
        <v>285</v>
      </c>
      <c r="G191" t="s">
        <v>217</v>
      </c>
      <c r="H191" t="s">
        <v>218</v>
      </c>
    </row>
    <row r="192" spans="1:8" hidden="1" x14ac:dyDescent="0.3">
      <c r="A192" s="312" t="s">
        <v>326</v>
      </c>
      <c r="B192" t="s">
        <v>293</v>
      </c>
      <c r="C192" t="s">
        <v>294</v>
      </c>
      <c r="D192" t="s">
        <v>225</v>
      </c>
      <c r="E192" t="s">
        <v>226</v>
      </c>
      <c r="F192" t="s">
        <v>226</v>
      </c>
      <c r="G192" t="s">
        <v>217</v>
      </c>
      <c r="H192" t="s">
        <v>218</v>
      </c>
    </row>
    <row r="193" spans="1:8" hidden="1" x14ac:dyDescent="0.3">
      <c r="A193" s="312" t="s">
        <v>326</v>
      </c>
      <c r="B193" t="s">
        <v>295</v>
      </c>
      <c r="C193" t="s">
        <v>296</v>
      </c>
      <c r="D193" t="s">
        <v>260</v>
      </c>
      <c r="E193" t="s">
        <v>261</v>
      </c>
      <c r="F193" t="s">
        <v>261</v>
      </c>
      <c r="G193" t="s">
        <v>231</v>
      </c>
      <c r="H193" t="s">
        <v>232</v>
      </c>
    </row>
    <row r="194" spans="1:8" hidden="1" x14ac:dyDescent="0.3">
      <c r="A194" s="312" t="s">
        <v>326</v>
      </c>
      <c r="B194" t="s">
        <v>297</v>
      </c>
      <c r="C194" t="s">
        <v>298</v>
      </c>
      <c r="D194" t="s">
        <v>256</v>
      </c>
      <c r="E194" t="s">
        <v>257</v>
      </c>
      <c r="F194" t="s">
        <v>257</v>
      </c>
      <c r="G194" t="s">
        <v>237</v>
      </c>
      <c r="H194" t="s">
        <v>238</v>
      </c>
    </row>
    <row r="195" spans="1:8" hidden="1" x14ac:dyDescent="0.3">
      <c r="A195" s="312" t="s">
        <v>326</v>
      </c>
      <c r="B195" t="s">
        <v>299</v>
      </c>
      <c r="C195" t="s">
        <v>300</v>
      </c>
      <c r="D195" t="s">
        <v>284</v>
      </c>
      <c r="E195" t="s">
        <v>285</v>
      </c>
      <c r="F195" t="s">
        <v>285</v>
      </c>
      <c r="G195" t="s">
        <v>217</v>
      </c>
      <c r="H195" t="s">
        <v>218</v>
      </c>
    </row>
    <row r="196" spans="1:8" hidden="1" x14ac:dyDescent="0.3">
      <c r="A196" s="312" t="s">
        <v>326</v>
      </c>
      <c r="B196" t="s">
        <v>301</v>
      </c>
      <c r="C196" t="s">
        <v>302</v>
      </c>
      <c r="D196" t="s">
        <v>250</v>
      </c>
      <c r="E196" t="s">
        <v>251</v>
      </c>
      <c r="F196" t="s">
        <v>251</v>
      </c>
      <c r="G196" t="s">
        <v>231</v>
      </c>
      <c r="H196" t="s">
        <v>232</v>
      </c>
    </row>
    <row r="197" spans="1:8" hidden="1" x14ac:dyDescent="0.3">
      <c r="A197" s="312" t="s">
        <v>326</v>
      </c>
      <c r="B197" t="s">
        <v>303</v>
      </c>
      <c r="C197" t="s">
        <v>304</v>
      </c>
      <c r="D197" t="s">
        <v>323</v>
      </c>
      <c r="E197" t="s">
        <v>324</v>
      </c>
      <c r="F197" t="s">
        <v>324</v>
      </c>
      <c r="G197" t="s">
        <v>231</v>
      </c>
      <c r="H197" t="s">
        <v>232</v>
      </c>
    </row>
    <row r="198" spans="1:8" hidden="1" x14ac:dyDescent="0.3">
      <c r="A198" s="312" t="s">
        <v>326</v>
      </c>
      <c r="B198" t="s">
        <v>306</v>
      </c>
      <c r="C198" t="s">
        <v>307</v>
      </c>
      <c r="D198" t="s">
        <v>319</v>
      </c>
      <c r="E198" t="s">
        <v>327</v>
      </c>
      <c r="F198" t="s">
        <v>327</v>
      </c>
      <c r="G198" t="s">
        <v>237</v>
      </c>
      <c r="H198" t="s">
        <v>238</v>
      </c>
    </row>
    <row r="199" spans="1:8" hidden="1" x14ac:dyDescent="0.3">
      <c r="A199" s="312" t="s">
        <v>326</v>
      </c>
      <c r="B199" t="s">
        <v>308</v>
      </c>
      <c r="C199" t="s">
        <v>309</v>
      </c>
      <c r="D199" t="s">
        <v>229</v>
      </c>
      <c r="E199" t="s">
        <v>230</v>
      </c>
      <c r="F199" t="s">
        <v>230</v>
      </c>
      <c r="G199" t="s">
        <v>231</v>
      </c>
      <c r="H199" t="s">
        <v>232</v>
      </c>
    </row>
    <row r="200" spans="1:8" hidden="1" x14ac:dyDescent="0.3">
      <c r="A200" s="525" t="s">
        <v>326</v>
      </c>
      <c r="B200" s="300" t="s">
        <v>310</v>
      </c>
      <c r="C200" s="300" t="s">
        <v>311</v>
      </c>
      <c r="D200" s="300" t="s">
        <v>264</v>
      </c>
      <c r="E200" s="300" t="s">
        <v>265</v>
      </c>
      <c r="F200" s="300" t="s">
        <v>265</v>
      </c>
      <c r="G200" s="300" t="s">
        <v>237</v>
      </c>
      <c r="H200" s="300" t="s">
        <v>238</v>
      </c>
    </row>
    <row r="201" spans="1:8" hidden="1" x14ac:dyDescent="0.3">
      <c r="A201" s="312" t="s">
        <v>328</v>
      </c>
      <c r="B201" t="s">
        <v>214</v>
      </c>
      <c r="C201" t="s">
        <v>215</v>
      </c>
      <c r="D201" t="s">
        <v>321</v>
      </c>
      <c r="E201" t="s">
        <v>322</v>
      </c>
      <c r="F201" t="s">
        <v>322</v>
      </c>
      <c r="G201" t="s">
        <v>217</v>
      </c>
      <c r="H201" t="s">
        <v>218</v>
      </c>
    </row>
    <row r="202" spans="1:8" hidden="1" x14ac:dyDescent="0.3">
      <c r="A202" s="312" t="s">
        <v>328</v>
      </c>
      <c r="B202" t="s">
        <v>219</v>
      </c>
      <c r="C202" t="s">
        <v>220</v>
      </c>
      <c r="D202" t="s">
        <v>321</v>
      </c>
      <c r="E202" t="s">
        <v>322</v>
      </c>
      <c r="F202" t="s">
        <v>322</v>
      </c>
      <c r="G202" t="s">
        <v>217</v>
      </c>
      <c r="H202" t="s">
        <v>218</v>
      </c>
    </row>
    <row r="203" spans="1:8" hidden="1" x14ac:dyDescent="0.3">
      <c r="A203" s="312" t="s">
        <v>328</v>
      </c>
      <c r="B203" t="s">
        <v>223</v>
      </c>
      <c r="C203" t="s">
        <v>224</v>
      </c>
      <c r="D203" t="s">
        <v>225</v>
      </c>
      <c r="E203" t="s">
        <v>226</v>
      </c>
      <c r="F203" t="s">
        <v>226</v>
      </c>
      <c r="G203" t="s">
        <v>217</v>
      </c>
      <c r="H203" t="s">
        <v>218</v>
      </c>
    </row>
    <row r="204" spans="1:8" hidden="1" x14ac:dyDescent="0.3">
      <c r="A204" s="312" t="s">
        <v>328</v>
      </c>
      <c r="B204" t="s">
        <v>227</v>
      </c>
      <c r="C204" t="s">
        <v>228</v>
      </c>
      <c r="D204" t="s">
        <v>229</v>
      </c>
      <c r="E204" t="s">
        <v>230</v>
      </c>
      <c r="F204" t="s">
        <v>230</v>
      </c>
      <c r="G204" t="s">
        <v>231</v>
      </c>
      <c r="H204" t="s">
        <v>232</v>
      </c>
    </row>
    <row r="205" spans="1:8" hidden="1" x14ac:dyDescent="0.3">
      <c r="A205" s="312" t="s">
        <v>328</v>
      </c>
      <c r="B205" t="s">
        <v>233</v>
      </c>
      <c r="C205" t="s">
        <v>234</v>
      </c>
      <c r="D205" t="s">
        <v>235</v>
      </c>
      <c r="E205" t="s">
        <v>236</v>
      </c>
      <c r="F205" t="s">
        <v>236</v>
      </c>
      <c r="G205" t="s">
        <v>237</v>
      </c>
      <c r="H205" t="s">
        <v>238</v>
      </c>
    </row>
    <row r="206" spans="1:8" hidden="1" x14ac:dyDescent="0.3">
      <c r="A206" s="312" t="s">
        <v>328</v>
      </c>
      <c r="B206" t="s">
        <v>239</v>
      </c>
      <c r="C206" t="s">
        <v>240</v>
      </c>
      <c r="D206" t="s">
        <v>319</v>
      </c>
      <c r="E206" t="s">
        <v>327</v>
      </c>
      <c r="F206" t="s">
        <v>327</v>
      </c>
      <c r="G206" t="s">
        <v>237</v>
      </c>
      <c r="H206" t="s">
        <v>238</v>
      </c>
    </row>
    <row r="207" spans="1:8" hidden="1" x14ac:dyDescent="0.3">
      <c r="A207" s="312" t="s">
        <v>328</v>
      </c>
      <c r="B207" t="s">
        <v>243</v>
      </c>
      <c r="C207" t="s">
        <v>244</v>
      </c>
      <c r="D207" t="s">
        <v>245</v>
      </c>
      <c r="E207" t="s">
        <v>244</v>
      </c>
      <c r="F207" t="s">
        <v>244</v>
      </c>
      <c r="G207" t="s">
        <v>231</v>
      </c>
      <c r="H207" t="s">
        <v>232</v>
      </c>
    </row>
    <row r="208" spans="1:8" hidden="1" x14ac:dyDescent="0.3">
      <c r="A208" s="312" t="s">
        <v>328</v>
      </c>
      <c r="B208" t="s">
        <v>246</v>
      </c>
      <c r="C208" t="s">
        <v>247</v>
      </c>
      <c r="D208" t="s">
        <v>225</v>
      </c>
      <c r="E208" t="s">
        <v>226</v>
      </c>
      <c r="F208" t="s">
        <v>226</v>
      </c>
      <c r="G208" t="s">
        <v>217</v>
      </c>
      <c r="H208" t="s">
        <v>218</v>
      </c>
    </row>
    <row r="209" spans="1:8" hidden="1" x14ac:dyDescent="0.3">
      <c r="A209" s="312" t="s">
        <v>328</v>
      </c>
      <c r="B209" t="s">
        <v>248</v>
      </c>
      <c r="C209" t="s">
        <v>249</v>
      </c>
      <c r="D209" t="s">
        <v>250</v>
      </c>
      <c r="E209" t="s">
        <v>251</v>
      </c>
      <c r="F209" t="s">
        <v>251</v>
      </c>
      <c r="G209" t="s">
        <v>231</v>
      </c>
      <c r="H209" t="s">
        <v>232</v>
      </c>
    </row>
    <row r="210" spans="1:8" hidden="1" x14ac:dyDescent="0.3">
      <c r="A210" s="312" t="s">
        <v>328</v>
      </c>
      <c r="B210" t="s">
        <v>252</v>
      </c>
      <c r="C210" t="s">
        <v>253</v>
      </c>
      <c r="D210" t="s">
        <v>229</v>
      </c>
      <c r="E210" t="s">
        <v>230</v>
      </c>
      <c r="F210" t="s">
        <v>230</v>
      </c>
      <c r="G210" t="s">
        <v>231</v>
      </c>
      <c r="H210" t="s">
        <v>232</v>
      </c>
    </row>
    <row r="211" spans="1:8" hidden="1" x14ac:dyDescent="0.3">
      <c r="A211" s="312" t="s">
        <v>328</v>
      </c>
      <c r="B211" t="s">
        <v>254</v>
      </c>
      <c r="C211" t="s">
        <v>255</v>
      </c>
      <c r="D211" t="s">
        <v>256</v>
      </c>
      <c r="E211" t="s">
        <v>257</v>
      </c>
      <c r="F211" t="s">
        <v>257</v>
      </c>
      <c r="G211" t="s">
        <v>237</v>
      </c>
      <c r="H211" t="s">
        <v>238</v>
      </c>
    </row>
    <row r="212" spans="1:8" hidden="1" x14ac:dyDescent="0.3">
      <c r="A212" s="312" t="s">
        <v>328</v>
      </c>
      <c r="B212" t="s">
        <v>258</v>
      </c>
      <c r="C212" t="s">
        <v>259</v>
      </c>
      <c r="D212" t="s">
        <v>260</v>
      </c>
      <c r="E212" t="s">
        <v>261</v>
      </c>
      <c r="F212" t="s">
        <v>261</v>
      </c>
      <c r="G212" t="s">
        <v>231</v>
      </c>
      <c r="H212" t="s">
        <v>232</v>
      </c>
    </row>
    <row r="213" spans="1:8" hidden="1" x14ac:dyDescent="0.3">
      <c r="A213" s="312" t="s">
        <v>328</v>
      </c>
      <c r="B213" t="s">
        <v>262</v>
      </c>
      <c r="C213" t="s">
        <v>263</v>
      </c>
      <c r="D213" t="s">
        <v>264</v>
      </c>
      <c r="E213" t="s">
        <v>265</v>
      </c>
      <c r="F213" t="s">
        <v>265</v>
      </c>
      <c r="G213" t="s">
        <v>237</v>
      </c>
      <c r="H213" t="s">
        <v>238</v>
      </c>
    </row>
    <row r="214" spans="1:8" hidden="1" x14ac:dyDescent="0.3">
      <c r="A214" s="312" t="s">
        <v>328</v>
      </c>
      <c r="B214" t="s">
        <v>266</v>
      </c>
      <c r="C214" t="s">
        <v>267</v>
      </c>
      <c r="D214" t="s">
        <v>319</v>
      </c>
      <c r="E214" t="s">
        <v>327</v>
      </c>
      <c r="F214" t="s">
        <v>327</v>
      </c>
      <c r="G214" t="s">
        <v>237</v>
      </c>
      <c r="H214" t="s">
        <v>238</v>
      </c>
    </row>
    <row r="215" spans="1:8" hidden="1" x14ac:dyDescent="0.3">
      <c r="A215" s="312" t="s">
        <v>328</v>
      </c>
      <c r="B215" t="s">
        <v>314</v>
      </c>
      <c r="C215" t="s">
        <v>270</v>
      </c>
      <c r="D215" t="s">
        <v>315</v>
      </c>
      <c r="E215" t="s">
        <v>270</v>
      </c>
      <c r="F215" t="s">
        <v>270</v>
      </c>
      <c r="G215" t="s">
        <v>231</v>
      </c>
      <c r="H215" t="s">
        <v>232</v>
      </c>
    </row>
    <row r="216" spans="1:8" hidden="1" x14ac:dyDescent="0.3">
      <c r="A216" s="312" t="s">
        <v>328</v>
      </c>
      <c r="B216" t="s">
        <v>272</v>
      </c>
      <c r="C216" t="s">
        <v>273</v>
      </c>
      <c r="D216" t="s">
        <v>274</v>
      </c>
      <c r="E216" t="s">
        <v>275</v>
      </c>
      <c r="F216" t="s">
        <v>275</v>
      </c>
      <c r="G216" t="s">
        <v>217</v>
      </c>
      <c r="H216" t="s">
        <v>218</v>
      </c>
    </row>
    <row r="217" spans="1:8" hidden="1" x14ac:dyDescent="0.3">
      <c r="A217" s="312" t="s">
        <v>328</v>
      </c>
      <c r="B217" t="s">
        <v>276</v>
      </c>
      <c r="C217" t="s">
        <v>277</v>
      </c>
      <c r="D217" t="s">
        <v>260</v>
      </c>
      <c r="E217" t="s">
        <v>261</v>
      </c>
      <c r="F217" t="s">
        <v>261</v>
      </c>
      <c r="G217" t="s">
        <v>231</v>
      </c>
      <c r="H217" t="s">
        <v>232</v>
      </c>
    </row>
    <row r="218" spans="1:8" hidden="1" x14ac:dyDescent="0.3">
      <c r="A218" s="312" t="s">
        <v>328</v>
      </c>
      <c r="B218" t="s">
        <v>278</v>
      </c>
      <c r="C218" t="s">
        <v>279</v>
      </c>
      <c r="D218" t="s">
        <v>256</v>
      </c>
      <c r="E218" t="s">
        <v>257</v>
      </c>
      <c r="F218" t="s">
        <v>257</v>
      </c>
      <c r="G218" t="s">
        <v>237</v>
      </c>
      <c r="H218" t="s">
        <v>238</v>
      </c>
    </row>
    <row r="219" spans="1:8" hidden="1" x14ac:dyDescent="0.3">
      <c r="A219" s="312" t="s">
        <v>328</v>
      </c>
      <c r="B219" t="s">
        <v>280</v>
      </c>
      <c r="C219" t="s">
        <v>281</v>
      </c>
      <c r="D219" t="s">
        <v>321</v>
      </c>
      <c r="E219" t="s">
        <v>322</v>
      </c>
      <c r="F219" t="s">
        <v>322</v>
      </c>
      <c r="G219" t="s">
        <v>217</v>
      </c>
      <c r="H219" t="s">
        <v>218</v>
      </c>
    </row>
    <row r="220" spans="1:8" hidden="1" x14ac:dyDescent="0.3">
      <c r="A220" s="312" t="s">
        <v>328</v>
      </c>
      <c r="B220" t="s">
        <v>282</v>
      </c>
      <c r="C220" t="s">
        <v>283</v>
      </c>
      <c r="D220" t="s">
        <v>284</v>
      </c>
      <c r="E220" t="s">
        <v>285</v>
      </c>
      <c r="F220" t="s">
        <v>285</v>
      </c>
      <c r="G220" t="s">
        <v>217</v>
      </c>
      <c r="H220" t="s">
        <v>218</v>
      </c>
    </row>
    <row r="221" spans="1:8" hidden="1" x14ac:dyDescent="0.3">
      <c r="A221" s="312" t="s">
        <v>328</v>
      </c>
      <c r="B221" t="s">
        <v>286</v>
      </c>
      <c r="C221" t="s">
        <v>287</v>
      </c>
      <c r="D221" t="s">
        <v>250</v>
      </c>
      <c r="E221" t="s">
        <v>251</v>
      </c>
      <c r="F221" t="s">
        <v>251</v>
      </c>
      <c r="G221" t="s">
        <v>231</v>
      </c>
      <c r="H221" t="s">
        <v>232</v>
      </c>
    </row>
    <row r="222" spans="1:8" hidden="1" x14ac:dyDescent="0.3">
      <c r="A222" s="312" t="s">
        <v>328</v>
      </c>
      <c r="B222" t="s">
        <v>316</v>
      </c>
      <c r="C222" t="s">
        <v>289</v>
      </c>
      <c r="D222" t="s">
        <v>323</v>
      </c>
      <c r="E222" t="s">
        <v>324</v>
      </c>
      <c r="F222" t="s">
        <v>324</v>
      </c>
      <c r="G222" t="s">
        <v>231</v>
      </c>
      <c r="H222" t="s">
        <v>232</v>
      </c>
    </row>
    <row r="223" spans="1:8" hidden="1" x14ac:dyDescent="0.3">
      <c r="A223" s="312" t="s">
        <v>328</v>
      </c>
      <c r="B223" t="s">
        <v>291</v>
      </c>
      <c r="C223" t="s">
        <v>292</v>
      </c>
      <c r="D223" t="s">
        <v>284</v>
      </c>
      <c r="E223" t="s">
        <v>285</v>
      </c>
      <c r="F223" t="s">
        <v>285</v>
      </c>
      <c r="G223" t="s">
        <v>217</v>
      </c>
      <c r="H223" t="s">
        <v>218</v>
      </c>
    </row>
    <row r="224" spans="1:8" hidden="1" x14ac:dyDescent="0.3">
      <c r="A224" s="312" t="s">
        <v>328</v>
      </c>
      <c r="B224" t="s">
        <v>293</v>
      </c>
      <c r="C224" t="s">
        <v>294</v>
      </c>
      <c r="D224" t="s">
        <v>225</v>
      </c>
      <c r="E224" t="s">
        <v>226</v>
      </c>
      <c r="F224" t="s">
        <v>226</v>
      </c>
      <c r="G224" t="s">
        <v>217</v>
      </c>
      <c r="H224" t="s">
        <v>218</v>
      </c>
    </row>
    <row r="225" spans="1:8" hidden="1" x14ac:dyDescent="0.3">
      <c r="A225" s="312" t="s">
        <v>328</v>
      </c>
      <c r="B225" t="s">
        <v>295</v>
      </c>
      <c r="C225" t="s">
        <v>296</v>
      </c>
      <c r="D225" t="s">
        <v>260</v>
      </c>
      <c r="E225" t="s">
        <v>261</v>
      </c>
      <c r="F225" t="s">
        <v>261</v>
      </c>
      <c r="G225" t="s">
        <v>231</v>
      </c>
      <c r="H225" t="s">
        <v>232</v>
      </c>
    </row>
    <row r="226" spans="1:8" hidden="1" x14ac:dyDescent="0.3">
      <c r="A226" s="312" t="s">
        <v>328</v>
      </c>
      <c r="B226" t="s">
        <v>297</v>
      </c>
      <c r="C226" t="s">
        <v>298</v>
      </c>
      <c r="D226" t="s">
        <v>256</v>
      </c>
      <c r="E226" t="s">
        <v>257</v>
      </c>
      <c r="F226" t="s">
        <v>257</v>
      </c>
      <c r="G226" t="s">
        <v>237</v>
      </c>
      <c r="H226" t="s">
        <v>238</v>
      </c>
    </row>
    <row r="227" spans="1:8" hidden="1" x14ac:dyDescent="0.3">
      <c r="A227" s="312" t="s">
        <v>328</v>
      </c>
      <c r="B227" t="s">
        <v>299</v>
      </c>
      <c r="C227" t="s">
        <v>300</v>
      </c>
      <c r="D227" t="s">
        <v>284</v>
      </c>
      <c r="E227" t="s">
        <v>285</v>
      </c>
      <c r="F227" t="s">
        <v>285</v>
      </c>
      <c r="G227" t="s">
        <v>217</v>
      </c>
      <c r="H227" t="s">
        <v>218</v>
      </c>
    </row>
    <row r="228" spans="1:8" hidden="1" x14ac:dyDescent="0.3">
      <c r="A228" s="312" t="s">
        <v>328</v>
      </c>
      <c r="B228" t="s">
        <v>301</v>
      </c>
      <c r="C228" t="s">
        <v>302</v>
      </c>
      <c r="D228" t="s">
        <v>250</v>
      </c>
      <c r="E228" t="s">
        <v>251</v>
      </c>
      <c r="F228" t="s">
        <v>251</v>
      </c>
      <c r="G228" t="s">
        <v>231</v>
      </c>
      <c r="H228" t="s">
        <v>232</v>
      </c>
    </row>
    <row r="229" spans="1:8" hidden="1" x14ac:dyDescent="0.3">
      <c r="A229" s="312" t="s">
        <v>328</v>
      </c>
      <c r="B229" t="s">
        <v>303</v>
      </c>
      <c r="C229" t="s">
        <v>304</v>
      </c>
      <c r="D229" t="s">
        <v>323</v>
      </c>
      <c r="E229" t="s">
        <v>324</v>
      </c>
      <c r="F229" t="s">
        <v>324</v>
      </c>
      <c r="G229" t="s">
        <v>231</v>
      </c>
      <c r="H229" t="s">
        <v>232</v>
      </c>
    </row>
    <row r="230" spans="1:8" hidden="1" x14ac:dyDescent="0.3">
      <c r="A230" s="312" t="s">
        <v>328</v>
      </c>
      <c r="B230" t="s">
        <v>306</v>
      </c>
      <c r="C230" t="s">
        <v>307</v>
      </c>
      <c r="D230" t="s">
        <v>319</v>
      </c>
      <c r="E230" t="s">
        <v>327</v>
      </c>
      <c r="F230" t="s">
        <v>327</v>
      </c>
      <c r="G230" t="s">
        <v>237</v>
      </c>
      <c r="H230" t="s">
        <v>238</v>
      </c>
    </row>
    <row r="231" spans="1:8" hidden="1" x14ac:dyDescent="0.3">
      <c r="A231" s="312" t="s">
        <v>328</v>
      </c>
      <c r="B231" t="s">
        <v>308</v>
      </c>
      <c r="C231" t="s">
        <v>309</v>
      </c>
      <c r="D231" t="s">
        <v>229</v>
      </c>
      <c r="E231" t="s">
        <v>230</v>
      </c>
      <c r="F231" t="s">
        <v>230</v>
      </c>
      <c r="G231" t="s">
        <v>231</v>
      </c>
      <c r="H231" t="s">
        <v>232</v>
      </c>
    </row>
    <row r="232" spans="1:8" ht="15" hidden="1" thickBot="1" x14ac:dyDescent="0.35">
      <c r="A232" s="524" t="s">
        <v>328</v>
      </c>
      <c r="B232" s="325" t="s">
        <v>310</v>
      </c>
      <c r="C232" s="325" t="s">
        <v>311</v>
      </c>
      <c r="D232" s="325" t="s">
        <v>264</v>
      </c>
      <c r="E232" s="325" t="s">
        <v>265</v>
      </c>
      <c r="F232" s="325" t="s">
        <v>265</v>
      </c>
      <c r="G232" s="325" t="s">
        <v>237</v>
      </c>
      <c r="H232" s="325" t="s">
        <v>238</v>
      </c>
    </row>
    <row r="233" spans="1:8" x14ac:dyDescent="0.3">
      <c r="A233" s="312" t="s">
        <v>412</v>
      </c>
      <c r="B233" t="s">
        <v>214</v>
      </c>
      <c r="C233" t="s">
        <v>215</v>
      </c>
      <c r="D233" t="s">
        <v>321</v>
      </c>
      <c r="E233" t="s">
        <v>322</v>
      </c>
      <c r="F233" t="s">
        <v>322</v>
      </c>
      <c r="G233" t="s">
        <v>217</v>
      </c>
      <c r="H233" t="s">
        <v>218</v>
      </c>
    </row>
    <row r="234" spans="1:8" x14ac:dyDescent="0.3">
      <c r="A234" s="312" t="s">
        <v>412</v>
      </c>
      <c r="B234" t="s">
        <v>219</v>
      </c>
      <c r="C234" t="s">
        <v>220</v>
      </c>
      <c r="D234" t="s">
        <v>321</v>
      </c>
      <c r="E234" t="s">
        <v>322</v>
      </c>
      <c r="F234" t="s">
        <v>322</v>
      </c>
      <c r="G234" t="s">
        <v>217</v>
      </c>
      <c r="H234" t="s">
        <v>218</v>
      </c>
    </row>
    <row r="235" spans="1:8" x14ac:dyDescent="0.3">
      <c r="A235" s="312" t="s">
        <v>412</v>
      </c>
      <c r="B235" t="s">
        <v>223</v>
      </c>
      <c r="C235" t="s">
        <v>224</v>
      </c>
      <c r="D235" t="s">
        <v>225</v>
      </c>
      <c r="E235" t="s">
        <v>226</v>
      </c>
      <c r="F235" t="s">
        <v>226</v>
      </c>
      <c r="G235" t="s">
        <v>217</v>
      </c>
      <c r="H235" t="s">
        <v>218</v>
      </c>
    </row>
    <row r="236" spans="1:8" x14ac:dyDescent="0.3">
      <c r="A236" s="312" t="s">
        <v>412</v>
      </c>
      <c r="B236" t="s">
        <v>227</v>
      </c>
      <c r="C236" t="s">
        <v>228</v>
      </c>
      <c r="D236" t="s">
        <v>229</v>
      </c>
      <c r="E236" t="s">
        <v>230</v>
      </c>
      <c r="F236" t="s">
        <v>230</v>
      </c>
      <c r="G236" t="s">
        <v>231</v>
      </c>
      <c r="H236" t="s">
        <v>232</v>
      </c>
    </row>
    <row r="237" spans="1:8" x14ac:dyDescent="0.3">
      <c r="A237" s="312" t="s">
        <v>412</v>
      </c>
      <c r="B237" t="s">
        <v>233</v>
      </c>
      <c r="C237" t="s">
        <v>234</v>
      </c>
      <c r="D237" t="s">
        <v>235</v>
      </c>
      <c r="E237" t="s">
        <v>236</v>
      </c>
      <c r="F237" t="s">
        <v>236</v>
      </c>
      <c r="G237" t="s">
        <v>237</v>
      </c>
      <c r="H237" t="s">
        <v>238</v>
      </c>
    </row>
    <row r="238" spans="1:8" x14ac:dyDescent="0.3">
      <c r="A238" s="312" t="s">
        <v>412</v>
      </c>
      <c r="B238" t="s">
        <v>239</v>
      </c>
      <c r="C238" t="s">
        <v>240</v>
      </c>
      <c r="D238" t="s">
        <v>319</v>
      </c>
      <c r="E238" t="s">
        <v>327</v>
      </c>
      <c r="F238" t="s">
        <v>327</v>
      </c>
      <c r="G238" t="s">
        <v>237</v>
      </c>
      <c r="H238" t="s">
        <v>238</v>
      </c>
    </row>
    <row r="239" spans="1:8" x14ac:dyDescent="0.3">
      <c r="A239" s="312" t="s">
        <v>412</v>
      </c>
      <c r="B239" t="s">
        <v>243</v>
      </c>
      <c r="C239" t="s">
        <v>244</v>
      </c>
      <c r="D239" t="s">
        <v>245</v>
      </c>
      <c r="E239" t="s">
        <v>244</v>
      </c>
      <c r="F239" t="s">
        <v>244</v>
      </c>
      <c r="G239" t="s">
        <v>231</v>
      </c>
      <c r="H239" t="s">
        <v>232</v>
      </c>
    </row>
    <row r="240" spans="1:8" x14ac:dyDescent="0.3">
      <c r="A240" s="312" t="s">
        <v>412</v>
      </c>
      <c r="B240" t="s">
        <v>246</v>
      </c>
      <c r="C240" t="s">
        <v>247</v>
      </c>
      <c r="D240" t="s">
        <v>225</v>
      </c>
      <c r="E240" t="s">
        <v>226</v>
      </c>
      <c r="F240" t="s">
        <v>226</v>
      </c>
      <c r="G240" t="s">
        <v>217</v>
      </c>
      <c r="H240" t="s">
        <v>218</v>
      </c>
    </row>
    <row r="241" spans="1:8" x14ac:dyDescent="0.3">
      <c r="A241" s="312" t="s">
        <v>412</v>
      </c>
      <c r="B241" t="s">
        <v>248</v>
      </c>
      <c r="C241" t="s">
        <v>249</v>
      </c>
      <c r="D241" t="s">
        <v>250</v>
      </c>
      <c r="E241" t="s">
        <v>251</v>
      </c>
      <c r="F241" t="s">
        <v>251</v>
      </c>
      <c r="G241" t="s">
        <v>231</v>
      </c>
      <c r="H241" t="s">
        <v>232</v>
      </c>
    </row>
    <row r="242" spans="1:8" x14ac:dyDescent="0.3">
      <c r="A242" s="312" t="s">
        <v>412</v>
      </c>
      <c r="B242" t="s">
        <v>252</v>
      </c>
      <c r="C242" t="s">
        <v>253</v>
      </c>
      <c r="D242" t="s">
        <v>229</v>
      </c>
      <c r="E242" t="s">
        <v>230</v>
      </c>
      <c r="F242" t="s">
        <v>230</v>
      </c>
      <c r="G242" t="s">
        <v>231</v>
      </c>
      <c r="H242" t="s">
        <v>232</v>
      </c>
    </row>
    <row r="243" spans="1:8" x14ac:dyDescent="0.3">
      <c r="A243" s="312" t="s">
        <v>412</v>
      </c>
      <c r="B243" t="s">
        <v>254</v>
      </c>
      <c r="C243" t="s">
        <v>255</v>
      </c>
      <c r="D243" t="s">
        <v>256</v>
      </c>
      <c r="E243" t="s">
        <v>257</v>
      </c>
      <c r="F243" t="s">
        <v>257</v>
      </c>
      <c r="G243" t="s">
        <v>237</v>
      </c>
      <c r="H243" t="s">
        <v>238</v>
      </c>
    </row>
    <row r="244" spans="1:8" x14ac:dyDescent="0.3">
      <c r="A244" s="312" t="s">
        <v>412</v>
      </c>
      <c r="B244" t="s">
        <v>258</v>
      </c>
      <c r="C244" t="s">
        <v>259</v>
      </c>
      <c r="D244" t="s">
        <v>260</v>
      </c>
      <c r="E244" t="s">
        <v>261</v>
      </c>
      <c r="F244" t="s">
        <v>261</v>
      </c>
      <c r="G244" t="s">
        <v>231</v>
      </c>
      <c r="H244" t="s">
        <v>232</v>
      </c>
    </row>
    <row r="245" spans="1:8" x14ac:dyDescent="0.3">
      <c r="A245" s="312" t="s">
        <v>412</v>
      </c>
      <c r="B245" t="s">
        <v>262</v>
      </c>
      <c r="C245" t="s">
        <v>263</v>
      </c>
      <c r="D245" t="s">
        <v>264</v>
      </c>
      <c r="E245" t="s">
        <v>265</v>
      </c>
      <c r="F245" t="s">
        <v>265</v>
      </c>
      <c r="G245" t="s">
        <v>237</v>
      </c>
      <c r="H245" t="s">
        <v>238</v>
      </c>
    </row>
    <row r="246" spans="1:8" x14ac:dyDescent="0.3">
      <c r="A246" s="312" t="s">
        <v>412</v>
      </c>
      <c r="B246" t="s">
        <v>266</v>
      </c>
      <c r="C246" t="s">
        <v>267</v>
      </c>
      <c r="D246" t="s">
        <v>319</v>
      </c>
      <c r="E246" t="s">
        <v>327</v>
      </c>
      <c r="F246" t="s">
        <v>327</v>
      </c>
      <c r="G246" t="s">
        <v>237</v>
      </c>
      <c r="H246" t="s">
        <v>238</v>
      </c>
    </row>
    <row r="247" spans="1:8" x14ac:dyDescent="0.3">
      <c r="A247" s="312" t="s">
        <v>412</v>
      </c>
      <c r="B247" t="s">
        <v>314</v>
      </c>
      <c r="C247" t="s">
        <v>270</v>
      </c>
      <c r="D247" t="s">
        <v>315</v>
      </c>
      <c r="E247" t="s">
        <v>270</v>
      </c>
      <c r="F247" t="s">
        <v>270</v>
      </c>
      <c r="G247" t="s">
        <v>231</v>
      </c>
      <c r="H247" t="s">
        <v>232</v>
      </c>
    </row>
    <row r="248" spans="1:8" x14ac:dyDescent="0.3">
      <c r="A248" s="312" t="s">
        <v>412</v>
      </c>
      <c r="B248" t="s">
        <v>272</v>
      </c>
      <c r="C248" t="s">
        <v>273</v>
      </c>
      <c r="D248" t="s">
        <v>274</v>
      </c>
      <c r="E248" t="s">
        <v>275</v>
      </c>
      <c r="F248" t="s">
        <v>275</v>
      </c>
      <c r="G248" t="s">
        <v>217</v>
      </c>
      <c r="H248" t="s">
        <v>218</v>
      </c>
    </row>
    <row r="249" spans="1:8" x14ac:dyDescent="0.3">
      <c r="A249" s="312" t="s">
        <v>412</v>
      </c>
      <c r="B249" t="s">
        <v>276</v>
      </c>
      <c r="C249" t="s">
        <v>277</v>
      </c>
      <c r="D249" t="s">
        <v>260</v>
      </c>
      <c r="E249" t="s">
        <v>261</v>
      </c>
      <c r="F249" t="s">
        <v>261</v>
      </c>
      <c r="G249" t="s">
        <v>231</v>
      </c>
      <c r="H249" t="s">
        <v>232</v>
      </c>
    </row>
    <row r="250" spans="1:8" x14ac:dyDescent="0.3">
      <c r="A250" s="312" t="s">
        <v>412</v>
      </c>
      <c r="B250" t="s">
        <v>278</v>
      </c>
      <c r="C250" t="s">
        <v>279</v>
      </c>
      <c r="D250" t="s">
        <v>256</v>
      </c>
      <c r="E250" t="s">
        <v>257</v>
      </c>
      <c r="F250" t="s">
        <v>257</v>
      </c>
      <c r="G250" t="s">
        <v>237</v>
      </c>
      <c r="H250" t="s">
        <v>238</v>
      </c>
    </row>
    <row r="251" spans="1:8" x14ac:dyDescent="0.3">
      <c r="A251" s="312" t="s">
        <v>412</v>
      </c>
      <c r="B251" t="s">
        <v>280</v>
      </c>
      <c r="C251" t="s">
        <v>281</v>
      </c>
      <c r="D251" t="s">
        <v>321</v>
      </c>
      <c r="E251" t="s">
        <v>322</v>
      </c>
      <c r="F251" t="s">
        <v>322</v>
      </c>
      <c r="G251" t="s">
        <v>217</v>
      </c>
      <c r="H251" t="s">
        <v>218</v>
      </c>
    </row>
    <row r="252" spans="1:8" x14ac:dyDescent="0.3">
      <c r="A252" s="312" t="s">
        <v>412</v>
      </c>
      <c r="B252" t="s">
        <v>282</v>
      </c>
      <c r="C252" t="s">
        <v>283</v>
      </c>
      <c r="D252" t="s">
        <v>284</v>
      </c>
      <c r="E252" t="s">
        <v>285</v>
      </c>
      <c r="F252" t="s">
        <v>285</v>
      </c>
      <c r="G252" t="s">
        <v>217</v>
      </c>
      <c r="H252" t="s">
        <v>218</v>
      </c>
    </row>
    <row r="253" spans="1:8" x14ac:dyDescent="0.3">
      <c r="A253" s="312" t="s">
        <v>412</v>
      </c>
      <c r="B253" t="s">
        <v>286</v>
      </c>
      <c r="C253" t="s">
        <v>287</v>
      </c>
      <c r="D253" t="s">
        <v>250</v>
      </c>
      <c r="E253" t="s">
        <v>251</v>
      </c>
      <c r="F253" t="s">
        <v>251</v>
      </c>
      <c r="G253" t="s">
        <v>231</v>
      </c>
      <c r="H253" t="s">
        <v>232</v>
      </c>
    </row>
    <row r="254" spans="1:8" x14ac:dyDescent="0.3">
      <c r="A254" s="312" t="s">
        <v>412</v>
      </c>
      <c r="B254" t="s">
        <v>316</v>
      </c>
      <c r="C254" t="s">
        <v>289</v>
      </c>
      <c r="D254" t="s">
        <v>323</v>
      </c>
      <c r="E254" t="s">
        <v>324</v>
      </c>
      <c r="F254" t="s">
        <v>324</v>
      </c>
      <c r="G254" t="s">
        <v>231</v>
      </c>
      <c r="H254" t="s">
        <v>232</v>
      </c>
    </row>
    <row r="255" spans="1:8" x14ac:dyDescent="0.3">
      <c r="A255" s="312" t="s">
        <v>412</v>
      </c>
      <c r="B255" t="s">
        <v>291</v>
      </c>
      <c r="C255" t="s">
        <v>292</v>
      </c>
      <c r="D255" t="s">
        <v>284</v>
      </c>
      <c r="E255" t="s">
        <v>285</v>
      </c>
      <c r="F255" t="s">
        <v>285</v>
      </c>
      <c r="G255" t="s">
        <v>217</v>
      </c>
      <c r="H255" t="s">
        <v>218</v>
      </c>
    </row>
    <row r="256" spans="1:8" x14ac:dyDescent="0.3">
      <c r="A256" s="312" t="s">
        <v>412</v>
      </c>
      <c r="B256" t="s">
        <v>293</v>
      </c>
      <c r="C256" t="s">
        <v>294</v>
      </c>
      <c r="D256" t="s">
        <v>225</v>
      </c>
      <c r="E256" t="s">
        <v>226</v>
      </c>
      <c r="F256" t="s">
        <v>226</v>
      </c>
      <c r="G256" t="s">
        <v>217</v>
      </c>
      <c r="H256" t="s">
        <v>218</v>
      </c>
    </row>
    <row r="257" spans="1:8" x14ac:dyDescent="0.3">
      <c r="A257" s="312" t="s">
        <v>412</v>
      </c>
      <c r="B257" t="s">
        <v>295</v>
      </c>
      <c r="C257" t="s">
        <v>296</v>
      </c>
      <c r="D257" t="s">
        <v>260</v>
      </c>
      <c r="E257" t="s">
        <v>261</v>
      </c>
      <c r="F257" t="s">
        <v>261</v>
      </c>
      <c r="G257" t="s">
        <v>231</v>
      </c>
      <c r="H257" t="s">
        <v>232</v>
      </c>
    </row>
    <row r="258" spans="1:8" x14ac:dyDescent="0.3">
      <c r="A258" s="312" t="s">
        <v>412</v>
      </c>
      <c r="B258" t="s">
        <v>297</v>
      </c>
      <c r="C258" t="s">
        <v>298</v>
      </c>
      <c r="D258" t="s">
        <v>256</v>
      </c>
      <c r="E258" t="s">
        <v>257</v>
      </c>
      <c r="F258" t="s">
        <v>257</v>
      </c>
      <c r="G258" t="s">
        <v>237</v>
      </c>
      <c r="H258" t="s">
        <v>238</v>
      </c>
    </row>
    <row r="259" spans="1:8" x14ac:dyDescent="0.3">
      <c r="A259" s="312" t="s">
        <v>412</v>
      </c>
      <c r="B259" t="s">
        <v>299</v>
      </c>
      <c r="C259" t="s">
        <v>300</v>
      </c>
      <c r="D259" t="s">
        <v>284</v>
      </c>
      <c r="E259" t="s">
        <v>285</v>
      </c>
      <c r="F259" t="s">
        <v>285</v>
      </c>
      <c r="G259" t="s">
        <v>217</v>
      </c>
      <c r="H259" t="s">
        <v>218</v>
      </c>
    </row>
    <row r="260" spans="1:8" x14ac:dyDescent="0.3">
      <c r="A260" s="312" t="s">
        <v>412</v>
      </c>
      <c r="B260" t="s">
        <v>301</v>
      </c>
      <c r="C260" t="s">
        <v>302</v>
      </c>
      <c r="D260" t="s">
        <v>250</v>
      </c>
      <c r="E260" t="s">
        <v>251</v>
      </c>
      <c r="F260" t="s">
        <v>251</v>
      </c>
      <c r="G260" t="s">
        <v>231</v>
      </c>
      <c r="H260" t="s">
        <v>232</v>
      </c>
    </row>
    <row r="261" spans="1:8" x14ac:dyDescent="0.3">
      <c r="A261" s="312" t="s">
        <v>412</v>
      </c>
      <c r="B261" t="s">
        <v>303</v>
      </c>
      <c r="C261" t="s">
        <v>304</v>
      </c>
      <c r="D261" t="s">
        <v>323</v>
      </c>
      <c r="E261" t="s">
        <v>324</v>
      </c>
      <c r="F261" t="s">
        <v>324</v>
      </c>
      <c r="G261" t="s">
        <v>231</v>
      </c>
      <c r="H261" t="s">
        <v>232</v>
      </c>
    </row>
    <row r="262" spans="1:8" x14ac:dyDescent="0.3">
      <c r="A262" s="312" t="s">
        <v>412</v>
      </c>
      <c r="B262" t="s">
        <v>306</v>
      </c>
      <c r="C262" t="s">
        <v>307</v>
      </c>
      <c r="D262" t="s">
        <v>319</v>
      </c>
      <c r="E262" t="s">
        <v>327</v>
      </c>
      <c r="F262" t="s">
        <v>327</v>
      </c>
      <c r="G262" t="s">
        <v>237</v>
      </c>
      <c r="H262" t="s">
        <v>238</v>
      </c>
    </row>
    <row r="263" spans="1:8" x14ac:dyDescent="0.3">
      <c r="A263" s="312" t="s">
        <v>412</v>
      </c>
      <c r="B263" t="s">
        <v>308</v>
      </c>
      <c r="C263" t="s">
        <v>309</v>
      </c>
      <c r="D263" t="s">
        <v>229</v>
      </c>
      <c r="E263" t="s">
        <v>230</v>
      </c>
      <c r="F263" t="s">
        <v>230</v>
      </c>
      <c r="G263" t="s">
        <v>231</v>
      </c>
      <c r="H263" t="s">
        <v>232</v>
      </c>
    </row>
    <row r="264" spans="1:8" x14ac:dyDescent="0.3">
      <c r="A264" s="312" t="s">
        <v>412</v>
      </c>
      <c r="B264" t="s">
        <v>310</v>
      </c>
      <c r="C264" t="s">
        <v>311</v>
      </c>
      <c r="D264" t="s">
        <v>264</v>
      </c>
      <c r="E264" t="s">
        <v>265</v>
      </c>
      <c r="F264" t="s">
        <v>265</v>
      </c>
      <c r="G264" t="s">
        <v>237</v>
      </c>
      <c r="H264" t="s">
        <v>238</v>
      </c>
    </row>
    <row r="266" spans="1:8" x14ac:dyDescent="0.3">
      <c r="A266" s="312" t="s">
        <v>329</v>
      </c>
    </row>
    <row r="267" spans="1:8" x14ac:dyDescent="0.3">
      <c r="A267" s="1029" t="s">
        <v>330</v>
      </c>
      <c r="B267" s="1029"/>
      <c r="C267" s="1029"/>
      <c r="D267" s="1029"/>
      <c r="E267" s="1029"/>
      <c r="F267" s="1029"/>
    </row>
    <row r="268" spans="1:8" x14ac:dyDescent="0.3">
      <c r="A268" s="1029" t="s">
        <v>331</v>
      </c>
      <c r="B268" s="1029"/>
      <c r="C268" s="1029"/>
      <c r="D268" s="1029"/>
      <c r="E268" s="1029"/>
      <c r="F268" s="1029"/>
    </row>
    <row r="269" spans="1:8" x14ac:dyDescent="0.3">
      <c r="A269" t="s">
        <v>332</v>
      </c>
    </row>
  </sheetData>
  <sheetProtection formatCells="0" sort="0" autoFilter="0" pivotTables="0"/>
  <mergeCells count="2">
    <mergeCell ref="A267:F267"/>
    <mergeCell ref="A268:F268"/>
  </mergeCells>
  <phoneticPr fontId="53" type="noConversion"/>
  <hyperlinks>
    <hyperlink ref="A2" location="'Table of Contents'!A1" display="Back to Table of Contents" xr:uid="{00000000-0004-0000-0200-000000000000}"/>
  </hyperlinks>
  <pageMargins left="0.70866141732283472" right="0.70866141732283472" top="0.74803149606299213" bottom="0.74803149606299213" header="0.31496062992125984" footer="0.31496062992125984"/>
  <pageSetup paperSize="9" scale="74" orientation="portrait" r:id="rId1"/>
  <drawing r:id="rId2"/>
  <tableParts count="1">
    <tablePart r:id="rId3"/>
  </tableParts>
  <extLst>
    <ext xmlns:x15="http://schemas.microsoft.com/office/spreadsheetml/2010/11/main" uri="{3A4CF648-6AED-40f4-86FF-DC5316D8AED3}">
      <x14:slicerList xmlns:x14="http://schemas.microsoft.com/office/spreadsheetml/2009/9/main">
        <x14:slicer r:id="rId4"/>
      </x14:slicerList>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theme="4" tint="0.59999389629810485"/>
  </sheetPr>
  <dimension ref="A1:I23"/>
  <sheetViews>
    <sheetView showGridLines="0" workbookViewId="0">
      <pane ySplit="2" topLeftCell="A3" activePane="bottomLeft" state="frozen"/>
      <selection pane="bottomLeft" sqref="A1:C1"/>
    </sheetView>
  </sheetViews>
  <sheetFormatPr defaultRowHeight="14.4" x14ac:dyDescent="0.3"/>
  <cols>
    <col min="1" max="1" width="17.5546875" customWidth="1"/>
    <col min="2" max="7" width="14" customWidth="1"/>
  </cols>
  <sheetData>
    <row r="1" spans="1:7" ht="15.75" customHeight="1" x14ac:dyDescent="0.3">
      <c r="A1" s="1030" t="s">
        <v>333</v>
      </c>
      <c r="B1" s="1030"/>
      <c r="C1" s="1030"/>
    </row>
    <row r="2" spans="1:7" ht="15.6" x14ac:dyDescent="0.3">
      <c r="A2" s="498" t="s">
        <v>202</v>
      </c>
      <c r="B2" s="440"/>
      <c r="C2" s="440"/>
    </row>
    <row r="3" spans="1:7" ht="15.6" x14ac:dyDescent="0.3">
      <c r="D3" s="187"/>
      <c r="E3" s="187"/>
      <c r="F3" s="187"/>
    </row>
    <row r="4" spans="1:7" ht="15.6" x14ac:dyDescent="0.3">
      <c r="A4" s="1031" t="s">
        <v>334</v>
      </c>
      <c r="B4" s="1031"/>
      <c r="C4" s="1031"/>
      <c r="D4" s="1031"/>
      <c r="E4" s="1031"/>
      <c r="F4" s="1031"/>
    </row>
    <row r="5" spans="1:7" ht="15.6" x14ac:dyDescent="0.3">
      <c r="A5" t="s">
        <v>203</v>
      </c>
      <c r="B5" t="s">
        <v>33</v>
      </c>
      <c r="C5" s="233"/>
      <c r="D5" s="233"/>
      <c r="E5" s="233"/>
      <c r="F5" s="233"/>
    </row>
    <row r="6" spans="1:7" ht="15.6" x14ac:dyDescent="0.3">
      <c r="A6" t="s">
        <v>204</v>
      </c>
      <c r="B6" t="s">
        <v>205</v>
      </c>
      <c r="C6" s="233"/>
      <c r="D6" s="233"/>
    </row>
    <row r="7" spans="1:7" ht="15.6" x14ac:dyDescent="0.3">
      <c r="A7" t="s">
        <v>206</v>
      </c>
      <c r="B7" t="s">
        <v>207</v>
      </c>
      <c r="C7" s="233"/>
      <c r="D7" s="233"/>
    </row>
    <row r="8" spans="1:7" ht="15.6" x14ac:dyDescent="0.3">
      <c r="A8" s="233"/>
      <c r="B8" s="233"/>
      <c r="C8" s="233"/>
      <c r="D8" s="233"/>
    </row>
    <row r="9" spans="1:7" s="459" customFormat="1" ht="30.75" customHeight="1" x14ac:dyDescent="0.3">
      <c r="A9" s="173" t="s">
        <v>208</v>
      </c>
      <c r="B9" s="170" t="s">
        <v>335</v>
      </c>
      <c r="C9" s="170" t="s">
        <v>336</v>
      </c>
      <c r="D9" s="170" t="s">
        <v>337</v>
      </c>
      <c r="E9" s="170" t="s">
        <v>338</v>
      </c>
      <c r="F9" s="170" t="s">
        <v>339</v>
      </c>
      <c r="G9" s="170" t="s">
        <v>340</v>
      </c>
    </row>
    <row r="10" spans="1:7" x14ac:dyDescent="0.3">
      <c r="A10" s="176" t="s">
        <v>341</v>
      </c>
      <c r="B10" s="142">
        <v>50</v>
      </c>
      <c r="C10" s="142">
        <v>1</v>
      </c>
      <c r="D10" s="142">
        <v>23</v>
      </c>
      <c r="E10" s="142">
        <v>240</v>
      </c>
      <c r="F10" s="189">
        <v>43</v>
      </c>
      <c r="G10" s="131">
        <v>357</v>
      </c>
    </row>
    <row r="11" spans="1:7" x14ac:dyDescent="0.3">
      <c r="A11" s="176" t="s">
        <v>342</v>
      </c>
      <c r="B11" s="142">
        <v>50</v>
      </c>
      <c r="C11" s="142">
        <v>1</v>
      </c>
      <c r="D11" s="142">
        <v>23</v>
      </c>
      <c r="E11" s="142">
        <v>240</v>
      </c>
      <c r="F11" s="189">
        <v>43</v>
      </c>
      <c r="G11" s="131">
        <v>357</v>
      </c>
    </row>
    <row r="12" spans="1:7" x14ac:dyDescent="0.3">
      <c r="A12" s="176" t="s">
        <v>213</v>
      </c>
      <c r="B12" s="142">
        <v>50</v>
      </c>
      <c r="C12" s="142">
        <v>1</v>
      </c>
      <c r="D12" s="142">
        <v>23</v>
      </c>
      <c r="E12" s="142">
        <v>240</v>
      </c>
      <c r="F12" s="189">
        <v>43</v>
      </c>
      <c r="G12" s="131">
        <v>357</v>
      </c>
    </row>
    <row r="13" spans="1:7" x14ac:dyDescent="0.3">
      <c r="A13" s="176" t="s">
        <v>312</v>
      </c>
      <c r="B13" s="142">
        <v>50</v>
      </c>
      <c r="C13" s="142">
        <v>1</v>
      </c>
      <c r="D13" s="142">
        <v>23</v>
      </c>
      <c r="E13" s="142">
        <v>240</v>
      </c>
      <c r="F13" s="189">
        <v>43</v>
      </c>
      <c r="G13" s="131">
        <v>357</v>
      </c>
    </row>
    <row r="14" spans="1:7" x14ac:dyDescent="0.3">
      <c r="A14" s="176" t="s">
        <v>318</v>
      </c>
      <c r="B14" s="142">
        <v>50</v>
      </c>
      <c r="C14" s="142">
        <v>1</v>
      </c>
      <c r="D14" s="142">
        <v>23</v>
      </c>
      <c r="E14" s="142">
        <v>240</v>
      </c>
      <c r="F14" s="189">
        <v>43</v>
      </c>
      <c r="G14" s="131">
        <v>357</v>
      </c>
    </row>
    <row r="15" spans="1:7" x14ac:dyDescent="0.3">
      <c r="A15" s="176" t="s">
        <v>320</v>
      </c>
      <c r="B15" s="142">
        <v>50</v>
      </c>
      <c r="C15" s="142">
        <v>1</v>
      </c>
      <c r="D15" s="142">
        <v>23</v>
      </c>
      <c r="E15" s="142">
        <v>240</v>
      </c>
      <c r="F15" s="189">
        <v>43</v>
      </c>
      <c r="G15" s="131">
        <v>357</v>
      </c>
    </row>
    <row r="16" spans="1:7" x14ac:dyDescent="0.3">
      <c r="A16" s="176" t="s">
        <v>325</v>
      </c>
      <c r="B16" s="142">
        <v>50</v>
      </c>
      <c r="C16" s="142">
        <v>1</v>
      </c>
      <c r="D16" s="142">
        <v>23</v>
      </c>
      <c r="E16" s="142">
        <v>240</v>
      </c>
      <c r="F16" s="189">
        <v>43</v>
      </c>
      <c r="G16" s="131">
        <v>357</v>
      </c>
    </row>
    <row r="17" spans="1:9" x14ac:dyDescent="0.3">
      <c r="A17" s="176" t="s">
        <v>326</v>
      </c>
      <c r="B17" s="142">
        <v>50</v>
      </c>
      <c r="C17" s="142">
        <v>1</v>
      </c>
      <c r="D17" s="142">
        <v>23</v>
      </c>
      <c r="E17" s="142">
        <v>240</v>
      </c>
      <c r="F17" s="189">
        <v>42</v>
      </c>
      <c r="G17" s="131">
        <v>356</v>
      </c>
    </row>
    <row r="18" spans="1:9" x14ac:dyDescent="0.3">
      <c r="A18" s="176" t="s">
        <v>328</v>
      </c>
      <c r="B18" s="142">
        <v>50</v>
      </c>
      <c r="C18" s="142">
        <v>1</v>
      </c>
      <c r="D18" s="142">
        <v>23</v>
      </c>
      <c r="E18" s="142">
        <v>240</v>
      </c>
      <c r="F18" s="189">
        <v>42</v>
      </c>
      <c r="G18" s="131">
        <v>356</v>
      </c>
    </row>
    <row r="19" spans="1:9" ht="15" thickBot="1" x14ac:dyDescent="0.35">
      <c r="A19" s="184" t="s">
        <v>412</v>
      </c>
      <c r="B19" s="190">
        <v>50</v>
      </c>
      <c r="C19" s="190">
        <v>1</v>
      </c>
      <c r="D19" s="190">
        <v>23</v>
      </c>
      <c r="E19" s="190">
        <v>240</v>
      </c>
      <c r="F19" s="504">
        <v>42</v>
      </c>
      <c r="G19" s="505">
        <v>356</v>
      </c>
    </row>
    <row r="20" spans="1:9" x14ac:dyDescent="0.3">
      <c r="A20" s="176"/>
      <c r="B20" s="142"/>
      <c r="C20" s="142"/>
      <c r="D20" s="142"/>
      <c r="E20" s="142"/>
      <c r="F20" s="189"/>
      <c r="G20" s="131"/>
    </row>
    <row r="21" spans="1:9" x14ac:dyDescent="0.3">
      <c r="A21" s="334" t="s">
        <v>329</v>
      </c>
    </row>
    <row r="22" spans="1:9" ht="30.75" customHeight="1" x14ac:dyDescent="0.3">
      <c r="A22" s="1033" t="s">
        <v>343</v>
      </c>
      <c r="B22" s="1033"/>
      <c r="C22" s="1033"/>
      <c r="D22" s="1033"/>
      <c r="E22" s="1033"/>
      <c r="F22" s="1033"/>
      <c r="G22" s="1033"/>
      <c r="H22" s="1033"/>
    </row>
    <row r="23" spans="1:9" ht="30" customHeight="1" x14ac:dyDescent="0.3">
      <c r="A23" s="1032" t="s">
        <v>344</v>
      </c>
      <c r="B23" s="1032"/>
      <c r="C23" s="1032"/>
      <c r="D23" s="1032"/>
      <c r="E23" s="1032"/>
      <c r="F23" s="1032"/>
      <c r="G23" s="1032"/>
      <c r="H23" s="1032"/>
      <c r="I23" s="1032"/>
    </row>
  </sheetData>
  <sheetProtection algorithmName="SHA-512" hashValue="3ZbyVN8hy/1IyXnkVWlSmuvMhiWS7W5sql1wb1zw0+GJyZ1snYNbCSIHLImDLY8SV25qlqjH0nHY+QOP1vl56g==" saltValue="U8/OXDxJeq/tsPBmeH6MNQ==" spinCount="100000" sheet="1" formatCells="0" sort="0" autoFilter="0" pivotTables="0"/>
  <mergeCells count="4">
    <mergeCell ref="A1:C1"/>
    <mergeCell ref="A4:F4"/>
    <mergeCell ref="A23:I23"/>
    <mergeCell ref="A22:H22"/>
  </mergeCells>
  <phoneticPr fontId="53" type="noConversion"/>
  <hyperlinks>
    <hyperlink ref="A2" location="'Table of Contents'!A1" display="Back to Table of Contents" xr:uid="{00000000-0004-0000-0400-000000000000}"/>
  </hyperlinks>
  <pageMargins left="0.7" right="0.7" top="0.75" bottom="0.75" header="0.3" footer="0.3"/>
  <pageSetup paperSize="9" orientation="portrait"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4" tint="0.59999389629810485"/>
  </sheetPr>
  <dimension ref="A1:G36"/>
  <sheetViews>
    <sheetView topLeftCell="A10" workbookViewId="0">
      <selection activeCell="C24" sqref="C24"/>
    </sheetView>
  </sheetViews>
  <sheetFormatPr defaultRowHeight="14.4" x14ac:dyDescent="0.3"/>
  <cols>
    <col min="1" max="1" width="20" bestFit="1" customWidth="1"/>
    <col min="2" max="2" width="16.77734375" bestFit="1" customWidth="1"/>
    <col min="3" max="3" width="28.6640625" bestFit="1" customWidth="1"/>
    <col min="4" max="4" width="24.33203125" bestFit="1" customWidth="1"/>
    <col min="5" max="5" width="15" bestFit="1" customWidth="1"/>
    <col min="6" max="6" width="15.88671875" bestFit="1" customWidth="1"/>
    <col min="7" max="7" width="11.6640625" bestFit="1" customWidth="1"/>
  </cols>
  <sheetData>
    <row r="1" spans="1:7" x14ac:dyDescent="0.3">
      <c r="A1" s="386" t="s">
        <v>208</v>
      </c>
      <c r="B1" t="s">
        <v>412</v>
      </c>
    </row>
    <row r="3" spans="1:7" x14ac:dyDescent="0.3">
      <c r="A3" s="386" t="s">
        <v>350</v>
      </c>
      <c r="B3" t="s">
        <v>351</v>
      </c>
      <c r="C3" t="s">
        <v>352</v>
      </c>
      <c r="D3" t="s">
        <v>353</v>
      </c>
      <c r="E3" t="s">
        <v>354</v>
      </c>
      <c r="F3" t="s">
        <v>355</v>
      </c>
      <c r="G3" t="s">
        <v>356</v>
      </c>
    </row>
    <row r="4" spans="1:7" x14ac:dyDescent="0.3">
      <c r="A4" s="387" t="s">
        <v>215</v>
      </c>
      <c r="B4">
        <v>3</v>
      </c>
      <c r="E4">
        <v>1</v>
      </c>
      <c r="G4">
        <v>4</v>
      </c>
    </row>
    <row r="5" spans="1:7" x14ac:dyDescent="0.3">
      <c r="A5" s="387" t="s">
        <v>220</v>
      </c>
      <c r="C5">
        <v>1</v>
      </c>
      <c r="E5">
        <v>23</v>
      </c>
      <c r="G5">
        <v>24</v>
      </c>
    </row>
    <row r="6" spans="1:7" x14ac:dyDescent="0.3">
      <c r="A6" s="387" t="s">
        <v>224</v>
      </c>
      <c r="C6">
        <v>1</v>
      </c>
      <c r="E6">
        <v>5</v>
      </c>
      <c r="G6">
        <v>6</v>
      </c>
    </row>
    <row r="7" spans="1:7" x14ac:dyDescent="0.3">
      <c r="A7" s="387" t="s">
        <v>228</v>
      </c>
      <c r="C7">
        <v>2</v>
      </c>
      <c r="E7">
        <v>12</v>
      </c>
      <c r="F7">
        <v>25</v>
      </c>
      <c r="G7">
        <v>39</v>
      </c>
    </row>
    <row r="8" spans="1:7" x14ac:dyDescent="0.3">
      <c r="A8" s="387" t="s">
        <v>234</v>
      </c>
      <c r="B8">
        <v>7</v>
      </c>
      <c r="E8">
        <v>1</v>
      </c>
      <c r="G8">
        <v>8</v>
      </c>
    </row>
    <row r="9" spans="1:7" x14ac:dyDescent="0.3">
      <c r="A9" s="387" t="s">
        <v>240</v>
      </c>
      <c r="C9">
        <v>1</v>
      </c>
      <c r="E9">
        <v>1</v>
      </c>
      <c r="G9">
        <v>2</v>
      </c>
    </row>
    <row r="10" spans="1:7" x14ac:dyDescent="0.3">
      <c r="A10" s="387" t="s">
        <v>244</v>
      </c>
      <c r="C10">
        <v>1</v>
      </c>
      <c r="E10">
        <v>15</v>
      </c>
      <c r="F10">
        <v>1</v>
      </c>
      <c r="G10">
        <v>17</v>
      </c>
    </row>
    <row r="11" spans="1:7" x14ac:dyDescent="0.3">
      <c r="A11" s="387" t="s">
        <v>247</v>
      </c>
      <c r="B11">
        <v>3</v>
      </c>
      <c r="C11">
        <v>1</v>
      </c>
      <c r="G11">
        <v>4</v>
      </c>
    </row>
    <row r="12" spans="1:7" x14ac:dyDescent="0.3">
      <c r="A12" s="387" t="s">
        <v>249</v>
      </c>
      <c r="B12">
        <v>1</v>
      </c>
      <c r="E12">
        <v>7</v>
      </c>
      <c r="G12">
        <v>8</v>
      </c>
    </row>
    <row r="13" spans="1:7" x14ac:dyDescent="0.3">
      <c r="A13" s="387" t="s">
        <v>253</v>
      </c>
      <c r="B13">
        <v>3</v>
      </c>
      <c r="G13">
        <v>3</v>
      </c>
    </row>
    <row r="14" spans="1:7" x14ac:dyDescent="0.3">
      <c r="A14" s="387" t="s">
        <v>255</v>
      </c>
      <c r="B14">
        <v>1</v>
      </c>
      <c r="E14">
        <v>5</v>
      </c>
      <c r="G14">
        <v>6</v>
      </c>
    </row>
    <row r="15" spans="1:7" x14ac:dyDescent="0.3">
      <c r="A15" s="387" t="s">
        <v>259</v>
      </c>
      <c r="B15">
        <v>2</v>
      </c>
      <c r="G15">
        <v>2</v>
      </c>
    </row>
    <row r="16" spans="1:7" x14ac:dyDescent="0.3">
      <c r="A16" s="387" t="s">
        <v>263</v>
      </c>
      <c r="C16">
        <v>3</v>
      </c>
      <c r="E16">
        <v>2</v>
      </c>
      <c r="G16">
        <v>5</v>
      </c>
    </row>
    <row r="17" spans="1:7" x14ac:dyDescent="0.3">
      <c r="A17" s="387" t="s">
        <v>267</v>
      </c>
      <c r="B17">
        <v>5</v>
      </c>
      <c r="E17">
        <v>8</v>
      </c>
      <c r="G17">
        <v>13</v>
      </c>
    </row>
    <row r="18" spans="1:7" x14ac:dyDescent="0.3">
      <c r="A18" s="387" t="s">
        <v>270</v>
      </c>
      <c r="B18">
        <v>11</v>
      </c>
      <c r="G18">
        <v>11</v>
      </c>
    </row>
    <row r="19" spans="1:7" x14ac:dyDescent="0.3">
      <c r="A19" s="387" t="s">
        <v>273</v>
      </c>
      <c r="C19">
        <v>1</v>
      </c>
      <c r="E19">
        <v>51</v>
      </c>
      <c r="F19">
        <v>9</v>
      </c>
      <c r="G19">
        <v>61</v>
      </c>
    </row>
    <row r="20" spans="1:7" x14ac:dyDescent="0.3">
      <c r="A20" s="387" t="s">
        <v>277</v>
      </c>
      <c r="C20">
        <v>2</v>
      </c>
      <c r="E20">
        <v>1</v>
      </c>
      <c r="G20">
        <v>3</v>
      </c>
    </row>
    <row r="21" spans="1:7" x14ac:dyDescent="0.3">
      <c r="A21" s="387" t="s">
        <v>279</v>
      </c>
      <c r="B21">
        <v>1</v>
      </c>
      <c r="E21">
        <v>1</v>
      </c>
      <c r="G21">
        <v>2</v>
      </c>
    </row>
    <row r="22" spans="1:7" x14ac:dyDescent="0.3">
      <c r="A22" s="387" t="s">
        <v>281</v>
      </c>
      <c r="C22">
        <v>1</v>
      </c>
      <c r="E22">
        <v>10</v>
      </c>
      <c r="F22">
        <v>1</v>
      </c>
      <c r="G22">
        <v>12</v>
      </c>
    </row>
    <row r="23" spans="1:7" x14ac:dyDescent="0.3">
      <c r="A23" s="387" t="s">
        <v>283</v>
      </c>
      <c r="E23">
        <v>14</v>
      </c>
      <c r="G23">
        <v>14</v>
      </c>
    </row>
    <row r="24" spans="1:7" x14ac:dyDescent="0.3">
      <c r="A24" s="387" t="s">
        <v>287</v>
      </c>
      <c r="B24">
        <v>1</v>
      </c>
      <c r="C24">
        <v>2</v>
      </c>
      <c r="E24">
        <v>8</v>
      </c>
      <c r="F24">
        <v>3</v>
      </c>
      <c r="G24">
        <v>14</v>
      </c>
    </row>
    <row r="25" spans="1:7" x14ac:dyDescent="0.3">
      <c r="A25" s="387" t="s">
        <v>289</v>
      </c>
      <c r="B25">
        <v>4</v>
      </c>
      <c r="E25">
        <v>3</v>
      </c>
      <c r="G25">
        <v>7</v>
      </c>
    </row>
    <row r="26" spans="1:7" x14ac:dyDescent="0.3">
      <c r="A26" s="387" t="s">
        <v>292</v>
      </c>
      <c r="E26">
        <v>12</v>
      </c>
      <c r="G26">
        <v>12</v>
      </c>
    </row>
    <row r="27" spans="1:7" x14ac:dyDescent="0.3">
      <c r="A27" s="387" t="s">
        <v>294</v>
      </c>
      <c r="B27">
        <v>1</v>
      </c>
      <c r="E27">
        <v>10</v>
      </c>
      <c r="F27">
        <v>3</v>
      </c>
      <c r="G27">
        <v>14</v>
      </c>
    </row>
    <row r="28" spans="1:7" x14ac:dyDescent="0.3">
      <c r="A28" s="387" t="s">
        <v>296</v>
      </c>
      <c r="B28">
        <v>2</v>
      </c>
      <c r="C28">
        <v>1</v>
      </c>
      <c r="G28">
        <v>3</v>
      </c>
    </row>
    <row r="29" spans="1:7" x14ac:dyDescent="0.3">
      <c r="A29" s="387" t="s">
        <v>298</v>
      </c>
      <c r="C29">
        <v>2</v>
      </c>
      <c r="E29">
        <v>11</v>
      </c>
      <c r="G29">
        <v>13</v>
      </c>
    </row>
    <row r="30" spans="1:7" x14ac:dyDescent="0.3">
      <c r="A30" s="387" t="s">
        <v>300</v>
      </c>
      <c r="E30">
        <v>14</v>
      </c>
      <c r="G30">
        <v>14</v>
      </c>
    </row>
    <row r="31" spans="1:7" x14ac:dyDescent="0.3">
      <c r="A31" s="387" t="s">
        <v>302</v>
      </c>
      <c r="C31">
        <v>1</v>
      </c>
      <c r="E31">
        <v>4</v>
      </c>
      <c r="G31">
        <v>5</v>
      </c>
    </row>
    <row r="32" spans="1:7" x14ac:dyDescent="0.3">
      <c r="A32" s="387" t="s">
        <v>304</v>
      </c>
      <c r="B32">
        <v>3</v>
      </c>
      <c r="C32">
        <v>1</v>
      </c>
      <c r="E32">
        <v>7</v>
      </c>
      <c r="G32">
        <v>12</v>
      </c>
    </row>
    <row r="33" spans="1:7" x14ac:dyDescent="0.3">
      <c r="A33" s="387" t="s">
        <v>307</v>
      </c>
      <c r="B33">
        <v>1</v>
      </c>
      <c r="E33">
        <v>9</v>
      </c>
      <c r="G33">
        <v>10</v>
      </c>
    </row>
    <row r="34" spans="1:7" x14ac:dyDescent="0.3">
      <c r="A34" s="387" t="s">
        <v>309</v>
      </c>
      <c r="B34">
        <v>1</v>
      </c>
      <c r="C34">
        <v>1</v>
      </c>
      <c r="E34">
        <v>1</v>
      </c>
      <c r="G34">
        <v>3</v>
      </c>
    </row>
    <row r="35" spans="1:7" x14ac:dyDescent="0.3">
      <c r="A35" s="387" t="s">
        <v>311</v>
      </c>
      <c r="C35">
        <v>1</v>
      </c>
      <c r="D35">
        <v>1</v>
      </c>
      <c r="E35">
        <v>4</v>
      </c>
      <c r="G35">
        <v>6</v>
      </c>
    </row>
    <row r="36" spans="1:7" x14ac:dyDescent="0.3">
      <c r="A36" s="387" t="s">
        <v>357</v>
      </c>
      <c r="B36">
        <v>50</v>
      </c>
      <c r="C36">
        <v>23</v>
      </c>
      <c r="D36">
        <v>1</v>
      </c>
      <c r="E36">
        <v>240</v>
      </c>
      <c r="F36">
        <v>42</v>
      </c>
      <c r="G36">
        <v>357</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4" tint="0.59999389629810485"/>
  </sheetPr>
  <dimension ref="A1:H257"/>
  <sheetViews>
    <sheetView topLeftCell="A235" zoomScale="90" zoomScaleNormal="90" workbookViewId="0">
      <selection activeCell="D237" sqref="D237"/>
    </sheetView>
  </sheetViews>
  <sheetFormatPr defaultRowHeight="14.4" x14ac:dyDescent="0.3"/>
  <cols>
    <col min="2" max="2" width="20.44140625" bestFit="1" customWidth="1"/>
    <col min="3" max="3" width="16.44140625" bestFit="1" customWidth="1"/>
    <col min="4" max="4" width="28.33203125" bestFit="1" customWidth="1"/>
    <col min="5" max="5" width="23.88671875" bestFit="1" customWidth="1"/>
    <col min="6" max="6" width="15.5546875" bestFit="1" customWidth="1"/>
    <col min="7" max="7" width="14.5546875" bestFit="1" customWidth="1"/>
  </cols>
  <sheetData>
    <row r="1" spans="1:8" x14ac:dyDescent="0.3">
      <c r="A1" t="s">
        <v>208</v>
      </c>
      <c r="B1" t="s">
        <v>358</v>
      </c>
      <c r="C1" s="644" t="s">
        <v>335</v>
      </c>
      <c r="D1" s="644" t="s">
        <v>337</v>
      </c>
      <c r="E1" s="644" t="s">
        <v>336</v>
      </c>
      <c r="F1" s="644" t="s">
        <v>339</v>
      </c>
      <c r="G1" s="644" t="s">
        <v>338</v>
      </c>
      <c r="H1" s="312" t="s">
        <v>340</v>
      </c>
    </row>
    <row r="2" spans="1:8" x14ac:dyDescent="0.3">
      <c r="A2" t="s">
        <v>213</v>
      </c>
      <c r="B2" s="387" t="s">
        <v>215</v>
      </c>
      <c r="C2">
        <v>3</v>
      </c>
      <c r="G2">
        <v>1</v>
      </c>
      <c r="H2">
        <f>SUM(C2:G2)</f>
        <v>4</v>
      </c>
    </row>
    <row r="3" spans="1:8" x14ac:dyDescent="0.3">
      <c r="A3" t="s">
        <v>312</v>
      </c>
      <c r="B3" s="387" t="s">
        <v>215</v>
      </c>
      <c r="C3">
        <v>3</v>
      </c>
      <c r="G3">
        <v>1</v>
      </c>
      <c r="H3">
        <f>SUM(C3:G3)</f>
        <v>4</v>
      </c>
    </row>
    <row r="4" spans="1:8" x14ac:dyDescent="0.3">
      <c r="A4" t="s">
        <v>318</v>
      </c>
      <c r="B4" s="387" t="s">
        <v>215</v>
      </c>
      <c r="C4">
        <v>3</v>
      </c>
      <c r="G4">
        <v>1</v>
      </c>
      <c r="H4">
        <f>SUM(C4:G4)</f>
        <v>4</v>
      </c>
    </row>
    <row r="5" spans="1:8" x14ac:dyDescent="0.3">
      <c r="A5" t="s">
        <v>320</v>
      </c>
      <c r="B5" s="387" t="s">
        <v>215</v>
      </c>
      <c r="C5">
        <v>3</v>
      </c>
      <c r="G5">
        <v>1</v>
      </c>
      <c r="H5">
        <f>SUM(C5:G5)</f>
        <v>4</v>
      </c>
    </row>
    <row r="6" spans="1:8" x14ac:dyDescent="0.3">
      <c r="A6" t="s">
        <v>325</v>
      </c>
      <c r="B6" s="387" t="s">
        <v>215</v>
      </c>
      <c r="C6">
        <v>3</v>
      </c>
      <c r="G6">
        <v>1</v>
      </c>
      <c r="H6">
        <f>SUM(C6:G6)</f>
        <v>4</v>
      </c>
    </row>
    <row r="7" spans="1:8" x14ac:dyDescent="0.3">
      <c r="A7" t="s">
        <v>326</v>
      </c>
      <c r="B7" t="s">
        <v>215</v>
      </c>
      <c r="C7">
        <v>3</v>
      </c>
      <c r="G7">
        <v>1</v>
      </c>
      <c r="H7">
        <v>4</v>
      </c>
    </row>
    <row r="8" spans="1:8" x14ac:dyDescent="0.3">
      <c r="A8" t="s">
        <v>328</v>
      </c>
      <c r="B8" t="s">
        <v>215</v>
      </c>
      <c r="C8">
        <v>3</v>
      </c>
      <c r="G8">
        <v>1</v>
      </c>
      <c r="H8">
        <v>4</v>
      </c>
    </row>
    <row r="9" spans="1:8" x14ac:dyDescent="0.3">
      <c r="A9" t="s">
        <v>412</v>
      </c>
      <c r="B9" t="s">
        <v>215</v>
      </c>
      <c r="C9">
        <v>3</v>
      </c>
      <c r="G9">
        <v>1</v>
      </c>
      <c r="H9">
        <v>4</v>
      </c>
    </row>
    <row r="10" spans="1:8" x14ac:dyDescent="0.3">
      <c r="A10" t="s">
        <v>213</v>
      </c>
      <c r="B10" s="387" t="s">
        <v>220</v>
      </c>
      <c r="D10">
        <v>1</v>
      </c>
      <c r="G10">
        <v>23</v>
      </c>
      <c r="H10">
        <f>SUM(C10:G10)</f>
        <v>24</v>
      </c>
    </row>
    <row r="11" spans="1:8" x14ac:dyDescent="0.3">
      <c r="A11" t="s">
        <v>312</v>
      </c>
      <c r="B11" s="387" t="s">
        <v>220</v>
      </c>
      <c r="D11">
        <v>1</v>
      </c>
      <c r="G11">
        <v>23</v>
      </c>
      <c r="H11">
        <f>SUM(C11:G11)</f>
        <v>24</v>
      </c>
    </row>
    <row r="12" spans="1:8" x14ac:dyDescent="0.3">
      <c r="A12" t="s">
        <v>318</v>
      </c>
      <c r="B12" s="387" t="s">
        <v>220</v>
      </c>
      <c r="D12">
        <v>1</v>
      </c>
      <c r="G12">
        <v>23</v>
      </c>
      <c r="H12">
        <f>SUM(C12:G12)</f>
        <v>24</v>
      </c>
    </row>
    <row r="13" spans="1:8" x14ac:dyDescent="0.3">
      <c r="A13" t="s">
        <v>320</v>
      </c>
      <c r="B13" s="387" t="s">
        <v>220</v>
      </c>
      <c r="D13">
        <v>1</v>
      </c>
      <c r="G13">
        <v>23</v>
      </c>
      <c r="H13">
        <f>SUM(C13:G13)</f>
        <v>24</v>
      </c>
    </row>
    <row r="14" spans="1:8" x14ac:dyDescent="0.3">
      <c r="A14" t="s">
        <v>325</v>
      </c>
      <c r="B14" s="387" t="s">
        <v>220</v>
      </c>
      <c r="D14">
        <v>1</v>
      </c>
      <c r="G14">
        <v>23</v>
      </c>
      <c r="H14">
        <f>SUM(C14:G14)</f>
        <v>24</v>
      </c>
    </row>
    <row r="15" spans="1:8" x14ac:dyDescent="0.3">
      <c r="A15" t="s">
        <v>326</v>
      </c>
      <c r="B15" t="s">
        <v>220</v>
      </c>
      <c r="D15">
        <v>1</v>
      </c>
      <c r="G15">
        <v>23</v>
      </c>
      <c r="H15">
        <v>24</v>
      </c>
    </row>
    <row r="16" spans="1:8" x14ac:dyDescent="0.3">
      <c r="A16" t="s">
        <v>328</v>
      </c>
      <c r="B16" t="s">
        <v>220</v>
      </c>
      <c r="D16">
        <v>1</v>
      </c>
      <c r="G16">
        <v>23</v>
      </c>
      <c r="H16">
        <v>24</v>
      </c>
    </row>
    <row r="17" spans="1:8" x14ac:dyDescent="0.3">
      <c r="A17" t="s">
        <v>412</v>
      </c>
      <c r="B17" t="s">
        <v>220</v>
      </c>
      <c r="D17">
        <v>1</v>
      </c>
      <c r="G17">
        <v>23</v>
      </c>
      <c r="H17">
        <v>24</v>
      </c>
    </row>
    <row r="18" spans="1:8" x14ac:dyDescent="0.3">
      <c r="A18" t="s">
        <v>213</v>
      </c>
      <c r="B18" s="387" t="s">
        <v>224</v>
      </c>
      <c r="D18">
        <v>1</v>
      </c>
      <c r="G18">
        <v>5</v>
      </c>
      <c r="H18">
        <f>SUM(C18:G18)</f>
        <v>6</v>
      </c>
    </row>
    <row r="19" spans="1:8" x14ac:dyDescent="0.3">
      <c r="A19" t="s">
        <v>312</v>
      </c>
      <c r="B19" s="387" t="s">
        <v>224</v>
      </c>
      <c r="D19">
        <v>1</v>
      </c>
      <c r="G19">
        <v>5</v>
      </c>
      <c r="H19">
        <f>SUM(C19:G19)</f>
        <v>6</v>
      </c>
    </row>
    <row r="20" spans="1:8" x14ac:dyDescent="0.3">
      <c r="A20" t="s">
        <v>318</v>
      </c>
      <c r="B20" s="387" t="s">
        <v>224</v>
      </c>
      <c r="D20">
        <v>1</v>
      </c>
      <c r="G20">
        <v>5</v>
      </c>
      <c r="H20">
        <f>SUM(C20:G20)</f>
        <v>6</v>
      </c>
    </row>
    <row r="21" spans="1:8" x14ac:dyDescent="0.3">
      <c r="A21" t="s">
        <v>320</v>
      </c>
      <c r="B21" s="387" t="s">
        <v>224</v>
      </c>
      <c r="D21">
        <v>1</v>
      </c>
      <c r="G21">
        <v>5</v>
      </c>
      <c r="H21">
        <f>SUM(C21:G21)</f>
        <v>6</v>
      </c>
    </row>
    <row r="22" spans="1:8" x14ac:dyDescent="0.3">
      <c r="A22" t="s">
        <v>325</v>
      </c>
      <c r="B22" s="387" t="s">
        <v>224</v>
      </c>
      <c r="D22">
        <v>1</v>
      </c>
      <c r="G22">
        <v>5</v>
      </c>
      <c r="H22">
        <f>SUM(C22:G22)</f>
        <v>6</v>
      </c>
    </row>
    <row r="23" spans="1:8" x14ac:dyDescent="0.3">
      <c r="A23" t="s">
        <v>326</v>
      </c>
      <c r="B23" t="s">
        <v>224</v>
      </c>
      <c r="D23">
        <v>1</v>
      </c>
      <c r="G23">
        <v>5</v>
      </c>
      <c r="H23">
        <v>6</v>
      </c>
    </row>
    <row r="24" spans="1:8" x14ac:dyDescent="0.3">
      <c r="A24" t="s">
        <v>328</v>
      </c>
      <c r="B24" t="s">
        <v>224</v>
      </c>
      <c r="D24">
        <v>1</v>
      </c>
      <c r="G24">
        <v>5</v>
      </c>
      <c r="H24">
        <v>6</v>
      </c>
    </row>
    <row r="25" spans="1:8" x14ac:dyDescent="0.3">
      <c r="A25" t="s">
        <v>412</v>
      </c>
      <c r="B25" t="s">
        <v>224</v>
      </c>
      <c r="D25">
        <v>1</v>
      </c>
      <c r="G25">
        <v>5</v>
      </c>
      <c r="H25">
        <v>6</v>
      </c>
    </row>
    <row r="26" spans="1:8" x14ac:dyDescent="0.3">
      <c r="A26" t="s">
        <v>213</v>
      </c>
      <c r="B26" s="387" t="s">
        <v>228</v>
      </c>
      <c r="D26">
        <v>2</v>
      </c>
      <c r="F26">
        <v>25</v>
      </c>
      <c r="G26">
        <v>12</v>
      </c>
      <c r="H26">
        <f>SUM(C26:G26)</f>
        <v>39</v>
      </c>
    </row>
    <row r="27" spans="1:8" x14ac:dyDescent="0.3">
      <c r="A27" t="s">
        <v>312</v>
      </c>
      <c r="B27" s="387" t="s">
        <v>228</v>
      </c>
      <c r="D27">
        <v>2</v>
      </c>
      <c r="F27">
        <v>25</v>
      </c>
      <c r="G27">
        <v>12</v>
      </c>
      <c r="H27">
        <f>SUM(C27:G27)</f>
        <v>39</v>
      </c>
    </row>
    <row r="28" spans="1:8" x14ac:dyDescent="0.3">
      <c r="A28" t="s">
        <v>318</v>
      </c>
      <c r="B28" s="387" t="s">
        <v>228</v>
      </c>
      <c r="D28">
        <v>2</v>
      </c>
      <c r="F28">
        <v>25</v>
      </c>
      <c r="G28">
        <v>12</v>
      </c>
      <c r="H28">
        <f>SUM(C28:G28)</f>
        <v>39</v>
      </c>
    </row>
    <row r="29" spans="1:8" x14ac:dyDescent="0.3">
      <c r="A29" t="s">
        <v>320</v>
      </c>
      <c r="B29" s="387" t="s">
        <v>228</v>
      </c>
      <c r="D29">
        <v>2</v>
      </c>
      <c r="F29">
        <v>25</v>
      </c>
      <c r="G29">
        <v>12</v>
      </c>
      <c r="H29">
        <f>SUM(C29:G29)</f>
        <v>39</v>
      </c>
    </row>
    <row r="30" spans="1:8" x14ac:dyDescent="0.3">
      <c r="A30" t="s">
        <v>325</v>
      </c>
      <c r="B30" s="387" t="s">
        <v>228</v>
      </c>
      <c r="D30">
        <v>2</v>
      </c>
      <c r="F30">
        <v>25</v>
      </c>
      <c r="G30">
        <v>12</v>
      </c>
      <c r="H30">
        <f>SUM(C30:G30)</f>
        <v>39</v>
      </c>
    </row>
    <row r="31" spans="1:8" x14ac:dyDescent="0.3">
      <c r="A31" t="s">
        <v>326</v>
      </c>
      <c r="B31" t="s">
        <v>228</v>
      </c>
      <c r="D31">
        <v>2</v>
      </c>
      <c r="F31">
        <v>25</v>
      </c>
      <c r="G31">
        <v>12</v>
      </c>
      <c r="H31">
        <v>39</v>
      </c>
    </row>
    <row r="32" spans="1:8" x14ac:dyDescent="0.3">
      <c r="A32" t="s">
        <v>328</v>
      </c>
      <c r="B32" t="s">
        <v>228</v>
      </c>
      <c r="D32">
        <v>2</v>
      </c>
      <c r="F32">
        <v>25</v>
      </c>
      <c r="G32">
        <v>12</v>
      </c>
      <c r="H32">
        <v>39</v>
      </c>
    </row>
    <row r="33" spans="1:8" x14ac:dyDescent="0.3">
      <c r="A33" t="s">
        <v>412</v>
      </c>
      <c r="B33" t="s">
        <v>228</v>
      </c>
      <c r="D33">
        <v>2</v>
      </c>
      <c r="F33">
        <v>25</v>
      </c>
      <c r="G33">
        <v>12</v>
      </c>
      <c r="H33">
        <v>39</v>
      </c>
    </row>
    <row r="34" spans="1:8" x14ac:dyDescent="0.3">
      <c r="A34" t="s">
        <v>213</v>
      </c>
      <c r="B34" s="387" t="s">
        <v>234</v>
      </c>
      <c r="C34">
        <v>7</v>
      </c>
      <c r="G34">
        <v>1</v>
      </c>
      <c r="H34">
        <f>SUM(C34:G34)</f>
        <v>8</v>
      </c>
    </row>
    <row r="35" spans="1:8" x14ac:dyDescent="0.3">
      <c r="A35" t="s">
        <v>312</v>
      </c>
      <c r="B35" s="387" t="s">
        <v>234</v>
      </c>
      <c r="C35">
        <v>7</v>
      </c>
      <c r="G35">
        <v>1</v>
      </c>
      <c r="H35">
        <f>SUM(C35:G35)</f>
        <v>8</v>
      </c>
    </row>
    <row r="36" spans="1:8" x14ac:dyDescent="0.3">
      <c r="A36" t="s">
        <v>318</v>
      </c>
      <c r="B36" s="387" t="s">
        <v>234</v>
      </c>
      <c r="C36">
        <v>7</v>
      </c>
      <c r="G36">
        <v>1</v>
      </c>
      <c r="H36">
        <f>SUM(C36:G36)</f>
        <v>8</v>
      </c>
    </row>
    <row r="37" spans="1:8" x14ac:dyDescent="0.3">
      <c r="A37" t="s">
        <v>320</v>
      </c>
      <c r="B37" s="387" t="s">
        <v>234</v>
      </c>
      <c r="C37">
        <v>7</v>
      </c>
      <c r="G37">
        <v>1</v>
      </c>
      <c r="H37">
        <f>SUM(C37:G37)</f>
        <v>8</v>
      </c>
    </row>
    <row r="38" spans="1:8" x14ac:dyDescent="0.3">
      <c r="A38" t="s">
        <v>325</v>
      </c>
      <c r="B38" s="387" t="s">
        <v>234</v>
      </c>
      <c r="C38">
        <v>7</v>
      </c>
      <c r="G38">
        <v>1</v>
      </c>
      <c r="H38">
        <f>SUM(C38:G38)</f>
        <v>8</v>
      </c>
    </row>
    <row r="39" spans="1:8" x14ac:dyDescent="0.3">
      <c r="A39" t="s">
        <v>326</v>
      </c>
      <c r="B39" t="s">
        <v>234</v>
      </c>
      <c r="C39">
        <v>7</v>
      </c>
      <c r="G39">
        <v>1</v>
      </c>
      <c r="H39">
        <v>8</v>
      </c>
    </row>
    <row r="40" spans="1:8" x14ac:dyDescent="0.3">
      <c r="A40" t="s">
        <v>328</v>
      </c>
      <c r="B40" t="s">
        <v>234</v>
      </c>
      <c r="C40">
        <v>7</v>
      </c>
      <c r="G40">
        <v>1</v>
      </c>
      <c r="H40">
        <v>8</v>
      </c>
    </row>
    <row r="41" spans="1:8" x14ac:dyDescent="0.3">
      <c r="A41" t="s">
        <v>412</v>
      </c>
      <c r="B41" t="s">
        <v>234</v>
      </c>
      <c r="C41">
        <v>7</v>
      </c>
      <c r="G41">
        <v>1</v>
      </c>
      <c r="H41">
        <v>8</v>
      </c>
    </row>
    <row r="42" spans="1:8" x14ac:dyDescent="0.3">
      <c r="A42" t="s">
        <v>213</v>
      </c>
      <c r="B42" s="387" t="s">
        <v>240</v>
      </c>
      <c r="D42">
        <v>1</v>
      </c>
      <c r="G42">
        <v>1</v>
      </c>
      <c r="H42">
        <f>SUM(C42:G42)</f>
        <v>2</v>
      </c>
    </row>
    <row r="43" spans="1:8" x14ac:dyDescent="0.3">
      <c r="A43" t="s">
        <v>312</v>
      </c>
      <c r="B43" s="387" t="s">
        <v>240</v>
      </c>
      <c r="D43">
        <v>1</v>
      </c>
      <c r="G43">
        <v>1</v>
      </c>
      <c r="H43">
        <f>SUM(C43:G43)</f>
        <v>2</v>
      </c>
    </row>
    <row r="44" spans="1:8" x14ac:dyDescent="0.3">
      <c r="A44" t="s">
        <v>318</v>
      </c>
      <c r="B44" s="387" t="s">
        <v>240</v>
      </c>
      <c r="D44">
        <v>1</v>
      </c>
      <c r="G44">
        <v>1</v>
      </c>
      <c r="H44">
        <f>SUM(C44:G44)</f>
        <v>2</v>
      </c>
    </row>
    <row r="45" spans="1:8" x14ac:dyDescent="0.3">
      <c r="A45" t="s">
        <v>320</v>
      </c>
      <c r="B45" s="387" t="s">
        <v>240</v>
      </c>
      <c r="D45">
        <v>1</v>
      </c>
      <c r="G45">
        <v>1</v>
      </c>
      <c r="H45">
        <f>SUM(C45:G45)</f>
        <v>2</v>
      </c>
    </row>
    <row r="46" spans="1:8" x14ac:dyDescent="0.3">
      <c r="A46" t="s">
        <v>325</v>
      </c>
      <c r="B46" s="387" t="s">
        <v>240</v>
      </c>
      <c r="D46">
        <v>1</v>
      </c>
      <c r="G46">
        <v>1</v>
      </c>
      <c r="H46">
        <f>SUM(C46:G46)</f>
        <v>2</v>
      </c>
    </row>
    <row r="47" spans="1:8" x14ac:dyDescent="0.3">
      <c r="A47" t="s">
        <v>326</v>
      </c>
      <c r="B47" t="s">
        <v>240</v>
      </c>
      <c r="D47">
        <v>1</v>
      </c>
      <c r="G47">
        <v>1</v>
      </c>
      <c r="H47">
        <v>2</v>
      </c>
    </row>
    <row r="48" spans="1:8" x14ac:dyDescent="0.3">
      <c r="A48" t="s">
        <v>328</v>
      </c>
      <c r="B48" t="s">
        <v>240</v>
      </c>
      <c r="D48">
        <v>1</v>
      </c>
      <c r="G48">
        <v>1</v>
      </c>
      <c r="H48">
        <v>2</v>
      </c>
    </row>
    <row r="49" spans="1:8" x14ac:dyDescent="0.3">
      <c r="A49" t="s">
        <v>412</v>
      </c>
      <c r="B49" t="s">
        <v>240</v>
      </c>
      <c r="D49">
        <v>1</v>
      </c>
      <c r="G49">
        <v>1</v>
      </c>
      <c r="H49">
        <v>2</v>
      </c>
    </row>
    <row r="50" spans="1:8" x14ac:dyDescent="0.3">
      <c r="A50" t="s">
        <v>213</v>
      </c>
      <c r="B50" s="387" t="s">
        <v>244</v>
      </c>
      <c r="D50">
        <v>1</v>
      </c>
      <c r="F50">
        <v>1</v>
      </c>
      <c r="G50">
        <v>15</v>
      </c>
      <c r="H50">
        <f>SUM(C50:G50)</f>
        <v>17</v>
      </c>
    </row>
    <row r="51" spans="1:8" x14ac:dyDescent="0.3">
      <c r="A51" t="s">
        <v>312</v>
      </c>
      <c r="B51" s="387" t="s">
        <v>244</v>
      </c>
      <c r="D51">
        <v>1</v>
      </c>
      <c r="F51">
        <v>1</v>
      </c>
      <c r="G51">
        <v>15</v>
      </c>
      <c r="H51">
        <f>SUM(C51:G51)</f>
        <v>17</v>
      </c>
    </row>
    <row r="52" spans="1:8" x14ac:dyDescent="0.3">
      <c r="A52" t="s">
        <v>318</v>
      </c>
      <c r="B52" s="387" t="s">
        <v>244</v>
      </c>
      <c r="D52">
        <v>1</v>
      </c>
      <c r="F52">
        <v>1</v>
      </c>
      <c r="G52">
        <v>15</v>
      </c>
      <c r="H52">
        <f>SUM(C52:G52)</f>
        <v>17</v>
      </c>
    </row>
    <row r="53" spans="1:8" x14ac:dyDescent="0.3">
      <c r="A53" t="s">
        <v>320</v>
      </c>
      <c r="B53" s="387" t="s">
        <v>244</v>
      </c>
      <c r="D53">
        <v>1</v>
      </c>
      <c r="F53">
        <v>1</v>
      </c>
      <c r="G53">
        <v>15</v>
      </c>
      <c r="H53">
        <f>SUM(C53:G53)</f>
        <v>17</v>
      </c>
    </row>
    <row r="54" spans="1:8" x14ac:dyDescent="0.3">
      <c r="A54" t="s">
        <v>325</v>
      </c>
      <c r="B54" s="387" t="s">
        <v>244</v>
      </c>
      <c r="D54">
        <v>1</v>
      </c>
      <c r="F54">
        <v>1</v>
      </c>
      <c r="G54">
        <v>15</v>
      </c>
      <c r="H54">
        <f>SUM(C54:G54)</f>
        <v>17</v>
      </c>
    </row>
    <row r="55" spans="1:8" x14ac:dyDescent="0.3">
      <c r="A55" t="s">
        <v>326</v>
      </c>
      <c r="B55" t="s">
        <v>244</v>
      </c>
      <c r="D55">
        <v>1</v>
      </c>
      <c r="F55">
        <v>1</v>
      </c>
      <c r="G55">
        <v>15</v>
      </c>
      <c r="H55">
        <v>17</v>
      </c>
    </row>
    <row r="56" spans="1:8" x14ac:dyDescent="0.3">
      <c r="A56" t="s">
        <v>328</v>
      </c>
      <c r="B56" t="s">
        <v>244</v>
      </c>
      <c r="D56">
        <v>1</v>
      </c>
      <c r="F56">
        <v>1</v>
      </c>
      <c r="G56">
        <v>15</v>
      </c>
      <c r="H56">
        <v>17</v>
      </c>
    </row>
    <row r="57" spans="1:8" x14ac:dyDescent="0.3">
      <c r="A57" t="s">
        <v>412</v>
      </c>
      <c r="B57" t="s">
        <v>244</v>
      </c>
      <c r="D57">
        <v>1</v>
      </c>
      <c r="F57">
        <v>1</v>
      </c>
      <c r="G57">
        <v>15</v>
      </c>
      <c r="H57">
        <v>17</v>
      </c>
    </row>
    <row r="58" spans="1:8" x14ac:dyDescent="0.3">
      <c r="A58" t="s">
        <v>213</v>
      </c>
      <c r="B58" s="387" t="s">
        <v>247</v>
      </c>
      <c r="C58">
        <v>3</v>
      </c>
      <c r="D58">
        <v>1</v>
      </c>
      <c r="H58">
        <f>SUM(C58:G58)</f>
        <v>4</v>
      </c>
    </row>
    <row r="59" spans="1:8" x14ac:dyDescent="0.3">
      <c r="A59" t="s">
        <v>312</v>
      </c>
      <c r="B59" s="387" t="s">
        <v>247</v>
      </c>
      <c r="C59">
        <v>3</v>
      </c>
      <c r="D59">
        <v>1</v>
      </c>
      <c r="H59">
        <f>SUM(C59:G59)</f>
        <v>4</v>
      </c>
    </row>
    <row r="60" spans="1:8" x14ac:dyDescent="0.3">
      <c r="A60" t="s">
        <v>318</v>
      </c>
      <c r="B60" s="387" t="s">
        <v>247</v>
      </c>
      <c r="C60">
        <v>3</v>
      </c>
      <c r="D60">
        <v>1</v>
      </c>
      <c r="H60">
        <f>SUM(C60:G60)</f>
        <v>4</v>
      </c>
    </row>
    <row r="61" spans="1:8" x14ac:dyDescent="0.3">
      <c r="A61" t="s">
        <v>320</v>
      </c>
      <c r="B61" s="387" t="s">
        <v>247</v>
      </c>
      <c r="C61">
        <v>3</v>
      </c>
      <c r="D61">
        <v>1</v>
      </c>
      <c r="H61">
        <f>SUM(C61:G61)</f>
        <v>4</v>
      </c>
    </row>
    <row r="62" spans="1:8" x14ac:dyDescent="0.3">
      <c r="A62" t="s">
        <v>325</v>
      </c>
      <c r="B62" s="387" t="s">
        <v>247</v>
      </c>
      <c r="C62">
        <v>3</v>
      </c>
      <c r="D62">
        <v>1</v>
      </c>
      <c r="H62">
        <f>SUM(C62:G62)</f>
        <v>4</v>
      </c>
    </row>
    <row r="63" spans="1:8" x14ac:dyDescent="0.3">
      <c r="A63" t="s">
        <v>326</v>
      </c>
      <c r="B63" t="s">
        <v>247</v>
      </c>
      <c r="C63">
        <v>3</v>
      </c>
      <c r="D63">
        <v>1</v>
      </c>
      <c r="H63">
        <v>4</v>
      </c>
    </row>
    <row r="64" spans="1:8" x14ac:dyDescent="0.3">
      <c r="A64" t="s">
        <v>328</v>
      </c>
      <c r="B64" t="s">
        <v>247</v>
      </c>
      <c r="C64">
        <v>3</v>
      </c>
      <c r="D64">
        <v>1</v>
      </c>
      <c r="H64">
        <v>4</v>
      </c>
    </row>
    <row r="65" spans="1:8" x14ac:dyDescent="0.3">
      <c r="A65" t="s">
        <v>412</v>
      </c>
      <c r="B65" t="s">
        <v>247</v>
      </c>
      <c r="C65">
        <v>3</v>
      </c>
      <c r="D65">
        <v>1</v>
      </c>
      <c r="H65">
        <v>4</v>
      </c>
    </row>
    <row r="66" spans="1:8" x14ac:dyDescent="0.3">
      <c r="A66" t="s">
        <v>213</v>
      </c>
      <c r="B66" s="387" t="s">
        <v>249</v>
      </c>
      <c r="C66">
        <v>1</v>
      </c>
      <c r="G66">
        <v>7</v>
      </c>
      <c r="H66">
        <f>SUM(C66:G66)</f>
        <v>8</v>
      </c>
    </row>
    <row r="67" spans="1:8" x14ac:dyDescent="0.3">
      <c r="A67" t="s">
        <v>312</v>
      </c>
      <c r="B67" s="387" t="s">
        <v>249</v>
      </c>
      <c r="C67">
        <v>1</v>
      </c>
      <c r="G67">
        <v>7</v>
      </c>
      <c r="H67">
        <f>SUM(C67:G67)</f>
        <v>8</v>
      </c>
    </row>
    <row r="68" spans="1:8" x14ac:dyDescent="0.3">
      <c r="A68" t="s">
        <v>318</v>
      </c>
      <c r="B68" s="387" t="s">
        <v>249</v>
      </c>
      <c r="C68">
        <v>1</v>
      </c>
      <c r="G68">
        <v>7</v>
      </c>
      <c r="H68">
        <f>SUM(C68:G68)</f>
        <v>8</v>
      </c>
    </row>
    <row r="69" spans="1:8" x14ac:dyDescent="0.3">
      <c r="A69" t="s">
        <v>320</v>
      </c>
      <c r="B69" s="387" t="s">
        <v>249</v>
      </c>
      <c r="C69">
        <v>1</v>
      </c>
      <c r="G69">
        <v>7</v>
      </c>
      <c r="H69">
        <f>SUM(C69:G69)</f>
        <v>8</v>
      </c>
    </row>
    <row r="70" spans="1:8" x14ac:dyDescent="0.3">
      <c r="A70" t="s">
        <v>325</v>
      </c>
      <c r="B70" s="387" t="s">
        <v>249</v>
      </c>
      <c r="C70">
        <v>1</v>
      </c>
      <c r="G70">
        <v>7</v>
      </c>
      <c r="H70">
        <f>SUM(C70:G70)</f>
        <v>8</v>
      </c>
    </row>
    <row r="71" spans="1:8" x14ac:dyDescent="0.3">
      <c r="A71" t="s">
        <v>326</v>
      </c>
      <c r="B71" t="s">
        <v>249</v>
      </c>
      <c r="C71">
        <v>1</v>
      </c>
      <c r="G71">
        <v>7</v>
      </c>
      <c r="H71">
        <v>8</v>
      </c>
    </row>
    <row r="72" spans="1:8" x14ac:dyDescent="0.3">
      <c r="A72" t="s">
        <v>328</v>
      </c>
      <c r="B72" t="s">
        <v>249</v>
      </c>
      <c r="C72">
        <v>1</v>
      </c>
      <c r="G72">
        <v>7</v>
      </c>
      <c r="H72">
        <v>8</v>
      </c>
    </row>
    <row r="73" spans="1:8" x14ac:dyDescent="0.3">
      <c r="A73" t="s">
        <v>412</v>
      </c>
      <c r="B73" t="s">
        <v>249</v>
      </c>
      <c r="C73">
        <v>1</v>
      </c>
      <c r="G73">
        <v>7</v>
      </c>
      <c r="H73">
        <v>8</v>
      </c>
    </row>
    <row r="74" spans="1:8" x14ac:dyDescent="0.3">
      <c r="A74" t="s">
        <v>213</v>
      </c>
      <c r="B74" s="387" t="s">
        <v>253</v>
      </c>
      <c r="C74">
        <v>3</v>
      </c>
      <c r="H74">
        <f>SUM(C74:G74)</f>
        <v>3</v>
      </c>
    </row>
    <row r="75" spans="1:8" x14ac:dyDescent="0.3">
      <c r="A75" t="s">
        <v>312</v>
      </c>
      <c r="B75" s="387" t="s">
        <v>253</v>
      </c>
      <c r="C75">
        <v>3</v>
      </c>
      <c r="H75">
        <f>SUM(C75:G75)</f>
        <v>3</v>
      </c>
    </row>
    <row r="76" spans="1:8" x14ac:dyDescent="0.3">
      <c r="A76" t="s">
        <v>318</v>
      </c>
      <c r="B76" s="387" t="s">
        <v>253</v>
      </c>
      <c r="C76">
        <v>3</v>
      </c>
      <c r="H76">
        <f>SUM(C76:G76)</f>
        <v>3</v>
      </c>
    </row>
    <row r="77" spans="1:8" x14ac:dyDescent="0.3">
      <c r="A77" t="s">
        <v>320</v>
      </c>
      <c r="B77" s="387" t="s">
        <v>253</v>
      </c>
      <c r="C77">
        <v>3</v>
      </c>
      <c r="H77">
        <f>SUM(C77:G77)</f>
        <v>3</v>
      </c>
    </row>
    <row r="78" spans="1:8" x14ac:dyDescent="0.3">
      <c r="A78" t="s">
        <v>325</v>
      </c>
      <c r="B78" s="387" t="s">
        <v>253</v>
      </c>
      <c r="C78">
        <v>3</v>
      </c>
      <c r="H78">
        <f>SUM(C78:G78)</f>
        <v>3</v>
      </c>
    </row>
    <row r="79" spans="1:8" x14ac:dyDescent="0.3">
      <c r="A79" t="s">
        <v>326</v>
      </c>
      <c r="B79" t="s">
        <v>253</v>
      </c>
      <c r="C79">
        <v>3</v>
      </c>
      <c r="H79">
        <v>3</v>
      </c>
    </row>
    <row r="80" spans="1:8" x14ac:dyDescent="0.3">
      <c r="A80" t="s">
        <v>328</v>
      </c>
      <c r="B80" t="s">
        <v>253</v>
      </c>
      <c r="C80">
        <v>3</v>
      </c>
      <c r="H80">
        <v>3</v>
      </c>
    </row>
    <row r="81" spans="1:8" x14ac:dyDescent="0.3">
      <c r="A81" t="s">
        <v>412</v>
      </c>
      <c r="B81" t="s">
        <v>253</v>
      </c>
      <c r="C81">
        <v>3</v>
      </c>
      <c r="H81">
        <v>3</v>
      </c>
    </row>
    <row r="82" spans="1:8" x14ac:dyDescent="0.3">
      <c r="A82" t="s">
        <v>213</v>
      </c>
      <c r="B82" s="387" t="s">
        <v>255</v>
      </c>
      <c r="C82">
        <v>1</v>
      </c>
      <c r="G82">
        <v>5</v>
      </c>
      <c r="H82">
        <f>SUM(C82:G82)</f>
        <v>6</v>
      </c>
    </row>
    <row r="83" spans="1:8" x14ac:dyDescent="0.3">
      <c r="A83" t="s">
        <v>312</v>
      </c>
      <c r="B83" s="387" t="s">
        <v>255</v>
      </c>
      <c r="C83">
        <v>1</v>
      </c>
      <c r="G83">
        <v>5</v>
      </c>
      <c r="H83">
        <f>SUM(C83:G83)</f>
        <v>6</v>
      </c>
    </row>
    <row r="84" spans="1:8" x14ac:dyDescent="0.3">
      <c r="A84" t="s">
        <v>318</v>
      </c>
      <c r="B84" s="387" t="s">
        <v>255</v>
      </c>
      <c r="C84">
        <v>1</v>
      </c>
      <c r="G84">
        <v>5</v>
      </c>
      <c r="H84">
        <f>SUM(C84:G84)</f>
        <v>6</v>
      </c>
    </row>
    <row r="85" spans="1:8" x14ac:dyDescent="0.3">
      <c r="A85" t="s">
        <v>320</v>
      </c>
      <c r="B85" s="387" t="s">
        <v>255</v>
      </c>
      <c r="C85">
        <v>1</v>
      </c>
      <c r="G85">
        <v>5</v>
      </c>
      <c r="H85">
        <f>SUM(C85:G85)</f>
        <v>6</v>
      </c>
    </row>
    <row r="86" spans="1:8" x14ac:dyDescent="0.3">
      <c r="A86" t="s">
        <v>325</v>
      </c>
      <c r="B86" s="387" t="s">
        <v>255</v>
      </c>
      <c r="C86">
        <v>1</v>
      </c>
      <c r="G86">
        <v>5</v>
      </c>
      <c r="H86">
        <f>SUM(C86:G86)</f>
        <v>6</v>
      </c>
    </row>
    <row r="87" spans="1:8" x14ac:dyDescent="0.3">
      <c r="A87" t="s">
        <v>326</v>
      </c>
      <c r="B87" t="s">
        <v>255</v>
      </c>
      <c r="C87">
        <v>1</v>
      </c>
      <c r="G87">
        <v>5</v>
      </c>
      <c r="H87">
        <v>6</v>
      </c>
    </row>
    <row r="88" spans="1:8" x14ac:dyDescent="0.3">
      <c r="A88" t="s">
        <v>328</v>
      </c>
      <c r="B88" t="s">
        <v>255</v>
      </c>
      <c r="C88">
        <v>1</v>
      </c>
      <c r="G88">
        <v>5</v>
      </c>
      <c r="H88">
        <v>6</v>
      </c>
    </row>
    <row r="89" spans="1:8" x14ac:dyDescent="0.3">
      <c r="A89" t="s">
        <v>412</v>
      </c>
      <c r="B89" t="s">
        <v>255</v>
      </c>
      <c r="C89">
        <v>1</v>
      </c>
      <c r="G89">
        <v>5</v>
      </c>
      <c r="H89">
        <v>6</v>
      </c>
    </row>
    <row r="90" spans="1:8" x14ac:dyDescent="0.3">
      <c r="A90" t="s">
        <v>213</v>
      </c>
      <c r="B90" s="387" t="s">
        <v>259</v>
      </c>
      <c r="C90">
        <v>2</v>
      </c>
      <c r="H90">
        <f>SUM(C90:G90)</f>
        <v>2</v>
      </c>
    </row>
    <row r="91" spans="1:8" x14ac:dyDescent="0.3">
      <c r="A91" t="s">
        <v>312</v>
      </c>
      <c r="B91" s="387" t="s">
        <v>259</v>
      </c>
      <c r="C91">
        <v>2</v>
      </c>
      <c r="H91">
        <f>SUM(C91:G91)</f>
        <v>2</v>
      </c>
    </row>
    <row r="92" spans="1:8" x14ac:dyDescent="0.3">
      <c r="A92" t="s">
        <v>318</v>
      </c>
      <c r="B92" s="387" t="s">
        <v>259</v>
      </c>
      <c r="C92">
        <v>2</v>
      </c>
      <c r="H92">
        <f>SUM(C92:G92)</f>
        <v>2</v>
      </c>
    </row>
    <row r="93" spans="1:8" x14ac:dyDescent="0.3">
      <c r="A93" t="s">
        <v>320</v>
      </c>
      <c r="B93" s="387" t="s">
        <v>259</v>
      </c>
      <c r="C93">
        <v>2</v>
      </c>
      <c r="H93">
        <f>SUM(C93:G93)</f>
        <v>2</v>
      </c>
    </row>
    <row r="94" spans="1:8" x14ac:dyDescent="0.3">
      <c r="A94" t="s">
        <v>325</v>
      </c>
      <c r="B94" s="387" t="s">
        <v>259</v>
      </c>
      <c r="C94">
        <v>2</v>
      </c>
      <c r="H94">
        <f>SUM(C94:G94)</f>
        <v>2</v>
      </c>
    </row>
    <row r="95" spans="1:8" x14ac:dyDescent="0.3">
      <c r="A95" t="s">
        <v>326</v>
      </c>
      <c r="B95" t="s">
        <v>259</v>
      </c>
      <c r="C95">
        <v>2</v>
      </c>
      <c r="H95">
        <v>2</v>
      </c>
    </row>
    <row r="96" spans="1:8" x14ac:dyDescent="0.3">
      <c r="A96" t="s">
        <v>328</v>
      </c>
      <c r="B96" t="s">
        <v>259</v>
      </c>
      <c r="C96">
        <v>2</v>
      </c>
      <c r="H96">
        <v>2</v>
      </c>
    </row>
    <row r="97" spans="1:8" x14ac:dyDescent="0.3">
      <c r="A97" t="s">
        <v>412</v>
      </c>
      <c r="B97" t="s">
        <v>259</v>
      </c>
      <c r="C97">
        <v>2</v>
      </c>
      <c r="H97">
        <v>2</v>
      </c>
    </row>
    <row r="98" spans="1:8" x14ac:dyDescent="0.3">
      <c r="A98" t="s">
        <v>213</v>
      </c>
      <c r="B98" s="387" t="s">
        <v>263</v>
      </c>
      <c r="D98">
        <v>3</v>
      </c>
      <c r="G98">
        <v>2</v>
      </c>
      <c r="H98">
        <f>SUM(C98:G98)</f>
        <v>5</v>
      </c>
    </row>
    <row r="99" spans="1:8" x14ac:dyDescent="0.3">
      <c r="A99" t="s">
        <v>312</v>
      </c>
      <c r="B99" s="387" t="s">
        <v>263</v>
      </c>
      <c r="D99">
        <v>3</v>
      </c>
      <c r="G99">
        <v>2</v>
      </c>
      <c r="H99">
        <f>SUM(C99:G99)</f>
        <v>5</v>
      </c>
    </row>
    <row r="100" spans="1:8" x14ac:dyDescent="0.3">
      <c r="A100" t="s">
        <v>318</v>
      </c>
      <c r="B100" s="387" t="s">
        <v>263</v>
      </c>
      <c r="D100">
        <v>3</v>
      </c>
      <c r="G100">
        <v>2</v>
      </c>
      <c r="H100">
        <f>SUM(C100:G100)</f>
        <v>5</v>
      </c>
    </row>
    <row r="101" spans="1:8" x14ac:dyDescent="0.3">
      <c r="A101" t="s">
        <v>320</v>
      </c>
      <c r="B101" s="387" t="s">
        <v>263</v>
      </c>
      <c r="D101">
        <v>3</v>
      </c>
      <c r="G101">
        <v>2</v>
      </c>
      <c r="H101">
        <f>SUM(C101:G101)</f>
        <v>5</v>
      </c>
    </row>
    <row r="102" spans="1:8" x14ac:dyDescent="0.3">
      <c r="A102" t="s">
        <v>325</v>
      </c>
      <c r="B102" s="387" t="s">
        <v>263</v>
      </c>
      <c r="D102">
        <v>3</v>
      </c>
      <c r="G102">
        <v>2</v>
      </c>
      <c r="H102">
        <f>SUM(C102:G102)</f>
        <v>5</v>
      </c>
    </row>
    <row r="103" spans="1:8" x14ac:dyDescent="0.3">
      <c r="A103" t="s">
        <v>326</v>
      </c>
      <c r="B103" t="s">
        <v>263</v>
      </c>
      <c r="D103">
        <v>3</v>
      </c>
      <c r="G103">
        <v>2</v>
      </c>
      <c r="H103">
        <v>5</v>
      </c>
    </row>
    <row r="104" spans="1:8" x14ac:dyDescent="0.3">
      <c r="A104" t="s">
        <v>328</v>
      </c>
      <c r="B104" t="s">
        <v>263</v>
      </c>
      <c r="D104">
        <v>3</v>
      </c>
      <c r="G104">
        <v>2</v>
      </c>
      <c r="H104">
        <v>5</v>
      </c>
    </row>
    <row r="105" spans="1:8" x14ac:dyDescent="0.3">
      <c r="A105" t="s">
        <v>412</v>
      </c>
      <c r="B105" t="s">
        <v>263</v>
      </c>
      <c r="D105">
        <v>3</v>
      </c>
      <c r="G105">
        <v>2</v>
      </c>
      <c r="H105">
        <v>5</v>
      </c>
    </row>
    <row r="106" spans="1:8" x14ac:dyDescent="0.3">
      <c r="A106" t="s">
        <v>213</v>
      </c>
      <c r="B106" s="387" t="s">
        <v>267</v>
      </c>
      <c r="C106">
        <v>5</v>
      </c>
      <c r="G106">
        <v>8</v>
      </c>
      <c r="H106">
        <f>SUM(C106:G106)</f>
        <v>13</v>
      </c>
    </row>
    <row r="107" spans="1:8" x14ac:dyDescent="0.3">
      <c r="A107" t="s">
        <v>312</v>
      </c>
      <c r="B107" s="387" t="s">
        <v>267</v>
      </c>
      <c r="C107">
        <v>5</v>
      </c>
      <c r="G107">
        <v>8</v>
      </c>
      <c r="H107">
        <f>SUM(C107:G107)</f>
        <v>13</v>
      </c>
    </row>
    <row r="108" spans="1:8" x14ac:dyDescent="0.3">
      <c r="A108" t="s">
        <v>318</v>
      </c>
      <c r="B108" s="387" t="s">
        <v>267</v>
      </c>
      <c r="C108">
        <v>5</v>
      </c>
      <c r="G108">
        <v>8</v>
      </c>
      <c r="H108">
        <f>SUM(C108:G108)</f>
        <v>13</v>
      </c>
    </row>
    <row r="109" spans="1:8" x14ac:dyDescent="0.3">
      <c r="A109" t="s">
        <v>320</v>
      </c>
      <c r="B109" s="387" t="s">
        <v>267</v>
      </c>
      <c r="C109">
        <v>5</v>
      </c>
      <c r="G109">
        <v>8</v>
      </c>
      <c r="H109">
        <f>SUM(C109:G109)</f>
        <v>13</v>
      </c>
    </row>
    <row r="110" spans="1:8" x14ac:dyDescent="0.3">
      <c r="A110" t="s">
        <v>325</v>
      </c>
      <c r="B110" s="387" t="s">
        <v>267</v>
      </c>
      <c r="C110">
        <v>5</v>
      </c>
      <c r="G110">
        <v>8</v>
      </c>
      <c r="H110">
        <f>SUM(C110:G110)</f>
        <v>13</v>
      </c>
    </row>
    <row r="111" spans="1:8" x14ac:dyDescent="0.3">
      <c r="A111" t="s">
        <v>326</v>
      </c>
      <c r="B111" t="s">
        <v>267</v>
      </c>
      <c r="C111">
        <v>5</v>
      </c>
      <c r="G111">
        <v>8</v>
      </c>
      <c r="H111">
        <v>13</v>
      </c>
    </row>
    <row r="112" spans="1:8" x14ac:dyDescent="0.3">
      <c r="A112" t="s">
        <v>328</v>
      </c>
      <c r="B112" t="s">
        <v>267</v>
      </c>
      <c r="C112">
        <v>5</v>
      </c>
      <c r="G112">
        <v>8</v>
      </c>
      <c r="H112">
        <v>13</v>
      </c>
    </row>
    <row r="113" spans="1:8" x14ac:dyDescent="0.3">
      <c r="A113" t="s">
        <v>412</v>
      </c>
      <c r="B113" t="s">
        <v>267</v>
      </c>
      <c r="C113">
        <v>5</v>
      </c>
      <c r="G113">
        <v>8</v>
      </c>
      <c r="H113">
        <v>13</v>
      </c>
    </row>
    <row r="114" spans="1:8" x14ac:dyDescent="0.3">
      <c r="A114" t="s">
        <v>213</v>
      </c>
      <c r="B114" s="387" t="s">
        <v>270</v>
      </c>
      <c r="C114">
        <v>11</v>
      </c>
      <c r="H114">
        <f>SUM(C114:G114)</f>
        <v>11</v>
      </c>
    </row>
    <row r="115" spans="1:8" x14ac:dyDescent="0.3">
      <c r="A115" t="s">
        <v>312</v>
      </c>
      <c r="B115" s="387" t="s">
        <v>270</v>
      </c>
      <c r="C115">
        <v>11</v>
      </c>
      <c r="H115">
        <f>SUM(C115:G115)</f>
        <v>11</v>
      </c>
    </row>
    <row r="116" spans="1:8" x14ac:dyDescent="0.3">
      <c r="A116" t="s">
        <v>318</v>
      </c>
      <c r="B116" s="387" t="s">
        <v>270</v>
      </c>
      <c r="C116">
        <v>11</v>
      </c>
      <c r="H116">
        <f>SUM(C116:G116)</f>
        <v>11</v>
      </c>
    </row>
    <row r="117" spans="1:8" x14ac:dyDescent="0.3">
      <c r="A117" t="s">
        <v>320</v>
      </c>
      <c r="B117" s="387" t="s">
        <v>270</v>
      </c>
      <c r="C117">
        <v>11</v>
      </c>
      <c r="H117">
        <f>SUM(C117:G117)</f>
        <v>11</v>
      </c>
    </row>
    <row r="118" spans="1:8" x14ac:dyDescent="0.3">
      <c r="A118" t="s">
        <v>325</v>
      </c>
      <c r="B118" s="387" t="s">
        <v>270</v>
      </c>
      <c r="C118">
        <v>11</v>
      </c>
      <c r="H118">
        <f>SUM(C118:G118)</f>
        <v>11</v>
      </c>
    </row>
    <row r="119" spans="1:8" x14ac:dyDescent="0.3">
      <c r="A119" t="s">
        <v>326</v>
      </c>
      <c r="B119" t="s">
        <v>270</v>
      </c>
      <c r="C119">
        <v>11</v>
      </c>
      <c r="H119">
        <v>11</v>
      </c>
    </row>
    <row r="120" spans="1:8" x14ac:dyDescent="0.3">
      <c r="A120" t="s">
        <v>328</v>
      </c>
      <c r="B120" t="s">
        <v>270</v>
      </c>
      <c r="C120">
        <v>11</v>
      </c>
      <c r="H120">
        <v>11</v>
      </c>
    </row>
    <row r="121" spans="1:8" x14ac:dyDescent="0.3">
      <c r="A121" t="s">
        <v>412</v>
      </c>
      <c r="B121" t="s">
        <v>270</v>
      </c>
      <c r="C121">
        <v>11</v>
      </c>
      <c r="H121">
        <v>11</v>
      </c>
    </row>
    <row r="122" spans="1:8" x14ac:dyDescent="0.3">
      <c r="A122" t="s">
        <v>213</v>
      </c>
      <c r="B122" s="387" t="s">
        <v>273</v>
      </c>
      <c r="D122">
        <v>1</v>
      </c>
      <c r="F122">
        <v>9</v>
      </c>
      <c r="G122">
        <v>51</v>
      </c>
      <c r="H122">
        <f>SUM(C122:G122)</f>
        <v>61</v>
      </c>
    </row>
    <row r="123" spans="1:8" x14ac:dyDescent="0.3">
      <c r="A123" t="s">
        <v>312</v>
      </c>
      <c r="B123" s="387" t="s">
        <v>273</v>
      </c>
      <c r="D123">
        <v>1</v>
      </c>
      <c r="F123">
        <v>9</v>
      </c>
      <c r="G123">
        <v>51</v>
      </c>
      <c r="H123">
        <f>SUM(C123:G123)</f>
        <v>61</v>
      </c>
    </row>
    <row r="124" spans="1:8" x14ac:dyDescent="0.3">
      <c r="A124" t="s">
        <v>318</v>
      </c>
      <c r="B124" s="387" t="s">
        <v>273</v>
      </c>
      <c r="D124">
        <v>1</v>
      </c>
      <c r="F124">
        <v>9</v>
      </c>
      <c r="G124">
        <v>51</v>
      </c>
      <c r="H124">
        <f>SUM(C124:G124)</f>
        <v>61</v>
      </c>
    </row>
    <row r="125" spans="1:8" x14ac:dyDescent="0.3">
      <c r="A125" t="s">
        <v>320</v>
      </c>
      <c r="B125" s="387" t="s">
        <v>273</v>
      </c>
      <c r="D125">
        <v>1</v>
      </c>
      <c r="F125">
        <v>9</v>
      </c>
      <c r="G125">
        <v>51</v>
      </c>
      <c r="H125">
        <f>SUM(C125:G125)</f>
        <v>61</v>
      </c>
    </row>
    <row r="126" spans="1:8" x14ac:dyDescent="0.3">
      <c r="A126" t="s">
        <v>325</v>
      </c>
      <c r="B126" s="387" t="s">
        <v>273</v>
      </c>
      <c r="D126">
        <v>1</v>
      </c>
      <c r="F126">
        <v>9</v>
      </c>
      <c r="G126">
        <v>51</v>
      </c>
      <c r="H126">
        <f>SUM(C126:G126)</f>
        <v>61</v>
      </c>
    </row>
    <row r="127" spans="1:8" x14ac:dyDescent="0.3">
      <c r="A127" t="s">
        <v>326</v>
      </c>
      <c r="B127" t="s">
        <v>273</v>
      </c>
      <c r="D127">
        <v>1</v>
      </c>
      <c r="F127">
        <v>9</v>
      </c>
      <c r="G127">
        <v>51</v>
      </c>
      <c r="H127">
        <v>61</v>
      </c>
    </row>
    <row r="128" spans="1:8" x14ac:dyDescent="0.3">
      <c r="A128" t="s">
        <v>328</v>
      </c>
      <c r="B128" t="s">
        <v>273</v>
      </c>
      <c r="D128">
        <v>1</v>
      </c>
      <c r="F128">
        <v>9</v>
      </c>
      <c r="G128">
        <v>51</v>
      </c>
      <c r="H128">
        <v>61</v>
      </c>
    </row>
    <row r="129" spans="1:8" x14ac:dyDescent="0.3">
      <c r="A129" t="s">
        <v>412</v>
      </c>
      <c r="B129" t="s">
        <v>273</v>
      </c>
      <c r="D129">
        <v>1</v>
      </c>
      <c r="F129">
        <v>9</v>
      </c>
      <c r="G129">
        <v>51</v>
      </c>
      <c r="H129">
        <v>61</v>
      </c>
    </row>
    <row r="130" spans="1:8" x14ac:dyDescent="0.3">
      <c r="A130" t="s">
        <v>213</v>
      </c>
      <c r="B130" s="387" t="s">
        <v>277</v>
      </c>
      <c r="D130">
        <v>2</v>
      </c>
      <c r="G130">
        <v>1</v>
      </c>
      <c r="H130">
        <f>SUM(C130:G130)</f>
        <v>3</v>
      </c>
    </row>
    <row r="131" spans="1:8" x14ac:dyDescent="0.3">
      <c r="A131" t="s">
        <v>312</v>
      </c>
      <c r="B131" s="387" t="s">
        <v>277</v>
      </c>
      <c r="D131">
        <v>2</v>
      </c>
      <c r="G131">
        <v>1</v>
      </c>
      <c r="H131">
        <f>SUM(C131:G131)</f>
        <v>3</v>
      </c>
    </row>
    <row r="132" spans="1:8" x14ac:dyDescent="0.3">
      <c r="A132" t="s">
        <v>318</v>
      </c>
      <c r="B132" s="387" t="s">
        <v>277</v>
      </c>
      <c r="D132">
        <v>2</v>
      </c>
      <c r="G132">
        <v>1</v>
      </c>
      <c r="H132">
        <f>SUM(C132:G132)</f>
        <v>3</v>
      </c>
    </row>
    <row r="133" spans="1:8" x14ac:dyDescent="0.3">
      <c r="A133" t="s">
        <v>320</v>
      </c>
      <c r="B133" s="387" t="s">
        <v>277</v>
      </c>
      <c r="D133">
        <v>2</v>
      </c>
      <c r="G133">
        <v>1</v>
      </c>
      <c r="H133">
        <f>SUM(C133:G133)</f>
        <v>3</v>
      </c>
    </row>
    <row r="134" spans="1:8" x14ac:dyDescent="0.3">
      <c r="A134" t="s">
        <v>325</v>
      </c>
      <c r="B134" s="387" t="s">
        <v>277</v>
      </c>
      <c r="D134">
        <v>2</v>
      </c>
      <c r="G134">
        <v>1</v>
      </c>
      <c r="H134">
        <f>SUM(C134:G134)</f>
        <v>3</v>
      </c>
    </row>
    <row r="135" spans="1:8" x14ac:dyDescent="0.3">
      <c r="A135" t="s">
        <v>326</v>
      </c>
      <c r="B135" t="s">
        <v>277</v>
      </c>
      <c r="D135">
        <v>2</v>
      </c>
      <c r="G135">
        <v>1</v>
      </c>
      <c r="H135">
        <v>3</v>
      </c>
    </row>
    <row r="136" spans="1:8" x14ac:dyDescent="0.3">
      <c r="A136" t="s">
        <v>328</v>
      </c>
      <c r="B136" t="s">
        <v>277</v>
      </c>
      <c r="D136">
        <v>2</v>
      </c>
      <c r="G136">
        <v>1</v>
      </c>
      <c r="H136">
        <v>3</v>
      </c>
    </row>
    <row r="137" spans="1:8" x14ac:dyDescent="0.3">
      <c r="A137" t="s">
        <v>412</v>
      </c>
      <c r="B137" t="s">
        <v>277</v>
      </c>
      <c r="D137">
        <v>2</v>
      </c>
      <c r="G137">
        <v>1</v>
      </c>
      <c r="H137">
        <v>3</v>
      </c>
    </row>
    <row r="138" spans="1:8" x14ac:dyDescent="0.3">
      <c r="A138" t="s">
        <v>213</v>
      </c>
      <c r="B138" s="387" t="s">
        <v>279</v>
      </c>
      <c r="C138">
        <v>1</v>
      </c>
      <c r="G138">
        <v>1</v>
      </c>
      <c r="H138">
        <f>SUM(C138:G138)</f>
        <v>2</v>
      </c>
    </row>
    <row r="139" spans="1:8" x14ac:dyDescent="0.3">
      <c r="A139" t="s">
        <v>312</v>
      </c>
      <c r="B139" s="387" t="s">
        <v>279</v>
      </c>
      <c r="C139">
        <v>1</v>
      </c>
      <c r="G139">
        <v>1</v>
      </c>
      <c r="H139">
        <f>SUM(C139:G139)</f>
        <v>2</v>
      </c>
    </row>
    <row r="140" spans="1:8" x14ac:dyDescent="0.3">
      <c r="A140" t="s">
        <v>318</v>
      </c>
      <c r="B140" s="387" t="s">
        <v>279</v>
      </c>
      <c r="C140">
        <v>1</v>
      </c>
      <c r="G140">
        <v>1</v>
      </c>
      <c r="H140">
        <f>SUM(C140:G140)</f>
        <v>2</v>
      </c>
    </row>
    <row r="141" spans="1:8" x14ac:dyDescent="0.3">
      <c r="A141" t="s">
        <v>320</v>
      </c>
      <c r="B141" s="387" t="s">
        <v>279</v>
      </c>
      <c r="C141">
        <v>1</v>
      </c>
      <c r="G141">
        <v>1</v>
      </c>
      <c r="H141">
        <f>SUM(C141:G141)</f>
        <v>2</v>
      </c>
    </row>
    <row r="142" spans="1:8" x14ac:dyDescent="0.3">
      <c r="A142" t="s">
        <v>325</v>
      </c>
      <c r="B142" s="387" t="s">
        <v>279</v>
      </c>
      <c r="C142">
        <v>1</v>
      </c>
      <c r="G142">
        <v>1</v>
      </c>
      <c r="H142">
        <f>SUM(C142:G142)</f>
        <v>2</v>
      </c>
    </row>
    <row r="143" spans="1:8" x14ac:dyDescent="0.3">
      <c r="A143" t="s">
        <v>326</v>
      </c>
      <c r="B143" t="s">
        <v>279</v>
      </c>
      <c r="C143">
        <v>1</v>
      </c>
      <c r="G143">
        <v>1</v>
      </c>
      <c r="H143">
        <v>2</v>
      </c>
    </row>
    <row r="144" spans="1:8" x14ac:dyDescent="0.3">
      <c r="A144" t="s">
        <v>328</v>
      </c>
      <c r="B144" t="s">
        <v>279</v>
      </c>
      <c r="C144">
        <v>1</v>
      </c>
      <c r="G144">
        <v>1</v>
      </c>
      <c r="H144">
        <v>2</v>
      </c>
    </row>
    <row r="145" spans="1:8" x14ac:dyDescent="0.3">
      <c r="A145" t="s">
        <v>412</v>
      </c>
      <c r="B145" t="s">
        <v>279</v>
      </c>
      <c r="C145">
        <v>1</v>
      </c>
      <c r="G145">
        <v>1</v>
      </c>
      <c r="H145">
        <v>2</v>
      </c>
    </row>
    <row r="146" spans="1:8" x14ac:dyDescent="0.3">
      <c r="A146" t="s">
        <v>213</v>
      </c>
      <c r="B146" s="387" t="s">
        <v>281</v>
      </c>
      <c r="D146">
        <v>1</v>
      </c>
      <c r="F146">
        <v>1</v>
      </c>
      <c r="G146">
        <v>10</v>
      </c>
      <c r="H146">
        <f>SUM(C146:G146)</f>
        <v>12</v>
      </c>
    </row>
    <row r="147" spans="1:8" x14ac:dyDescent="0.3">
      <c r="A147" t="s">
        <v>312</v>
      </c>
      <c r="B147" s="387" t="s">
        <v>281</v>
      </c>
      <c r="D147">
        <v>1</v>
      </c>
      <c r="F147">
        <v>1</v>
      </c>
      <c r="G147">
        <v>10</v>
      </c>
      <c r="H147">
        <f>SUM(C147:G147)</f>
        <v>12</v>
      </c>
    </row>
    <row r="148" spans="1:8" x14ac:dyDescent="0.3">
      <c r="A148" t="s">
        <v>318</v>
      </c>
      <c r="B148" s="387" t="s">
        <v>281</v>
      </c>
      <c r="D148">
        <v>1</v>
      </c>
      <c r="F148">
        <v>1</v>
      </c>
      <c r="G148">
        <v>10</v>
      </c>
      <c r="H148">
        <f>SUM(C148:G148)</f>
        <v>12</v>
      </c>
    </row>
    <row r="149" spans="1:8" x14ac:dyDescent="0.3">
      <c r="A149" t="s">
        <v>320</v>
      </c>
      <c r="B149" s="387" t="s">
        <v>281</v>
      </c>
      <c r="D149">
        <v>1</v>
      </c>
      <c r="F149">
        <v>1</v>
      </c>
      <c r="G149">
        <v>10</v>
      </c>
      <c r="H149">
        <f>SUM(C149:G149)</f>
        <v>12</v>
      </c>
    </row>
    <row r="150" spans="1:8" x14ac:dyDescent="0.3">
      <c r="A150" t="s">
        <v>325</v>
      </c>
      <c r="B150" s="387" t="s">
        <v>281</v>
      </c>
      <c r="D150">
        <v>1</v>
      </c>
      <c r="F150">
        <v>1</v>
      </c>
      <c r="G150">
        <v>10</v>
      </c>
      <c r="H150">
        <f>SUM(C150:G150)</f>
        <v>12</v>
      </c>
    </row>
    <row r="151" spans="1:8" x14ac:dyDescent="0.3">
      <c r="A151" t="s">
        <v>326</v>
      </c>
      <c r="B151" t="s">
        <v>281</v>
      </c>
      <c r="D151">
        <v>1</v>
      </c>
      <c r="F151">
        <v>1</v>
      </c>
      <c r="G151">
        <v>10</v>
      </c>
      <c r="H151">
        <v>12</v>
      </c>
    </row>
    <row r="152" spans="1:8" x14ac:dyDescent="0.3">
      <c r="A152" t="s">
        <v>328</v>
      </c>
      <c r="B152" t="s">
        <v>281</v>
      </c>
      <c r="D152">
        <v>1</v>
      </c>
      <c r="F152">
        <v>1</v>
      </c>
      <c r="G152">
        <v>10</v>
      </c>
      <c r="H152">
        <v>12</v>
      </c>
    </row>
    <row r="153" spans="1:8" x14ac:dyDescent="0.3">
      <c r="A153" t="s">
        <v>412</v>
      </c>
      <c r="B153" t="s">
        <v>281</v>
      </c>
      <c r="D153">
        <v>1</v>
      </c>
      <c r="F153">
        <v>1</v>
      </c>
      <c r="G153">
        <v>10</v>
      </c>
      <c r="H153">
        <v>12</v>
      </c>
    </row>
    <row r="154" spans="1:8" x14ac:dyDescent="0.3">
      <c r="A154" t="s">
        <v>213</v>
      </c>
      <c r="B154" s="387" t="s">
        <v>283</v>
      </c>
      <c r="G154">
        <v>14</v>
      </c>
      <c r="H154">
        <f>SUM(C154:G154)</f>
        <v>14</v>
      </c>
    </row>
    <row r="155" spans="1:8" x14ac:dyDescent="0.3">
      <c r="A155" t="s">
        <v>312</v>
      </c>
      <c r="B155" s="387" t="s">
        <v>283</v>
      </c>
      <c r="G155">
        <v>14</v>
      </c>
      <c r="H155">
        <f>SUM(C155:G155)</f>
        <v>14</v>
      </c>
    </row>
    <row r="156" spans="1:8" x14ac:dyDescent="0.3">
      <c r="A156" t="s">
        <v>318</v>
      </c>
      <c r="B156" s="387" t="s">
        <v>283</v>
      </c>
      <c r="G156">
        <v>14</v>
      </c>
      <c r="H156">
        <f>SUM(C156:G156)</f>
        <v>14</v>
      </c>
    </row>
    <row r="157" spans="1:8" x14ac:dyDescent="0.3">
      <c r="A157" t="s">
        <v>320</v>
      </c>
      <c r="B157" s="387" t="s">
        <v>283</v>
      </c>
      <c r="G157">
        <v>14</v>
      </c>
      <c r="H157">
        <f>SUM(C157:G157)</f>
        <v>14</v>
      </c>
    </row>
    <row r="158" spans="1:8" x14ac:dyDescent="0.3">
      <c r="A158" t="s">
        <v>325</v>
      </c>
      <c r="B158" s="387" t="s">
        <v>283</v>
      </c>
      <c r="G158">
        <v>14</v>
      </c>
      <c r="H158">
        <f>SUM(C158:G158)</f>
        <v>14</v>
      </c>
    </row>
    <row r="159" spans="1:8" x14ac:dyDescent="0.3">
      <c r="A159" t="s">
        <v>326</v>
      </c>
      <c r="B159" t="s">
        <v>283</v>
      </c>
      <c r="G159">
        <v>14</v>
      </c>
      <c r="H159">
        <v>14</v>
      </c>
    </row>
    <row r="160" spans="1:8" x14ac:dyDescent="0.3">
      <c r="A160" t="s">
        <v>328</v>
      </c>
      <c r="B160" t="s">
        <v>283</v>
      </c>
      <c r="G160">
        <v>14</v>
      </c>
      <c r="H160">
        <v>14</v>
      </c>
    </row>
    <row r="161" spans="1:8" x14ac:dyDescent="0.3">
      <c r="A161" t="s">
        <v>412</v>
      </c>
      <c r="B161" t="s">
        <v>283</v>
      </c>
      <c r="G161">
        <v>14</v>
      </c>
      <c r="H161">
        <v>14</v>
      </c>
    </row>
    <row r="162" spans="1:8" x14ac:dyDescent="0.3">
      <c r="A162" t="s">
        <v>213</v>
      </c>
      <c r="B162" s="387" t="s">
        <v>287</v>
      </c>
      <c r="C162">
        <v>1</v>
      </c>
      <c r="D162">
        <v>2</v>
      </c>
      <c r="F162">
        <v>3</v>
      </c>
      <c r="G162">
        <v>8</v>
      </c>
      <c r="H162">
        <f>SUM(C162:G162)</f>
        <v>14</v>
      </c>
    </row>
    <row r="163" spans="1:8" x14ac:dyDescent="0.3">
      <c r="A163" t="s">
        <v>312</v>
      </c>
      <c r="B163" s="387" t="s">
        <v>287</v>
      </c>
      <c r="C163">
        <v>1</v>
      </c>
      <c r="D163">
        <v>2</v>
      </c>
      <c r="F163">
        <v>3</v>
      </c>
      <c r="G163">
        <v>8</v>
      </c>
      <c r="H163">
        <f>SUM(C163:G163)</f>
        <v>14</v>
      </c>
    </row>
    <row r="164" spans="1:8" x14ac:dyDescent="0.3">
      <c r="A164" t="s">
        <v>318</v>
      </c>
      <c r="B164" s="387" t="s">
        <v>287</v>
      </c>
      <c r="C164">
        <v>1</v>
      </c>
      <c r="D164">
        <v>2</v>
      </c>
      <c r="F164">
        <v>3</v>
      </c>
      <c r="G164">
        <v>8</v>
      </c>
      <c r="H164">
        <f>SUM(C164:G164)</f>
        <v>14</v>
      </c>
    </row>
    <row r="165" spans="1:8" x14ac:dyDescent="0.3">
      <c r="A165" t="s">
        <v>320</v>
      </c>
      <c r="B165" s="387" t="s">
        <v>287</v>
      </c>
      <c r="C165">
        <v>1</v>
      </c>
      <c r="D165">
        <v>2</v>
      </c>
      <c r="F165">
        <v>3</v>
      </c>
      <c r="G165">
        <v>8</v>
      </c>
      <c r="H165">
        <f>SUM(C165:G165)</f>
        <v>14</v>
      </c>
    </row>
    <row r="166" spans="1:8" x14ac:dyDescent="0.3">
      <c r="A166" t="s">
        <v>325</v>
      </c>
      <c r="B166" s="387" t="s">
        <v>287</v>
      </c>
      <c r="C166">
        <v>1</v>
      </c>
      <c r="D166">
        <v>2</v>
      </c>
      <c r="F166">
        <v>3</v>
      </c>
      <c r="G166">
        <v>8</v>
      </c>
      <c r="H166">
        <f>SUM(C166:G166)</f>
        <v>14</v>
      </c>
    </row>
    <row r="167" spans="1:8" x14ac:dyDescent="0.3">
      <c r="A167" t="s">
        <v>326</v>
      </c>
      <c r="B167" t="s">
        <v>287</v>
      </c>
      <c r="C167">
        <v>1</v>
      </c>
      <c r="D167">
        <v>2</v>
      </c>
      <c r="F167">
        <v>3</v>
      </c>
      <c r="G167">
        <v>8</v>
      </c>
      <c r="H167">
        <v>14</v>
      </c>
    </row>
    <row r="168" spans="1:8" x14ac:dyDescent="0.3">
      <c r="A168" t="s">
        <v>328</v>
      </c>
      <c r="B168" t="s">
        <v>287</v>
      </c>
      <c r="C168">
        <v>1</v>
      </c>
      <c r="D168">
        <v>2</v>
      </c>
      <c r="F168">
        <v>3</v>
      </c>
      <c r="G168">
        <v>8</v>
      </c>
      <c r="H168">
        <v>14</v>
      </c>
    </row>
    <row r="169" spans="1:8" x14ac:dyDescent="0.3">
      <c r="A169" t="s">
        <v>412</v>
      </c>
      <c r="B169" t="s">
        <v>287</v>
      </c>
      <c r="C169">
        <v>1</v>
      </c>
      <c r="D169">
        <v>2</v>
      </c>
      <c r="F169">
        <v>3</v>
      </c>
      <c r="G169">
        <v>8</v>
      </c>
      <c r="H169">
        <v>14</v>
      </c>
    </row>
    <row r="170" spans="1:8" x14ac:dyDescent="0.3">
      <c r="A170" t="s">
        <v>213</v>
      </c>
      <c r="B170" s="387" t="s">
        <v>289</v>
      </c>
      <c r="C170">
        <v>4</v>
      </c>
      <c r="G170">
        <v>3</v>
      </c>
      <c r="H170">
        <f>SUM(C170:G170)</f>
        <v>7</v>
      </c>
    </row>
    <row r="171" spans="1:8" x14ac:dyDescent="0.3">
      <c r="A171" t="s">
        <v>312</v>
      </c>
      <c r="B171" s="387" t="s">
        <v>289</v>
      </c>
      <c r="C171">
        <v>4</v>
      </c>
      <c r="G171">
        <v>3</v>
      </c>
      <c r="H171">
        <f>SUM(C171:G171)</f>
        <v>7</v>
      </c>
    </row>
    <row r="172" spans="1:8" x14ac:dyDescent="0.3">
      <c r="A172" t="s">
        <v>318</v>
      </c>
      <c r="B172" s="387" t="s">
        <v>289</v>
      </c>
      <c r="C172">
        <v>4</v>
      </c>
      <c r="G172">
        <v>3</v>
      </c>
      <c r="H172">
        <f>SUM(C172:G172)</f>
        <v>7</v>
      </c>
    </row>
    <row r="173" spans="1:8" x14ac:dyDescent="0.3">
      <c r="A173" t="s">
        <v>320</v>
      </c>
      <c r="B173" s="387" t="s">
        <v>289</v>
      </c>
      <c r="C173">
        <v>4</v>
      </c>
      <c r="G173">
        <v>3</v>
      </c>
      <c r="H173">
        <f>SUM(C173:G173)</f>
        <v>7</v>
      </c>
    </row>
    <row r="174" spans="1:8" x14ac:dyDescent="0.3">
      <c r="A174" t="s">
        <v>325</v>
      </c>
      <c r="B174" s="387" t="s">
        <v>289</v>
      </c>
      <c r="C174">
        <v>4</v>
      </c>
      <c r="G174">
        <v>3</v>
      </c>
      <c r="H174">
        <f>SUM(C174:G174)</f>
        <v>7</v>
      </c>
    </row>
    <row r="175" spans="1:8" x14ac:dyDescent="0.3">
      <c r="A175" t="s">
        <v>326</v>
      </c>
      <c r="B175" t="s">
        <v>289</v>
      </c>
      <c r="C175">
        <v>4</v>
      </c>
      <c r="G175">
        <v>3</v>
      </c>
      <c r="H175">
        <v>7</v>
      </c>
    </row>
    <row r="176" spans="1:8" x14ac:dyDescent="0.3">
      <c r="A176" t="s">
        <v>328</v>
      </c>
      <c r="B176" t="s">
        <v>289</v>
      </c>
      <c r="C176">
        <v>4</v>
      </c>
      <c r="G176">
        <v>3</v>
      </c>
      <c r="H176">
        <v>7</v>
      </c>
    </row>
    <row r="177" spans="1:8" x14ac:dyDescent="0.3">
      <c r="A177" t="s">
        <v>412</v>
      </c>
      <c r="B177" t="s">
        <v>289</v>
      </c>
      <c r="C177">
        <v>4</v>
      </c>
      <c r="G177">
        <v>3</v>
      </c>
      <c r="H177">
        <v>7</v>
      </c>
    </row>
    <row r="178" spans="1:8" x14ac:dyDescent="0.3">
      <c r="A178" t="s">
        <v>213</v>
      </c>
      <c r="B178" s="387" t="s">
        <v>292</v>
      </c>
      <c r="G178">
        <v>12</v>
      </c>
      <c r="H178">
        <f>SUM(C178:G178)</f>
        <v>12</v>
      </c>
    </row>
    <row r="179" spans="1:8" x14ac:dyDescent="0.3">
      <c r="A179" t="s">
        <v>312</v>
      </c>
      <c r="B179" s="387" t="s">
        <v>292</v>
      </c>
      <c r="G179">
        <v>12</v>
      </c>
      <c r="H179">
        <f>SUM(C179:G179)</f>
        <v>12</v>
      </c>
    </row>
    <row r="180" spans="1:8" x14ac:dyDescent="0.3">
      <c r="A180" t="s">
        <v>318</v>
      </c>
      <c r="B180" s="387" t="s">
        <v>292</v>
      </c>
      <c r="G180">
        <v>12</v>
      </c>
      <c r="H180">
        <f>SUM(C180:G180)</f>
        <v>12</v>
      </c>
    </row>
    <row r="181" spans="1:8" x14ac:dyDescent="0.3">
      <c r="A181" t="s">
        <v>320</v>
      </c>
      <c r="B181" s="387" t="s">
        <v>292</v>
      </c>
      <c r="G181">
        <v>12</v>
      </c>
      <c r="H181">
        <f>SUM(C181:G181)</f>
        <v>12</v>
      </c>
    </row>
    <row r="182" spans="1:8" x14ac:dyDescent="0.3">
      <c r="A182" t="s">
        <v>325</v>
      </c>
      <c r="B182" s="387" t="s">
        <v>292</v>
      </c>
      <c r="G182">
        <v>12</v>
      </c>
      <c r="H182">
        <f>SUM(C182:G182)</f>
        <v>12</v>
      </c>
    </row>
    <row r="183" spans="1:8" x14ac:dyDescent="0.3">
      <c r="A183" t="s">
        <v>326</v>
      </c>
      <c r="B183" t="s">
        <v>292</v>
      </c>
      <c r="G183">
        <v>12</v>
      </c>
      <c r="H183">
        <v>12</v>
      </c>
    </row>
    <row r="184" spans="1:8" x14ac:dyDescent="0.3">
      <c r="A184" t="s">
        <v>328</v>
      </c>
      <c r="B184" t="s">
        <v>292</v>
      </c>
      <c r="G184">
        <v>12</v>
      </c>
      <c r="H184">
        <v>12</v>
      </c>
    </row>
    <row r="185" spans="1:8" x14ac:dyDescent="0.3">
      <c r="A185" t="s">
        <v>412</v>
      </c>
      <c r="B185" t="s">
        <v>292</v>
      </c>
      <c r="G185">
        <v>12</v>
      </c>
      <c r="H185">
        <v>12</v>
      </c>
    </row>
    <row r="186" spans="1:8" x14ac:dyDescent="0.3">
      <c r="A186" t="s">
        <v>213</v>
      </c>
      <c r="B186" s="387" t="s">
        <v>294</v>
      </c>
      <c r="C186">
        <v>1</v>
      </c>
      <c r="F186">
        <v>3</v>
      </c>
      <c r="G186">
        <v>10</v>
      </c>
      <c r="H186">
        <f>SUM(C186:G186)</f>
        <v>14</v>
      </c>
    </row>
    <row r="187" spans="1:8" x14ac:dyDescent="0.3">
      <c r="A187" t="s">
        <v>312</v>
      </c>
      <c r="B187" s="387" t="s">
        <v>294</v>
      </c>
      <c r="C187">
        <v>1</v>
      </c>
      <c r="F187">
        <v>3</v>
      </c>
      <c r="G187">
        <v>10</v>
      </c>
      <c r="H187">
        <f>SUM(C187:G187)</f>
        <v>14</v>
      </c>
    </row>
    <row r="188" spans="1:8" x14ac:dyDescent="0.3">
      <c r="A188" t="s">
        <v>318</v>
      </c>
      <c r="B188" s="387" t="s">
        <v>294</v>
      </c>
      <c r="C188">
        <v>1</v>
      </c>
      <c r="F188">
        <v>3</v>
      </c>
      <c r="G188">
        <v>10</v>
      </c>
      <c r="H188">
        <f>SUM(C188:G188)</f>
        <v>14</v>
      </c>
    </row>
    <row r="189" spans="1:8" x14ac:dyDescent="0.3">
      <c r="A189" t="s">
        <v>320</v>
      </c>
      <c r="B189" s="387" t="s">
        <v>294</v>
      </c>
      <c r="C189">
        <v>1</v>
      </c>
      <c r="F189">
        <v>3</v>
      </c>
      <c r="G189">
        <v>10</v>
      </c>
      <c r="H189">
        <f>SUM(C189:G189)</f>
        <v>14</v>
      </c>
    </row>
    <row r="190" spans="1:8" x14ac:dyDescent="0.3">
      <c r="A190" t="s">
        <v>325</v>
      </c>
      <c r="B190" s="387" t="s">
        <v>294</v>
      </c>
      <c r="C190">
        <v>1</v>
      </c>
      <c r="F190">
        <v>3</v>
      </c>
      <c r="G190">
        <v>10</v>
      </c>
      <c r="H190">
        <f>SUM(C190:G190)</f>
        <v>14</v>
      </c>
    </row>
    <row r="191" spans="1:8" x14ac:dyDescent="0.3">
      <c r="A191" t="s">
        <v>326</v>
      </c>
      <c r="B191" t="s">
        <v>294</v>
      </c>
      <c r="C191">
        <v>1</v>
      </c>
      <c r="F191">
        <v>3</v>
      </c>
      <c r="G191">
        <v>10</v>
      </c>
      <c r="H191">
        <v>14</v>
      </c>
    </row>
    <row r="192" spans="1:8" x14ac:dyDescent="0.3">
      <c r="A192" t="s">
        <v>328</v>
      </c>
      <c r="B192" t="s">
        <v>294</v>
      </c>
      <c r="C192">
        <v>1</v>
      </c>
      <c r="F192">
        <v>3</v>
      </c>
      <c r="G192">
        <v>10</v>
      </c>
      <c r="H192">
        <v>14</v>
      </c>
    </row>
    <row r="193" spans="1:8" x14ac:dyDescent="0.3">
      <c r="A193" t="s">
        <v>412</v>
      </c>
      <c r="B193" t="s">
        <v>294</v>
      </c>
      <c r="C193">
        <v>1</v>
      </c>
      <c r="F193">
        <v>3</v>
      </c>
      <c r="G193">
        <v>10</v>
      </c>
      <c r="H193">
        <v>14</v>
      </c>
    </row>
    <row r="194" spans="1:8" x14ac:dyDescent="0.3">
      <c r="A194" t="s">
        <v>213</v>
      </c>
      <c r="B194" s="387" t="s">
        <v>296</v>
      </c>
      <c r="C194">
        <v>2</v>
      </c>
      <c r="D194">
        <v>1</v>
      </c>
      <c r="H194">
        <f>SUM(C194:G194)</f>
        <v>3</v>
      </c>
    </row>
    <row r="195" spans="1:8" x14ac:dyDescent="0.3">
      <c r="A195" t="s">
        <v>312</v>
      </c>
      <c r="B195" s="387" t="s">
        <v>296</v>
      </c>
      <c r="C195">
        <v>2</v>
      </c>
      <c r="D195">
        <v>1</v>
      </c>
      <c r="H195">
        <f>SUM(C195:G195)</f>
        <v>3</v>
      </c>
    </row>
    <row r="196" spans="1:8" x14ac:dyDescent="0.3">
      <c r="A196" t="s">
        <v>318</v>
      </c>
      <c r="B196" s="387" t="s">
        <v>296</v>
      </c>
      <c r="C196">
        <v>2</v>
      </c>
      <c r="D196">
        <v>1</v>
      </c>
      <c r="H196">
        <f>SUM(C196:G196)</f>
        <v>3</v>
      </c>
    </row>
    <row r="197" spans="1:8" x14ac:dyDescent="0.3">
      <c r="A197" t="s">
        <v>320</v>
      </c>
      <c r="B197" s="387" t="s">
        <v>296</v>
      </c>
      <c r="C197">
        <v>2</v>
      </c>
      <c r="D197">
        <v>1</v>
      </c>
      <c r="H197">
        <f>SUM(C197:G197)</f>
        <v>3</v>
      </c>
    </row>
    <row r="198" spans="1:8" x14ac:dyDescent="0.3">
      <c r="A198" t="s">
        <v>325</v>
      </c>
      <c r="B198" s="387" t="s">
        <v>296</v>
      </c>
      <c r="C198">
        <v>2</v>
      </c>
      <c r="D198">
        <v>1</v>
      </c>
      <c r="H198">
        <f>SUM(C198:G198)</f>
        <v>3</v>
      </c>
    </row>
    <row r="199" spans="1:8" x14ac:dyDescent="0.3">
      <c r="A199" t="s">
        <v>326</v>
      </c>
      <c r="B199" t="s">
        <v>296</v>
      </c>
      <c r="C199">
        <v>2</v>
      </c>
      <c r="D199">
        <v>1</v>
      </c>
      <c r="H199">
        <v>3</v>
      </c>
    </row>
    <row r="200" spans="1:8" x14ac:dyDescent="0.3">
      <c r="A200" t="s">
        <v>328</v>
      </c>
      <c r="B200" t="s">
        <v>296</v>
      </c>
      <c r="C200">
        <v>2</v>
      </c>
      <c r="D200">
        <v>1</v>
      </c>
      <c r="H200">
        <v>3</v>
      </c>
    </row>
    <row r="201" spans="1:8" x14ac:dyDescent="0.3">
      <c r="A201" t="s">
        <v>412</v>
      </c>
      <c r="B201" t="s">
        <v>296</v>
      </c>
      <c r="C201">
        <v>2</v>
      </c>
      <c r="D201">
        <v>1</v>
      </c>
      <c r="H201">
        <v>3</v>
      </c>
    </row>
    <row r="202" spans="1:8" x14ac:dyDescent="0.3">
      <c r="A202" t="s">
        <v>213</v>
      </c>
      <c r="B202" s="387" t="s">
        <v>298</v>
      </c>
      <c r="D202">
        <v>2</v>
      </c>
      <c r="G202">
        <v>11</v>
      </c>
      <c r="H202">
        <f>SUM(C202:G202)</f>
        <v>13</v>
      </c>
    </row>
    <row r="203" spans="1:8" x14ac:dyDescent="0.3">
      <c r="A203" t="s">
        <v>312</v>
      </c>
      <c r="B203" s="387" t="s">
        <v>298</v>
      </c>
      <c r="D203">
        <v>2</v>
      </c>
      <c r="G203">
        <v>11</v>
      </c>
      <c r="H203">
        <f>SUM(C203:G203)</f>
        <v>13</v>
      </c>
    </row>
    <row r="204" spans="1:8" x14ac:dyDescent="0.3">
      <c r="A204" t="s">
        <v>318</v>
      </c>
      <c r="B204" s="387" t="s">
        <v>298</v>
      </c>
      <c r="D204">
        <v>2</v>
      </c>
      <c r="G204">
        <v>11</v>
      </c>
      <c r="H204">
        <f>SUM(C204:G204)</f>
        <v>13</v>
      </c>
    </row>
    <row r="205" spans="1:8" x14ac:dyDescent="0.3">
      <c r="A205" t="s">
        <v>320</v>
      </c>
      <c r="B205" s="387" t="s">
        <v>298</v>
      </c>
      <c r="D205">
        <v>2</v>
      </c>
      <c r="G205">
        <v>11</v>
      </c>
      <c r="H205">
        <f>SUM(C205:G205)</f>
        <v>13</v>
      </c>
    </row>
    <row r="206" spans="1:8" x14ac:dyDescent="0.3">
      <c r="A206" t="s">
        <v>325</v>
      </c>
      <c r="B206" s="387" t="s">
        <v>298</v>
      </c>
      <c r="D206">
        <v>2</v>
      </c>
      <c r="G206">
        <v>11</v>
      </c>
      <c r="H206">
        <f>SUM(C206:G206)</f>
        <v>13</v>
      </c>
    </row>
    <row r="207" spans="1:8" x14ac:dyDescent="0.3">
      <c r="A207" t="s">
        <v>326</v>
      </c>
      <c r="B207" t="s">
        <v>298</v>
      </c>
      <c r="D207">
        <v>2</v>
      </c>
      <c r="G207">
        <v>11</v>
      </c>
      <c r="H207">
        <v>13</v>
      </c>
    </row>
    <row r="208" spans="1:8" x14ac:dyDescent="0.3">
      <c r="A208" t="s">
        <v>328</v>
      </c>
      <c r="B208" t="s">
        <v>298</v>
      </c>
      <c r="D208">
        <v>2</v>
      </c>
      <c r="G208">
        <v>11</v>
      </c>
      <c r="H208">
        <v>13</v>
      </c>
    </row>
    <row r="209" spans="1:8" x14ac:dyDescent="0.3">
      <c r="A209" t="s">
        <v>412</v>
      </c>
      <c r="B209" t="s">
        <v>298</v>
      </c>
      <c r="D209">
        <v>2</v>
      </c>
      <c r="G209">
        <v>11</v>
      </c>
      <c r="H209">
        <v>13</v>
      </c>
    </row>
    <row r="210" spans="1:8" x14ac:dyDescent="0.3">
      <c r="A210" t="s">
        <v>213</v>
      </c>
      <c r="B210" s="387" t="s">
        <v>300</v>
      </c>
      <c r="G210">
        <v>14</v>
      </c>
      <c r="H210">
        <f>SUM(C210:G210)</f>
        <v>14</v>
      </c>
    </row>
    <row r="211" spans="1:8" x14ac:dyDescent="0.3">
      <c r="A211" t="s">
        <v>312</v>
      </c>
      <c r="B211" s="387" t="s">
        <v>300</v>
      </c>
      <c r="G211">
        <v>14</v>
      </c>
      <c r="H211">
        <f>SUM(C211:G211)</f>
        <v>14</v>
      </c>
    </row>
    <row r="212" spans="1:8" x14ac:dyDescent="0.3">
      <c r="A212" t="s">
        <v>318</v>
      </c>
      <c r="B212" s="387" t="s">
        <v>300</v>
      </c>
      <c r="G212">
        <v>14</v>
      </c>
      <c r="H212">
        <f>SUM(C212:G212)</f>
        <v>14</v>
      </c>
    </row>
    <row r="213" spans="1:8" x14ac:dyDescent="0.3">
      <c r="A213" t="s">
        <v>320</v>
      </c>
      <c r="B213" s="387" t="s">
        <v>300</v>
      </c>
      <c r="G213">
        <v>14</v>
      </c>
      <c r="H213">
        <f>SUM(C213:G213)</f>
        <v>14</v>
      </c>
    </row>
    <row r="214" spans="1:8" x14ac:dyDescent="0.3">
      <c r="A214" t="s">
        <v>325</v>
      </c>
      <c r="B214" s="387" t="s">
        <v>300</v>
      </c>
      <c r="G214">
        <v>14</v>
      </c>
      <c r="H214">
        <f>SUM(C214:G214)</f>
        <v>14</v>
      </c>
    </row>
    <row r="215" spans="1:8" x14ac:dyDescent="0.3">
      <c r="A215" t="s">
        <v>326</v>
      </c>
      <c r="B215" t="s">
        <v>300</v>
      </c>
      <c r="G215">
        <v>14</v>
      </c>
      <c r="H215">
        <v>14</v>
      </c>
    </row>
    <row r="216" spans="1:8" x14ac:dyDescent="0.3">
      <c r="A216" t="s">
        <v>328</v>
      </c>
      <c r="B216" t="s">
        <v>300</v>
      </c>
      <c r="G216">
        <v>14</v>
      </c>
      <c r="H216">
        <v>14</v>
      </c>
    </row>
    <row r="217" spans="1:8" x14ac:dyDescent="0.3">
      <c r="A217" t="s">
        <v>412</v>
      </c>
      <c r="B217" t="s">
        <v>300</v>
      </c>
      <c r="G217">
        <v>14</v>
      </c>
      <c r="H217">
        <v>14</v>
      </c>
    </row>
    <row r="218" spans="1:8" x14ac:dyDescent="0.3">
      <c r="A218" t="s">
        <v>213</v>
      </c>
      <c r="B218" s="387" t="s">
        <v>302</v>
      </c>
      <c r="D218">
        <v>1</v>
      </c>
      <c r="G218">
        <v>4</v>
      </c>
      <c r="H218">
        <f>SUM(C218:G218)</f>
        <v>5</v>
      </c>
    </row>
    <row r="219" spans="1:8" x14ac:dyDescent="0.3">
      <c r="A219" t="s">
        <v>312</v>
      </c>
      <c r="B219" s="387" t="s">
        <v>302</v>
      </c>
      <c r="D219">
        <v>1</v>
      </c>
      <c r="G219">
        <v>4</v>
      </c>
      <c r="H219">
        <f>SUM(C219:G219)</f>
        <v>5</v>
      </c>
    </row>
    <row r="220" spans="1:8" x14ac:dyDescent="0.3">
      <c r="A220" t="s">
        <v>318</v>
      </c>
      <c r="B220" s="387" t="s">
        <v>302</v>
      </c>
      <c r="D220">
        <v>1</v>
      </c>
      <c r="G220">
        <v>4</v>
      </c>
      <c r="H220">
        <f>SUM(C220:G220)</f>
        <v>5</v>
      </c>
    </row>
    <row r="221" spans="1:8" x14ac:dyDescent="0.3">
      <c r="A221" t="s">
        <v>320</v>
      </c>
      <c r="B221" s="387" t="s">
        <v>302</v>
      </c>
      <c r="D221">
        <v>1</v>
      </c>
      <c r="G221">
        <v>4</v>
      </c>
      <c r="H221">
        <f>SUM(C221:G221)</f>
        <v>5</v>
      </c>
    </row>
    <row r="222" spans="1:8" x14ac:dyDescent="0.3">
      <c r="A222" t="s">
        <v>325</v>
      </c>
      <c r="B222" s="387" t="s">
        <v>302</v>
      </c>
      <c r="D222">
        <v>1</v>
      </c>
      <c r="G222">
        <v>4</v>
      </c>
      <c r="H222">
        <f>SUM(C222:G222)</f>
        <v>5</v>
      </c>
    </row>
    <row r="223" spans="1:8" x14ac:dyDescent="0.3">
      <c r="A223" t="s">
        <v>326</v>
      </c>
      <c r="B223" t="s">
        <v>302</v>
      </c>
      <c r="D223">
        <v>1</v>
      </c>
      <c r="G223">
        <v>4</v>
      </c>
      <c r="H223">
        <v>5</v>
      </c>
    </row>
    <row r="224" spans="1:8" x14ac:dyDescent="0.3">
      <c r="A224" t="s">
        <v>328</v>
      </c>
      <c r="B224" t="s">
        <v>302</v>
      </c>
      <c r="D224">
        <v>1</v>
      </c>
      <c r="G224">
        <v>4</v>
      </c>
      <c r="H224">
        <v>5</v>
      </c>
    </row>
    <row r="225" spans="1:8" x14ac:dyDescent="0.3">
      <c r="A225" t="s">
        <v>412</v>
      </c>
      <c r="B225" t="s">
        <v>302</v>
      </c>
      <c r="D225">
        <v>1</v>
      </c>
      <c r="G225">
        <v>4</v>
      </c>
      <c r="H225">
        <v>5</v>
      </c>
    </row>
    <row r="226" spans="1:8" x14ac:dyDescent="0.3">
      <c r="A226" t="s">
        <v>213</v>
      </c>
      <c r="B226" s="387" t="s">
        <v>304</v>
      </c>
      <c r="C226">
        <v>3</v>
      </c>
      <c r="D226">
        <v>1</v>
      </c>
      <c r="F226">
        <v>1</v>
      </c>
      <c r="G226">
        <v>7</v>
      </c>
      <c r="H226">
        <f>SUM(C226:G226)</f>
        <v>12</v>
      </c>
    </row>
    <row r="227" spans="1:8" x14ac:dyDescent="0.3">
      <c r="A227" t="s">
        <v>312</v>
      </c>
      <c r="B227" s="387" t="s">
        <v>304</v>
      </c>
      <c r="C227">
        <v>3</v>
      </c>
      <c r="D227">
        <v>1</v>
      </c>
      <c r="F227">
        <v>1</v>
      </c>
      <c r="G227">
        <v>7</v>
      </c>
      <c r="H227">
        <f>SUM(C227:G227)</f>
        <v>12</v>
      </c>
    </row>
    <row r="228" spans="1:8" x14ac:dyDescent="0.3">
      <c r="A228" t="s">
        <v>318</v>
      </c>
      <c r="B228" s="387" t="s">
        <v>304</v>
      </c>
      <c r="C228">
        <v>3</v>
      </c>
      <c r="D228">
        <v>1</v>
      </c>
      <c r="F228">
        <v>1</v>
      </c>
      <c r="G228">
        <v>7</v>
      </c>
      <c r="H228">
        <f>SUM(C228:G228)</f>
        <v>12</v>
      </c>
    </row>
    <row r="229" spans="1:8" x14ac:dyDescent="0.3">
      <c r="A229" t="s">
        <v>320</v>
      </c>
      <c r="B229" s="387" t="s">
        <v>304</v>
      </c>
      <c r="C229">
        <v>3</v>
      </c>
      <c r="D229">
        <v>1</v>
      </c>
      <c r="F229">
        <v>1</v>
      </c>
      <c r="G229">
        <v>7</v>
      </c>
      <c r="H229">
        <f>SUM(C229:G229)</f>
        <v>12</v>
      </c>
    </row>
    <row r="230" spans="1:8" x14ac:dyDescent="0.3">
      <c r="A230" t="s">
        <v>325</v>
      </c>
      <c r="B230" s="387" t="s">
        <v>304</v>
      </c>
      <c r="C230">
        <v>3</v>
      </c>
      <c r="D230">
        <v>1</v>
      </c>
      <c r="F230">
        <v>1</v>
      </c>
      <c r="G230">
        <v>7</v>
      </c>
      <c r="H230">
        <f>SUM(C230:G230)</f>
        <v>12</v>
      </c>
    </row>
    <row r="231" spans="1:8" x14ac:dyDescent="0.3">
      <c r="A231" t="s">
        <v>326</v>
      </c>
      <c r="B231" t="s">
        <v>304</v>
      </c>
      <c r="C231">
        <v>3</v>
      </c>
      <c r="D231">
        <v>1</v>
      </c>
      <c r="G231">
        <v>7</v>
      </c>
      <c r="H231">
        <v>12</v>
      </c>
    </row>
    <row r="232" spans="1:8" x14ac:dyDescent="0.3">
      <c r="A232" t="s">
        <v>328</v>
      </c>
      <c r="B232" t="s">
        <v>304</v>
      </c>
      <c r="C232">
        <v>3</v>
      </c>
      <c r="D232">
        <v>1</v>
      </c>
      <c r="G232">
        <v>7</v>
      </c>
      <c r="H232">
        <v>12</v>
      </c>
    </row>
    <row r="233" spans="1:8" x14ac:dyDescent="0.3">
      <c r="A233" t="s">
        <v>412</v>
      </c>
      <c r="B233" t="s">
        <v>304</v>
      </c>
      <c r="C233">
        <v>3</v>
      </c>
      <c r="D233">
        <v>1</v>
      </c>
      <c r="G233">
        <v>7</v>
      </c>
      <c r="H233">
        <v>12</v>
      </c>
    </row>
    <row r="234" spans="1:8" x14ac:dyDescent="0.3">
      <c r="A234" t="s">
        <v>213</v>
      </c>
      <c r="B234" s="387" t="s">
        <v>307</v>
      </c>
      <c r="C234">
        <v>1</v>
      </c>
      <c r="G234">
        <v>9</v>
      </c>
      <c r="H234">
        <f>SUM(C234:G234)</f>
        <v>10</v>
      </c>
    </row>
    <row r="235" spans="1:8" x14ac:dyDescent="0.3">
      <c r="A235" t="s">
        <v>312</v>
      </c>
      <c r="B235" s="387" t="s">
        <v>307</v>
      </c>
      <c r="C235">
        <v>1</v>
      </c>
      <c r="G235">
        <v>9</v>
      </c>
      <c r="H235">
        <f>SUM(C235:G235)</f>
        <v>10</v>
      </c>
    </row>
    <row r="236" spans="1:8" x14ac:dyDescent="0.3">
      <c r="A236" t="s">
        <v>318</v>
      </c>
      <c r="B236" s="387" t="s">
        <v>307</v>
      </c>
      <c r="C236">
        <v>1</v>
      </c>
      <c r="G236">
        <v>9</v>
      </c>
      <c r="H236">
        <f>SUM(C236:G236)</f>
        <v>10</v>
      </c>
    </row>
    <row r="237" spans="1:8" x14ac:dyDescent="0.3">
      <c r="A237" t="s">
        <v>320</v>
      </c>
      <c r="B237" s="387" t="s">
        <v>307</v>
      </c>
      <c r="C237">
        <v>1</v>
      </c>
      <c r="G237">
        <v>9</v>
      </c>
      <c r="H237">
        <f>SUM(C237:G237)</f>
        <v>10</v>
      </c>
    </row>
    <row r="238" spans="1:8" x14ac:dyDescent="0.3">
      <c r="A238" t="s">
        <v>325</v>
      </c>
      <c r="B238" s="387" t="s">
        <v>307</v>
      </c>
      <c r="C238">
        <v>1</v>
      </c>
      <c r="G238">
        <v>9</v>
      </c>
      <c r="H238">
        <f>SUM(C238:G238)</f>
        <v>10</v>
      </c>
    </row>
    <row r="239" spans="1:8" x14ac:dyDescent="0.3">
      <c r="A239" t="s">
        <v>326</v>
      </c>
      <c r="B239" t="s">
        <v>307</v>
      </c>
      <c r="C239">
        <v>1</v>
      </c>
      <c r="G239">
        <v>9</v>
      </c>
      <c r="H239">
        <v>10</v>
      </c>
    </row>
    <row r="240" spans="1:8" x14ac:dyDescent="0.3">
      <c r="A240" t="s">
        <v>328</v>
      </c>
      <c r="B240" t="s">
        <v>307</v>
      </c>
      <c r="C240">
        <v>1</v>
      </c>
      <c r="G240">
        <v>9</v>
      </c>
      <c r="H240">
        <v>10</v>
      </c>
    </row>
    <row r="241" spans="1:8" x14ac:dyDescent="0.3">
      <c r="A241" t="s">
        <v>412</v>
      </c>
      <c r="B241" t="s">
        <v>307</v>
      </c>
      <c r="C241">
        <v>1</v>
      </c>
      <c r="G241">
        <v>9</v>
      </c>
      <c r="H241">
        <v>10</v>
      </c>
    </row>
    <row r="242" spans="1:8" x14ac:dyDescent="0.3">
      <c r="A242" t="s">
        <v>213</v>
      </c>
      <c r="B242" s="387" t="s">
        <v>309</v>
      </c>
      <c r="C242">
        <v>1</v>
      </c>
      <c r="D242">
        <v>1</v>
      </c>
      <c r="G242">
        <v>1</v>
      </c>
      <c r="H242">
        <f>SUM(C242:G242)</f>
        <v>3</v>
      </c>
    </row>
    <row r="243" spans="1:8" x14ac:dyDescent="0.3">
      <c r="A243" t="s">
        <v>312</v>
      </c>
      <c r="B243" s="387" t="s">
        <v>309</v>
      </c>
      <c r="C243">
        <v>1</v>
      </c>
      <c r="D243">
        <v>1</v>
      </c>
      <c r="G243">
        <v>1</v>
      </c>
      <c r="H243">
        <f>SUM(C243:G243)</f>
        <v>3</v>
      </c>
    </row>
    <row r="244" spans="1:8" x14ac:dyDescent="0.3">
      <c r="A244" t="s">
        <v>318</v>
      </c>
      <c r="B244" s="387" t="s">
        <v>309</v>
      </c>
      <c r="C244">
        <v>1</v>
      </c>
      <c r="D244">
        <v>1</v>
      </c>
      <c r="G244">
        <v>1</v>
      </c>
      <c r="H244">
        <f>SUM(C244:G244)</f>
        <v>3</v>
      </c>
    </row>
    <row r="245" spans="1:8" x14ac:dyDescent="0.3">
      <c r="A245" t="s">
        <v>320</v>
      </c>
      <c r="B245" s="387" t="s">
        <v>309</v>
      </c>
      <c r="C245">
        <v>1</v>
      </c>
      <c r="D245">
        <v>1</v>
      </c>
      <c r="G245">
        <v>1</v>
      </c>
      <c r="H245">
        <f>SUM(C245:G245)</f>
        <v>3</v>
      </c>
    </row>
    <row r="246" spans="1:8" x14ac:dyDescent="0.3">
      <c r="A246" t="s">
        <v>325</v>
      </c>
      <c r="B246" s="387" t="s">
        <v>309</v>
      </c>
      <c r="C246">
        <v>1</v>
      </c>
      <c r="D246">
        <v>1</v>
      </c>
      <c r="G246">
        <v>1</v>
      </c>
      <c r="H246">
        <f>SUM(C246:G246)</f>
        <v>3</v>
      </c>
    </row>
    <row r="247" spans="1:8" x14ac:dyDescent="0.3">
      <c r="A247" t="s">
        <v>326</v>
      </c>
      <c r="B247" t="s">
        <v>309</v>
      </c>
      <c r="C247">
        <v>1</v>
      </c>
      <c r="D247">
        <v>1</v>
      </c>
      <c r="G247">
        <v>1</v>
      </c>
      <c r="H247">
        <v>3</v>
      </c>
    </row>
    <row r="248" spans="1:8" x14ac:dyDescent="0.3">
      <c r="A248" t="s">
        <v>328</v>
      </c>
      <c r="B248" t="s">
        <v>309</v>
      </c>
      <c r="C248">
        <v>1</v>
      </c>
      <c r="D248">
        <v>1</v>
      </c>
      <c r="G248">
        <v>1</v>
      </c>
      <c r="H248">
        <v>3</v>
      </c>
    </row>
    <row r="249" spans="1:8" x14ac:dyDescent="0.3">
      <c r="A249" t="s">
        <v>412</v>
      </c>
      <c r="B249" t="s">
        <v>309</v>
      </c>
      <c r="C249">
        <v>1</v>
      </c>
      <c r="D249">
        <v>1</v>
      </c>
      <c r="G249">
        <v>1</v>
      </c>
      <c r="H249">
        <v>3</v>
      </c>
    </row>
    <row r="250" spans="1:8" x14ac:dyDescent="0.3">
      <c r="A250" t="s">
        <v>213</v>
      </c>
      <c r="B250" s="387" t="s">
        <v>311</v>
      </c>
      <c r="D250">
        <v>1</v>
      </c>
      <c r="E250">
        <v>1</v>
      </c>
      <c r="G250">
        <v>4</v>
      </c>
      <c r="H250">
        <f>SUM(C250:G250)</f>
        <v>6</v>
      </c>
    </row>
    <row r="251" spans="1:8" x14ac:dyDescent="0.3">
      <c r="A251" t="s">
        <v>312</v>
      </c>
      <c r="B251" s="387" t="s">
        <v>311</v>
      </c>
      <c r="D251">
        <v>1</v>
      </c>
      <c r="E251">
        <v>1</v>
      </c>
      <c r="G251">
        <v>4</v>
      </c>
      <c r="H251">
        <f>SUM(C251:G251)</f>
        <v>6</v>
      </c>
    </row>
    <row r="252" spans="1:8" x14ac:dyDescent="0.3">
      <c r="A252" t="s">
        <v>318</v>
      </c>
      <c r="B252" s="387" t="s">
        <v>311</v>
      </c>
      <c r="D252">
        <v>1</v>
      </c>
      <c r="E252">
        <v>1</v>
      </c>
      <c r="G252">
        <v>4</v>
      </c>
      <c r="H252">
        <f>SUM(C252:G252)</f>
        <v>6</v>
      </c>
    </row>
    <row r="253" spans="1:8" x14ac:dyDescent="0.3">
      <c r="A253" t="s">
        <v>320</v>
      </c>
      <c r="B253" s="387" t="s">
        <v>311</v>
      </c>
      <c r="D253">
        <v>1</v>
      </c>
      <c r="E253">
        <v>1</v>
      </c>
      <c r="G253">
        <v>4</v>
      </c>
      <c r="H253">
        <f>SUM(C253:G253)</f>
        <v>6</v>
      </c>
    </row>
    <row r="254" spans="1:8" x14ac:dyDescent="0.3">
      <c r="A254" t="s">
        <v>325</v>
      </c>
      <c r="B254" s="387" t="s">
        <v>311</v>
      </c>
      <c r="D254">
        <v>1</v>
      </c>
      <c r="E254">
        <v>1</v>
      </c>
      <c r="G254">
        <v>4</v>
      </c>
      <c r="H254">
        <f>SUM(C254:G254)</f>
        <v>6</v>
      </c>
    </row>
    <row r="255" spans="1:8" x14ac:dyDescent="0.3">
      <c r="A255" t="s">
        <v>326</v>
      </c>
      <c r="B255" t="s">
        <v>311</v>
      </c>
      <c r="D255">
        <v>1</v>
      </c>
      <c r="E255">
        <v>1</v>
      </c>
      <c r="G255">
        <v>4</v>
      </c>
      <c r="H255">
        <v>6</v>
      </c>
    </row>
    <row r="256" spans="1:8" x14ac:dyDescent="0.3">
      <c r="A256" t="s">
        <v>328</v>
      </c>
      <c r="B256" t="s">
        <v>311</v>
      </c>
      <c r="D256">
        <v>1</v>
      </c>
      <c r="E256">
        <v>1</v>
      </c>
      <c r="G256">
        <v>4</v>
      </c>
      <c r="H256">
        <v>6</v>
      </c>
    </row>
    <row r="257" spans="1:8" x14ac:dyDescent="0.3">
      <c r="A257" t="s">
        <v>412</v>
      </c>
      <c r="B257" t="s">
        <v>311</v>
      </c>
      <c r="D257">
        <v>1</v>
      </c>
      <c r="E257">
        <v>1</v>
      </c>
      <c r="G257">
        <v>4</v>
      </c>
      <c r="H257">
        <v>6</v>
      </c>
    </row>
  </sheetData>
  <sortState xmlns:xlrd2="http://schemas.microsoft.com/office/spreadsheetml/2017/richdata2" ref="A2:H257">
    <sortCondition ref="B1:B257"/>
  </sortState>
  <phoneticPr fontId="53" type="noConversion"/>
  <pageMargins left="0.7" right="0.7" top="0.75" bottom="0.75" header="0.3" footer="0.3"/>
  <pageSetup paperSize="9"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22">
    <tabColor theme="4" tint="0.59999389629810485"/>
    <pageSetUpPr fitToPage="1"/>
  </sheetPr>
  <dimension ref="A1:I48"/>
  <sheetViews>
    <sheetView showGridLines="0" zoomScaleNormal="100" workbookViewId="0">
      <pane ySplit="2" topLeftCell="A16" activePane="bottomLeft" state="frozen"/>
      <selection pane="bottomLeft" sqref="A1:C1"/>
    </sheetView>
  </sheetViews>
  <sheetFormatPr defaultRowHeight="14.4" x14ac:dyDescent="0.3"/>
  <cols>
    <col min="1" max="1" width="16.88671875" customWidth="1"/>
    <col min="2" max="2" width="22" customWidth="1"/>
    <col min="3" max="7" width="13.88671875" customWidth="1"/>
    <col min="8" max="9" width="11.109375" customWidth="1"/>
    <col min="10" max="10" width="4.109375" customWidth="1"/>
    <col min="11" max="11" width="13.44140625" customWidth="1"/>
  </cols>
  <sheetData>
    <row r="1" spans="1:8" ht="15.6" x14ac:dyDescent="0.3">
      <c r="A1" s="1030" t="s">
        <v>333</v>
      </c>
      <c r="B1" s="1030"/>
      <c r="C1" s="1030"/>
    </row>
    <row r="2" spans="1:8" ht="15.6" x14ac:dyDescent="0.3">
      <c r="A2" s="498" t="s">
        <v>202</v>
      </c>
      <c r="B2" s="440"/>
      <c r="C2" s="440"/>
    </row>
    <row r="3" spans="1:8" ht="15.6" x14ac:dyDescent="0.3">
      <c r="D3" s="187"/>
      <c r="E3" s="187"/>
      <c r="F3" s="187"/>
    </row>
    <row r="4" spans="1:8" ht="15.6" x14ac:dyDescent="0.3">
      <c r="A4" s="1031" t="s">
        <v>345</v>
      </c>
      <c r="B4" s="1031"/>
      <c r="C4" s="1031"/>
      <c r="D4" s="1031"/>
      <c r="E4" s="1031"/>
      <c r="F4" s="1031"/>
    </row>
    <row r="5" spans="1:8" ht="15.6" x14ac:dyDescent="0.3">
      <c r="A5" t="s">
        <v>203</v>
      </c>
      <c r="B5" t="s">
        <v>35</v>
      </c>
      <c r="C5" s="233"/>
      <c r="D5" s="233"/>
      <c r="E5" s="233"/>
      <c r="F5" s="233"/>
    </row>
    <row r="6" spans="1:8" ht="15.6" x14ac:dyDescent="0.3">
      <c r="A6" t="s">
        <v>204</v>
      </c>
      <c r="B6" t="s">
        <v>205</v>
      </c>
      <c r="C6" s="233"/>
      <c r="D6" s="233"/>
      <c r="E6" s="233"/>
      <c r="F6" s="233"/>
    </row>
    <row r="7" spans="1:8" ht="15.6" x14ac:dyDescent="0.3">
      <c r="A7" t="s">
        <v>206</v>
      </c>
      <c r="B7" t="s">
        <v>207</v>
      </c>
      <c r="C7" s="233"/>
      <c r="D7" s="233"/>
      <c r="E7" s="233"/>
      <c r="F7" s="233"/>
    </row>
    <row r="8" spans="1:8" ht="15.6" x14ac:dyDescent="0.3">
      <c r="C8" s="233"/>
      <c r="D8" s="233"/>
      <c r="E8" s="233"/>
      <c r="F8" s="233"/>
    </row>
    <row r="9" spans="1:8" x14ac:dyDescent="0.3">
      <c r="A9" s="312" t="s">
        <v>208</v>
      </c>
      <c r="B9" s="312"/>
    </row>
    <row r="10" spans="1:8" x14ac:dyDescent="0.3">
      <c r="A10" s="312" t="str">
        <f>CrewingModelAreaPivot!B1</f>
        <v>2025-26</v>
      </c>
      <c r="B10" s="192"/>
      <c r="C10" s="193"/>
      <c r="D10" s="193"/>
      <c r="E10" s="193"/>
      <c r="F10" s="193"/>
      <c r="G10" s="193"/>
      <c r="H10" s="375" t="s">
        <v>346</v>
      </c>
    </row>
    <row r="11" spans="1:8" s="459" customFormat="1" ht="27.75" customHeight="1" x14ac:dyDescent="0.3">
      <c r="A11" s="506" t="s">
        <v>209</v>
      </c>
      <c r="B11" s="506" t="s">
        <v>347</v>
      </c>
      <c r="C11" s="203" t="s">
        <v>335</v>
      </c>
      <c r="D11" s="203" t="s">
        <v>337</v>
      </c>
      <c r="E11" s="203" t="s">
        <v>336</v>
      </c>
      <c r="F11" s="203" t="s">
        <v>338</v>
      </c>
      <c r="G11" s="203" t="s">
        <v>339</v>
      </c>
      <c r="H11" s="507" t="s">
        <v>340</v>
      </c>
    </row>
    <row r="12" spans="1:8" ht="19.5" customHeight="1" x14ac:dyDescent="0.3">
      <c r="A12" s="390" t="s">
        <v>214</v>
      </c>
      <c r="B12" s="45" t="s">
        <v>215</v>
      </c>
      <c r="C12" s="51">
        <f>CrewingModelAreaPivot!B4</f>
        <v>3</v>
      </c>
      <c r="D12" s="51">
        <f>CrewingModelAreaPivot!C4</f>
        <v>0</v>
      </c>
      <c r="E12" s="51">
        <f>CrewingModelAreaPivot!D4</f>
        <v>0</v>
      </c>
      <c r="F12" s="51">
        <f>CrewingModelAreaPivot!E4</f>
        <v>1</v>
      </c>
      <c r="G12" s="51">
        <f>CrewingModelAreaPivot!F4</f>
        <v>0</v>
      </c>
      <c r="H12" s="194">
        <f>SUM(C12:G12)</f>
        <v>4</v>
      </c>
    </row>
    <row r="13" spans="1:8" x14ac:dyDescent="0.3">
      <c r="A13" s="89" t="s">
        <v>219</v>
      </c>
      <c r="B13" s="48" t="s">
        <v>220</v>
      </c>
      <c r="C13" s="51">
        <f>CrewingModelAreaPivot!B5</f>
        <v>0</v>
      </c>
      <c r="D13" s="51">
        <f>CrewingModelAreaPivot!C5</f>
        <v>1</v>
      </c>
      <c r="E13" s="51">
        <f>CrewingModelAreaPivot!D5</f>
        <v>0</v>
      </c>
      <c r="F13" s="51">
        <f>CrewingModelAreaPivot!E5</f>
        <v>23</v>
      </c>
      <c r="G13" s="51">
        <f>CrewingModelAreaPivot!F5</f>
        <v>0</v>
      </c>
      <c r="H13" s="69">
        <f t="shared" ref="H13:H43" si="0">SUM(C13:G13)</f>
        <v>24</v>
      </c>
    </row>
    <row r="14" spans="1:8" x14ac:dyDescent="0.3">
      <c r="A14" s="89" t="s">
        <v>223</v>
      </c>
      <c r="B14" s="48" t="s">
        <v>224</v>
      </c>
      <c r="C14" s="51">
        <f>CrewingModelAreaPivot!B6</f>
        <v>0</v>
      </c>
      <c r="D14" s="51">
        <f>CrewingModelAreaPivot!C6</f>
        <v>1</v>
      </c>
      <c r="E14" s="51">
        <f>CrewingModelAreaPivot!D6</f>
        <v>0</v>
      </c>
      <c r="F14" s="51">
        <f>CrewingModelAreaPivot!E6</f>
        <v>5</v>
      </c>
      <c r="G14" s="51">
        <f>CrewingModelAreaPivot!F6</f>
        <v>0</v>
      </c>
      <c r="H14" s="69">
        <f t="shared" si="0"/>
        <v>6</v>
      </c>
    </row>
    <row r="15" spans="1:8" x14ac:dyDescent="0.3">
      <c r="A15" s="89" t="s">
        <v>227</v>
      </c>
      <c r="B15" s="48" t="s">
        <v>228</v>
      </c>
      <c r="C15" s="51">
        <f>CrewingModelAreaPivot!B7</f>
        <v>0</v>
      </c>
      <c r="D15" s="51">
        <f>CrewingModelAreaPivot!C7</f>
        <v>2</v>
      </c>
      <c r="E15" s="51">
        <f>CrewingModelAreaPivot!D7</f>
        <v>0</v>
      </c>
      <c r="F15" s="51">
        <f>CrewingModelAreaPivot!E7</f>
        <v>12</v>
      </c>
      <c r="G15" s="51">
        <f>CrewingModelAreaPivot!F7</f>
        <v>25</v>
      </c>
      <c r="H15" s="69">
        <f t="shared" si="0"/>
        <v>39</v>
      </c>
    </row>
    <row r="16" spans="1:8" x14ac:dyDescent="0.3">
      <c r="A16" s="89" t="s">
        <v>233</v>
      </c>
      <c r="B16" s="48" t="s">
        <v>234</v>
      </c>
      <c r="C16" s="51">
        <f>CrewingModelAreaPivot!B8</f>
        <v>7</v>
      </c>
      <c r="D16" s="51">
        <f>CrewingModelAreaPivot!C8</f>
        <v>0</v>
      </c>
      <c r="E16" s="51">
        <f>CrewingModelAreaPivot!D8</f>
        <v>0</v>
      </c>
      <c r="F16" s="51">
        <f>CrewingModelAreaPivot!E8</f>
        <v>1</v>
      </c>
      <c r="G16" s="51">
        <f>CrewingModelAreaPivot!F8</f>
        <v>0</v>
      </c>
      <c r="H16" s="69">
        <f t="shared" si="0"/>
        <v>8</v>
      </c>
    </row>
    <row r="17" spans="1:8" x14ac:dyDescent="0.3">
      <c r="A17" s="89" t="s">
        <v>239</v>
      </c>
      <c r="B17" s="48" t="s">
        <v>240</v>
      </c>
      <c r="C17" s="51">
        <f>CrewingModelAreaPivot!B9</f>
        <v>0</v>
      </c>
      <c r="D17" s="51">
        <f>CrewingModelAreaPivot!C9</f>
        <v>1</v>
      </c>
      <c r="E17" s="51">
        <f>CrewingModelAreaPivot!D9</f>
        <v>0</v>
      </c>
      <c r="F17" s="51">
        <f>CrewingModelAreaPivot!E9</f>
        <v>1</v>
      </c>
      <c r="G17" s="51">
        <f>CrewingModelAreaPivot!F9</f>
        <v>0</v>
      </c>
      <c r="H17" s="69">
        <f t="shared" si="0"/>
        <v>2</v>
      </c>
    </row>
    <row r="18" spans="1:8" x14ac:dyDescent="0.3">
      <c r="A18" s="89" t="s">
        <v>243</v>
      </c>
      <c r="B18" s="48" t="s">
        <v>244</v>
      </c>
      <c r="C18" s="51">
        <f>CrewingModelAreaPivot!B10</f>
        <v>0</v>
      </c>
      <c r="D18" s="51">
        <f>CrewingModelAreaPivot!C10</f>
        <v>1</v>
      </c>
      <c r="E18" s="51">
        <f>CrewingModelAreaPivot!D10</f>
        <v>0</v>
      </c>
      <c r="F18" s="51">
        <f>CrewingModelAreaPivot!E10</f>
        <v>15</v>
      </c>
      <c r="G18" s="51">
        <f>CrewingModelAreaPivot!F10</f>
        <v>1</v>
      </c>
      <c r="H18" s="69">
        <f t="shared" si="0"/>
        <v>17</v>
      </c>
    </row>
    <row r="19" spans="1:8" x14ac:dyDescent="0.3">
      <c r="A19" s="89" t="s">
        <v>246</v>
      </c>
      <c r="B19" s="48" t="s">
        <v>247</v>
      </c>
      <c r="C19" s="51">
        <f>CrewingModelAreaPivot!B11</f>
        <v>3</v>
      </c>
      <c r="D19" s="51">
        <f>CrewingModelAreaPivot!C11</f>
        <v>1</v>
      </c>
      <c r="E19" s="51">
        <f>CrewingModelAreaPivot!D11</f>
        <v>0</v>
      </c>
      <c r="F19" s="51">
        <f>CrewingModelAreaPivot!E11</f>
        <v>0</v>
      </c>
      <c r="G19" s="51">
        <f>CrewingModelAreaPivot!F11</f>
        <v>0</v>
      </c>
      <c r="H19" s="69">
        <f t="shared" si="0"/>
        <v>4</v>
      </c>
    </row>
    <row r="20" spans="1:8" x14ac:dyDescent="0.3">
      <c r="A20" s="89" t="s">
        <v>248</v>
      </c>
      <c r="B20" s="48" t="s">
        <v>249</v>
      </c>
      <c r="C20" s="51">
        <f>CrewingModelAreaPivot!B12</f>
        <v>1</v>
      </c>
      <c r="D20" s="51">
        <f>CrewingModelAreaPivot!C12</f>
        <v>0</v>
      </c>
      <c r="E20" s="51">
        <f>CrewingModelAreaPivot!D12</f>
        <v>0</v>
      </c>
      <c r="F20" s="51">
        <f>CrewingModelAreaPivot!E12</f>
        <v>7</v>
      </c>
      <c r="G20" s="51">
        <f>CrewingModelAreaPivot!F12</f>
        <v>0</v>
      </c>
      <c r="H20" s="69">
        <f t="shared" si="0"/>
        <v>8</v>
      </c>
    </row>
    <row r="21" spans="1:8" x14ac:dyDescent="0.3">
      <c r="A21" s="89" t="s">
        <v>252</v>
      </c>
      <c r="B21" s="48" t="s">
        <v>253</v>
      </c>
      <c r="C21" s="51">
        <f>CrewingModelAreaPivot!B13</f>
        <v>3</v>
      </c>
      <c r="D21" s="51">
        <f>CrewingModelAreaPivot!C13</f>
        <v>0</v>
      </c>
      <c r="E21" s="51">
        <f>CrewingModelAreaPivot!D13</f>
        <v>0</v>
      </c>
      <c r="F21" s="51">
        <f>CrewingModelAreaPivot!E13</f>
        <v>0</v>
      </c>
      <c r="G21" s="51">
        <f>CrewingModelAreaPivot!F13</f>
        <v>0</v>
      </c>
      <c r="H21" s="69">
        <f t="shared" si="0"/>
        <v>3</v>
      </c>
    </row>
    <row r="22" spans="1:8" x14ac:dyDescent="0.3">
      <c r="A22" s="89" t="s">
        <v>254</v>
      </c>
      <c r="B22" s="48" t="s">
        <v>255</v>
      </c>
      <c r="C22" s="51">
        <f>CrewingModelAreaPivot!B14</f>
        <v>1</v>
      </c>
      <c r="D22" s="51">
        <f>CrewingModelAreaPivot!C14</f>
        <v>0</v>
      </c>
      <c r="E22" s="51">
        <f>CrewingModelAreaPivot!D14</f>
        <v>0</v>
      </c>
      <c r="F22" s="51">
        <f>CrewingModelAreaPivot!E14</f>
        <v>5</v>
      </c>
      <c r="G22" s="51">
        <f>CrewingModelAreaPivot!F14</f>
        <v>0</v>
      </c>
      <c r="H22" s="69">
        <f t="shared" si="0"/>
        <v>6</v>
      </c>
    </row>
    <row r="23" spans="1:8" x14ac:dyDescent="0.3">
      <c r="A23" s="89" t="s">
        <v>258</v>
      </c>
      <c r="B23" s="48" t="s">
        <v>259</v>
      </c>
      <c r="C23" s="51">
        <f>CrewingModelAreaPivot!B15</f>
        <v>2</v>
      </c>
      <c r="D23" s="51">
        <f>CrewingModelAreaPivot!C15</f>
        <v>0</v>
      </c>
      <c r="E23" s="51">
        <f>CrewingModelAreaPivot!D15</f>
        <v>0</v>
      </c>
      <c r="F23" s="51">
        <f>CrewingModelAreaPivot!E15</f>
        <v>0</v>
      </c>
      <c r="G23" s="51">
        <f>CrewingModelAreaPivot!F15</f>
        <v>0</v>
      </c>
      <c r="H23" s="69">
        <f t="shared" si="0"/>
        <v>2</v>
      </c>
    </row>
    <row r="24" spans="1:8" x14ac:dyDescent="0.3">
      <c r="A24" s="89" t="s">
        <v>262</v>
      </c>
      <c r="B24" s="48" t="s">
        <v>263</v>
      </c>
      <c r="C24" s="51">
        <f>CrewingModelAreaPivot!B16</f>
        <v>0</v>
      </c>
      <c r="D24" s="51">
        <f>CrewingModelAreaPivot!C16</f>
        <v>3</v>
      </c>
      <c r="E24" s="51">
        <f>CrewingModelAreaPivot!D16</f>
        <v>0</v>
      </c>
      <c r="F24" s="51">
        <f>CrewingModelAreaPivot!E16</f>
        <v>2</v>
      </c>
      <c r="G24" s="51">
        <f>CrewingModelAreaPivot!F16</f>
        <v>0</v>
      </c>
      <c r="H24" s="69">
        <f t="shared" si="0"/>
        <v>5</v>
      </c>
    </row>
    <row r="25" spans="1:8" x14ac:dyDescent="0.3">
      <c r="A25" s="89" t="s">
        <v>266</v>
      </c>
      <c r="B25" s="48" t="s">
        <v>267</v>
      </c>
      <c r="C25" s="51">
        <f>CrewingModelAreaPivot!B17</f>
        <v>5</v>
      </c>
      <c r="D25" s="51">
        <f>CrewingModelAreaPivot!C17</f>
        <v>0</v>
      </c>
      <c r="E25" s="51">
        <f>CrewingModelAreaPivot!D17</f>
        <v>0</v>
      </c>
      <c r="F25" s="51">
        <f>CrewingModelAreaPivot!E17</f>
        <v>8</v>
      </c>
      <c r="G25" s="51">
        <f>CrewingModelAreaPivot!F17</f>
        <v>0</v>
      </c>
      <c r="H25" s="69">
        <f t="shared" si="0"/>
        <v>13</v>
      </c>
    </row>
    <row r="26" spans="1:8" x14ac:dyDescent="0.3">
      <c r="A26" s="89" t="str">
        <f>IF(A10 = "2019-20","S12000049","S12000046")</f>
        <v>S12000046</v>
      </c>
      <c r="B26" s="48" t="s">
        <v>270</v>
      </c>
      <c r="C26" s="51">
        <f>CrewingModelAreaPivot!B18</f>
        <v>11</v>
      </c>
      <c r="D26" s="51">
        <f>CrewingModelAreaPivot!C18</f>
        <v>0</v>
      </c>
      <c r="E26" s="51">
        <f>CrewingModelAreaPivot!D18</f>
        <v>0</v>
      </c>
      <c r="F26" s="51">
        <f>CrewingModelAreaPivot!E18</f>
        <v>0</v>
      </c>
      <c r="G26" s="51">
        <f>CrewingModelAreaPivot!F18</f>
        <v>0</v>
      </c>
      <c r="H26" s="69">
        <f t="shared" si="0"/>
        <v>11</v>
      </c>
    </row>
    <row r="27" spans="1:8" x14ac:dyDescent="0.3">
      <c r="A27" s="89" t="s">
        <v>272</v>
      </c>
      <c r="B27" s="48" t="s">
        <v>273</v>
      </c>
      <c r="C27" s="51">
        <f>CrewingModelAreaPivot!B19</f>
        <v>0</v>
      </c>
      <c r="D27" s="51">
        <f>CrewingModelAreaPivot!C19</f>
        <v>1</v>
      </c>
      <c r="E27" s="51">
        <f>CrewingModelAreaPivot!D19</f>
        <v>0</v>
      </c>
      <c r="F27" s="51">
        <f>CrewingModelAreaPivot!E19</f>
        <v>51</v>
      </c>
      <c r="G27" s="51">
        <f>CrewingModelAreaPivot!F19</f>
        <v>9</v>
      </c>
      <c r="H27" s="69">
        <f t="shared" si="0"/>
        <v>61</v>
      </c>
    </row>
    <row r="28" spans="1:8" x14ac:dyDescent="0.3">
      <c r="A28" s="89" t="s">
        <v>276</v>
      </c>
      <c r="B28" s="48" t="s">
        <v>277</v>
      </c>
      <c r="C28" s="51">
        <f>CrewingModelAreaPivot!B20</f>
        <v>0</v>
      </c>
      <c r="D28" s="51">
        <f>CrewingModelAreaPivot!C20</f>
        <v>2</v>
      </c>
      <c r="E28" s="51">
        <f>CrewingModelAreaPivot!D20</f>
        <v>0</v>
      </c>
      <c r="F28" s="51">
        <f>CrewingModelAreaPivot!E20</f>
        <v>1</v>
      </c>
      <c r="G28" s="51">
        <f>CrewingModelAreaPivot!F20</f>
        <v>0</v>
      </c>
      <c r="H28" s="69">
        <f t="shared" si="0"/>
        <v>3</v>
      </c>
    </row>
    <row r="29" spans="1:8" x14ac:dyDescent="0.3">
      <c r="A29" s="89" t="s">
        <v>278</v>
      </c>
      <c r="B29" s="48" t="s">
        <v>279</v>
      </c>
      <c r="C29" s="51">
        <f>CrewingModelAreaPivot!B21</f>
        <v>1</v>
      </c>
      <c r="D29" s="51">
        <f>CrewingModelAreaPivot!C21</f>
        <v>0</v>
      </c>
      <c r="E29" s="51">
        <f>CrewingModelAreaPivot!D21</f>
        <v>0</v>
      </c>
      <c r="F29" s="51">
        <f>CrewingModelAreaPivot!E21</f>
        <v>1</v>
      </c>
      <c r="G29" s="51">
        <f>CrewingModelAreaPivot!F21</f>
        <v>0</v>
      </c>
      <c r="H29" s="69">
        <f t="shared" si="0"/>
        <v>2</v>
      </c>
    </row>
    <row r="30" spans="1:8" x14ac:dyDescent="0.3">
      <c r="A30" s="89" t="s">
        <v>280</v>
      </c>
      <c r="B30" s="48" t="s">
        <v>281</v>
      </c>
      <c r="C30" s="51">
        <f>CrewingModelAreaPivot!B22</f>
        <v>0</v>
      </c>
      <c r="D30" s="51">
        <f>CrewingModelAreaPivot!C22</f>
        <v>1</v>
      </c>
      <c r="E30" s="51">
        <f>CrewingModelAreaPivot!D22</f>
        <v>0</v>
      </c>
      <c r="F30" s="51">
        <f>CrewingModelAreaPivot!E22</f>
        <v>10</v>
      </c>
      <c r="G30" s="51">
        <f>CrewingModelAreaPivot!F22</f>
        <v>1</v>
      </c>
      <c r="H30" s="69">
        <f t="shared" si="0"/>
        <v>12</v>
      </c>
    </row>
    <row r="31" spans="1:8" x14ac:dyDescent="0.3">
      <c r="A31" s="89" t="s">
        <v>282</v>
      </c>
      <c r="B31" s="48" t="s">
        <v>283</v>
      </c>
      <c r="C31" s="51">
        <f>CrewingModelAreaPivot!B23</f>
        <v>0</v>
      </c>
      <c r="D31" s="51">
        <f>CrewingModelAreaPivot!C23</f>
        <v>0</v>
      </c>
      <c r="E31" s="51">
        <f>CrewingModelAreaPivot!D23</f>
        <v>0</v>
      </c>
      <c r="F31" s="51">
        <f>CrewingModelAreaPivot!E23</f>
        <v>14</v>
      </c>
      <c r="G31" s="51">
        <f>CrewingModelAreaPivot!F23</f>
        <v>0</v>
      </c>
      <c r="H31" s="69">
        <f t="shared" si="0"/>
        <v>14</v>
      </c>
    </row>
    <row r="32" spans="1:8" x14ac:dyDescent="0.3">
      <c r="A32" s="89" t="s">
        <v>286</v>
      </c>
      <c r="B32" s="48" t="s">
        <v>287</v>
      </c>
      <c r="C32" s="51">
        <f>CrewingModelAreaPivot!B24</f>
        <v>1</v>
      </c>
      <c r="D32" s="51">
        <f>CrewingModelAreaPivot!C24</f>
        <v>2</v>
      </c>
      <c r="E32" s="51">
        <f>CrewingModelAreaPivot!D24</f>
        <v>0</v>
      </c>
      <c r="F32" s="51">
        <f>CrewingModelAreaPivot!E24</f>
        <v>8</v>
      </c>
      <c r="G32" s="51">
        <f>CrewingModelAreaPivot!F24</f>
        <v>3</v>
      </c>
      <c r="H32" s="69">
        <f t="shared" si="0"/>
        <v>14</v>
      </c>
    </row>
    <row r="33" spans="1:9" x14ac:dyDescent="0.3">
      <c r="A33" s="89" t="str">
        <f>IF(A10="2019-20","S12000050","S12000044")</f>
        <v>S12000044</v>
      </c>
      <c r="B33" s="48" t="s">
        <v>289</v>
      </c>
      <c r="C33" s="51">
        <f>CrewingModelAreaPivot!B25</f>
        <v>4</v>
      </c>
      <c r="D33" s="51">
        <f>CrewingModelAreaPivot!C25</f>
        <v>0</v>
      </c>
      <c r="E33" s="51">
        <f>CrewingModelAreaPivot!D25</f>
        <v>0</v>
      </c>
      <c r="F33" s="51">
        <f>CrewingModelAreaPivot!E25</f>
        <v>3</v>
      </c>
      <c r="G33" s="51">
        <f>CrewingModelAreaPivot!F25</f>
        <v>0</v>
      </c>
      <c r="H33" s="69">
        <f t="shared" si="0"/>
        <v>7</v>
      </c>
    </row>
    <row r="34" spans="1:9" x14ac:dyDescent="0.3">
      <c r="A34" s="89" t="s">
        <v>291</v>
      </c>
      <c r="B34" s="48" t="s">
        <v>292</v>
      </c>
      <c r="C34" s="51">
        <f>CrewingModelAreaPivot!B26</f>
        <v>0</v>
      </c>
      <c r="D34" s="51">
        <f>CrewingModelAreaPivot!C26</f>
        <v>0</v>
      </c>
      <c r="E34" s="51">
        <f>CrewingModelAreaPivot!D26</f>
        <v>0</v>
      </c>
      <c r="F34" s="51">
        <f>CrewingModelAreaPivot!E26</f>
        <v>12</v>
      </c>
      <c r="G34" s="51">
        <f>CrewingModelAreaPivot!F26</f>
        <v>0</v>
      </c>
      <c r="H34" s="69">
        <f t="shared" si="0"/>
        <v>12</v>
      </c>
    </row>
    <row r="35" spans="1:9" x14ac:dyDescent="0.3">
      <c r="A35" s="89" t="s">
        <v>293</v>
      </c>
      <c r="B35" s="48" t="s">
        <v>294</v>
      </c>
      <c r="C35" s="51">
        <f>CrewingModelAreaPivot!B27</f>
        <v>1</v>
      </c>
      <c r="D35" s="51">
        <f>CrewingModelAreaPivot!C27</f>
        <v>0</v>
      </c>
      <c r="E35" s="51">
        <f>CrewingModelAreaPivot!D27</f>
        <v>0</v>
      </c>
      <c r="F35" s="51">
        <f>CrewingModelAreaPivot!E27</f>
        <v>10</v>
      </c>
      <c r="G35" s="51">
        <f>CrewingModelAreaPivot!F27</f>
        <v>3</v>
      </c>
      <c r="H35" s="69">
        <f t="shared" si="0"/>
        <v>14</v>
      </c>
    </row>
    <row r="36" spans="1:9" x14ac:dyDescent="0.3">
      <c r="A36" s="89" t="s">
        <v>295</v>
      </c>
      <c r="B36" s="48" t="s">
        <v>296</v>
      </c>
      <c r="C36" s="51">
        <f>CrewingModelAreaPivot!B28</f>
        <v>2</v>
      </c>
      <c r="D36" s="51">
        <f>CrewingModelAreaPivot!C28</f>
        <v>1</v>
      </c>
      <c r="E36" s="51">
        <f>CrewingModelAreaPivot!D28</f>
        <v>0</v>
      </c>
      <c r="F36" s="51">
        <f>CrewingModelAreaPivot!E28</f>
        <v>0</v>
      </c>
      <c r="G36" s="51">
        <f>CrewingModelAreaPivot!F28</f>
        <v>0</v>
      </c>
      <c r="H36" s="69">
        <f t="shared" si="0"/>
        <v>3</v>
      </c>
    </row>
    <row r="37" spans="1:9" x14ac:dyDescent="0.3">
      <c r="A37" s="89" t="s">
        <v>297</v>
      </c>
      <c r="B37" s="48" t="s">
        <v>298</v>
      </c>
      <c r="C37" s="51">
        <f>CrewingModelAreaPivot!B29</f>
        <v>0</v>
      </c>
      <c r="D37" s="51">
        <f>CrewingModelAreaPivot!C29</f>
        <v>2</v>
      </c>
      <c r="E37" s="51">
        <f>CrewingModelAreaPivot!D29</f>
        <v>0</v>
      </c>
      <c r="F37" s="51">
        <f>CrewingModelAreaPivot!E29</f>
        <v>11</v>
      </c>
      <c r="G37" s="51">
        <f>CrewingModelAreaPivot!F29</f>
        <v>0</v>
      </c>
      <c r="H37" s="69">
        <f t="shared" si="0"/>
        <v>13</v>
      </c>
    </row>
    <row r="38" spans="1:9" x14ac:dyDescent="0.3">
      <c r="A38" s="89" t="s">
        <v>299</v>
      </c>
      <c r="B38" s="48" t="s">
        <v>300</v>
      </c>
      <c r="C38" s="51">
        <f>CrewingModelAreaPivot!B30</f>
        <v>0</v>
      </c>
      <c r="D38" s="51">
        <f>CrewingModelAreaPivot!C30</f>
        <v>0</v>
      </c>
      <c r="E38" s="51">
        <f>CrewingModelAreaPivot!D30</f>
        <v>0</v>
      </c>
      <c r="F38" s="51">
        <f>CrewingModelAreaPivot!E30</f>
        <v>14</v>
      </c>
      <c r="G38" s="51">
        <f>CrewingModelAreaPivot!F30</f>
        <v>0</v>
      </c>
      <c r="H38" s="69">
        <f t="shared" si="0"/>
        <v>14</v>
      </c>
    </row>
    <row r="39" spans="1:9" x14ac:dyDescent="0.3">
      <c r="A39" s="89" t="s">
        <v>301</v>
      </c>
      <c r="B39" s="48" t="s">
        <v>302</v>
      </c>
      <c r="C39" s="51">
        <f>CrewingModelAreaPivot!B31</f>
        <v>0</v>
      </c>
      <c r="D39" s="51">
        <f>CrewingModelAreaPivot!C31</f>
        <v>1</v>
      </c>
      <c r="E39" s="51">
        <f>CrewingModelAreaPivot!D31</f>
        <v>0</v>
      </c>
      <c r="F39" s="51">
        <f>CrewingModelAreaPivot!E31</f>
        <v>4</v>
      </c>
      <c r="G39" s="51">
        <f>CrewingModelAreaPivot!F31</f>
        <v>0</v>
      </c>
      <c r="H39" s="69">
        <f t="shared" si="0"/>
        <v>5</v>
      </c>
    </row>
    <row r="40" spans="1:9" x14ac:dyDescent="0.3">
      <c r="A40" s="89" t="s">
        <v>303</v>
      </c>
      <c r="B40" s="48" t="s">
        <v>304</v>
      </c>
      <c r="C40" s="51">
        <f>CrewingModelAreaPivot!B32</f>
        <v>3</v>
      </c>
      <c r="D40" s="51">
        <f>CrewingModelAreaPivot!C32</f>
        <v>1</v>
      </c>
      <c r="E40" s="51">
        <f>CrewingModelAreaPivot!D32</f>
        <v>0</v>
      </c>
      <c r="F40" s="51">
        <f>CrewingModelAreaPivot!E32</f>
        <v>7</v>
      </c>
      <c r="G40" s="51">
        <f>CrewingModelAreaPivot!F32</f>
        <v>0</v>
      </c>
      <c r="H40" s="69">
        <f t="shared" si="0"/>
        <v>11</v>
      </c>
    </row>
    <row r="41" spans="1:9" x14ac:dyDescent="0.3">
      <c r="A41" s="89" t="s">
        <v>306</v>
      </c>
      <c r="B41" s="48" t="s">
        <v>307</v>
      </c>
      <c r="C41" s="51">
        <f>CrewingModelAreaPivot!B33</f>
        <v>1</v>
      </c>
      <c r="D41" s="51">
        <f>CrewingModelAreaPivot!C33</f>
        <v>0</v>
      </c>
      <c r="E41" s="51">
        <f>CrewingModelAreaPivot!D33</f>
        <v>0</v>
      </c>
      <c r="F41" s="51">
        <f>CrewingModelAreaPivot!E33</f>
        <v>9</v>
      </c>
      <c r="G41" s="51">
        <f>CrewingModelAreaPivot!F33</f>
        <v>0</v>
      </c>
      <c r="H41" s="69">
        <f t="shared" si="0"/>
        <v>10</v>
      </c>
    </row>
    <row r="42" spans="1:9" x14ac:dyDescent="0.3">
      <c r="A42" s="89" t="s">
        <v>308</v>
      </c>
      <c r="B42" s="48" t="s">
        <v>309</v>
      </c>
      <c r="C42" s="51">
        <f>CrewingModelAreaPivot!B34</f>
        <v>1</v>
      </c>
      <c r="D42" s="51">
        <f>CrewingModelAreaPivot!C34</f>
        <v>1</v>
      </c>
      <c r="E42" s="51">
        <f>CrewingModelAreaPivot!D34</f>
        <v>0</v>
      </c>
      <c r="F42" s="51">
        <f>CrewingModelAreaPivot!E34</f>
        <v>1</v>
      </c>
      <c r="G42" s="51">
        <f>CrewingModelAreaPivot!F34</f>
        <v>0</v>
      </c>
      <c r="H42" s="69">
        <f t="shared" si="0"/>
        <v>3</v>
      </c>
    </row>
    <row r="43" spans="1:9" x14ac:dyDescent="0.3">
      <c r="A43" s="89" t="s">
        <v>310</v>
      </c>
      <c r="B43" s="48" t="s">
        <v>311</v>
      </c>
      <c r="C43" s="51">
        <f>CrewingModelAreaPivot!B35</f>
        <v>0</v>
      </c>
      <c r="D43" s="51">
        <f>CrewingModelAreaPivot!C35</f>
        <v>1</v>
      </c>
      <c r="E43" s="51">
        <f>CrewingModelAreaPivot!D35</f>
        <v>1</v>
      </c>
      <c r="F43" s="51">
        <f>CrewingModelAreaPivot!E35</f>
        <v>4</v>
      </c>
      <c r="G43" s="51">
        <f>CrewingModelAreaPivot!F35</f>
        <v>0</v>
      </c>
      <c r="H43" s="69">
        <f t="shared" si="0"/>
        <v>6</v>
      </c>
    </row>
    <row r="44" spans="1:9" ht="21.75" customHeight="1" thickBot="1" x14ac:dyDescent="0.35">
      <c r="A44" s="33"/>
      <c r="B44" s="33" t="s">
        <v>348</v>
      </c>
      <c r="C44" s="70">
        <f t="shared" ref="C44:H44" si="1">SUM(C12:C43)</f>
        <v>50</v>
      </c>
      <c r="D44" s="70">
        <f t="shared" si="1"/>
        <v>23</v>
      </c>
      <c r="E44" s="70">
        <f t="shared" si="1"/>
        <v>1</v>
      </c>
      <c r="F44" s="70">
        <f t="shared" si="1"/>
        <v>240</v>
      </c>
      <c r="G44" s="70">
        <f t="shared" si="1"/>
        <v>42</v>
      </c>
      <c r="H44" s="70">
        <f t="shared" si="1"/>
        <v>356</v>
      </c>
    </row>
    <row r="45" spans="1:9" x14ac:dyDescent="0.3">
      <c r="B45" s="195"/>
      <c r="C45" s="196"/>
      <c r="D45" s="196"/>
      <c r="E45" s="196"/>
      <c r="F45" s="196"/>
      <c r="G45" s="196"/>
      <c r="H45" s="196"/>
    </row>
    <row r="46" spans="1:9" ht="15" customHeight="1" x14ac:dyDescent="0.3">
      <c r="A46" s="48" t="s">
        <v>329</v>
      </c>
    </row>
    <row r="47" spans="1:9" ht="30.75" customHeight="1" x14ac:dyDescent="0.3">
      <c r="A47" s="1033" t="s">
        <v>349</v>
      </c>
      <c r="B47" s="1033"/>
      <c r="C47" s="1033"/>
      <c r="D47" s="1033"/>
      <c r="E47" s="1033"/>
      <c r="F47" s="1033"/>
      <c r="G47" s="1033"/>
      <c r="H47" s="1033"/>
    </row>
    <row r="48" spans="1:9" ht="30.75" customHeight="1" x14ac:dyDescent="0.3">
      <c r="A48" s="1032" t="s">
        <v>344</v>
      </c>
      <c r="B48" s="1032"/>
      <c r="C48" s="1032"/>
      <c r="D48" s="1032"/>
      <c r="E48" s="1032"/>
      <c r="F48" s="1032"/>
      <c r="G48" s="1032"/>
      <c r="H48" s="1032"/>
      <c r="I48" s="1032"/>
    </row>
  </sheetData>
  <sheetProtection algorithmName="SHA-512" hashValue="IETVRR2E6Sr9qe5OaySisZSlbcanVOQSggQZt7mjLGawRjjYVZ+0Xy9kvFSfKs8SQ2TWDIOz5K+PYeBdQS6SxA==" saltValue="4UjOXtCAGeUdeau5Nbui6g==" spinCount="100000" sheet="1" scenarios="1" formatCells="0" sort="0" autoFilter="0" pivotTables="0"/>
  <mergeCells count="4">
    <mergeCell ref="A48:I48"/>
    <mergeCell ref="A1:C1"/>
    <mergeCell ref="A4:F4"/>
    <mergeCell ref="A47:H47"/>
  </mergeCells>
  <hyperlinks>
    <hyperlink ref="A2" location="'Table of Contents'!A1" display="Back to Table of Contents" xr:uid="{00000000-0004-0000-0500-000000000000}"/>
  </hyperlinks>
  <pageMargins left="0.70866141732283472" right="0.70866141732283472" top="0.74803149606299213" bottom="0.74803149606299213" header="0.31496062992125984" footer="0.31496062992125984"/>
  <pageSetup scale="71" orientation="portrait" r:id="rId1"/>
  <drawing r:id="rId2"/>
  <extLst>
    <ext xmlns:x14="http://schemas.microsoft.com/office/spreadsheetml/2009/9/main" uri="{A8765BA9-456A-4dab-B4F3-ACF838C121DE}">
      <x14:slicerList>
        <x14:slicer r:id="rId3"/>
      </x14:slicerList>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21">
    <tabColor theme="4" tint="0.59999389629810485"/>
    <pageSetUpPr fitToPage="1"/>
  </sheetPr>
  <dimension ref="A1:I48"/>
  <sheetViews>
    <sheetView showGridLines="0" zoomScaleNormal="100" zoomScaleSheetLayoutView="100" workbookViewId="0">
      <pane ySplit="2" topLeftCell="A4" activePane="bottomLeft" state="frozen"/>
      <selection pane="bottomLeft" sqref="A1:C1"/>
    </sheetView>
  </sheetViews>
  <sheetFormatPr defaultRowHeight="14.4" x14ac:dyDescent="0.3"/>
  <cols>
    <col min="1" max="1" width="17.6640625" customWidth="1"/>
    <col min="2" max="2" width="21.5546875" bestFit="1" customWidth="1"/>
    <col min="3" max="3" width="19.109375" bestFit="1" customWidth="1"/>
    <col min="4" max="4" width="24" bestFit="1" customWidth="1"/>
    <col min="5" max="5" width="17.88671875" customWidth="1"/>
    <col min="6" max="6" width="15.6640625" customWidth="1"/>
    <col min="7" max="7" width="11.6640625" customWidth="1"/>
    <col min="8" max="8" width="7.5546875" bestFit="1" customWidth="1"/>
    <col min="9" max="9" width="21.5546875" bestFit="1" customWidth="1"/>
    <col min="10" max="10" width="19.109375" bestFit="1" customWidth="1"/>
    <col min="11" max="11" width="24" bestFit="1" customWidth="1"/>
    <col min="12" max="12" width="9.5546875" bestFit="1" customWidth="1"/>
    <col min="13" max="13" width="9.88671875" bestFit="1" customWidth="1"/>
    <col min="14" max="14" width="5.5546875" bestFit="1" customWidth="1"/>
  </cols>
  <sheetData>
    <row r="1" spans="1:6" ht="15.6" x14ac:dyDescent="0.3">
      <c r="A1" s="1030" t="s">
        <v>333</v>
      </c>
      <c r="B1" s="1030"/>
      <c r="C1" s="1030"/>
    </row>
    <row r="2" spans="1:6" ht="15.6" x14ac:dyDescent="0.3">
      <c r="A2" s="498" t="s">
        <v>202</v>
      </c>
      <c r="B2" s="440"/>
      <c r="C2" s="440"/>
    </row>
    <row r="3" spans="1:6" ht="15.6" x14ac:dyDescent="0.3">
      <c r="D3" s="187"/>
      <c r="E3" s="187"/>
      <c r="F3" s="187"/>
    </row>
    <row r="4" spans="1:6" ht="15.75" customHeight="1" x14ac:dyDescent="0.3">
      <c r="A4" s="1031" t="s">
        <v>359</v>
      </c>
      <c r="B4" s="1031"/>
      <c r="C4" s="1031"/>
      <c r="D4" s="1031"/>
      <c r="E4" s="1031"/>
      <c r="F4" s="1031"/>
    </row>
    <row r="5" spans="1:6" ht="15.75" customHeight="1" x14ac:dyDescent="0.3">
      <c r="A5" t="s">
        <v>203</v>
      </c>
      <c r="B5" t="s">
        <v>37</v>
      </c>
      <c r="C5" s="233"/>
      <c r="D5" s="233"/>
      <c r="E5" s="233"/>
      <c r="F5" s="233"/>
    </row>
    <row r="6" spans="1:6" ht="15.75" customHeight="1" x14ac:dyDescent="0.3">
      <c r="A6" t="s">
        <v>204</v>
      </c>
      <c r="B6" t="s">
        <v>205</v>
      </c>
      <c r="C6" s="233"/>
      <c r="D6" s="233"/>
      <c r="E6" s="233"/>
      <c r="F6" s="233"/>
    </row>
    <row r="7" spans="1:6" ht="15.75" customHeight="1" x14ac:dyDescent="0.3">
      <c r="A7" t="s">
        <v>206</v>
      </c>
      <c r="B7" t="s">
        <v>207</v>
      </c>
      <c r="C7" s="233"/>
      <c r="D7" s="233"/>
      <c r="E7" s="233"/>
      <c r="F7" s="233"/>
    </row>
    <row r="8" spans="1:6" ht="15.75" customHeight="1" x14ac:dyDescent="0.3">
      <c r="A8" s="233"/>
      <c r="B8" s="233"/>
      <c r="C8" s="233"/>
      <c r="D8" s="233"/>
      <c r="E8" s="233"/>
      <c r="F8" s="233"/>
    </row>
    <row r="9" spans="1:6" x14ac:dyDescent="0.3">
      <c r="A9" s="25"/>
      <c r="B9" s="111"/>
      <c r="C9" s="223"/>
      <c r="D9" s="300"/>
      <c r="E9" s="128" t="s">
        <v>346</v>
      </c>
      <c r="F9" s="110"/>
    </row>
    <row r="10" spans="1:6" x14ac:dyDescent="0.3">
      <c r="A10" s="183" t="s">
        <v>208</v>
      </c>
      <c r="B10" s="110" t="s">
        <v>335</v>
      </c>
      <c r="C10" s="110" t="s">
        <v>360</v>
      </c>
      <c r="D10" s="110" t="s">
        <v>361</v>
      </c>
      <c r="E10" s="188" t="s">
        <v>339</v>
      </c>
      <c r="F10" s="389" t="s">
        <v>340</v>
      </c>
    </row>
    <row r="11" spans="1:6" x14ac:dyDescent="0.3">
      <c r="A11" s="176" t="s">
        <v>362</v>
      </c>
      <c r="B11" s="650">
        <v>74</v>
      </c>
      <c r="C11" s="650">
        <v>4</v>
      </c>
      <c r="D11" s="650">
        <v>241</v>
      </c>
      <c r="E11" s="650">
        <v>53</v>
      </c>
      <c r="F11" s="651">
        <v>372</v>
      </c>
    </row>
    <row r="12" spans="1:6" x14ac:dyDescent="0.3">
      <c r="A12" s="176" t="s">
        <v>363</v>
      </c>
      <c r="B12" s="650">
        <v>74</v>
      </c>
      <c r="C12" s="650">
        <v>4</v>
      </c>
      <c r="D12" s="650">
        <v>236</v>
      </c>
      <c r="E12" s="650">
        <v>43</v>
      </c>
      <c r="F12" s="651">
        <v>357</v>
      </c>
    </row>
    <row r="13" spans="1:6" x14ac:dyDescent="0.3">
      <c r="A13" s="176" t="s">
        <v>364</v>
      </c>
      <c r="B13" s="650">
        <v>74</v>
      </c>
      <c r="C13" s="650">
        <v>3</v>
      </c>
      <c r="D13" s="650">
        <v>237</v>
      </c>
      <c r="E13" s="650">
        <v>43</v>
      </c>
      <c r="F13" s="651">
        <v>357</v>
      </c>
    </row>
    <row r="14" spans="1:6" x14ac:dyDescent="0.3">
      <c r="A14" s="176" t="s">
        <v>365</v>
      </c>
      <c r="B14" s="650">
        <v>74</v>
      </c>
      <c r="C14" s="650">
        <v>0</v>
      </c>
      <c r="D14" s="650">
        <v>240</v>
      </c>
      <c r="E14" s="650">
        <v>43</v>
      </c>
      <c r="F14" s="652">
        <v>357</v>
      </c>
    </row>
    <row r="15" spans="1:6" x14ac:dyDescent="0.3">
      <c r="A15" s="176" t="s">
        <v>366</v>
      </c>
      <c r="B15" s="650">
        <v>74</v>
      </c>
      <c r="C15" s="650">
        <v>0</v>
      </c>
      <c r="D15" s="650">
        <v>240</v>
      </c>
      <c r="E15" s="650">
        <v>43</v>
      </c>
      <c r="F15" s="652">
        <v>357</v>
      </c>
    </row>
    <row r="16" spans="1:6" x14ac:dyDescent="0.3">
      <c r="A16" s="176" t="s">
        <v>341</v>
      </c>
      <c r="B16" s="650">
        <v>74</v>
      </c>
      <c r="C16" s="650">
        <v>0</v>
      </c>
      <c r="D16" s="650">
        <v>240</v>
      </c>
      <c r="E16" s="650">
        <v>43</v>
      </c>
      <c r="F16" s="652">
        <v>357</v>
      </c>
    </row>
    <row r="17" spans="1:6" x14ac:dyDescent="0.3">
      <c r="A17" s="176" t="s">
        <v>342</v>
      </c>
      <c r="B17" s="650">
        <v>74</v>
      </c>
      <c r="C17" s="650">
        <v>0</v>
      </c>
      <c r="D17" s="650">
        <v>240</v>
      </c>
      <c r="E17" s="650">
        <v>43</v>
      </c>
      <c r="F17" s="652">
        <v>357</v>
      </c>
    </row>
    <row r="18" spans="1:6" x14ac:dyDescent="0.3">
      <c r="A18" s="176" t="s">
        <v>213</v>
      </c>
      <c r="B18" s="650">
        <v>74</v>
      </c>
      <c r="C18" s="650">
        <v>0</v>
      </c>
      <c r="D18" s="650">
        <v>240</v>
      </c>
      <c r="E18" s="650">
        <v>43</v>
      </c>
      <c r="F18" s="652">
        <v>357</v>
      </c>
    </row>
    <row r="19" spans="1:6" x14ac:dyDescent="0.3">
      <c r="A19" s="176" t="s">
        <v>312</v>
      </c>
      <c r="B19" s="650">
        <v>74</v>
      </c>
      <c r="C19" s="650">
        <v>0</v>
      </c>
      <c r="D19" s="650">
        <v>240</v>
      </c>
      <c r="E19" s="650">
        <v>43</v>
      </c>
      <c r="F19" s="652">
        <v>357</v>
      </c>
    </row>
    <row r="20" spans="1:6" x14ac:dyDescent="0.3">
      <c r="A20" s="176" t="s">
        <v>318</v>
      </c>
      <c r="B20" s="655">
        <v>74</v>
      </c>
      <c r="C20" s="650">
        <v>0</v>
      </c>
      <c r="D20" s="650">
        <v>240</v>
      </c>
      <c r="E20" s="745">
        <v>43</v>
      </c>
      <c r="F20" s="656">
        <v>357</v>
      </c>
    </row>
    <row r="21" spans="1:6" x14ac:dyDescent="0.3">
      <c r="A21" s="176" t="s">
        <v>320</v>
      </c>
      <c r="B21" s="655">
        <v>74</v>
      </c>
      <c r="C21" s="650">
        <v>0</v>
      </c>
      <c r="D21" s="650">
        <v>240</v>
      </c>
      <c r="E21" s="745">
        <v>43</v>
      </c>
      <c r="F21" s="656">
        <v>357</v>
      </c>
    </row>
    <row r="22" spans="1:6" x14ac:dyDescent="0.3">
      <c r="A22" s="131" t="s">
        <v>325</v>
      </c>
      <c r="B22" s="655">
        <v>74</v>
      </c>
      <c r="C22" s="650">
        <v>0</v>
      </c>
      <c r="D22" s="650">
        <v>240</v>
      </c>
      <c r="E22" s="745">
        <v>43</v>
      </c>
      <c r="F22" s="656">
        <v>357</v>
      </c>
    </row>
    <row r="23" spans="1:6" x14ac:dyDescent="0.3">
      <c r="A23" s="131" t="s">
        <v>326</v>
      </c>
      <c r="B23" s="655">
        <v>74</v>
      </c>
      <c r="C23" s="650">
        <v>0</v>
      </c>
      <c r="D23" s="650">
        <v>240</v>
      </c>
      <c r="E23" s="745">
        <v>42</v>
      </c>
      <c r="F23" s="656">
        <v>356</v>
      </c>
    </row>
    <row r="24" spans="1:6" x14ac:dyDescent="0.3">
      <c r="A24" s="131" t="s">
        <v>328</v>
      </c>
      <c r="B24" s="655">
        <v>74</v>
      </c>
      <c r="C24" s="650">
        <v>0</v>
      </c>
      <c r="D24" s="650">
        <v>240</v>
      </c>
      <c r="E24" s="745">
        <v>42</v>
      </c>
      <c r="F24" s="656">
        <v>356</v>
      </c>
    </row>
    <row r="25" spans="1:6" ht="15" thickBot="1" x14ac:dyDescent="0.35">
      <c r="A25" s="505" t="s">
        <v>412</v>
      </c>
      <c r="B25" s="653">
        <v>74</v>
      </c>
      <c r="C25" s="654">
        <v>0</v>
      </c>
      <c r="D25" s="654">
        <v>240</v>
      </c>
      <c r="E25" s="976">
        <v>42</v>
      </c>
      <c r="F25" s="977">
        <v>356</v>
      </c>
    </row>
    <row r="26" spans="1:6" x14ac:dyDescent="0.3">
      <c r="A26" s="25"/>
      <c r="B26" s="111"/>
      <c r="C26" s="111"/>
      <c r="D26" s="300"/>
      <c r="E26" s="128"/>
      <c r="F26" s="577"/>
    </row>
    <row r="27" spans="1:6" x14ac:dyDescent="0.3">
      <c r="A27" s="1012"/>
      <c r="B27" s="111"/>
      <c r="C27" s="111"/>
      <c r="D27" s="300"/>
      <c r="E27" s="128" t="s">
        <v>94</v>
      </c>
      <c r="F27" s="577"/>
    </row>
    <row r="28" spans="1:6" x14ac:dyDescent="0.3">
      <c r="A28" s="183" t="s">
        <v>208</v>
      </c>
      <c r="B28" s="110" t="s">
        <v>335</v>
      </c>
      <c r="C28" s="110" t="s">
        <v>360</v>
      </c>
      <c r="D28" s="110" t="s">
        <v>361</v>
      </c>
      <c r="E28" s="188" t="s">
        <v>339</v>
      </c>
      <c r="F28" s="389" t="s">
        <v>340</v>
      </c>
    </row>
    <row r="29" spans="1:6" x14ac:dyDescent="0.3">
      <c r="A29" s="176" t="str">
        <f t="shared" ref="A29:A43" si="0">A11</f>
        <v>2011-12</v>
      </c>
      <c r="B29" s="178">
        <f t="shared" ref="B29:E43" si="1">B11/$F11%</f>
        <v>19.892473118279568</v>
      </c>
      <c r="C29" s="178">
        <f t="shared" si="1"/>
        <v>1.075268817204301</v>
      </c>
      <c r="D29" s="178">
        <f t="shared" si="1"/>
        <v>64.784946236559136</v>
      </c>
      <c r="E29" s="178">
        <f t="shared" si="1"/>
        <v>14.247311827956988</v>
      </c>
      <c r="F29" s="399">
        <f t="shared" ref="F29:F35" si="2">SUM(B29:E29)</f>
        <v>100</v>
      </c>
    </row>
    <row r="30" spans="1:6" x14ac:dyDescent="0.3">
      <c r="A30" s="176" t="str">
        <f t="shared" si="0"/>
        <v>2012-13</v>
      </c>
      <c r="B30" s="178">
        <f t="shared" si="1"/>
        <v>20.728291316526612</v>
      </c>
      <c r="C30" s="178">
        <f t="shared" si="1"/>
        <v>1.1204481792717087</v>
      </c>
      <c r="D30" s="178">
        <f t="shared" si="1"/>
        <v>66.106442577030819</v>
      </c>
      <c r="E30" s="178">
        <f t="shared" si="1"/>
        <v>12.044817927170868</v>
      </c>
      <c r="F30" s="399">
        <f t="shared" si="2"/>
        <v>100</v>
      </c>
    </row>
    <row r="31" spans="1:6" x14ac:dyDescent="0.3">
      <c r="A31" s="176" t="str">
        <f t="shared" si="0"/>
        <v>2013-14</v>
      </c>
      <c r="B31" s="178">
        <f t="shared" si="1"/>
        <v>20.728291316526612</v>
      </c>
      <c r="C31" s="178">
        <f t="shared" si="1"/>
        <v>0.84033613445378152</v>
      </c>
      <c r="D31" s="178">
        <f t="shared" si="1"/>
        <v>66.386554621848745</v>
      </c>
      <c r="E31" s="178">
        <f t="shared" si="1"/>
        <v>12.044817927170868</v>
      </c>
      <c r="F31" s="399">
        <f t="shared" si="2"/>
        <v>100</v>
      </c>
    </row>
    <row r="32" spans="1:6" x14ac:dyDescent="0.3">
      <c r="A32" s="176" t="str">
        <f t="shared" si="0"/>
        <v>2014-15</v>
      </c>
      <c r="B32" s="178">
        <f t="shared" si="1"/>
        <v>20.728291316526612</v>
      </c>
      <c r="C32" s="178">
        <f t="shared" si="1"/>
        <v>0</v>
      </c>
      <c r="D32" s="178">
        <f t="shared" si="1"/>
        <v>67.226890756302524</v>
      </c>
      <c r="E32" s="178">
        <f t="shared" si="1"/>
        <v>12.044817927170868</v>
      </c>
      <c r="F32" s="399">
        <f t="shared" si="2"/>
        <v>100</v>
      </c>
    </row>
    <row r="33" spans="1:9" x14ac:dyDescent="0.3">
      <c r="A33" s="176" t="str">
        <f t="shared" si="0"/>
        <v>2015-16</v>
      </c>
      <c r="B33" s="178">
        <f t="shared" si="1"/>
        <v>20.728291316526612</v>
      </c>
      <c r="C33" s="178">
        <f t="shared" si="1"/>
        <v>0</v>
      </c>
      <c r="D33" s="178">
        <f t="shared" si="1"/>
        <v>67.226890756302524</v>
      </c>
      <c r="E33" s="178">
        <f t="shared" si="1"/>
        <v>12.044817927170868</v>
      </c>
      <c r="F33" s="399">
        <f t="shared" si="2"/>
        <v>100</v>
      </c>
    </row>
    <row r="34" spans="1:9" x14ac:dyDescent="0.3">
      <c r="A34" s="176" t="str">
        <f t="shared" si="0"/>
        <v>2016-17</v>
      </c>
      <c r="B34" s="178">
        <f t="shared" si="1"/>
        <v>20.728291316526612</v>
      </c>
      <c r="C34" s="178">
        <f t="shared" si="1"/>
        <v>0</v>
      </c>
      <c r="D34" s="178">
        <f t="shared" si="1"/>
        <v>67.226890756302524</v>
      </c>
      <c r="E34" s="178">
        <f t="shared" si="1"/>
        <v>12.044817927170868</v>
      </c>
      <c r="F34" s="399">
        <f t="shared" si="2"/>
        <v>100</v>
      </c>
    </row>
    <row r="35" spans="1:9" x14ac:dyDescent="0.3">
      <c r="A35" s="176" t="str">
        <f t="shared" si="0"/>
        <v>2017-18</v>
      </c>
      <c r="B35" s="178">
        <f t="shared" si="1"/>
        <v>20.728291316526612</v>
      </c>
      <c r="C35" s="178">
        <f t="shared" si="1"/>
        <v>0</v>
      </c>
      <c r="D35" s="178">
        <f t="shared" si="1"/>
        <v>67.226890756302524</v>
      </c>
      <c r="E35" s="178">
        <f t="shared" si="1"/>
        <v>12.044817927170868</v>
      </c>
      <c r="F35" s="399">
        <f t="shared" si="2"/>
        <v>100</v>
      </c>
    </row>
    <row r="36" spans="1:9" x14ac:dyDescent="0.3">
      <c r="A36" s="176" t="str">
        <f t="shared" si="0"/>
        <v>2018-19</v>
      </c>
      <c r="B36" s="178">
        <f t="shared" si="1"/>
        <v>20.728291316526612</v>
      </c>
      <c r="C36" s="178">
        <f t="shared" si="1"/>
        <v>0</v>
      </c>
      <c r="D36" s="178">
        <f t="shared" si="1"/>
        <v>67.226890756302524</v>
      </c>
      <c r="E36" s="178">
        <f t="shared" si="1"/>
        <v>12.044817927170868</v>
      </c>
      <c r="F36" s="399">
        <f t="shared" ref="F36:F38" si="3">SUM(B36:E36)</f>
        <v>100</v>
      </c>
    </row>
    <row r="37" spans="1:9" x14ac:dyDescent="0.3">
      <c r="A37" s="176" t="str">
        <f t="shared" si="0"/>
        <v>2019-20</v>
      </c>
      <c r="B37" s="178">
        <f t="shared" si="1"/>
        <v>20.728291316526612</v>
      </c>
      <c r="C37" s="178">
        <f t="shared" si="1"/>
        <v>0</v>
      </c>
      <c r="D37" s="178">
        <f t="shared" si="1"/>
        <v>67.226890756302524</v>
      </c>
      <c r="E37" s="178">
        <f t="shared" si="1"/>
        <v>12.044817927170868</v>
      </c>
      <c r="F37" s="399">
        <f t="shared" ref="F37" si="4">SUM(B37:E37)</f>
        <v>100</v>
      </c>
    </row>
    <row r="38" spans="1:9" x14ac:dyDescent="0.3">
      <c r="A38" s="176" t="str">
        <f t="shared" si="0"/>
        <v>2020-21</v>
      </c>
      <c r="B38" s="178">
        <f t="shared" si="1"/>
        <v>20.728291316526612</v>
      </c>
      <c r="C38" s="178">
        <f t="shared" si="1"/>
        <v>0</v>
      </c>
      <c r="D38" s="178">
        <f t="shared" si="1"/>
        <v>67.226890756302524</v>
      </c>
      <c r="E38" s="746">
        <f t="shared" si="1"/>
        <v>12.044817927170868</v>
      </c>
      <c r="F38" s="657">
        <f t="shared" si="3"/>
        <v>100</v>
      </c>
    </row>
    <row r="39" spans="1:9" x14ac:dyDescent="0.3">
      <c r="A39" s="176" t="str">
        <f t="shared" si="0"/>
        <v>2021-22</v>
      </c>
      <c r="B39" s="178">
        <f t="shared" si="1"/>
        <v>20.728291316526612</v>
      </c>
      <c r="C39" s="178">
        <f t="shared" si="1"/>
        <v>0</v>
      </c>
      <c r="D39" s="178">
        <f t="shared" si="1"/>
        <v>67.226890756302524</v>
      </c>
      <c r="E39" s="746">
        <f t="shared" si="1"/>
        <v>12.044817927170868</v>
      </c>
      <c r="F39" s="657">
        <f t="shared" ref="F39" si="5">SUM(B39:E39)</f>
        <v>100</v>
      </c>
    </row>
    <row r="40" spans="1:9" x14ac:dyDescent="0.3">
      <c r="A40" s="176" t="str">
        <f t="shared" si="0"/>
        <v>2022-23</v>
      </c>
      <c r="B40" s="178">
        <f t="shared" si="1"/>
        <v>20.728291316526612</v>
      </c>
      <c r="C40" s="178">
        <f t="shared" si="1"/>
        <v>0</v>
      </c>
      <c r="D40" s="178">
        <f t="shared" si="1"/>
        <v>67.226890756302524</v>
      </c>
      <c r="E40" s="746">
        <f t="shared" si="1"/>
        <v>12.044817927170868</v>
      </c>
      <c r="F40" s="657">
        <f t="shared" ref="F40" si="6">SUM(B40:E40)</f>
        <v>100</v>
      </c>
    </row>
    <row r="41" spans="1:9" x14ac:dyDescent="0.3">
      <c r="A41" s="176" t="str">
        <f t="shared" si="0"/>
        <v>2023-24</v>
      </c>
      <c r="B41" s="178">
        <f t="shared" si="1"/>
        <v>20.786516853932582</v>
      </c>
      <c r="C41" s="178">
        <f t="shared" si="1"/>
        <v>0</v>
      </c>
      <c r="D41" s="178">
        <f t="shared" si="1"/>
        <v>67.415730337078656</v>
      </c>
      <c r="E41" s="746">
        <f t="shared" si="1"/>
        <v>11.797752808988763</v>
      </c>
      <c r="F41" s="657">
        <f t="shared" ref="F41" si="7">SUM(B41:E41)</f>
        <v>100</v>
      </c>
    </row>
    <row r="42" spans="1:9" x14ac:dyDescent="0.3">
      <c r="A42" s="176" t="str">
        <f t="shared" si="0"/>
        <v>2024-25</v>
      </c>
      <c r="B42" s="178">
        <f t="shared" si="1"/>
        <v>20.786516853932582</v>
      </c>
      <c r="C42" s="178">
        <f t="shared" si="1"/>
        <v>0</v>
      </c>
      <c r="D42" s="178">
        <f t="shared" si="1"/>
        <v>67.415730337078656</v>
      </c>
      <c r="E42" s="746">
        <f t="shared" si="1"/>
        <v>11.797752808988763</v>
      </c>
      <c r="F42" s="657">
        <f t="shared" ref="F42" si="8">SUM(B42:E42)</f>
        <v>100</v>
      </c>
    </row>
    <row r="43" spans="1:9" ht="15" thickBot="1" x14ac:dyDescent="0.35">
      <c r="A43" s="184" t="str">
        <f t="shared" si="0"/>
        <v>2025-26</v>
      </c>
      <c r="B43" s="191">
        <f t="shared" si="1"/>
        <v>20.786516853932582</v>
      </c>
      <c r="C43" s="191">
        <f t="shared" si="1"/>
        <v>0</v>
      </c>
      <c r="D43" s="191">
        <f t="shared" si="1"/>
        <v>67.415730337078656</v>
      </c>
      <c r="E43" s="979">
        <f t="shared" si="1"/>
        <v>11.797752808988763</v>
      </c>
      <c r="F43" s="978">
        <f t="shared" ref="F43" si="9">SUM(B43:E43)</f>
        <v>100</v>
      </c>
    </row>
    <row r="44" spans="1:9" x14ac:dyDescent="0.3">
      <c r="A44" s="176"/>
      <c r="B44" s="178"/>
      <c r="C44" s="178"/>
      <c r="D44" s="178"/>
      <c r="E44" s="178"/>
      <c r="F44" s="657"/>
    </row>
    <row r="45" spans="1:9" x14ac:dyDescent="0.3">
      <c r="A45" s="334" t="s">
        <v>329</v>
      </c>
      <c r="B45" s="339"/>
      <c r="C45" s="339"/>
      <c r="D45" s="339"/>
      <c r="E45" s="339"/>
      <c r="F45" s="339"/>
    </row>
    <row r="46" spans="1:9" ht="30" customHeight="1" x14ac:dyDescent="0.3">
      <c r="A46" s="1032" t="s">
        <v>367</v>
      </c>
      <c r="B46" s="1032"/>
      <c r="C46" s="1032"/>
      <c r="D46" s="1032"/>
      <c r="E46" s="1032"/>
      <c r="F46" s="1032"/>
    </row>
    <row r="47" spans="1:9" ht="30" customHeight="1" x14ac:dyDescent="0.3">
      <c r="A47" s="1033" t="s">
        <v>368</v>
      </c>
      <c r="B47" s="1033"/>
      <c r="C47" s="1033"/>
      <c r="D47" s="1033"/>
      <c r="E47" s="1033"/>
      <c r="F47" s="1033"/>
      <c r="G47" s="1033"/>
      <c r="H47" s="1033"/>
    </row>
    <row r="48" spans="1:9" x14ac:dyDescent="0.3">
      <c r="B48" s="568"/>
      <c r="C48" s="568"/>
      <c r="D48" s="568"/>
      <c r="E48" s="568"/>
      <c r="F48" s="568"/>
      <c r="G48" s="568"/>
      <c r="H48" s="568"/>
      <c r="I48" s="568"/>
    </row>
  </sheetData>
  <sheetProtection algorithmName="SHA-512" hashValue="Mi5NVFGOJjlkGzYGUyI+Ip7QjqYWHumZ1CTfIiF8ldvLNuZJn1EWXRaFN4yk4t1WRKaBVXFTZdqZnQEALT8JDA==" saltValue="D1rJr4d39UbUMEpiLaeO8A==" spinCount="100000" sheet="1" formatCells="0" sort="0" autoFilter="0" pivotTables="0"/>
  <mergeCells count="4">
    <mergeCell ref="A47:H47"/>
    <mergeCell ref="A4:F4"/>
    <mergeCell ref="A46:F46"/>
    <mergeCell ref="A1:C1"/>
  </mergeCells>
  <phoneticPr fontId="53" type="noConversion"/>
  <hyperlinks>
    <hyperlink ref="A2" location="'Table of Contents'!A1" display="Back to Table of Contents" xr:uid="{00000000-0004-0000-0900-000000000000}"/>
  </hyperlinks>
  <pageMargins left="0.70866141732283472" right="0.70866141732283472" top="0.74803149606299213" bottom="0.74803149606299213" header="0.31496062992125984" footer="0.31496062992125984"/>
  <pageSetup scale="76"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theme="4" tint="0.59999389629810485"/>
  </sheetPr>
  <dimension ref="A1:E36"/>
  <sheetViews>
    <sheetView topLeftCell="A4" workbookViewId="0">
      <selection activeCell="C13" sqref="C13"/>
    </sheetView>
  </sheetViews>
  <sheetFormatPr defaultRowHeight="14.4" x14ac:dyDescent="0.3"/>
  <cols>
    <col min="1" max="1" width="20" bestFit="1" customWidth="1"/>
    <col min="2" max="2" width="16.77734375" bestFit="1" customWidth="1"/>
    <col min="3" max="3" width="15" bestFit="1" customWidth="1"/>
    <col min="4" max="4" width="15.88671875" bestFit="1" customWidth="1"/>
    <col min="5" max="5" width="11.6640625" bestFit="1" customWidth="1"/>
  </cols>
  <sheetData>
    <row r="1" spans="1:5" x14ac:dyDescent="0.3">
      <c r="A1" s="386" t="s">
        <v>208</v>
      </c>
      <c r="B1" t="s">
        <v>412</v>
      </c>
    </row>
    <row r="3" spans="1:5" x14ac:dyDescent="0.3">
      <c r="A3" s="386" t="s">
        <v>350</v>
      </c>
      <c r="B3" t="s">
        <v>351</v>
      </c>
      <c r="C3" t="s">
        <v>354</v>
      </c>
      <c r="D3" t="s">
        <v>355</v>
      </c>
      <c r="E3" t="s">
        <v>356</v>
      </c>
    </row>
    <row r="4" spans="1:5" x14ac:dyDescent="0.3">
      <c r="A4" s="387" t="s">
        <v>215</v>
      </c>
      <c r="B4">
        <v>3</v>
      </c>
      <c r="C4">
        <v>1</v>
      </c>
      <c r="E4">
        <v>4</v>
      </c>
    </row>
    <row r="5" spans="1:5" x14ac:dyDescent="0.3">
      <c r="A5" s="387" t="s">
        <v>220</v>
      </c>
      <c r="B5">
        <v>1</v>
      </c>
      <c r="C5">
        <v>23</v>
      </c>
      <c r="E5">
        <v>24</v>
      </c>
    </row>
    <row r="6" spans="1:5" x14ac:dyDescent="0.3">
      <c r="A6" s="387" t="s">
        <v>224</v>
      </c>
      <c r="B6">
        <v>1</v>
      </c>
      <c r="C6">
        <v>5</v>
      </c>
      <c r="E6">
        <v>6</v>
      </c>
    </row>
    <row r="7" spans="1:5" x14ac:dyDescent="0.3">
      <c r="A7" s="387" t="s">
        <v>228</v>
      </c>
      <c r="B7">
        <v>2</v>
      </c>
      <c r="C7">
        <v>12</v>
      </c>
      <c r="D7">
        <v>25</v>
      </c>
      <c r="E7">
        <v>39</v>
      </c>
    </row>
    <row r="8" spans="1:5" x14ac:dyDescent="0.3">
      <c r="A8" s="387" t="s">
        <v>234</v>
      </c>
      <c r="B8">
        <v>7</v>
      </c>
      <c r="C8">
        <v>1</v>
      </c>
      <c r="E8">
        <v>8</v>
      </c>
    </row>
    <row r="9" spans="1:5" x14ac:dyDescent="0.3">
      <c r="A9" s="387" t="s">
        <v>240</v>
      </c>
      <c r="B9">
        <v>1</v>
      </c>
      <c r="C9">
        <v>1</v>
      </c>
      <c r="E9">
        <v>2</v>
      </c>
    </row>
    <row r="10" spans="1:5" x14ac:dyDescent="0.3">
      <c r="A10" s="387" t="s">
        <v>244</v>
      </c>
      <c r="B10">
        <v>1</v>
      </c>
      <c r="C10">
        <v>15</v>
      </c>
      <c r="D10">
        <v>1</v>
      </c>
      <c r="E10">
        <v>17</v>
      </c>
    </row>
    <row r="11" spans="1:5" x14ac:dyDescent="0.3">
      <c r="A11" s="387" t="s">
        <v>247</v>
      </c>
      <c r="B11">
        <v>4</v>
      </c>
      <c r="E11">
        <v>4</v>
      </c>
    </row>
    <row r="12" spans="1:5" x14ac:dyDescent="0.3">
      <c r="A12" s="387" t="s">
        <v>249</v>
      </c>
      <c r="B12">
        <v>1</v>
      </c>
      <c r="C12">
        <v>7</v>
      </c>
      <c r="E12">
        <v>8</v>
      </c>
    </row>
    <row r="13" spans="1:5" x14ac:dyDescent="0.3">
      <c r="A13" s="387" t="s">
        <v>253</v>
      </c>
      <c r="B13">
        <v>3</v>
      </c>
      <c r="E13">
        <v>3</v>
      </c>
    </row>
    <row r="14" spans="1:5" x14ac:dyDescent="0.3">
      <c r="A14" s="387" t="s">
        <v>255</v>
      </c>
      <c r="B14">
        <v>1</v>
      </c>
      <c r="C14">
        <v>5</v>
      </c>
      <c r="E14">
        <v>6</v>
      </c>
    </row>
    <row r="15" spans="1:5" x14ac:dyDescent="0.3">
      <c r="A15" s="387" t="s">
        <v>259</v>
      </c>
      <c r="B15">
        <v>2</v>
      </c>
      <c r="E15">
        <v>2</v>
      </c>
    </row>
    <row r="16" spans="1:5" x14ac:dyDescent="0.3">
      <c r="A16" s="387" t="s">
        <v>263</v>
      </c>
      <c r="B16">
        <v>3</v>
      </c>
      <c r="C16">
        <v>2</v>
      </c>
      <c r="E16">
        <v>5</v>
      </c>
    </row>
    <row r="17" spans="1:5" x14ac:dyDescent="0.3">
      <c r="A17" s="387" t="s">
        <v>267</v>
      </c>
      <c r="B17">
        <v>5</v>
      </c>
      <c r="C17">
        <v>8</v>
      </c>
      <c r="E17">
        <v>13</v>
      </c>
    </row>
    <row r="18" spans="1:5" x14ac:dyDescent="0.3">
      <c r="A18" s="387" t="s">
        <v>270</v>
      </c>
      <c r="B18">
        <v>11</v>
      </c>
      <c r="E18">
        <v>11</v>
      </c>
    </row>
    <row r="19" spans="1:5" x14ac:dyDescent="0.3">
      <c r="A19" s="387" t="s">
        <v>273</v>
      </c>
      <c r="B19">
        <v>1</v>
      </c>
      <c r="C19">
        <v>51</v>
      </c>
      <c r="D19">
        <v>9</v>
      </c>
      <c r="E19">
        <v>61</v>
      </c>
    </row>
    <row r="20" spans="1:5" x14ac:dyDescent="0.3">
      <c r="A20" s="387" t="s">
        <v>277</v>
      </c>
      <c r="B20">
        <v>2</v>
      </c>
      <c r="C20">
        <v>1</v>
      </c>
      <c r="E20">
        <v>3</v>
      </c>
    </row>
    <row r="21" spans="1:5" x14ac:dyDescent="0.3">
      <c r="A21" s="387" t="s">
        <v>279</v>
      </c>
      <c r="B21">
        <v>1</v>
      </c>
      <c r="C21">
        <v>1</v>
      </c>
      <c r="E21">
        <v>2</v>
      </c>
    </row>
    <row r="22" spans="1:5" x14ac:dyDescent="0.3">
      <c r="A22" s="387" t="s">
        <v>281</v>
      </c>
      <c r="B22">
        <v>1</v>
      </c>
      <c r="C22">
        <v>10</v>
      </c>
      <c r="D22">
        <v>1</v>
      </c>
      <c r="E22">
        <v>12</v>
      </c>
    </row>
    <row r="23" spans="1:5" x14ac:dyDescent="0.3">
      <c r="A23" s="387" t="s">
        <v>283</v>
      </c>
      <c r="C23">
        <v>14</v>
      </c>
      <c r="E23">
        <v>14</v>
      </c>
    </row>
    <row r="24" spans="1:5" x14ac:dyDescent="0.3">
      <c r="A24" s="387" t="s">
        <v>287</v>
      </c>
      <c r="B24">
        <v>3</v>
      </c>
      <c r="C24">
        <v>8</v>
      </c>
      <c r="D24">
        <v>3</v>
      </c>
      <c r="E24">
        <v>14</v>
      </c>
    </row>
    <row r="25" spans="1:5" x14ac:dyDescent="0.3">
      <c r="A25" s="387" t="s">
        <v>289</v>
      </c>
      <c r="B25">
        <v>4</v>
      </c>
      <c r="C25">
        <v>3</v>
      </c>
      <c r="E25">
        <v>7</v>
      </c>
    </row>
    <row r="26" spans="1:5" x14ac:dyDescent="0.3">
      <c r="A26" s="387" t="s">
        <v>292</v>
      </c>
      <c r="C26">
        <v>12</v>
      </c>
      <c r="E26">
        <v>12</v>
      </c>
    </row>
    <row r="27" spans="1:5" x14ac:dyDescent="0.3">
      <c r="A27" s="387" t="s">
        <v>294</v>
      </c>
      <c r="B27">
        <v>1</v>
      </c>
      <c r="C27">
        <v>10</v>
      </c>
      <c r="D27">
        <v>3</v>
      </c>
      <c r="E27">
        <v>14</v>
      </c>
    </row>
    <row r="28" spans="1:5" x14ac:dyDescent="0.3">
      <c r="A28" s="387" t="s">
        <v>296</v>
      </c>
      <c r="B28">
        <v>3</v>
      </c>
      <c r="E28">
        <v>3</v>
      </c>
    </row>
    <row r="29" spans="1:5" x14ac:dyDescent="0.3">
      <c r="A29" s="387" t="s">
        <v>298</v>
      </c>
      <c r="B29">
        <v>2</v>
      </c>
      <c r="C29">
        <v>11</v>
      </c>
      <c r="E29">
        <v>13</v>
      </c>
    </row>
    <row r="30" spans="1:5" x14ac:dyDescent="0.3">
      <c r="A30" s="387" t="s">
        <v>300</v>
      </c>
      <c r="C30">
        <v>14</v>
      </c>
      <c r="E30">
        <v>14</v>
      </c>
    </row>
    <row r="31" spans="1:5" x14ac:dyDescent="0.3">
      <c r="A31" s="387" t="s">
        <v>302</v>
      </c>
      <c r="B31">
        <v>1</v>
      </c>
      <c r="C31">
        <v>4</v>
      </c>
      <c r="E31">
        <v>5</v>
      </c>
    </row>
    <row r="32" spans="1:5" x14ac:dyDescent="0.3">
      <c r="A32" s="387" t="s">
        <v>304</v>
      </c>
      <c r="B32">
        <v>4</v>
      </c>
      <c r="C32">
        <v>7</v>
      </c>
      <c r="E32">
        <v>11</v>
      </c>
    </row>
    <row r="33" spans="1:5" x14ac:dyDescent="0.3">
      <c r="A33" s="387" t="s">
        <v>307</v>
      </c>
      <c r="B33">
        <v>1</v>
      </c>
      <c r="C33">
        <v>9</v>
      </c>
      <c r="E33">
        <v>10</v>
      </c>
    </row>
    <row r="34" spans="1:5" x14ac:dyDescent="0.3">
      <c r="A34" s="387" t="s">
        <v>309</v>
      </c>
      <c r="B34">
        <v>2</v>
      </c>
      <c r="C34">
        <v>1</v>
      </c>
      <c r="E34">
        <v>3</v>
      </c>
    </row>
    <row r="35" spans="1:5" x14ac:dyDescent="0.3">
      <c r="A35" s="387" t="s">
        <v>311</v>
      </c>
      <c r="B35">
        <v>2</v>
      </c>
      <c r="C35">
        <v>4</v>
      </c>
      <c r="E35">
        <v>6</v>
      </c>
    </row>
    <row r="36" spans="1:5" x14ac:dyDescent="0.3">
      <c r="A36" s="387" t="s">
        <v>357</v>
      </c>
      <c r="B36">
        <v>74</v>
      </c>
      <c r="C36">
        <v>240</v>
      </c>
      <c r="D36">
        <v>42</v>
      </c>
      <c r="E36">
        <v>356</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theme="4" tint="0.59999389629810485"/>
  </sheetPr>
  <dimension ref="A1:F385"/>
  <sheetViews>
    <sheetView topLeftCell="A373" workbookViewId="0">
      <selection activeCell="E382" sqref="E382"/>
    </sheetView>
  </sheetViews>
  <sheetFormatPr defaultRowHeight="14.4" x14ac:dyDescent="0.3"/>
  <cols>
    <col min="2" max="2" width="20.44140625" bestFit="1" customWidth="1"/>
    <col min="3" max="3" width="16.44140625" bestFit="1" customWidth="1"/>
    <col min="4" max="4" width="14.5546875" bestFit="1" customWidth="1"/>
    <col min="5" max="5" width="15.5546875" bestFit="1" customWidth="1"/>
  </cols>
  <sheetData>
    <row r="1" spans="1:6" x14ac:dyDescent="0.3">
      <c r="A1" t="s">
        <v>208</v>
      </c>
      <c r="B1" t="s">
        <v>358</v>
      </c>
      <c r="C1" s="644" t="s">
        <v>335</v>
      </c>
      <c r="D1" s="644" t="s">
        <v>338</v>
      </c>
      <c r="E1" s="644" t="s">
        <v>339</v>
      </c>
      <c r="F1" s="645" t="s">
        <v>340</v>
      </c>
    </row>
    <row r="2" spans="1:6" x14ac:dyDescent="0.3">
      <c r="A2" t="s">
        <v>365</v>
      </c>
      <c r="B2" s="387" t="s">
        <v>215</v>
      </c>
      <c r="C2">
        <v>3</v>
      </c>
      <c r="D2">
        <v>1</v>
      </c>
      <c r="F2">
        <f t="shared" ref="F2:F65" si="0">SUM(C2:E2)</f>
        <v>4</v>
      </c>
    </row>
    <row r="3" spans="1:6" x14ac:dyDescent="0.3">
      <c r="A3" t="s">
        <v>365</v>
      </c>
      <c r="B3" s="387" t="s">
        <v>220</v>
      </c>
      <c r="C3">
        <v>1</v>
      </c>
      <c r="D3">
        <v>23</v>
      </c>
      <c r="F3">
        <f t="shared" si="0"/>
        <v>24</v>
      </c>
    </row>
    <row r="4" spans="1:6" x14ac:dyDescent="0.3">
      <c r="A4" t="s">
        <v>365</v>
      </c>
      <c r="B4" s="387" t="s">
        <v>224</v>
      </c>
      <c r="C4">
        <v>1</v>
      </c>
      <c r="D4">
        <v>5</v>
      </c>
      <c r="F4">
        <f t="shared" si="0"/>
        <v>6</v>
      </c>
    </row>
    <row r="5" spans="1:6" x14ac:dyDescent="0.3">
      <c r="A5" t="s">
        <v>365</v>
      </c>
      <c r="B5" s="387" t="s">
        <v>228</v>
      </c>
      <c r="C5">
        <v>2</v>
      </c>
      <c r="D5">
        <v>12</v>
      </c>
      <c r="E5">
        <v>25</v>
      </c>
      <c r="F5">
        <f t="shared" si="0"/>
        <v>39</v>
      </c>
    </row>
    <row r="6" spans="1:6" x14ac:dyDescent="0.3">
      <c r="A6" t="s">
        <v>365</v>
      </c>
      <c r="B6" s="387" t="s">
        <v>234</v>
      </c>
      <c r="C6">
        <v>7</v>
      </c>
      <c r="D6">
        <v>1</v>
      </c>
      <c r="F6">
        <f t="shared" si="0"/>
        <v>8</v>
      </c>
    </row>
    <row r="7" spans="1:6" x14ac:dyDescent="0.3">
      <c r="A7" t="s">
        <v>365</v>
      </c>
      <c r="B7" s="387" t="s">
        <v>240</v>
      </c>
      <c r="C7">
        <v>1</v>
      </c>
      <c r="D7">
        <v>1</v>
      </c>
      <c r="F7">
        <f t="shared" si="0"/>
        <v>2</v>
      </c>
    </row>
    <row r="8" spans="1:6" x14ac:dyDescent="0.3">
      <c r="A8" t="s">
        <v>365</v>
      </c>
      <c r="B8" s="387" t="s">
        <v>244</v>
      </c>
      <c r="C8">
        <v>1</v>
      </c>
      <c r="D8">
        <v>15</v>
      </c>
      <c r="E8">
        <v>1</v>
      </c>
      <c r="F8">
        <f t="shared" si="0"/>
        <v>17</v>
      </c>
    </row>
    <row r="9" spans="1:6" x14ac:dyDescent="0.3">
      <c r="A9" t="s">
        <v>365</v>
      </c>
      <c r="B9" s="387" t="s">
        <v>247</v>
      </c>
      <c r="C9">
        <v>4</v>
      </c>
      <c r="F9">
        <f t="shared" si="0"/>
        <v>4</v>
      </c>
    </row>
    <row r="10" spans="1:6" x14ac:dyDescent="0.3">
      <c r="A10" t="s">
        <v>365</v>
      </c>
      <c r="B10" s="387" t="s">
        <v>249</v>
      </c>
      <c r="C10">
        <v>1</v>
      </c>
      <c r="D10">
        <v>7</v>
      </c>
      <c r="F10">
        <f t="shared" si="0"/>
        <v>8</v>
      </c>
    </row>
    <row r="11" spans="1:6" x14ac:dyDescent="0.3">
      <c r="A11" t="s">
        <v>365</v>
      </c>
      <c r="B11" s="387" t="s">
        <v>253</v>
      </c>
      <c r="C11">
        <v>3</v>
      </c>
      <c r="F11">
        <f t="shared" si="0"/>
        <v>3</v>
      </c>
    </row>
    <row r="12" spans="1:6" x14ac:dyDescent="0.3">
      <c r="A12" t="s">
        <v>365</v>
      </c>
      <c r="B12" s="387" t="s">
        <v>255</v>
      </c>
      <c r="C12">
        <v>1</v>
      </c>
      <c r="D12">
        <v>5</v>
      </c>
      <c r="F12">
        <f t="shared" si="0"/>
        <v>6</v>
      </c>
    </row>
    <row r="13" spans="1:6" x14ac:dyDescent="0.3">
      <c r="A13" t="s">
        <v>365</v>
      </c>
      <c r="B13" s="387" t="s">
        <v>259</v>
      </c>
      <c r="C13">
        <v>2</v>
      </c>
      <c r="F13">
        <f t="shared" si="0"/>
        <v>2</v>
      </c>
    </row>
    <row r="14" spans="1:6" x14ac:dyDescent="0.3">
      <c r="A14" t="s">
        <v>365</v>
      </c>
      <c r="B14" s="387" t="s">
        <v>263</v>
      </c>
      <c r="C14">
        <v>3</v>
      </c>
      <c r="D14">
        <v>2</v>
      </c>
      <c r="F14">
        <f t="shared" si="0"/>
        <v>5</v>
      </c>
    </row>
    <row r="15" spans="1:6" x14ac:dyDescent="0.3">
      <c r="A15" t="s">
        <v>365</v>
      </c>
      <c r="B15" s="387" t="s">
        <v>267</v>
      </c>
      <c r="C15">
        <v>5</v>
      </c>
      <c r="D15">
        <v>8</v>
      </c>
      <c r="F15">
        <f t="shared" si="0"/>
        <v>13</v>
      </c>
    </row>
    <row r="16" spans="1:6" x14ac:dyDescent="0.3">
      <c r="A16" t="s">
        <v>365</v>
      </c>
      <c r="B16" s="387" t="s">
        <v>270</v>
      </c>
      <c r="C16">
        <v>11</v>
      </c>
      <c r="F16">
        <f t="shared" si="0"/>
        <v>11</v>
      </c>
    </row>
    <row r="17" spans="1:6" x14ac:dyDescent="0.3">
      <c r="A17" t="s">
        <v>365</v>
      </c>
      <c r="B17" s="387" t="s">
        <v>273</v>
      </c>
      <c r="C17">
        <v>1</v>
      </c>
      <c r="D17">
        <v>51</v>
      </c>
      <c r="E17">
        <v>9</v>
      </c>
      <c r="F17">
        <f t="shared" si="0"/>
        <v>61</v>
      </c>
    </row>
    <row r="18" spans="1:6" x14ac:dyDescent="0.3">
      <c r="A18" t="s">
        <v>365</v>
      </c>
      <c r="B18" s="387" t="s">
        <v>277</v>
      </c>
      <c r="C18">
        <v>2</v>
      </c>
      <c r="D18">
        <v>1</v>
      </c>
      <c r="F18">
        <f t="shared" si="0"/>
        <v>3</v>
      </c>
    </row>
    <row r="19" spans="1:6" x14ac:dyDescent="0.3">
      <c r="A19" t="s">
        <v>365</v>
      </c>
      <c r="B19" s="387" t="s">
        <v>279</v>
      </c>
      <c r="C19">
        <v>1</v>
      </c>
      <c r="D19">
        <v>1</v>
      </c>
      <c r="F19">
        <f t="shared" si="0"/>
        <v>2</v>
      </c>
    </row>
    <row r="20" spans="1:6" x14ac:dyDescent="0.3">
      <c r="A20" t="s">
        <v>365</v>
      </c>
      <c r="B20" s="387" t="s">
        <v>281</v>
      </c>
      <c r="C20">
        <v>1</v>
      </c>
      <c r="D20">
        <v>10</v>
      </c>
      <c r="E20">
        <v>1</v>
      </c>
      <c r="F20">
        <f t="shared" si="0"/>
        <v>12</v>
      </c>
    </row>
    <row r="21" spans="1:6" x14ac:dyDescent="0.3">
      <c r="A21" t="s">
        <v>365</v>
      </c>
      <c r="B21" s="387" t="s">
        <v>283</v>
      </c>
      <c r="D21">
        <v>14</v>
      </c>
      <c r="F21">
        <f t="shared" si="0"/>
        <v>14</v>
      </c>
    </row>
    <row r="22" spans="1:6" x14ac:dyDescent="0.3">
      <c r="A22" t="s">
        <v>365</v>
      </c>
      <c r="B22" s="387" t="s">
        <v>287</v>
      </c>
      <c r="C22">
        <v>3</v>
      </c>
      <c r="D22">
        <v>8</v>
      </c>
      <c r="E22">
        <v>3</v>
      </c>
      <c r="F22">
        <f t="shared" si="0"/>
        <v>14</v>
      </c>
    </row>
    <row r="23" spans="1:6" x14ac:dyDescent="0.3">
      <c r="A23" t="s">
        <v>365</v>
      </c>
      <c r="B23" s="387" t="s">
        <v>289</v>
      </c>
      <c r="C23">
        <v>4</v>
      </c>
      <c r="D23">
        <v>3</v>
      </c>
      <c r="F23">
        <f t="shared" si="0"/>
        <v>7</v>
      </c>
    </row>
    <row r="24" spans="1:6" x14ac:dyDescent="0.3">
      <c r="A24" t="s">
        <v>365</v>
      </c>
      <c r="B24" s="387" t="s">
        <v>292</v>
      </c>
      <c r="D24">
        <v>12</v>
      </c>
      <c r="F24">
        <f t="shared" si="0"/>
        <v>12</v>
      </c>
    </row>
    <row r="25" spans="1:6" x14ac:dyDescent="0.3">
      <c r="A25" t="s">
        <v>365</v>
      </c>
      <c r="B25" s="387" t="s">
        <v>294</v>
      </c>
      <c r="C25">
        <v>1</v>
      </c>
      <c r="D25">
        <v>10</v>
      </c>
      <c r="E25">
        <v>3</v>
      </c>
      <c r="F25">
        <f t="shared" si="0"/>
        <v>14</v>
      </c>
    </row>
    <row r="26" spans="1:6" x14ac:dyDescent="0.3">
      <c r="A26" t="s">
        <v>365</v>
      </c>
      <c r="B26" s="387" t="s">
        <v>296</v>
      </c>
      <c r="C26">
        <v>3</v>
      </c>
      <c r="F26">
        <f t="shared" si="0"/>
        <v>3</v>
      </c>
    </row>
    <row r="27" spans="1:6" x14ac:dyDescent="0.3">
      <c r="A27" t="s">
        <v>365</v>
      </c>
      <c r="B27" s="387" t="s">
        <v>298</v>
      </c>
      <c r="C27">
        <v>2</v>
      </c>
      <c r="D27">
        <v>11</v>
      </c>
      <c r="F27">
        <f t="shared" si="0"/>
        <v>13</v>
      </c>
    </row>
    <row r="28" spans="1:6" x14ac:dyDescent="0.3">
      <c r="A28" t="s">
        <v>365</v>
      </c>
      <c r="B28" s="387" t="s">
        <v>300</v>
      </c>
      <c r="D28">
        <v>14</v>
      </c>
      <c r="F28">
        <f t="shared" si="0"/>
        <v>14</v>
      </c>
    </row>
    <row r="29" spans="1:6" x14ac:dyDescent="0.3">
      <c r="A29" t="s">
        <v>365</v>
      </c>
      <c r="B29" s="387" t="s">
        <v>302</v>
      </c>
      <c r="C29">
        <v>1</v>
      </c>
      <c r="D29">
        <v>4</v>
      </c>
      <c r="F29">
        <f t="shared" si="0"/>
        <v>5</v>
      </c>
    </row>
    <row r="30" spans="1:6" x14ac:dyDescent="0.3">
      <c r="A30" t="s">
        <v>365</v>
      </c>
      <c r="B30" s="387" t="s">
        <v>304</v>
      </c>
      <c r="C30">
        <v>4</v>
      </c>
      <c r="D30">
        <v>7</v>
      </c>
      <c r="E30">
        <v>1</v>
      </c>
      <c r="F30">
        <f t="shared" si="0"/>
        <v>12</v>
      </c>
    </row>
    <row r="31" spans="1:6" x14ac:dyDescent="0.3">
      <c r="A31" t="s">
        <v>365</v>
      </c>
      <c r="B31" s="387" t="s">
        <v>307</v>
      </c>
      <c r="C31">
        <v>1</v>
      </c>
      <c r="D31">
        <v>9</v>
      </c>
      <c r="F31">
        <f t="shared" si="0"/>
        <v>10</v>
      </c>
    </row>
    <row r="32" spans="1:6" x14ac:dyDescent="0.3">
      <c r="A32" t="s">
        <v>365</v>
      </c>
      <c r="B32" s="387" t="s">
        <v>309</v>
      </c>
      <c r="C32">
        <v>2</v>
      </c>
      <c r="D32">
        <v>1</v>
      </c>
      <c r="F32">
        <f t="shared" si="0"/>
        <v>3</v>
      </c>
    </row>
    <row r="33" spans="1:6" x14ac:dyDescent="0.3">
      <c r="A33" t="s">
        <v>365</v>
      </c>
      <c r="B33" s="387" t="s">
        <v>311</v>
      </c>
      <c r="C33">
        <v>2</v>
      </c>
      <c r="D33">
        <v>4</v>
      </c>
      <c r="F33">
        <f t="shared" si="0"/>
        <v>6</v>
      </c>
    </row>
    <row r="34" spans="1:6" x14ac:dyDescent="0.3">
      <c r="A34" t="s">
        <v>366</v>
      </c>
      <c r="B34" s="387" t="s">
        <v>215</v>
      </c>
      <c r="C34">
        <v>3</v>
      </c>
      <c r="D34">
        <v>1</v>
      </c>
      <c r="F34">
        <f t="shared" si="0"/>
        <v>4</v>
      </c>
    </row>
    <row r="35" spans="1:6" x14ac:dyDescent="0.3">
      <c r="A35" t="s">
        <v>366</v>
      </c>
      <c r="B35" s="387" t="s">
        <v>220</v>
      </c>
      <c r="C35">
        <v>1</v>
      </c>
      <c r="D35">
        <v>23</v>
      </c>
      <c r="F35">
        <f t="shared" si="0"/>
        <v>24</v>
      </c>
    </row>
    <row r="36" spans="1:6" x14ac:dyDescent="0.3">
      <c r="A36" t="s">
        <v>366</v>
      </c>
      <c r="B36" s="387" t="s">
        <v>224</v>
      </c>
      <c r="C36">
        <v>1</v>
      </c>
      <c r="D36">
        <v>5</v>
      </c>
      <c r="F36">
        <f t="shared" si="0"/>
        <v>6</v>
      </c>
    </row>
    <row r="37" spans="1:6" x14ac:dyDescent="0.3">
      <c r="A37" t="s">
        <v>366</v>
      </c>
      <c r="B37" s="387" t="s">
        <v>228</v>
      </c>
      <c r="C37">
        <v>2</v>
      </c>
      <c r="D37">
        <v>12</v>
      </c>
      <c r="E37">
        <v>25</v>
      </c>
      <c r="F37">
        <f t="shared" si="0"/>
        <v>39</v>
      </c>
    </row>
    <row r="38" spans="1:6" x14ac:dyDescent="0.3">
      <c r="A38" t="s">
        <v>366</v>
      </c>
      <c r="B38" s="387" t="s">
        <v>234</v>
      </c>
      <c r="C38">
        <v>7</v>
      </c>
      <c r="D38">
        <v>1</v>
      </c>
      <c r="F38">
        <f t="shared" si="0"/>
        <v>8</v>
      </c>
    </row>
    <row r="39" spans="1:6" x14ac:dyDescent="0.3">
      <c r="A39" t="s">
        <v>366</v>
      </c>
      <c r="B39" s="387" t="s">
        <v>240</v>
      </c>
      <c r="C39">
        <v>1</v>
      </c>
      <c r="D39">
        <v>1</v>
      </c>
      <c r="F39">
        <f t="shared" si="0"/>
        <v>2</v>
      </c>
    </row>
    <row r="40" spans="1:6" x14ac:dyDescent="0.3">
      <c r="A40" t="s">
        <v>366</v>
      </c>
      <c r="B40" s="387" t="s">
        <v>244</v>
      </c>
      <c r="C40">
        <v>1</v>
      </c>
      <c r="D40">
        <v>15</v>
      </c>
      <c r="E40">
        <v>1</v>
      </c>
      <c r="F40">
        <f t="shared" si="0"/>
        <v>17</v>
      </c>
    </row>
    <row r="41" spans="1:6" x14ac:dyDescent="0.3">
      <c r="A41" t="s">
        <v>366</v>
      </c>
      <c r="B41" s="387" t="s">
        <v>247</v>
      </c>
      <c r="C41">
        <v>4</v>
      </c>
      <c r="F41">
        <f t="shared" si="0"/>
        <v>4</v>
      </c>
    </row>
    <row r="42" spans="1:6" x14ac:dyDescent="0.3">
      <c r="A42" t="s">
        <v>366</v>
      </c>
      <c r="B42" s="387" t="s">
        <v>249</v>
      </c>
      <c r="C42">
        <v>1</v>
      </c>
      <c r="D42">
        <v>7</v>
      </c>
      <c r="F42">
        <f t="shared" si="0"/>
        <v>8</v>
      </c>
    </row>
    <row r="43" spans="1:6" x14ac:dyDescent="0.3">
      <c r="A43" t="s">
        <v>366</v>
      </c>
      <c r="B43" s="387" t="s">
        <v>253</v>
      </c>
      <c r="C43">
        <v>3</v>
      </c>
      <c r="F43">
        <f t="shared" si="0"/>
        <v>3</v>
      </c>
    </row>
    <row r="44" spans="1:6" x14ac:dyDescent="0.3">
      <c r="A44" t="s">
        <v>366</v>
      </c>
      <c r="B44" s="387" t="s">
        <v>255</v>
      </c>
      <c r="C44">
        <v>1</v>
      </c>
      <c r="D44">
        <v>5</v>
      </c>
      <c r="F44">
        <f t="shared" si="0"/>
        <v>6</v>
      </c>
    </row>
    <row r="45" spans="1:6" x14ac:dyDescent="0.3">
      <c r="A45" t="s">
        <v>366</v>
      </c>
      <c r="B45" s="387" t="s">
        <v>259</v>
      </c>
      <c r="C45">
        <v>2</v>
      </c>
      <c r="F45">
        <f t="shared" si="0"/>
        <v>2</v>
      </c>
    </row>
    <row r="46" spans="1:6" x14ac:dyDescent="0.3">
      <c r="A46" t="s">
        <v>366</v>
      </c>
      <c r="B46" s="387" t="s">
        <v>263</v>
      </c>
      <c r="C46">
        <v>3</v>
      </c>
      <c r="D46">
        <v>2</v>
      </c>
      <c r="F46">
        <f t="shared" si="0"/>
        <v>5</v>
      </c>
    </row>
    <row r="47" spans="1:6" x14ac:dyDescent="0.3">
      <c r="A47" t="s">
        <v>366</v>
      </c>
      <c r="B47" s="387" t="s">
        <v>267</v>
      </c>
      <c r="C47">
        <v>5</v>
      </c>
      <c r="D47">
        <v>8</v>
      </c>
      <c r="F47">
        <f t="shared" si="0"/>
        <v>13</v>
      </c>
    </row>
    <row r="48" spans="1:6" x14ac:dyDescent="0.3">
      <c r="A48" t="s">
        <v>366</v>
      </c>
      <c r="B48" s="387" t="s">
        <v>270</v>
      </c>
      <c r="C48">
        <v>11</v>
      </c>
      <c r="F48">
        <f t="shared" si="0"/>
        <v>11</v>
      </c>
    </row>
    <row r="49" spans="1:6" x14ac:dyDescent="0.3">
      <c r="A49" t="s">
        <v>366</v>
      </c>
      <c r="B49" s="387" t="s">
        <v>273</v>
      </c>
      <c r="C49">
        <v>1</v>
      </c>
      <c r="D49">
        <v>51</v>
      </c>
      <c r="E49">
        <v>9</v>
      </c>
      <c r="F49">
        <f t="shared" si="0"/>
        <v>61</v>
      </c>
    </row>
    <row r="50" spans="1:6" x14ac:dyDescent="0.3">
      <c r="A50" t="s">
        <v>366</v>
      </c>
      <c r="B50" s="387" t="s">
        <v>277</v>
      </c>
      <c r="C50">
        <v>2</v>
      </c>
      <c r="D50">
        <v>1</v>
      </c>
      <c r="F50">
        <f t="shared" si="0"/>
        <v>3</v>
      </c>
    </row>
    <row r="51" spans="1:6" x14ac:dyDescent="0.3">
      <c r="A51" t="s">
        <v>366</v>
      </c>
      <c r="B51" s="387" t="s">
        <v>279</v>
      </c>
      <c r="C51">
        <v>1</v>
      </c>
      <c r="D51">
        <v>1</v>
      </c>
      <c r="F51">
        <f t="shared" si="0"/>
        <v>2</v>
      </c>
    </row>
    <row r="52" spans="1:6" x14ac:dyDescent="0.3">
      <c r="A52" t="s">
        <v>366</v>
      </c>
      <c r="B52" s="387" t="s">
        <v>281</v>
      </c>
      <c r="C52">
        <v>1</v>
      </c>
      <c r="D52">
        <v>10</v>
      </c>
      <c r="E52">
        <v>1</v>
      </c>
      <c r="F52">
        <f t="shared" si="0"/>
        <v>12</v>
      </c>
    </row>
    <row r="53" spans="1:6" x14ac:dyDescent="0.3">
      <c r="A53" t="s">
        <v>366</v>
      </c>
      <c r="B53" s="387" t="s">
        <v>283</v>
      </c>
      <c r="D53">
        <v>14</v>
      </c>
      <c r="F53">
        <f t="shared" si="0"/>
        <v>14</v>
      </c>
    </row>
    <row r="54" spans="1:6" x14ac:dyDescent="0.3">
      <c r="A54" t="s">
        <v>366</v>
      </c>
      <c r="B54" s="387" t="s">
        <v>287</v>
      </c>
      <c r="C54">
        <v>3</v>
      </c>
      <c r="D54">
        <v>8</v>
      </c>
      <c r="E54">
        <v>3</v>
      </c>
      <c r="F54">
        <f t="shared" si="0"/>
        <v>14</v>
      </c>
    </row>
    <row r="55" spans="1:6" x14ac:dyDescent="0.3">
      <c r="A55" t="s">
        <v>366</v>
      </c>
      <c r="B55" s="387" t="s">
        <v>289</v>
      </c>
      <c r="C55">
        <v>4</v>
      </c>
      <c r="D55">
        <v>3</v>
      </c>
      <c r="F55">
        <f t="shared" si="0"/>
        <v>7</v>
      </c>
    </row>
    <row r="56" spans="1:6" x14ac:dyDescent="0.3">
      <c r="A56" t="s">
        <v>366</v>
      </c>
      <c r="B56" s="387" t="s">
        <v>292</v>
      </c>
      <c r="D56">
        <v>12</v>
      </c>
      <c r="F56">
        <f t="shared" si="0"/>
        <v>12</v>
      </c>
    </row>
    <row r="57" spans="1:6" x14ac:dyDescent="0.3">
      <c r="A57" t="s">
        <v>366</v>
      </c>
      <c r="B57" s="387" t="s">
        <v>294</v>
      </c>
      <c r="C57">
        <v>1</v>
      </c>
      <c r="D57">
        <v>10</v>
      </c>
      <c r="E57">
        <v>3</v>
      </c>
      <c r="F57">
        <f t="shared" si="0"/>
        <v>14</v>
      </c>
    </row>
    <row r="58" spans="1:6" x14ac:dyDescent="0.3">
      <c r="A58" t="s">
        <v>366</v>
      </c>
      <c r="B58" s="387" t="s">
        <v>296</v>
      </c>
      <c r="C58">
        <v>3</v>
      </c>
      <c r="F58">
        <f t="shared" si="0"/>
        <v>3</v>
      </c>
    </row>
    <row r="59" spans="1:6" x14ac:dyDescent="0.3">
      <c r="A59" t="s">
        <v>366</v>
      </c>
      <c r="B59" s="387" t="s">
        <v>298</v>
      </c>
      <c r="C59">
        <v>2</v>
      </c>
      <c r="D59">
        <v>11</v>
      </c>
      <c r="F59">
        <f t="shared" si="0"/>
        <v>13</v>
      </c>
    </row>
    <row r="60" spans="1:6" x14ac:dyDescent="0.3">
      <c r="A60" t="s">
        <v>366</v>
      </c>
      <c r="B60" s="387" t="s">
        <v>300</v>
      </c>
      <c r="D60">
        <v>14</v>
      </c>
      <c r="F60">
        <f t="shared" si="0"/>
        <v>14</v>
      </c>
    </row>
    <row r="61" spans="1:6" x14ac:dyDescent="0.3">
      <c r="A61" t="s">
        <v>366</v>
      </c>
      <c r="B61" s="387" t="s">
        <v>302</v>
      </c>
      <c r="C61">
        <v>1</v>
      </c>
      <c r="D61">
        <v>4</v>
      </c>
      <c r="F61">
        <f t="shared" si="0"/>
        <v>5</v>
      </c>
    </row>
    <row r="62" spans="1:6" x14ac:dyDescent="0.3">
      <c r="A62" t="s">
        <v>366</v>
      </c>
      <c r="B62" s="387" t="s">
        <v>304</v>
      </c>
      <c r="C62">
        <v>4</v>
      </c>
      <c r="D62">
        <v>7</v>
      </c>
      <c r="E62">
        <v>1</v>
      </c>
      <c r="F62">
        <f t="shared" si="0"/>
        <v>12</v>
      </c>
    </row>
    <row r="63" spans="1:6" x14ac:dyDescent="0.3">
      <c r="A63" t="s">
        <v>366</v>
      </c>
      <c r="B63" s="387" t="s">
        <v>307</v>
      </c>
      <c r="C63">
        <v>1</v>
      </c>
      <c r="D63">
        <v>9</v>
      </c>
      <c r="F63">
        <f t="shared" si="0"/>
        <v>10</v>
      </c>
    </row>
    <row r="64" spans="1:6" x14ac:dyDescent="0.3">
      <c r="A64" t="s">
        <v>366</v>
      </c>
      <c r="B64" s="387" t="s">
        <v>309</v>
      </c>
      <c r="C64">
        <v>2</v>
      </c>
      <c r="D64">
        <v>1</v>
      </c>
      <c r="F64">
        <f t="shared" si="0"/>
        <v>3</v>
      </c>
    </row>
    <row r="65" spans="1:6" x14ac:dyDescent="0.3">
      <c r="A65" t="s">
        <v>366</v>
      </c>
      <c r="B65" s="387" t="s">
        <v>311</v>
      </c>
      <c r="C65">
        <v>2</v>
      </c>
      <c r="D65">
        <v>4</v>
      </c>
      <c r="F65">
        <f t="shared" si="0"/>
        <v>6</v>
      </c>
    </row>
    <row r="66" spans="1:6" x14ac:dyDescent="0.3">
      <c r="A66" t="s">
        <v>341</v>
      </c>
      <c r="B66" s="387" t="s">
        <v>215</v>
      </c>
      <c r="C66">
        <v>3</v>
      </c>
      <c r="D66">
        <v>1</v>
      </c>
      <c r="F66">
        <f t="shared" ref="F66:F129" si="1">SUM(C66:E66)</f>
        <v>4</v>
      </c>
    </row>
    <row r="67" spans="1:6" x14ac:dyDescent="0.3">
      <c r="A67" t="s">
        <v>341</v>
      </c>
      <c r="B67" s="387" t="s">
        <v>220</v>
      </c>
      <c r="C67">
        <v>1</v>
      </c>
      <c r="D67">
        <v>23</v>
      </c>
      <c r="F67">
        <f t="shared" si="1"/>
        <v>24</v>
      </c>
    </row>
    <row r="68" spans="1:6" x14ac:dyDescent="0.3">
      <c r="A68" t="s">
        <v>341</v>
      </c>
      <c r="B68" s="387" t="s">
        <v>224</v>
      </c>
      <c r="C68">
        <v>1</v>
      </c>
      <c r="D68">
        <v>5</v>
      </c>
      <c r="F68">
        <f t="shared" si="1"/>
        <v>6</v>
      </c>
    </row>
    <row r="69" spans="1:6" x14ac:dyDescent="0.3">
      <c r="A69" t="s">
        <v>341</v>
      </c>
      <c r="B69" s="387" t="s">
        <v>228</v>
      </c>
      <c r="C69">
        <v>2</v>
      </c>
      <c r="D69">
        <v>12</v>
      </c>
      <c r="E69">
        <v>25</v>
      </c>
      <c r="F69">
        <f t="shared" si="1"/>
        <v>39</v>
      </c>
    </row>
    <row r="70" spans="1:6" x14ac:dyDescent="0.3">
      <c r="A70" t="s">
        <v>341</v>
      </c>
      <c r="B70" s="387" t="s">
        <v>234</v>
      </c>
      <c r="C70">
        <v>7</v>
      </c>
      <c r="D70">
        <v>1</v>
      </c>
      <c r="F70">
        <f t="shared" si="1"/>
        <v>8</v>
      </c>
    </row>
    <row r="71" spans="1:6" x14ac:dyDescent="0.3">
      <c r="A71" t="s">
        <v>341</v>
      </c>
      <c r="B71" s="387" t="s">
        <v>240</v>
      </c>
      <c r="C71">
        <v>1</v>
      </c>
      <c r="D71">
        <v>1</v>
      </c>
      <c r="F71">
        <f t="shared" si="1"/>
        <v>2</v>
      </c>
    </row>
    <row r="72" spans="1:6" x14ac:dyDescent="0.3">
      <c r="A72" t="s">
        <v>341</v>
      </c>
      <c r="B72" s="387" t="s">
        <v>244</v>
      </c>
      <c r="C72">
        <v>1</v>
      </c>
      <c r="D72">
        <v>15</v>
      </c>
      <c r="E72">
        <v>1</v>
      </c>
      <c r="F72">
        <f t="shared" si="1"/>
        <v>17</v>
      </c>
    </row>
    <row r="73" spans="1:6" x14ac:dyDescent="0.3">
      <c r="A73" t="s">
        <v>341</v>
      </c>
      <c r="B73" s="387" t="s">
        <v>247</v>
      </c>
      <c r="C73">
        <v>4</v>
      </c>
      <c r="F73">
        <f t="shared" si="1"/>
        <v>4</v>
      </c>
    </row>
    <row r="74" spans="1:6" x14ac:dyDescent="0.3">
      <c r="A74" t="s">
        <v>341</v>
      </c>
      <c r="B74" s="387" t="s">
        <v>249</v>
      </c>
      <c r="C74">
        <v>1</v>
      </c>
      <c r="D74">
        <v>7</v>
      </c>
      <c r="F74">
        <f t="shared" si="1"/>
        <v>8</v>
      </c>
    </row>
    <row r="75" spans="1:6" x14ac:dyDescent="0.3">
      <c r="A75" t="s">
        <v>341</v>
      </c>
      <c r="B75" s="387" t="s">
        <v>253</v>
      </c>
      <c r="C75">
        <v>3</v>
      </c>
      <c r="F75">
        <f t="shared" si="1"/>
        <v>3</v>
      </c>
    </row>
    <row r="76" spans="1:6" x14ac:dyDescent="0.3">
      <c r="A76" t="s">
        <v>341</v>
      </c>
      <c r="B76" s="387" t="s">
        <v>255</v>
      </c>
      <c r="C76">
        <v>1</v>
      </c>
      <c r="D76">
        <v>5</v>
      </c>
      <c r="F76">
        <f t="shared" si="1"/>
        <v>6</v>
      </c>
    </row>
    <row r="77" spans="1:6" x14ac:dyDescent="0.3">
      <c r="A77" t="s">
        <v>341</v>
      </c>
      <c r="B77" s="387" t="s">
        <v>259</v>
      </c>
      <c r="C77">
        <v>2</v>
      </c>
      <c r="F77">
        <f t="shared" si="1"/>
        <v>2</v>
      </c>
    </row>
    <row r="78" spans="1:6" x14ac:dyDescent="0.3">
      <c r="A78" t="s">
        <v>341</v>
      </c>
      <c r="B78" s="387" t="s">
        <v>263</v>
      </c>
      <c r="C78">
        <v>3</v>
      </c>
      <c r="D78">
        <v>2</v>
      </c>
      <c r="F78">
        <f t="shared" si="1"/>
        <v>5</v>
      </c>
    </row>
    <row r="79" spans="1:6" x14ac:dyDescent="0.3">
      <c r="A79" t="s">
        <v>341</v>
      </c>
      <c r="B79" s="387" t="s">
        <v>267</v>
      </c>
      <c r="C79">
        <v>5</v>
      </c>
      <c r="D79">
        <v>8</v>
      </c>
      <c r="F79">
        <f t="shared" si="1"/>
        <v>13</v>
      </c>
    </row>
    <row r="80" spans="1:6" x14ac:dyDescent="0.3">
      <c r="A80" t="s">
        <v>341</v>
      </c>
      <c r="B80" s="387" t="s">
        <v>270</v>
      </c>
      <c r="C80">
        <v>11</v>
      </c>
      <c r="F80">
        <f t="shared" si="1"/>
        <v>11</v>
      </c>
    </row>
    <row r="81" spans="1:6" x14ac:dyDescent="0.3">
      <c r="A81" t="s">
        <v>341</v>
      </c>
      <c r="B81" s="387" t="s">
        <v>273</v>
      </c>
      <c r="C81">
        <v>1</v>
      </c>
      <c r="D81">
        <v>51</v>
      </c>
      <c r="E81">
        <v>9</v>
      </c>
      <c r="F81">
        <f t="shared" si="1"/>
        <v>61</v>
      </c>
    </row>
    <row r="82" spans="1:6" x14ac:dyDescent="0.3">
      <c r="A82" t="s">
        <v>341</v>
      </c>
      <c r="B82" s="387" t="s">
        <v>277</v>
      </c>
      <c r="C82">
        <v>2</v>
      </c>
      <c r="D82">
        <v>1</v>
      </c>
      <c r="F82">
        <f t="shared" si="1"/>
        <v>3</v>
      </c>
    </row>
    <row r="83" spans="1:6" x14ac:dyDescent="0.3">
      <c r="A83" t="s">
        <v>341</v>
      </c>
      <c r="B83" s="387" t="s">
        <v>279</v>
      </c>
      <c r="C83">
        <v>1</v>
      </c>
      <c r="D83">
        <v>1</v>
      </c>
      <c r="F83">
        <f t="shared" si="1"/>
        <v>2</v>
      </c>
    </row>
    <row r="84" spans="1:6" x14ac:dyDescent="0.3">
      <c r="A84" t="s">
        <v>341</v>
      </c>
      <c r="B84" s="387" t="s">
        <v>281</v>
      </c>
      <c r="C84">
        <v>1</v>
      </c>
      <c r="D84">
        <v>10</v>
      </c>
      <c r="E84">
        <v>1</v>
      </c>
      <c r="F84">
        <f t="shared" si="1"/>
        <v>12</v>
      </c>
    </row>
    <row r="85" spans="1:6" x14ac:dyDescent="0.3">
      <c r="A85" t="s">
        <v>341</v>
      </c>
      <c r="B85" s="387" t="s">
        <v>283</v>
      </c>
      <c r="D85">
        <v>14</v>
      </c>
      <c r="F85">
        <f t="shared" si="1"/>
        <v>14</v>
      </c>
    </row>
    <row r="86" spans="1:6" x14ac:dyDescent="0.3">
      <c r="A86" t="s">
        <v>341</v>
      </c>
      <c r="B86" s="387" t="s">
        <v>287</v>
      </c>
      <c r="C86">
        <v>3</v>
      </c>
      <c r="D86">
        <v>8</v>
      </c>
      <c r="E86">
        <v>3</v>
      </c>
      <c r="F86">
        <f t="shared" si="1"/>
        <v>14</v>
      </c>
    </row>
    <row r="87" spans="1:6" x14ac:dyDescent="0.3">
      <c r="A87" t="s">
        <v>341</v>
      </c>
      <c r="B87" s="387" t="s">
        <v>289</v>
      </c>
      <c r="C87">
        <v>4</v>
      </c>
      <c r="D87">
        <v>3</v>
      </c>
      <c r="F87">
        <f t="shared" si="1"/>
        <v>7</v>
      </c>
    </row>
    <row r="88" spans="1:6" x14ac:dyDescent="0.3">
      <c r="A88" t="s">
        <v>341</v>
      </c>
      <c r="B88" s="387" t="s">
        <v>292</v>
      </c>
      <c r="D88">
        <v>12</v>
      </c>
      <c r="F88">
        <f t="shared" si="1"/>
        <v>12</v>
      </c>
    </row>
    <row r="89" spans="1:6" x14ac:dyDescent="0.3">
      <c r="A89" t="s">
        <v>341</v>
      </c>
      <c r="B89" s="387" t="s">
        <v>294</v>
      </c>
      <c r="C89">
        <v>1</v>
      </c>
      <c r="D89">
        <v>10</v>
      </c>
      <c r="E89">
        <v>3</v>
      </c>
      <c r="F89">
        <f t="shared" si="1"/>
        <v>14</v>
      </c>
    </row>
    <row r="90" spans="1:6" x14ac:dyDescent="0.3">
      <c r="A90" t="s">
        <v>341</v>
      </c>
      <c r="B90" s="387" t="s">
        <v>296</v>
      </c>
      <c r="C90">
        <v>3</v>
      </c>
      <c r="F90">
        <f t="shared" si="1"/>
        <v>3</v>
      </c>
    </row>
    <row r="91" spans="1:6" x14ac:dyDescent="0.3">
      <c r="A91" t="s">
        <v>341</v>
      </c>
      <c r="B91" s="387" t="s">
        <v>298</v>
      </c>
      <c r="C91">
        <v>2</v>
      </c>
      <c r="D91">
        <v>11</v>
      </c>
      <c r="F91">
        <f t="shared" si="1"/>
        <v>13</v>
      </c>
    </row>
    <row r="92" spans="1:6" x14ac:dyDescent="0.3">
      <c r="A92" t="s">
        <v>341</v>
      </c>
      <c r="B92" s="387" t="s">
        <v>300</v>
      </c>
      <c r="D92">
        <v>14</v>
      </c>
      <c r="F92">
        <f t="shared" si="1"/>
        <v>14</v>
      </c>
    </row>
    <row r="93" spans="1:6" x14ac:dyDescent="0.3">
      <c r="A93" t="s">
        <v>341</v>
      </c>
      <c r="B93" s="387" t="s">
        <v>302</v>
      </c>
      <c r="C93">
        <v>1</v>
      </c>
      <c r="D93">
        <v>4</v>
      </c>
      <c r="F93">
        <f t="shared" si="1"/>
        <v>5</v>
      </c>
    </row>
    <row r="94" spans="1:6" x14ac:dyDescent="0.3">
      <c r="A94" t="s">
        <v>341</v>
      </c>
      <c r="B94" s="387" t="s">
        <v>304</v>
      </c>
      <c r="C94">
        <v>4</v>
      </c>
      <c r="D94">
        <v>7</v>
      </c>
      <c r="E94">
        <v>1</v>
      </c>
      <c r="F94">
        <f t="shared" si="1"/>
        <v>12</v>
      </c>
    </row>
    <row r="95" spans="1:6" x14ac:dyDescent="0.3">
      <c r="A95" t="s">
        <v>341</v>
      </c>
      <c r="B95" s="387" t="s">
        <v>307</v>
      </c>
      <c r="C95">
        <v>1</v>
      </c>
      <c r="D95">
        <v>9</v>
      </c>
      <c r="F95">
        <f t="shared" si="1"/>
        <v>10</v>
      </c>
    </row>
    <row r="96" spans="1:6" x14ac:dyDescent="0.3">
      <c r="A96" t="s">
        <v>341</v>
      </c>
      <c r="B96" s="387" t="s">
        <v>309</v>
      </c>
      <c r="C96">
        <v>2</v>
      </c>
      <c r="D96">
        <v>1</v>
      </c>
      <c r="F96">
        <f t="shared" si="1"/>
        <v>3</v>
      </c>
    </row>
    <row r="97" spans="1:6" x14ac:dyDescent="0.3">
      <c r="A97" t="s">
        <v>341</v>
      </c>
      <c r="B97" s="387" t="s">
        <v>311</v>
      </c>
      <c r="C97">
        <v>2</v>
      </c>
      <c r="D97">
        <v>4</v>
      </c>
      <c r="F97">
        <f t="shared" si="1"/>
        <v>6</v>
      </c>
    </row>
    <row r="98" spans="1:6" x14ac:dyDescent="0.3">
      <c r="A98" t="s">
        <v>342</v>
      </c>
      <c r="B98" s="387" t="s">
        <v>215</v>
      </c>
      <c r="C98">
        <v>3</v>
      </c>
      <c r="D98">
        <v>1</v>
      </c>
      <c r="F98">
        <f t="shared" si="1"/>
        <v>4</v>
      </c>
    </row>
    <row r="99" spans="1:6" x14ac:dyDescent="0.3">
      <c r="A99" t="s">
        <v>342</v>
      </c>
      <c r="B99" s="387" t="s">
        <v>220</v>
      </c>
      <c r="C99">
        <v>1</v>
      </c>
      <c r="D99">
        <v>23</v>
      </c>
      <c r="F99">
        <f t="shared" si="1"/>
        <v>24</v>
      </c>
    </row>
    <row r="100" spans="1:6" x14ac:dyDescent="0.3">
      <c r="A100" t="s">
        <v>342</v>
      </c>
      <c r="B100" s="387" t="s">
        <v>224</v>
      </c>
      <c r="C100">
        <v>1</v>
      </c>
      <c r="D100">
        <v>5</v>
      </c>
      <c r="F100">
        <f t="shared" si="1"/>
        <v>6</v>
      </c>
    </row>
    <row r="101" spans="1:6" x14ac:dyDescent="0.3">
      <c r="A101" t="s">
        <v>342</v>
      </c>
      <c r="B101" s="387" t="s">
        <v>228</v>
      </c>
      <c r="C101">
        <v>2</v>
      </c>
      <c r="D101">
        <v>12</v>
      </c>
      <c r="E101">
        <v>25</v>
      </c>
      <c r="F101">
        <f t="shared" si="1"/>
        <v>39</v>
      </c>
    </row>
    <row r="102" spans="1:6" x14ac:dyDescent="0.3">
      <c r="A102" t="s">
        <v>342</v>
      </c>
      <c r="B102" s="387" t="s">
        <v>234</v>
      </c>
      <c r="C102">
        <v>7</v>
      </c>
      <c r="D102">
        <v>1</v>
      </c>
      <c r="F102">
        <f t="shared" si="1"/>
        <v>8</v>
      </c>
    </row>
    <row r="103" spans="1:6" x14ac:dyDescent="0.3">
      <c r="A103" t="s">
        <v>342</v>
      </c>
      <c r="B103" s="387" t="s">
        <v>240</v>
      </c>
      <c r="C103">
        <v>1</v>
      </c>
      <c r="D103">
        <v>1</v>
      </c>
      <c r="F103">
        <f t="shared" si="1"/>
        <v>2</v>
      </c>
    </row>
    <row r="104" spans="1:6" x14ac:dyDescent="0.3">
      <c r="A104" t="s">
        <v>342</v>
      </c>
      <c r="B104" s="387" t="s">
        <v>244</v>
      </c>
      <c r="C104">
        <v>1</v>
      </c>
      <c r="D104">
        <v>15</v>
      </c>
      <c r="E104">
        <v>1</v>
      </c>
      <c r="F104">
        <f t="shared" si="1"/>
        <v>17</v>
      </c>
    </row>
    <row r="105" spans="1:6" x14ac:dyDescent="0.3">
      <c r="A105" t="s">
        <v>342</v>
      </c>
      <c r="B105" s="387" t="s">
        <v>247</v>
      </c>
      <c r="C105">
        <v>4</v>
      </c>
      <c r="F105">
        <f t="shared" si="1"/>
        <v>4</v>
      </c>
    </row>
    <row r="106" spans="1:6" x14ac:dyDescent="0.3">
      <c r="A106" t="s">
        <v>342</v>
      </c>
      <c r="B106" s="387" t="s">
        <v>249</v>
      </c>
      <c r="C106">
        <v>1</v>
      </c>
      <c r="D106">
        <v>7</v>
      </c>
      <c r="F106">
        <f t="shared" si="1"/>
        <v>8</v>
      </c>
    </row>
    <row r="107" spans="1:6" x14ac:dyDescent="0.3">
      <c r="A107" t="s">
        <v>342</v>
      </c>
      <c r="B107" s="387" t="s">
        <v>253</v>
      </c>
      <c r="C107">
        <v>3</v>
      </c>
      <c r="F107">
        <f t="shared" si="1"/>
        <v>3</v>
      </c>
    </row>
    <row r="108" spans="1:6" x14ac:dyDescent="0.3">
      <c r="A108" t="s">
        <v>342</v>
      </c>
      <c r="B108" s="387" t="s">
        <v>255</v>
      </c>
      <c r="C108">
        <v>1</v>
      </c>
      <c r="D108">
        <v>5</v>
      </c>
      <c r="F108">
        <f t="shared" si="1"/>
        <v>6</v>
      </c>
    </row>
    <row r="109" spans="1:6" x14ac:dyDescent="0.3">
      <c r="A109" t="s">
        <v>342</v>
      </c>
      <c r="B109" s="387" t="s">
        <v>259</v>
      </c>
      <c r="C109">
        <v>2</v>
      </c>
      <c r="F109">
        <f t="shared" si="1"/>
        <v>2</v>
      </c>
    </row>
    <row r="110" spans="1:6" x14ac:dyDescent="0.3">
      <c r="A110" t="s">
        <v>342</v>
      </c>
      <c r="B110" s="387" t="s">
        <v>263</v>
      </c>
      <c r="C110">
        <v>3</v>
      </c>
      <c r="D110">
        <v>2</v>
      </c>
      <c r="F110">
        <f t="shared" si="1"/>
        <v>5</v>
      </c>
    </row>
    <row r="111" spans="1:6" x14ac:dyDescent="0.3">
      <c r="A111" t="s">
        <v>342</v>
      </c>
      <c r="B111" s="387" t="s">
        <v>267</v>
      </c>
      <c r="C111">
        <v>5</v>
      </c>
      <c r="D111">
        <v>8</v>
      </c>
      <c r="F111">
        <f t="shared" si="1"/>
        <v>13</v>
      </c>
    </row>
    <row r="112" spans="1:6" x14ac:dyDescent="0.3">
      <c r="A112" t="s">
        <v>342</v>
      </c>
      <c r="B112" s="387" t="s">
        <v>270</v>
      </c>
      <c r="C112">
        <v>11</v>
      </c>
      <c r="F112">
        <f t="shared" si="1"/>
        <v>11</v>
      </c>
    </row>
    <row r="113" spans="1:6" x14ac:dyDescent="0.3">
      <c r="A113" t="s">
        <v>342</v>
      </c>
      <c r="B113" s="387" t="s">
        <v>273</v>
      </c>
      <c r="C113">
        <v>1</v>
      </c>
      <c r="D113">
        <v>51</v>
      </c>
      <c r="E113">
        <v>9</v>
      </c>
      <c r="F113">
        <f t="shared" si="1"/>
        <v>61</v>
      </c>
    </row>
    <row r="114" spans="1:6" x14ac:dyDescent="0.3">
      <c r="A114" t="s">
        <v>342</v>
      </c>
      <c r="B114" s="387" t="s">
        <v>277</v>
      </c>
      <c r="C114">
        <v>2</v>
      </c>
      <c r="D114">
        <v>1</v>
      </c>
      <c r="F114">
        <f t="shared" si="1"/>
        <v>3</v>
      </c>
    </row>
    <row r="115" spans="1:6" x14ac:dyDescent="0.3">
      <c r="A115" t="s">
        <v>342</v>
      </c>
      <c r="B115" s="387" t="s">
        <v>279</v>
      </c>
      <c r="C115">
        <v>1</v>
      </c>
      <c r="D115">
        <v>1</v>
      </c>
      <c r="F115">
        <f t="shared" si="1"/>
        <v>2</v>
      </c>
    </row>
    <row r="116" spans="1:6" x14ac:dyDescent="0.3">
      <c r="A116" t="s">
        <v>342</v>
      </c>
      <c r="B116" s="387" t="s">
        <v>281</v>
      </c>
      <c r="C116">
        <v>1</v>
      </c>
      <c r="D116">
        <v>10</v>
      </c>
      <c r="E116">
        <v>1</v>
      </c>
      <c r="F116">
        <f t="shared" si="1"/>
        <v>12</v>
      </c>
    </row>
    <row r="117" spans="1:6" x14ac:dyDescent="0.3">
      <c r="A117" t="s">
        <v>342</v>
      </c>
      <c r="B117" s="387" t="s">
        <v>283</v>
      </c>
      <c r="D117">
        <v>14</v>
      </c>
      <c r="F117">
        <f t="shared" si="1"/>
        <v>14</v>
      </c>
    </row>
    <row r="118" spans="1:6" x14ac:dyDescent="0.3">
      <c r="A118" t="s">
        <v>342</v>
      </c>
      <c r="B118" s="387" t="s">
        <v>287</v>
      </c>
      <c r="C118">
        <v>3</v>
      </c>
      <c r="D118">
        <v>8</v>
      </c>
      <c r="E118">
        <v>3</v>
      </c>
      <c r="F118">
        <f t="shared" si="1"/>
        <v>14</v>
      </c>
    </row>
    <row r="119" spans="1:6" x14ac:dyDescent="0.3">
      <c r="A119" t="s">
        <v>342</v>
      </c>
      <c r="B119" s="387" t="s">
        <v>289</v>
      </c>
      <c r="C119">
        <v>4</v>
      </c>
      <c r="D119">
        <v>3</v>
      </c>
      <c r="F119">
        <f t="shared" si="1"/>
        <v>7</v>
      </c>
    </row>
    <row r="120" spans="1:6" x14ac:dyDescent="0.3">
      <c r="A120" t="s">
        <v>342</v>
      </c>
      <c r="B120" s="387" t="s">
        <v>292</v>
      </c>
      <c r="D120">
        <v>12</v>
      </c>
      <c r="F120">
        <f t="shared" si="1"/>
        <v>12</v>
      </c>
    </row>
    <row r="121" spans="1:6" x14ac:dyDescent="0.3">
      <c r="A121" t="s">
        <v>342</v>
      </c>
      <c r="B121" s="387" t="s">
        <v>294</v>
      </c>
      <c r="C121">
        <v>1</v>
      </c>
      <c r="D121">
        <v>10</v>
      </c>
      <c r="E121">
        <v>3</v>
      </c>
      <c r="F121">
        <f t="shared" si="1"/>
        <v>14</v>
      </c>
    </row>
    <row r="122" spans="1:6" x14ac:dyDescent="0.3">
      <c r="A122" t="s">
        <v>342</v>
      </c>
      <c r="B122" s="387" t="s">
        <v>296</v>
      </c>
      <c r="C122">
        <v>3</v>
      </c>
      <c r="F122">
        <f t="shared" si="1"/>
        <v>3</v>
      </c>
    </row>
    <row r="123" spans="1:6" x14ac:dyDescent="0.3">
      <c r="A123" t="s">
        <v>342</v>
      </c>
      <c r="B123" s="387" t="s">
        <v>298</v>
      </c>
      <c r="C123">
        <v>2</v>
      </c>
      <c r="D123">
        <v>11</v>
      </c>
      <c r="F123">
        <f t="shared" si="1"/>
        <v>13</v>
      </c>
    </row>
    <row r="124" spans="1:6" x14ac:dyDescent="0.3">
      <c r="A124" t="s">
        <v>342</v>
      </c>
      <c r="B124" s="387" t="s">
        <v>300</v>
      </c>
      <c r="D124">
        <v>14</v>
      </c>
      <c r="F124">
        <f t="shared" si="1"/>
        <v>14</v>
      </c>
    </row>
    <row r="125" spans="1:6" x14ac:dyDescent="0.3">
      <c r="A125" t="s">
        <v>342</v>
      </c>
      <c r="B125" s="387" t="s">
        <v>302</v>
      </c>
      <c r="C125">
        <v>1</v>
      </c>
      <c r="D125">
        <v>4</v>
      </c>
      <c r="F125">
        <f t="shared" si="1"/>
        <v>5</v>
      </c>
    </row>
    <row r="126" spans="1:6" x14ac:dyDescent="0.3">
      <c r="A126" t="s">
        <v>342</v>
      </c>
      <c r="B126" s="387" t="s">
        <v>304</v>
      </c>
      <c r="C126">
        <v>4</v>
      </c>
      <c r="D126">
        <v>7</v>
      </c>
      <c r="E126">
        <v>1</v>
      </c>
      <c r="F126">
        <f t="shared" si="1"/>
        <v>12</v>
      </c>
    </row>
    <row r="127" spans="1:6" x14ac:dyDescent="0.3">
      <c r="A127" t="s">
        <v>342</v>
      </c>
      <c r="B127" s="387" t="s">
        <v>307</v>
      </c>
      <c r="C127">
        <v>1</v>
      </c>
      <c r="D127">
        <v>9</v>
      </c>
      <c r="F127">
        <f t="shared" si="1"/>
        <v>10</v>
      </c>
    </row>
    <row r="128" spans="1:6" x14ac:dyDescent="0.3">
      <c r="A128" t="s">
        <v>342</v>
      </c>
      <c r="B128" s="387" t="s">
        <v>309</v>
      </c>
      <c r="C128">
        <v>2</v>
      </c>
      <c r="D128">
        <v>1</v>
      </c>
      <c r="F128">
        <f t="shared" si="1"/>
        <v>3</v>
      </c>
    </row>
    <row r="129" spans="1:6" x14ac:dyDescent="0.3">
      <c r="A129" t="s">
        <v>342</v>
      </c>
      <c r="B129" s="387" t="s">
        <v>311</v>
      </c>
      <c r="C129">
        <v>2</v>
      </c>
      <c r="D129">
        <v>4</v>
      </c>
      <c r="F129">
        <f t="shared" si="1"/>
        <v>6</v>
      </c>
    </row>
    <row r="130" spans="1:6" x14ac:dyDescent="0.3">
      <c r="A130" t="s">
        <v>213</v>
      </c>
      <c r="B130" s="387" t="s">
        <v>215</v>
      </c>
      <c r="C130">
        <v>3</v>
      </c>
      <c r="D130">
        <v>1</v>
      </c>
      <c r="F130">
        <f t="shared" ref="F130:F193" si="2">SUM(C130:E130)</f>
        <v>4</v>
      </c>
    </row>
    <row r="131" spans="1:6" x14ac:dyDescent="0.3">
      <c r="A131" t="s">
        <v>213</v>
      </c>
      <c r="B131" s="387" t="s">
        <v>220</v>
      </c>
      <c r="C131">
        <v>1</v>
      </c>
      <c r="D131">
        <v>23</v>
      </c>
      <c r="F131">
        <f t="shared" si="2"/>
        <v>24</v>
      </c>
    </row>
    <row r="132" spans="1:6" x14ac:dyDescent="0.3">
      <c r="A132" t="s">
        <v>213</v>
      </c>
      <c r="B132" s="387" t="s">
        <v>224</v>
      </c>
      <c r="C132">
        <v>1</v>
      </c>
      <c r="D132">
        <v>5</v>
      </c>
      <c r="F132">
        <f t="shared" si="2"/>
        <v>6</v>
      </c>
    </row>
    <row r="133" spans="1:6" x14ac:dyDescent="0.3">
      <c r="A133" t="s">
        <v>213</v>
      </c>
      <c r="B133" s="387" t="s">
        <v>228</v>
      </c>
      <c r="C133">
        <v>2</v>
      </c>
      <c r="D133">
        <v>12</v>
      </c>
      <c r="E133">
        <v>25</v>
      </c>
      <c r="F133">
        <f t="shared" si="2"/>
        <v>39</v>
      </c>
    </row>
    <row r="134" spans="1:6" x14ac:dyDescent="0.3">
      <c r="A134" t="s">
        <v>213</v>
      </c>
      <c r="B134" s="387" t="s">
        <v>234</v>
      </c>
      <c r="C134">
        <v>7</v>
      </c>
      <c r="D134">
        <v>1</v>
      </c>
      <c r="F134">
        <f t="shared" si="2"/>
        <v>8</v>
      </c>
    </row>
    <row r="135" spans="1:6" x14ac:dyDescent="0.3">
      <c r="A135" t="s">
        <v>213</v>
      </c>
      <c r="B135" s="387" t="s">
        <v>240</v>
      </c>
      <c r="C135">
        <v>1</v>
      </c>
      <c r="D135">
        <v>1</v>
      </c>
      <c r="F135">
        <f t="shared" si="2"/>
        <v>2</v>
      </c>
    </row>
    <row r="136" spans="1:6" x14ac:dyDescent="0.3">
      <c r="A136" t="s">
        <v>213</v>
      </c>
      <c r="B136" s="387" t="s">
        <v>244</v>
      </c>
      <c r="C136">
        <v>1</v>
      </c>
      <c r="D136">
        <v>15</v>
      </c>
      <c r="E136">
        <v>1</v>
      </c>
      <c r="F136">
        <f t="shared" si="2"/>
        <v>17</v>
      </c>
    </row>
    <row r="137" spans="1:6" x14ac:dyDescent="0.3">
      <c r="A137" t="s">
        <v>213</v>
      </c>
      <c r="B137" s="387" t="s">
        <v>247</v>
      </c>
      <c r="C137">
        <v>4</v>
      </c>
      <c r="F137">
        <f t="shared" si="2"/>
        <v>4</v>
      </c>
    </row>
    <row r="138" spans="1:6" x14ac:dyDescent="0.3">
      <c r="A138" t="s">
        <v>213</v>
      </c>
      <c r="B138" s="387" t="s">
        <v>249</v>
      </c>
      <c r="C138">
        <v>1</v>
      </c>
      <c r="D138">
        <v>7</v>
      </c>
      <c r="F138">
        <f t="shared" si="2"/>
        <v>8</v>
      </c>
    </row>
    <row r="139" spans="1:6" x14ac:dyDescent="0.3">
      <c r="A139" t="s">
        <v>213</v>
      </c>
      <c r="B139" s="387" t="s">
        <v>253</v>
      </c>
      <c r="C139">
        <v>3</v>
      </c>
      <c r="F139">
        <f t="shared" si="2"/>
        <v>3</v>
      </c>
    </row>
    <row r="140" spans="1:6" x14ac:dyDescent="0.3">
      <c r="A140" t="s">
        <v>213</v>
      </c>
      <c r="B140" s="387" t="s">
        <v>255</v>
      </c>
      <c r="C140">
        <v>1</v>
      </c>
      <c r="D140">
        <v>5</v>
      </c>
      <c r="F140">
        <f t="shared" si="2"/>
        <v>6</v>
      </c>
    </row>
    <row r="141" spans="1:6" x14ac:dyDescent="0.3">
      <c r="A141" t="s">
        <v>213</v>
      </c>
      <c r="B141" s="387" t="s">
        <v>259</v>
      </c>
      <c r="C141">
        <v>2</v>
      </c>
      <c r="F141">
        <f t="shared" si="2"/>
        <v>2</v>
      </c>
    </row>
    <row r="142" spans="1:6" x14ac:dyDescent="0.3">
      <c r="A142" t="s">
        <v>213</v>
      </c>
      <c r="B142" s="387" t="s">
        <v>263</v>
      </c>
      <c r="C142">
        <v>3</v>
      </c>
      <c r="D142">
        <v>2</v>
      </c>
      <c r="F142">
        <f t="shared" si="2"/>
        <v>5</v>
      </c>
    </row>
    <row r="143" spans="1:6" x14ac:dyDescent="0.3">
      <c r="A143" t="s">
        <v>213</v>
      </c>
      <c r="B143" s="387" t="s">
        <v>267</v>
      </c>
      <c r="C143">
        <v>5</v>
      </c>
      <c r="D143">
        <v>8</v>
      </c>
      <c r="F143">
        <f t="shared" si="2"/>
        <v>13</v>
      </c>
    </row>
    <row r="144" spans="1:6" x14ac:dyDescent="0.3">
      <c r="A144" t="s">
        <v>213</v>
      </c>
      <c r="B144" s="387" t="s">
        <v>270</v>
      </c>
      <c r="C144">
        <v>11</v>
      </c>
      <c r="F144">
        <f t="shared" si="2"/>
        <v>11</v>
      </c>
    </row>
    <row r="145" spans="1:6" x14ac:dyDescent="0.3">
      <c r="A145" t="s">
        <v>213</v>
      </c>
      <c r="B145" s="387" t="s">
        <v>273</v>
      </c>
      <c r="C145">
        <v>1</v>
      </c>
      <c r="D145">
        <v>51</v>
      </c>
      <c r="E145">
        <v>9</v>
      </c>
      <c r="F145">
        <f t="shared" si="2"/>
        <v>61</v>
      </c>
    </row>
    <row r="146" spans="1:6" x14ac:dyDescent="0.3">
      <c r="A146" t="s">
        <v>213</v>
      </c>
      <c r="B146" s="387" t="s">
        <v>277</v>
      </c>
      <c r="C146">
        <v>2</v>
      </c>
      <c r="D146">
        <v>1</v>
      </c>
      <c r="F146">
        <f t="shared" si="2"/>
        <v>3</v>
      </c>
    </row>
    <row r="147" spans="1:6" x14ac:dyDescent="0.3">
      <c r="A147" t="s">
        <v>213</v>
      </c>
      <c r="B147" s="387" t="s">
        <v>279</v>
      </c>
      <c r="C147">
        <v>1</v>
      </c>
      <c r="D147">
        <v>1</v>
      </c>
      <c r="F147">
        <f t="shared" si="2"/>
        <v>2</v>
      </c>
    </row>
    <row r="148" spans="1:6" x14ac:dyDescent="0.3">
      <c r="A148" t="s">
        <v>213</v>
      </c>
      <c r="B148" s="387" t="s">
        <v>281</v>
      </c>
      <c r="C148">
        <v>1</v>
      </c>
      <c r="D148">
        <v>10</v>
      </c>
      <c r="E148">
        <v>1</v>
      </c>
      <c r="F148">
        <f t="shared" si="2"/>
        <v>12</v>
      </c>
    </row>
    <row r="149" spans="1:6" x14ac:dyDescent="0.3">
      <c r="A149" t="s">
        <v>213</v>
      </c>
      <c r="B149" s="387" t="s">
        <v>283</v>
      </c>
      <c r="D149">
        <v>14</v>
      </c>
      <c r="F149">
        <f t="shared" si="2"/>
        <v>14</v>
      </c>
    </row>
    <row r="150" spans="1:6" x14ac:dyDescent="0.3">
      <c r="A150" t="s">
        <v>213</v>
      </c>
      <c r="B150" s="387" t="s">
        <v>287</v>
      </c>
      <c r="C150">
        <v>3</v>
      </c>
      <c r="D150">
        <v>8</v>
      </c>
      <c r="E150">
        <v>3</v>
      </c>
      <c r="F150">
        <f t="shared" si="2"/>
        <v>14</v>
      </c>
    </row>
    <row r="151" spans="1:6" x14ac:dyDescent="0.3">
      <c r="A151" t="s">
        <v>213</v>
      </c>
      <c r="B151" s="387" t="s">
        <v>289</v>
      </c>
      <c r="C151">
        <v>4</v>
      </c>
      <c r="D151">
        <v>3</v>
      </c>
      <c r="F151">
        <f t="shared" si="2"/>
        <v>7</v>
      </c>
    </row>
    <row r="152" spans="1:6" x14ac:dyDescent="0.3">
      <c r="A152" t="s">
        <v>213</v>
      </c>
      <c r="B152" s="387" t="s">
        <v>292</v>
      </c>
      <c r="D152">
        <v>12</v>
      </c>
      <c r="F152">
        <f t="shared" si="2"/>
        <v>12</v>
      </c>
    </row>
    <row r="153" spans="1:6" x14ac:dyDescent="0.3">
      <c r="A153" t="s">
        <v>213</v>
      </c>
      <c r="B153" s="387" t="s">
        <v>294</v>
      </c>
      <c r="C153">
        <v>1</v>
      </c>
      <c r="D153">
        <v>10</v>
      </c>
      <c r="E153">
        <v>3</v>
      </c>
      <c r="F153">
        <f t="shared" si="2"/>
        <v>14</v>
      </c>
    </row>
    <row r="154" spans="1:6" x14ac:dyDescent="0.3">
      <c r="A154" t="s">
        <v>213</v>
      </c>
      <c r="B154" s="387" t="s">
        <v>296</v>
      </c>
      <c r="C154">
        <v>3</v>
      </c>
      <c r="F154">
        <f t="shared" si="2"/>
        <v>3</v>
      </c>
    </row>
    <row r="155" spans="1:6" x14ac:dyDescent="0.3">
      <c r="A155" t="s">
        <v>213</v>
      </c>
      <c r="B155" s="387" t="s">
        <v>298</v>
      </c>
      <c r="C155">
        <v>2</v>
      </c>
      <c r="D155">
        <v>11</v>
      </c>
      <c r="F155">
        <f t="shared" si="2"/>
        <v>13</v>
      </c>
    </row>
    <row r="156" spans="1:6" x14ac:dyDescent="0.3">
      <c r="A156" t="s">
        <v>213</v>
      </c>
      <c r="B156" s="387" t="s">
        <v>300</v>
      </c>
      <c r="D156">
        <v>14</v>
      </c>
      <c r="F156">
        <f t="shared" si="2"/>
        <v>14</v>
      </c>
    </row>
    <row r="157" spans="1:6" x14ac:dyDescent="0.3">
      <c r="A157" t="s">
        <v>213</v>
      </c>
      <c r="B157" s="387" t="s">
        <v>302</v>
      </c>
      <c r="C157">
        <v>1</v>
      </c>
      <c r="D157">
        <v>4</v>
      </c>
      <c r="F157">
        <f t="shared" si="2"/>
        <v>5</v>
      </c>
    </row>
    <row r="158" spans="1:6" x14ac:dyDescent="0.3">
      <c r="A158" t="s">
        <v>213</v>
      </c>
      <c r="B158" s="387" t="s">
        <v>304</v>
      </c>
      <c r="C158">
        <v>4</v>
      </c>
      <c r="D158">
        <v>7</v>
      </c>
      <c r="E158">
        <v>1</v>
      </c>
      <c r="F158">
        <f t="shared" si="2"/>
        <v>12</v>
      </c>
    </row>
    <row r="159" spans="1:6" x14ac:dyDescent="0.3">
      <c r="A159" t="s">
        <v>213</v>
      </c>
      <c r="B159" s="387" t="s">
        <v>307</v>
      </c>
      <c r="C159">
        <v>1</v>
      </c>
      <c r="D159">
        <v>9</v>
      </c>
      <c r="F159">
        <f t="shared" si="2"/>
        <v>10</v>
      </c>
    </row>
    <row r="160" spans="1:6" x14ac:dyDescent="0.3">
      <c r="A160" t="s">
        <v>213</v>
      </c>
      <c r="B160" s="387" t="s">
        <v>309</v>
      </c>
      <c r="C160">
        <v>2</v>
      </c>
      <c r="D160">
        <v>1</v>
      </c>
      <c r="F160">
        <f t="shared" si="2"/>
        <v>3</v>
      </c>
    </row>
    <row r="161" spans="1:6" x14ac:dyDescent="0.3">
      <c r="A161" t="s">
        <v>213</v>
      </c>
      <c r="B161" s="387" t="s">
        <v>311</v>
      </c>
      <c r="C161">
        <v>2</v>
      </c>
      <c r="D161">
        <v>4</v>
      </c>
      <c r="F161">
        <f t="shared" si="2"/>
        <v>6</v>
      </c>
    </row>
    <row r="162" spans="1:6" x14ac:dyDescent="0.3">
      <c r="A162" t="s">
        <v>312</v>
      </c>
      <c r="B162" s="387" t="s">
        <v>215</v>
      </c>
      <c r="C162">
        <v>3</v>
      </c>
      <c r="D162">
        <v>1</v>
      </c>
      <c r="F162">
        <f t="shared" si="2"/>
        <v>4</v>
      </c>
    </row>
    <row r="163" spans="1:6" x14ac:dyDescent="0.3">
      <c r="A163" t="s">
        <v>312</v>
      </c>
      <c r="B163" s="387" t="s">
        <v>220</v>
      </c>
      <c r="C163">
        <v>1</v>
      </c>
      <c r="D163">
        <v>23</v>
      </c>
      <c r="F163">
        <f t="shared" si="2"/>
        <v>24</v>
      </c>
    </row>
    <row r="164" spans="1:6" x14ac:dyDescent="0.3">
      <c r="A164" t="s">
        <v>312</v>
      </c>
      <c r="B164" s="387" t="s">
        <v>224</v>
      </c>
      <c r="C164">
        <v>1</v>
      </c>
      <c r="D164">
        <v>5</v>
      </c>
      <c r="F164">
        <f t="shared" si="2"/>
        <v>6</v>
      </c>
    </row>
    <row r="165" spans="1:6" x14ac:dyDescent="0.3">
      <c r="A165" t="s">
        <v>312</v>
      </c>
      <c r="B165" s="387" t="s">
        <v>228</v>
      </c>
      <c r="C165">
        <v>2</v>
      </c>
      <c r="D165">
        <v>12</v>
      </c>
      <c r="E165">
        <v>25</v>
      </c>
      <c r="F165">
        <f t="shared" si="2"/>
        <v>39</v>
      </c>
    </row>
    <row r="166" spans="1:6" x14ac:dyDescent="0.3">
      <c r="A166" t="s">
        <v>312</v>
      </c>
      <c r="B166" s="387" t="s">
        <v>234</v>
      </c>
      <c r="C166">
        <v>7</v>
      </c>
      <c r="D166">
        <v>1</v>
      </c>
      <c r="F166">
        <f t="shared" si="2"/>
        <v>8</v>
      </c>
    </row>
    <row r="167" spans="1:6" x14ac:dyDescent="0.3">
      <c r="A167" t="s">
        <v>312</v>
      </c>
      <c r="B167" s="387" t="s">
        <v>240</v>
      </c>
      <c r="C167">
        <v>1</v>
      </c>
      <c r="D167">
        <v>1</v>
      </c>
      <c r="F167">
        <f t="shared" si="2"/>
        <v>2</v>
      </c>
    </row>
    <row r="168" spans="1:6" x14ac:dyDescent="0.3">
      <c r="A168" t="s">
        <v>312</v>
      </c>
      <c r="B168" s="387" t="s">
        <v>244</v>
      </c>
      <c r="C168">
        <v>1</v>
      </c>
      <c r="D168">
        <v>15</v>
      </c>
      <c r="E168">
        <v>1</v>
      </c>
      <c r="F168">
        <f t="shared" si="2"/>
        <v>17</v>
      </c>
    </row>
    <row r="169" spans="1:6" x14ac:dyDescent="0.3">
      <c r="A169" t="s">
        <v>312</v>
      </c>
      <c r="B169" s="387" t="s">
        <v>247</v>
      </c>
      <c r="C169">
        <v>4</v>
      </c>
      <c r="F169">
        <f t="shared" si="2"/>
        <v>4</v>
      </c>
    </row>
    <row r="170" spans="1:6" x14ac:dyDescent="0.3">
      <c r="A170" t="s">
        <v>312</v>
      </c>
      <c r="B170" s="387" t="s">
        <v>249</v>
      </c>
      <c r="C170">
        <v>1</v>
      </c>
      <c r="D170">
        <v>7</v>
      </c>
      <c r="F170">
        <f t="shared" si="2"/>
        <v>8</v>
      </c>
    </row>
    <row r="171" spans="1:6" x14ac:dyDescent="0.3">
      <c r="A171" t="s">
        <v>312</v>
      </c>
      <c r="B171" s="387" t="s">
        <v>253</v>
      </c>
      <c r="C171">
        <v>3</v>
      </c>
      <c r="F171">
        <f t="shared" si="2"/>
        <v>3</v>
      </c>
    </row>
    <row r="172" spans="1:6" x14ac:dyDescent="0.3">
      <c r="A172" t="s">
        <v>312</v>
      </c>
      <c r="B172" s="387" t="s">
        <v>255</v>
      </c>
      <c r="C172">
        <v>1</v>
      </c>
      <c r="D172">
        <v>5</v>
      </c>
      <c r="F172">
        <f t="shared" si="2"/>
        <v>6</v>
      </c>
    </row>
    <row r="173" spans="1:6" x14ac:dyDescent="0.3">
      <c r="A173" t="s">
        <v>312</v>
      </c>
      <c r="B173" s="387" t="s">
        <v>259</v>
      </c>
      <c r="C173">
        <v>2</v>
      </c>
      <c r="F173">
        <f t="shared" si="2"/>
        <v>2</v>
      </c>
    </row>
    <row r="174" spans="1:6" x14ac:dyDescent="0.3">
      <c r="A174" t="s">
        <v>312</v>
      </c>
      <c r="B174" s="387" t="s">
        <v>263</v>
      </c>
      <c r="C174">
        <v>3</v>
      </c>
      <c r="D174">
        <v>2</v>
      </c>
      <c r="F174">
        <f t="shared" si="2"/>
        <v>5</v>
      </c>
    </row>
    <row r="175" spans="1:6" x14ac:dyDescent="0.3">
      <c r="A175" t="s">
        <v>312</v>
      </c>
      <c r="B175" s="387" t="s">
        <v>267</v>
      </c>
      <c r="C175">
        <v>5</v>
      </c>
      <c r="D175">
        <v>8</v>
      </c>
      <c r="F175">
        <f t="shared" si="2"/>
        <v>13</v>
      </c>
    </row>
    <row r="176" spans="1:6" x14ac:dyDescent="0.3">
      <c r="A176" t="s">
        <v>312</v>
      </c>
      <c r="B176" s="387" t="s">
        <v>270</v>
      </c>
      <c r="C176">
        <v>11</v>
      </c>
      <c r="F176">
        <f t="shared" si="2"/>
        <v>11</v>
      </c>
    </row>
    <row r="177" spans="1:6" x14ac:dyDescent="0.3">
      <c r="A177" t="s">
        <v>312</v>
      </c>
      <c r="B177" s="387" t="s">
        <v>273</v>
      </c>
      <c r="C177">
        <v>1</v>
      </c>
      <c r="D177">
        <v>51</v>
      </c>
      <c r="E177">
        <v>9</v>
      </c>
      <c r="F177">
        <f t="shared" si="2"/>
        <v>61</v>
      </c>
    </row>
    <row r="178" spans="1:6" x14ac:dyDescent="0.3">
      <c r="A178" t="s">
        <v>312</v>
      </c>
      <c r="B178" s="387" t="s">
        <v>277</v>
      </c>
      <c r="C178">
        <v>2</v>
      </c>
      <c r="D178">
        <v>1</v>
      </c>
      <c r="F178">
        <f t="shared" si="2"/>
        <v>3</v>
      </c>
    </row>
    <row r="179" spans="1:6" x14ac:dyDescent="0.3">
      <c r="A179" t="s">
        <v>312</v>
      </c>
      <c r="B179" s="387" t="s">
        <v>279</v>
      </c>
      <c r="C179">
        <v>1</v>
      </c>
      <c r="D179">
        <v>1</v>
      </c>
      <c r="F179">
        <f t="shared" si="2"/>
        <v>2</v>
      </c>
    </row>
    <row r="180" spans="1:6" x14ac:dyDescent="0.3">
      <c r="A180" t="s">
        <v>312</v>
      </c>
      <c r="B180" s="387" t="s">
        <v>281</v>
      </c>
      <c r="C180">
        <v>1</v>
      </c>
      <c r="D180">
        <v>10</v>
      </c>
      <c r="E180">
        <v>1</v>
      </c>
      <c r="F180">
        <f t="shared" si="2"/>
        <v>12</v>
      </c>
    </row>
    <row r="181" spans="1:6" x14ac:dyDescent="0.3">
      <c r="A181" t="s">
        <v>312</v>
      </c>
      <c r="B181" s="387" t="s">
        <v>283</v>
      </c>
      <c r="D181">
        <v>14</v>
      </c>
      <c r="F181">
        <f t="shared" si="2"/>
        <v>14</v>
      </c>
    </row>
    <row r="182" spans="1:6" x14ac:dyDescent="0.3">
      <c r="A182" t="s">
        <v>312</v>
      </c>
      <c r="B182" s="387" t="s">
        <v>287</v>
      </c>
      <c r="C182">
        <v>3</v>
      </c>
      <c r="D182">
        <v>8</v>
      </c>
      <c r="E182">
        <v>3</v>
      </c>
      <c r="F182">
        <f t="shared" si="2"/>
        <v>14</v>
      </c>
    </row>
    <row r="183" spans="1:6" x14ac:dyDescent="0.3">
      <c r="A183" t="s">
        <v>312</v>
      </c>
      <c r="B183" s="387" t="s">
        <v>289</v>
      </c>
      <c r="C183">
        <v>4</v>
      </c>
      <c r="D183">
        <v>3</v>
      </c>
      <c r="F183">
        <f t="shared" si="2"/>
        <v>7</v>
      </c>
    </row>
    <row r="184" spans="1:6" x14ac:dyDescent="0.3">
      <c r="A184" t="s">
        <v>312</v>
      </c>
      <c r="B184" s="387" t="s">
        <v>292</v>
      </c>
      <c r="D184">
        <v>12</v>
      </c>
      <c r="F184">
        <f t="shared" si="2"/>
        <v>12</v>
      </c>
    </row>
    <row r="185" spans="1:6" x14ac:dyDescent="0.3">
      <c r="A185" t="s">
        <v>312</v>
      </c>
      <c r="B185" s="387" t="s">
        <v>294</v>
      </c>
      <c r="C185">
        <v>1</v>
      </c>
      <c r="D185">
        <v>10</v>
      </c>
      <c r="E185">
        <v>3</v>
      </c>
      <c r="F185">
        <f t="shared" si="2"/>
        <v>14</v>
      </c>
    </row>
    <row r="186" spans="1:6" x14ac:dyDescent="0.3">
      <c r="A186" t="s">
        <v>312</v>
      </c>
      <c r="B186" s="387" t="s">
        <v>296</v>
      </c>
      <c r="C186">
        <v>3</v>
      </c>
      <c r="F186">
        <f t="shared" si="2"/>
        <v>3</v>
      </c>
    </row>
    <row r="187" spans="1:6" x14ac:dyDescent="0.3">
      <c r="A187" t="s">
        <v>312</v>
      </c>
      <c r="B187" s="387" t="s">
        <v>298</v>
      </c>
      <c r="C187">
        <v>2</v>
      </c>
      <c r="D187">
        <v>11</v>
      </c>
      <c r="F187">
        <f t="shared" si="2"/>
        <v>13</v>
      </c>
    </row>
    <row r="188" spans="1:6" x14ac:dyDescent="0.3">
      <c r="A188" t="s">
        <v>312</v>
      </c>
      <c r="B188" s="387" t="s">
        <v>300</v>
      </c>
      <c r="D188">
        <v>14</v>
      </c>
      <c r="F188">
        <f t="shared" si="2"/>
        <v>14</v>
      </c>
    </row>
    <row r="189" spans="1:6" x14ac:dyDescent="0.3">
      <c r="A189" t="s">
        <v>312</v>
      </c>
      <c r="B189" s="387" t="s">
        <v>302</v>
      </c>
      <c r="C189">
        <v>1</v>
      </c>
      <c r="D189">
        <v>4</v>
      </c>
      <c r="F189">
        <f t="shared" si="2"/>
        <v>5</v>
      </c>
    </row>
    <row r="190" spans="1:6" x14ac:dyDescent="0.3">
      <c r="A190" t="s">
        <v>312</v>
      </c>
      <c r="B190" s="387" t="s">
        <v>304</v>
      </c>
      <c r="C190">
        <v>4</v>
      </c>
      <c r="D190">
        <v>7</v>
      </c>
      <c r="E190">
        <v>1</v>
      </c>
      <c r="F190">
        <f t="shared" si="2"/>
        <v>12</v>
      </c>
    </row>
    <row r="191" spans="1:6" x14ac:dyDescent="0.3">
      <c r="A191" t="s">
        <v>312</v>
      </c>
      <c r="B191" s="387" t="s">
        <v>307</v>
      </c>
      <c r="C191">
        <v>1</v>
      </c>
      <c r="D191">
        <v>9</v>
      </c>
      <c r="F191">
        <f t="shared" si="2"/>
        <v>10</v>
      </c>
    </row>
    <row r="192" spans="1:6" x14ac:dyDescent="0.3">
      <c r="A192" t="s">
        <v>312</v>
      </c>
      <c r="B192" s="387" t="s">
        <v>309</v>
      </c>
      <c r="C192">
        <v>2</v>
      </c>
      <c r="D192">
        <v>1</v>
      </c>
      <c r="F192">
        <f t="shared" si="2"/>
        <v>3</v>
      </c>
    </row>
    <row r="193" spans="1:6" x14ac:dyDescent="0.3">
      <c r="A193" t="s">
        <v>312</v>
      </c>
      <c r="B193" s="387" t="s">
        <v>311</v>
      </c>
      <c r="C193">
        <v>2</v>
      </c>
      <c r="D193">
        <v>4</v>
      </c>
      <c r="F193">
        <f t="shared" si="2"/>
        <v>6</v>
      </c>
    </row>
    <row r="194" spans="1:6" x14ac:dyDescent="0.3">
      <c r="A194" t="s">
        <v>318</v>
      </c>
      <c r="B194" s="387" t="s">
        <v>215</v>
      </c>
      <c r="C194">
        <v>3</v>
      </c>
      <c r="D194">
        <v>1</v>
      </c>
      <c r="F194">
        <f t="shared" ref="F194:F257" si="3">SUM(C194:E194)</f>
        <v>4</v>
      </c>
    </row>
    <row r="195" spans="1:6" x14ac:dyDescent="0.3">
      <c r="A195" t="s">
        <v>318</v>
      </c>
      <c r="B195" s="387" t="s">
        <v>220</v>
      </c>
      <c r="C195">
        <v>1</v>
      </c>
      <c r="D195">
        <v>23</v>
      </c>
      <c r="F195">
        <f t="shared" si="3"/>
        <v>24</v>
      </c>
    </row>
    <row r="196" spans="1:6" x14ac:dyDescent="0.3">
      <c r="A196" t="s">
        <v>318</v>
      </c>
      <c r="B196" s="387" t="s">
        <v>224</v>
      </c>
      <c r="C196">
        <v>1</v>
      </c>
      <c r="D196">
        <v>5</v>
      </c>
      <c r="F196">
        <f t="shared" si="3"/>
        <v>6</v>
      </c>
    </row>
    <row r="197" spans="1:6" x14ac:dyDescent="0.3">
      <c r="A197" t="s">
        <v>318</v>
      </c>
      <c r="B197" s="387" t="s">
        <v>228</v>
      </c>
      <c r="C197">
        <v>2</v>
      </c>
      <c r="D197">
        <v>12</v>
      </c>
      <c r="E197">
        <v>25</v>
      </c>
      <c r="F197">
        <f t="shared" si="3"/>
        <v>39</v>
      </c>
    </row>
    <row r="198" spans="1:6" x14ac:dyDescent="0.3">
      <c r="A198" t="s">
        <v>318</v>
      </c>
      <c r="B198" s="387" t="s">
        <v>234</v>
      </c>
      <c r="C198">
        <v>7</v>
      </c>
      <c r="D198">
        <v>1</v>
      </c>
      <c r="F198">
        <f t="shared" si="3"/>
        <v>8</v>
      </c>
    </row>
    <row r="199" spans="1:6" x14ac:dyDescent="0.3">
      <c r="A199" t="s">
        <v>318</v>
      </c>
      <c r="B199" s="387" t="s">
        <v>240</v>
      </c>
      <c r="C199">
        <v>1</v>
      </c>
      <c r="D199">
        <v>1</v>
      </c>
      <c r="F199">
        <f t="shared" si="3"/>
        <v>2</v>
      </c>
    </row>
    <row r="200" spans="1:6" x14ac:dyDescent="0.3">
      <c r="A200" t="s">
        <v>318</v>
      </c>
      <c r="B200" s="387" t="s">
        <v>244</v>
      </c>
      <c r="C200">
        <v>1</v>
      </c>
      <c r="D200">
        <v>15</v>
      </c>
      <c r="E200">
        <v>1</v>
      </c>
      <c r="F200">
        <f t="shared" si="3"/>
        <v>17</v>
      </c>
    </row>
    <row r="201" spans="1:6" x14ac:dyDescent="0.3">
      <c r="A201" t="s">
        <v>318</v>
      </c>
      <c r="B201" s="387" t="s">
        <v>247</v>
      </c>
      <c r="C201">
        <v>4</v>
      </c>
      <c r="F201">
        <f t="shared" si="3"/>
        <v>4</v>
      </c>
    </row>
    <row r="202" spans="1:6" x14ac:dyDescent="0.3">
      <c r="A202" t="s">
        <v>318</v>
      </c>
      <c r="B202" s="387" t="s">
        <v>249</v>
      </c>
      <c r="C202">
        <v>1</v>
      </c>
      <c r="D202">
        <v>7</v>
      </c>
      <c r="F202">
        <f t="shared" si="3"/>
        <v>8</v>
      </c>
    </row>
    <row r="203" spans="1:6" x14ac:dyDescent="0.3">
      <c r="A203" t="s">
        <v>318</v>
      </c>
      <c r="B203" s="387" t="s">
        <v>253</v>
      </c>
      <c r="C203">
        <v>3</v>
      </c>
      <c r="F203">
        <f t="shared" si="3"/>
        <v>3</v>
      </c>
    </row>
    <row r="204" spans="1:6" x14ac:dyDescent="0.3">
      <c r="A204" t="s">
        <v>318</v>
      </c>
      <c r="B204" s="387" t="s">
        <v>255</v>
      </c>
      <c r="C204">
        <v>1</v>
      </c>
      <c r="D204">
        <v>5</v>
      </c>
      <c r="F204">
        <f t="shared" si="3"/>
        <v>6</v>
      </c>
    </row>
    <row r="205" spans="1:6" x14ac:dyDescent="0.3">
      <c r="A205" t="s">
        <v>318</v>
      </c>
      <c r="B205" s="387" t="s">
        <v>259</v>
      </c>
      <c r="C205">
        <v>2</v>
      </c>
      <c r="F205">
        <f t="shared" si="3"/>
        <v>2</v>
      </c>
    </row>
    <row r="206" spans="1:6" x14ac:dyDescent="0.3">
      <c r="A206" t="s">
        <v>318</v>
      </c>
      <c r="B206" s="387" t="s">
        <v>263</v>
      </c>
      <c r="C206">
        <v>3</v>
      </c>
      <c r="D206">
        <v>2</v>
      </c>
      <c r="F206">
        <f t="shared" si="3"/>
        <v>5</v>
      </c>
    </row>
    <row r="207" spans="1:6" x14ac:dyDescent="0.3">
      <c r="A207" t="s">
        <v>318</v>
      </c>
      <c r="B207" s="387" t="s">
        <v>267</v>
      </c>
      <c r="C207">
        <v>5</v>
      </c>
      <c r="D207">
        <v>8</v>
      </c>
      <c r="F207">
        <f t="shared" si="3"/>
        <v>13</v>
      </c>
    </row>
    <row r="208" spans="1:6" x14ac:dyDescent="0.3">
      <c r="A208" t="s">
        <v>318</v>
      </c>
      <c r="B208" s="387" t="s">
        <v>270</v>
      </c>
      <c r="C208">
        <v>11</v>
      </c>
      <c r="F208">
        <f t="shared" si="3"/>
        <v>11</v>
      </c>
    </row>
    <row r="209" spans="1:6" x14ac:dyDescent="0.3">
      <c r="A209" t="s">
        <v>318</v>
      </c>
      <c r="B209" s="387" t="s">
        <v>273</v>
      </c>
      <c r="C209">
        <v>1</v>
      </c>
      <c r="D209">
        <v>51</v>
      </c>
      <c r="E209">
        <v>9</v>
      </c>
      <c r="F209">
        <f t="shared" si="3"/>
        <v>61</v>
      </c>
    </row>
    <row r="210" spans="1:6" x14ac:dyDescent="0.3">
      <c r="A210" t="s">
        <v>318</v>
      </c>
      <c r="B210" s="387" t="s">
        <v>277</v>
      </c>
      <c r="C210">
        <v>2</v>
      </c>
      <c r="D210">
        <v>1</v>
      </c>
      <c r="F210">
        <f t="shared" si="3"/>
        <v>3</v>
      </c>
    </row>
    <row r="211" spans="1:6" x14ac:dyDescent="0.3">
      <c r="A211" t="s">
        <v>318</v>
      </c>
      <c r="B211" s="387" t="s">
        <v>279</v>
      </c>
      <c r="C211">
        <v>1</v>
      </c>
      <c r="D211">
        <v>1</v>
      </c>
      <c r="F211">
        <f t="shared" si="3"/>
        <v>2</v>
      </c>
    </row>
    <row r="212" spans="1:6" x14ac:dyDescent="0.3">
      <c r="A212" t="s">
        <v>318</v>
      </c>
      <c r="B212" s="387" t="s">
        <v>281</v>
      </c>
      <c r="C212">
        <v>1</v>
      </c>
      <c r="D212">
        <v>10</v>
      </c>
      <c r="E212">
        <v>1</v>
      </c>
      <c r="F212">
        <f t="shared" si="3"/>
        <v>12</v>
      </c>
    </row>
    <row r="213" spans="1:6" x14ac:dyDescent="0.3">
      <c r="A213" t="s">
        <v>318</v>
      </c>
      <c r="B213" s="387" t="s">
        <v>283</v>
      </c>
      <c r="D213">
        <v>14</v>
      </c>
      <c r="F213">
        <f t="shared" si="3"/>
        <v>14</v>
      </c>
    </row>
    <row r="214" spans="1:6" x14ac:dyDescent="0.3">
      <c r="A214" t="s">
        <v>318</v>
      </c>
      <c r="B214" s="387" t="s">
        <v>287</v>
      </c>
      <c r="C214">
        <v>3</v>
      </c>
      <c r="D214">
        <v>8</v>
      </c>
      <c r="E214">
        <v>3</v>
      </c>
      <c r="F214">
        <f t="shared" si="3"/>
        <v>14</v>
      </c>
    </row>
    <row r="215" spans="1:6" x14ac:dyDescent="0.3">
      <c r="A215" t="s">
        <v>318</v>
      </c>
      <c r="B215" s="387" t="s">
        <v>289</v>
      </c>
      <c r="C215">
        <v>4</v>
      </c>
      <c r="D215">
        <v>3</v>
      </c>
      <c r="F215">
        <f t="shared" si="3"/>
        <v>7</v>
      </c>
    </row>
    <row r="216" spans="1:6" x14ac:dyDescent="0.3">
      <c r="A216" t="s">
        <v>318</v>
      </c>
      <c r="B216" s="387" t="s">
        <v>292</v>
      </c>
      <c r="D216">
        <v>12</v>
      </c>
      <c r="F216">
        <f t="shared" si="3"/>
        <v>12</v>
      </c>
    </row>
    <row r="217" spans="1:6" x14ac:dyDescent="0.3">
      <c r="A217" t="s">
        <v>318</v>
      </c>
      <c r="B217" s="387" t="s">
        <v>294</v>
      </c>
      <c r="C217">
        <v>1</v>
      </c>
      <c r="D217">
        <v>10</v>
      </c>
      <c r="E217">
        <v>3</v>
      </c>
      <c r="F217">
        <f t="shared" si="3"/>
        <v>14</v>
      </c>
    </row>
    <row r="218" spans="1:6" x14ac:dyDescent="0.3">
      <c r="A218" t="s">
        <v>318</v>
      </c>
      <c r="B218" s="387" t="s">
        <v>296</v>
      </c>
      <c r="C218">
        <v>3</v>
      </c>
      <c r="F218">
        <f t="shared" si="3"/>
        <v>3</v>
      </c>
    </row>
    <row r="219" spans="1:6" x14ac:dyDescent="0.3">
      <c r="A219" t="s">
        <v>318</v>
      </c>
      <c r="B219" s="387" t="s">
        <v>298</v>
      </c>
      <c r="C219">
        <v>2</v>
      </c>
      <c r="D219">
        <v>11</v>
      </c>
      <c r="F219">
        <f t="shared" si="3"/>
        <v>13</v>
      </c>
    </row>
    <row r="220" spans="1:6" x14ac:dyDescent="0.3">
      <c r="A220" t="s">
        <v>318</v>
      </c>
      <c r="B220" s="387" t="s">
        <v>300</v>
      </c>
      <c r="D220">
        <v>14</v>
      </c>
      <c r="F220">
        <f t="shared" si="3"/>
        <v>14</v>
      </c>
    </row>
    <row r="221" spans="1:6" x14ac:dyDescent="0.3">
      <c r="A221" t="s">
        <v>318</v>
      </c>
      <c r="B221" s="387" t="s">
        <v>302</v>
      </c>
      <c r="C221">
        <v>1</v>
      </c>
      <c r="D221">
        <v>4</v>
      </c>
      <c r="F221">
        <f t="shared" si="3"/>
        <v>5</v>
      </c>
    </row>
    <row r="222" spans="1:6" x14ac:dyDescent="0.3">
      <c r="A222" t="s">
        <v>318</v>
      </c>
      <c r="B222" s="387" t="s">
        <v>304</v>
      </c>
      <c r="C222">
        <v>4</v>
      </c>
      <c r="D222">
        <v>7</v>
      </c>
      <c r="E222">
        <v>1</v>
      </c>
      <c r="F222">
        <f t="shared" si="3"/>
        <v>12</v>
      </c>
    </row>
    <row r="223" spans="1:6" x14ac:dyDescent="0.3">
      <c r="A223" t="s">
        <v>318</v>
      </c>
      <c r="B223" s="387" t="s">
        <v>307</v>
      </c>
      <c r="C223">
        <v>1</v>
      </c>
      <c r="D223">
        <v>9</v>
      </c>
      <c r="F223">
        <f t="shared" si="3"/>
        <v>10</v>
      </c>
    </row>
    <row r="224" spans="1:6" x14ac:dyDescent="0.3">
      <c r="A224" t="s">
        <v>318</v>
      </c>
      <c r="B224" s="387" t="s">
        <v>309</v>
      </c>
      <c r="C224">
        <v>2</v>
      </c>
      <c r="D224">
        <v>1</v>
      </c>
      <c r="F224">
        <f t="shared" si="3"/>
        <v>3</v>
      </c>
    </row>
    <row r="225" spans="1:6" x14ac:dyDescent="0.3">
      <c r="A225" t="s">
        <v>318</v>
      </c>
      <c r="B225" s="387" t="s">
        <v>311</v>
      </c>
      <c r="C225">
        <v>2</v>
      </c>
      <c r="D225">
        <v>4</v>
      </c>
      <c r="F225">
        <f t="shared" si="3"/>
        <v>6</v>
      </c>
    </row>
    <row r="226" spans="1:6" x14ac:dyDescent="0.3">
      <c r="A226" t="s">
        <v>320</v>
      </c>
      <c r="B226" s="387" t="s">
        <v>215</v>
      </c>
      <c r="C226">
        <v>3</v>
      </c>
      <c r="D226">
        <v>1</v>
      </c>
      <c r="F226">
        <f t="shared" si="3"/>
        <v>4</v>
      </c>
    </row>
    <row r="227" spans="1:6" x14ac:dyDescent="0.3">
      <c r="A227" t="s">
        <v>320</v>
      </c>
      <c r="B227" s="387" t="s">
        <v>220</v>
      </c>
      <c r="C227">
        <v>1</v>
      </c>
      <c r="D227">
        <v>23</v>
      </c>
      <c r="F227">
        <f t="shared" si="3"/>
        <v>24</v>
      </c>
    </row>
    <row r="228" spans="1:6" x14ac:dyDescent="0.3">
      <c r="A228" t="s">
        <v>320</v>
      </c>
      <c r="B228" s="387" t="s">
        <v>224</v>
      </c>
      <c r="C228">
        <v>1</v>
      </c>
      <c r="D228">
        <v>5</v>
      </c>
      <c r="F228">
        <f t="shared" si="3"/>
        <v>6</v>
      </c>
    </row>
    <row r="229" spans="1:6" x14ac:dyDescent="0.3">
      <c r="A229" t="s">
        <v>320</v>
      </c>
      <c r="B229" s="387" t="s">
        <v>228</v>
      </c>
      <c r="C229">
        <v>2</v>
      </c>
      <c r="D229">
        <v>12</v>
      </c>
      <c r="E229">
        <v>25</v>
      </c>
      <c r="F229">
        <f t="shared" si="3"/>
        <v>39</v>
      </c>
    </row>
    <row r="230" spans="1:6" x14ac:dyDescent="0.3">
      <c r="A230" t="s">
        <v>320</v>
      </c>
      <c r="B230" s="387" t="s">
        <v>234</v>
      </c>
      <c r="C230">
        <v>7</v>
      </c>
      <c r="D230">
        <v>1</v>
      </c>
      <c r="F230">
        <f t="shared" si="3"/>
        <v>8</v>
      </c>
    </row>
    <row r="231" spans="1:6" x14ac:dyDescent="0.3">
      <c r="A231" t="s">
        <v>320</v>
      </c>
      <c r="B231" s="387" t="s">
        <v>240</v>
      </c>
      <c r="C231">
        <v>1</v>
      </c>
      <c r="D231">
        <v>1</v>
      </c>
      <c r="F231">
        <f t="shared" si="3"/>
        <v>2</v>
      </c>
    </row>
    <row r="232" spans="1:6" x14ac:dyDescent="0.3">
      <c r="A232" t="s">
        <v>320</v>
      </c>
      <c r="B232" s="387" t="s">
        <v>244</v>
      </c>
      <c r="C232">
        <v>1</v>
      </c>
      <c r="D232">
        <v>15</v>
      </c>
      <c r="E232">
        <v>1</v>
      </c>
      <c r="F232">
        <f t="shared" si="3"/>
        <v>17</v>
      </c>
    </row>
    <row r="233" spans="1:6" x14ac:dyDescent="0.3">
      <c r="A233" t="s">
        <v>320</v>
      </c>
      <c r="B233" s="387" t="s">
        <v>247</v>
      </c>
      <c r="C233">
        <v>4</v>
      </c>
      <c r="F233">
        <f t="shared" si="3"/>
        <v>4</v>
      </c>
    </row>
    <row r="234" spans="1:6" x14ac:dyDescent="0.3">
      <c r="A234" t="s">
        <v>320</v>
      </c>
      <c r="B234" s="387" t="s">
        <v>249</v>
      </c>
      <c r="C234">
        <v>1</v>
      </c>
      <c r="D234">
        <v>7</v>
      </c>
      <c r="F234">
        <f t="shared" si="3"/>
        <v>8</v>
      </c>
    </row>
    <row r="235" spans="1:6" x14ac:dyDescent="0.3">
      <c r="A235" t="s">
        <v>320</v>
      </c>
      <c r="B235" s="387" t="s">
        <v>253</v>
      </c>
      <c r="C235">
        <v>3</v>
      </c>
      <c r="F235">
        <f t="shared" si="3"/>
        <v>3</v>
      </c>
    </row>
    <row r="236" spans="1:6" x14ac:dyDescent="0.3">
      <c r="A236" t="s">
        <v>320</v>
      </c>
      <c r="B236" s="387" t="s">
        <v>255</v>
      </c>
      <c r="C236">
        <v>1</v>
      </c>
      <c r="D236">
        <v>5</v>
      </c>
      <c r="F236">
        <f t="shared" si="3"/>
        <v>6</v>
      </c>
    </row>
    <row r="237" spans="1:6" x14ac:dyDescent="0.3">
      <c r="A237" t="s">
        <v>320</v>
      </c>
      <c r="B237" s="387" t="s">
        <v>259</v>
      </c>
      <c r="C237">
        <v>2</v>
      </c>
      <c r="F237">
        <f t="shared" si="3"/>
        <v>2</v>
      </c>
    </row>
    <row r="238" spans="1:6" x14ac:dyDescent="0.3">
      <c r="A238" t="s">
        <v>320</v>
      </c>
      <c r="B238" s="387" t="s">
        <v>263</v>
      </c>
      <c r="C238">
        <v>3</v>
      </c>
      <c r="D238">
        <v>2</v>
      </c>
      <c r="F238">
        <f t="shared" si="3"/>
        <v>5</v>
      </c>
    </row>
    <row r="239" spans="1:6" x14ac:dyDescent="0.3">
      <c r="A239" t="s">
        <v>320</v>
      </c>
      <c r="B239" s="387" t="s">
        <v>267</v>
      </c>
      <c r="C239">
        <v>5</v>
      </c>
      <c r="D239">
        <v>8</v>
      </c>
      <c r="F239">
        <f t="shared" si="3"/>
        <v>13</v>
      </c>
    </row>
    <row r="240" spans="1:6" x14ac:dyDescent="0.3">
      <c r="A240" t="s">
        <v>320</v>
      </c>
      <c r="B240" s="387" t="s">
        <v>270</v>
      </c>
      <c r="C240">
        <v>11</v>
      </c>
      <c r="F240">
        <f t="shared" si="3"/>
        <v>11</v>
      </c>
    </row>
    <row r="241" spans="1:6" x14ac:dyDescent="0.3">
      <c r="A241" t="s">
        <v>320</v>
      </c>
      <c r="B241" s="387" t="s">
        <v>273</v>
      </c>
      <c r="C241">
        <v>1</v>
      </c>
      <c r="D241">
        <v>51</v>
      </c>
      <c r="E241">
        <v>9</v>
      </c>
      <c r="F241">
        <f t="shared" si="3"/>
        <v>61</v>
      </c>
    </row>
    <row r="242" spans="1:6" x14ac:dyDescent="0.3">
      <c r="A242" t="s">
        <v>320</v>
      </c>
      <c r="B242" s="387" t="s">
        <v>277</v>
      </c>
      <c r="C242">
        <v>2</v>
      </c>
      <c r="D242">
        <v>1</v>
      </c>
      <c r="F242">
        <f t="shared" si="3"/>
        <v>3</v>
      </c>
    </row>
    <row r="243" spans="1:6" x14ac:dyDescent="0.3">
      <c r="A243" t="s">
        <v>320</v>
      </c>
      <c r="B243" s="387" t="s">
        <v>279</v>
      </c>
      <c r="C243">
        <v>1</v>
      </c>
      <c r="D243">
        <v>1</v>
      </c>
      <c r="F243">
        <f t="shared" si="3"/>
        <v>2</v>
      </c>
    </row>
    <row r="244" spans="1:6" x14ac:dyDescent="0.3">
      <c r="A244" t="s">
        <v>320</v>
      </c>
      <c r="B244" s="387" t="s">
        <v>281</v>
      </c>
      <c r="C244">
        <v>1</v>
      </c>
      <c r="D244">
        <v>10</v>
      </c>
      <c r="E244">
        <v>1</v>
      </c>
      <c r="F244">
        <f t="shared" si="3"/>
        <v>12</v>
      </c>
    </row>
    <row r="245" spans="1:6" x14ac:dyDescent="0.3">
      <c r="A245" t="s">
        <v>320</v>
      </c>
      <c r="B245" s="387" t="s">
        <v>283</v>
      </c>
      <c r="D245">
        <v>14</v>
      </c>
      <c r="F245">
        <f t="shared" si="3"/>
        <v>14</v>
      </c>
    </row>
    <row r="246" spans="1:6" x14ac:dyDescent="0.3">
      <c r="A246" t="s">
        <v>320</v>
      </c>
      <c r="B246" s="387" t="s">
        <v>287</v>
      </c>
      <c r="C246">
        <v>3</v>
      </c>
      <c r="D246">
        <v>8</v>
      </c>
      <c r="E246">
        <v>3</v>
      </c>
      <c r="F246">
        <f t="shared" si="3"/>
        <v>14</v>
      </c>
    </row>
    <row r="247" spans="1:6" x14ac:dyDescent="0.3">
      <c r="A247" t="s">
        <v>320</v>
      </c>
      <c r="B247" s="387" t="s">
        <v>289</v>
      </c>
      <c r="C247">
        <v>4</v>
      </c>
      <c r="D247">
        <v>3</v>
      </c>
      <c r="F247">
        <f t="shared" si="3"/>
        <v>7</v>
      </c>
    </row>
    <row r="248" spans="1:6" x14ac:dyDescent="0.3">
      <c r="A248" t="s">
        <v>320</v>
      </c>
      <c r="B248" s="387" t="s">
        <v>292</v>
      </c>
      <c r="D248">
        <v>12</v>
      </c>
      <c r="F248">
        <f t="shared" si="3"/>
        <v>12</v>
      </c>
    </row>
    <row r="249" spans="1:6" x14ac:dyDescent="0.3">
      <c r="A249" t="s">
        <v>320</v>
      </c>
      <c r="B249" s="387" t="s">
        <v>294</v>
      </c>
      <c r="C249">
        <v>1</v>
      </c>
      <c r="D249">
        <v>10</v>
      </c>
      <c r="E249">
        <v>3</v>
      </c>
      <c r="F249">
        <f t="shared" si="3"/>
        <v>14</v>
      </c>
    </row>
    <row r="250" spans="1:6" x14ac:dyDescent="0.3">
      <c r="A250" t="s">
        <v>320</v>
      </c>
      <c r="B250" s="387" t="s">
        <v>296</v>
      </c>
      <c r="C250">
        <v>3</v>
      </c>
      <c r="F250">
        <f t="shared" si="3"/>
        <v>3</v>
      </c>
    </row>
    <row r="251" spans="1:6" x14ac:dyDescent="0.3">
      <c r="A251" t="s">
        <v>320</v>
      </c>
      <c r="B251" s="387" t="s">
        <v>298</v>
      </c>
      <c r="C251">
        <v>2</v>
      </c>
      <c r="D251">
        <v>11</v>
      </c>
      <c r="F251">
        <f t="shared" si="3"/>
        <v>13</v>
      </c>
    </row>
    <row r="252" spans="1:6" x14ac:dyDescent="0.3">
      <c r="A252" t="s">
        <v>320</v>
      </c>
      <c r="B252" s="387" t="s">
        <v>300</v>
      </c>
      <c r="D252">
        <v>14</v>
      </c>
      <c r="F252">
        <f t="shared" si="3"/>
        <v>14</v>
      </c>
    </row>
    <row r="253" spans="1:6" x14ac:dyDescent="0.3">
      <c r="A253" t="s">
        <v>320</v>
      </c>
      <c r="B253" s="387" t="s">
        <v>302</v>
      </c>
      <c r="C253">
        <v>1</v>
      </c>
      <c r="D253">
        <v>4</v>
      </c>
      <c r="F253">
        <f t="shared" si="3"/>
        <v>5</v>
      </c>
    </row>
    <row r="254" spans="1:6" x14ac:dyDescent="0.3">
      <c r="A254" t="s">
        <v>320</v>
      </c>
      <c r="B254" s="387" t="s">
        <v>304</v>
      </c>
      <c r="C254">
        <v>4</v>
      </c>
      <c r="D254">
        <v>7</v>
      </c>
      <c r="E254">
        <v>1</v>
      </c>
      <c r="F254">
        <f t="shared" si="3"/>
        <v>12</v>
      </c>
    </row>
    <row r="255" spans="1:6" x14ac:dyDescent="0.3">
      <c r="A255" t="s">
        <v>320</v>
      </c>
      <c r="B255" s="387" t="s">
        <v>307</v>
      </c>
      <c r="C255">
        <v>1</v>
      </c>
      <c r="D255">
        <v>9</v>
      </c>
      <c r="F255">
        <f t="shared" si="3"/>
        <v>10</v>
      </c>
    </row>
    <row r="256" spans="1:6" x14ac:dyDescent="0.3">
      <c r="A256" t="s">
        <v>320</v>
      </c>
      <c r="B256" s="387" t="s">
        <v>309</v>
      </c>
      <c r="C256">
        <v>2</v>
      </c>
      <c r="D256">
        <v>1</v>
      </c>
      <c r="F256">
        <f t="shared" si="3"/>
        <v>3</v>
      </c>
    </row>
    <row r="257" spans="1:6" x14ac:dyDescent="0.3">
      <c r="A257" t="s">
        <v>320</v>
      </c>
      <c r="B257" s="387" t="s">
        <v>311</v>
      </c>
      <c r="C257">
        <v>2</v>
      </c>
      <c r="D257">
        <v>4</v>
      </c>
      <c r="F257">
        <f t="shared" si="3"/>
        <v>6</v>
      </c>
    </row>
    <row r="258" spans="1:6" x14ac:dyDescent="0.3">
      <c r="A258" t="s">
        <v>325</v>
      </c>
      <c r="B258" s="387" t="s">
        <v>215</v>
      </c>
      <c r="C258">
        <v>3</v>
      </c>
      <c r="D258">
        <v>1</v>
      </c>
      <c r="F258">
        <f t="shared" ref="F258:F289" si="4">SUM(C258:E258)</f>
        <v>4</v>
      </c>
    </row>
    <row r="259" spans="1:6" x14ac:dyDescent="0.3">
      <c r="A259" t="s">
        <v>325</v>
      </c>
      <c r="B259" s="387" t="s">
        <v>220</v>
      </c>
      <c r="C259">
        <v>1</v>
      </c>
      <c r="D259">
        <v>23</v>
      </c>
      <c r="F259">
        <f t="shared" si="4"/>
        <v>24</v>
      </c>
    </row>
    <row r="260" spans="1:6" x14ac:dyDescent="0.3">
      <c r="A260" t="s">
        <v>325</v>
      </c>
      <c r="B260" s="387" t="s">
        <v>224</v>
      </c>
      <c r="C260">
        <v>1</v>
      </c>
      <c r="D260">
        <v>5</v>
      </c>
      <c r="F260">
        <f t="shared" si="4"/>
        <v>6</v>
      </c>
    </row>
    <row r="261" spans="1:6" x14ac:dyDescent="0.3">
      <c r="A261" t="s">
        <v>325</v>
      </c>
      <c r="B261" s="387" t="s">
        <v>228</v>
      </c>
      <c r="C261">
        <v>2</v>
      </c>
      <c r="D261">
        <v>12</v>
      </c>
      <c r="E261">
        <v>25</v>
      </c>
      <c r="F261">
        <f t="shared" si="4"/>
        <v>39</v>
      </c>
    </row>
    <row r="262" spans="1:6" x14ac:dyDescent="0.3">
      <c r="A262" t="s">
        <v>325</v>
      </c>
      <c r="B262" s="387" t="s">
        <v>234</v>
      </c>
      <c r="C262">
        <v>7</v>
      </c>
      <c r="D262">
        <v>1</v>
      </c>
      <c r="F262">
        <f t="shared" si="4"/>
        <v>8</v>
      </c>
    </row>
    <row r="263" spans="1:6" x14ac:dyDescent="0.3">
      <c r="A263" t="s">
        <v>325</v>
      </c>
      <c r="B263" s="387" t="s">
        <v>240</v>
      </c>
      <c r="C263">
        <v>1</v>
      </c>
      <c r="D263">
        <v>1</v>
      </c>
      <c r="F263">
        <f t="shared" si="4"/>
        <v>2</v>
      </c>
    </row>
    <row r="264" spans="1:6" x14ac:dyDescent="0.3">
      <c r="A264" t="s">
        <v>325</v>
      </c>
      <c r="B264" s="387" t="s">
        <v>244</v>
      </c>
      <c r="C264">
        <v>1</v>
      </c>
      <c r="D264">
        <v>15</v>
      </c>
      <c r="E264">
        <v>1</v>
      </c>
      <c r="F264">
        <f t="shared" si="4"/>
        <v>17</v>
      </c>
    </row>
    <row r="265" spans="1:6" x14ac:dyDescent="0.3">
      <c r="A265" t="s">
        <v>325</v>
      </c>
      <c r="B265" s="387" t="s">
        <v>247</v>
      </c>
      <c r="C265">
        <v>4</v>
      </c>
      <c r="F265">
        <f t="shared" si="4"/>
        <v>4</v>
      </c>
    </row>
    <row r="266" spans="1:6" x14ac:dyDescent="0.3">
      <c r="A266" t="s">
        <v>325</v>
      </c>
      <c r="B266" s="387" t="s">
        <v>249</v>
      </c>
      <c r="C266">
        <v>1</v>
      </c>
      <c r="D266">
        <v>7</v>
      </c>
      <c r="F266">
        <f t="shared" si="4"/>
        <v>8</v>
      </c>
    </row>
    <row r="267" spans="1:6" x14ac:dyDescent="0.3">
      <c r="A267" t="s">
        <v>325</v>
      </c>
      <c r="B267" s="387" t="s">
        <v>253</v>
      </c>
      <c r="C267">
        <v>3</v>
      </c>
      <c r="F267">
        <f t="shared" si="4"/>
        <v>3</v>
      </c>
    </row>
    <row r="268" spans="1:6" x14ac:dyDescent="0.3">
      <c r="A268" t="s">
        <v>325</v>
      </c>
      <c r="B268" s="387" t="s">
        <v>255</v>
      </c>
      <c r="C268">
        <v>1</v>
      </c>
      <c r="D268">
        <v>5</v>
      </c>
      <c r="F268">
        <f t="shared" si="4"/>
        <v>6</v>
      </c>
    </row>
    <row r="269" spans="1:6" x14ac:dyDescent="0.3">
      <c r="A269" t="s">
        <v>325</v>
      </c>
      <c r="B269" s="387" t="s">
        <v>259</v>
      </c>
      <c r="C269">
        <v>2</v>
      </c>
      <c r="F269">
        <f t="shared" si="4"/>
        <v>2</v>
      </c>
    </row>
    <row r="270" spans="1:6" x14ac:dyDescent="0.3">
      <c r="A270" t="s">
        <v>325</v>
      </c>
      <c r="B270" s="387" t="s">
        <v>263</v>
      </c>
      <c r="C270">
        <v>3</v>
      </c>
      <c r="D270">
        <v>2</v>
      </c>
      <c r="F270">
        <f t="shared" si="4"/>
        <v>5</v>
      </c>
    </row>
    <row r="271" spans="1:6" x14ac:dyDescent="0.3">
      <c r="A271" t="s">
        <v>325</v>
      </c>
      <c r="B271" s="387" t="s">
        <v>267</v>
      </c>
      <c r="C271">
        <v>5</v>
      </c>
      <c r="D271">
        <v>8</v>
      </c>
      <c r="F271">
        <f t="shared" si="4"/>
        <v>13</v>
      </c>
    </row>
    <row r="272" spans="1:6" x14ac:dyDescent="0.3">
      <c r="A272" t="s">
        <v>325</v>
      </c>
      <c r="B272" s="387" t="s">
        <v>270</v>
      </c>
      <c r="C272">
        <v>11</v>
      </c>
      <c r="F272">
        <f t="shared" si="4"/>
        <v>11</v>
      </c>
    </row>
    <row r="273" spans="1:6" x14ac:dyDescent="0.3">
      <c r="A273" t="s">
        <v>325</v>
      </c>
      <c r="B273" s="387" t="s">
        <v>273</v>
      </c>
      <c r="C273">
        <v>1</v>
      </c>
      <c r="D273">
        <v>51</v>
      </c>
      <c r="E273">
        <v>9</v>
      </c>
      <c r="F273">
        <f t="shared" si="4"/>
        <v>61</v>
      </c>
    </row>
    <row r="274" spans="1:6" x14ac:dyDescent="0.3">
      <c r="A274" t="s">
        <v>325</v>
      </c>
      <c r="B274" s="387" t="s">
        <v>277</v>
      </c>
      <c r="C274">
        <v>2</v>
      </c>
      <c r="D274">
        <v>1</v>
      </c>
      <c r="F274">
        <f t="shared" si="4"/>
        <v>3</v>
      </c>
    </row>
    <row r="275" spans="1:6" x14ac:dyDescent="0.3">
      <c r="A275" t="s">
        <v>325</v>
      </c>
      <c r="B275" s="387" t="s">
        <v>279</v>
      </c>
      <c r="C275">
        <v>1</v>
      </c>
      <c r="D275">
        <v>1</v>
      </c>
      <c r="F275">
        <f t="shared" si="4"/>
        <v>2</v>
      </c>
    </row>
    <row r="276" spans="1:6" x14ac:dyDescent="0.3">
      <c r="A276" t="s">
        <v>325</v>
      </c>
      <c r="B276" s="387" t="s">
        <v>281</v>
      </c>
      <c r="C276">
        <v>1</v>
      </c>
      <c r="D276">
        <v>10</v>
      </c>
      <c r="E276">
        <v>1</v>
      </c>
      <c r="F276">
        <f t="shared" si="4"/>
        <v>12</v>
      </c>
    </row>
    <row r="277" spans="1:6" x14ac:dyDescent="0.3">
      <c r="A277" t="s">
        <v>325</v>
      </c>
      <c r="B277" s="387" t="s">
        <v>283</v>
      </c>
      <c r="D277">
        <v>14</v>
      </c>
      <c r="F277">
        <f t="shared" si="4"/>
        <v>14</v>
      </c>
    </row>
    <row r="278" spans="1:6" x14ac:dyDescent="0.3">
      <c r="A278" t="s">
        <v>325</v>
      </c>
      <c r="B278" s="387" t="s">
        <v>287</v>
      </c>
      <c r="C278">
        <v>3</v>
      </c>
      <c r="D278">
        <v>8</v>
      </c>
      <c r="E278">
        <v>3</v>
      </c>
      <c r="F278">
        <f t="shared" si="4"/>
        <v>14</v>
      </c>
    </row>
    <row r="279" spans="1:6" x14ac:dyDescent="0.3">
      <c r="A279" t="s">
        <v>325</v>
      </c>
      <c r="B279" s="387" t="s">
        <v>289</v>
      </c>
      <c r="C279">
        <v>4</v>
      </c>
      <c r="D279">
        <v>3</v>
      </c>
      <c r="F279">
        <f t="shared" si="4"/>
        <v>7</v>
      </c>
    </row>
    <row r="280" spans="1:6" x14ac:dyDescent="0.3">
      <c r="A280" t="s">
        <v>325</v>
      </c>
      <c r="B280" s="387" t="s">
        <v>292</v>
      </c>
      <c r="D280">
        <v>12</v>
      </c>
      <c r="F280">
        <f t="shared" si="4"/>
        <v>12</v>
      </c>
    </row>
    <row r="281" spans="1:6" x14ac:dyDescent="0.3">
      <c r="A281" t="s">
        <v>325</v>
      </c>
      <c r="B281" s="387" t="s">
        <v>294</v>
      </c>
      <c r="C281">
        <v>1</v>
      </c>
      <c r="D281">
        <v>10</v>
      </c>
      <c r="E281">
        <v>3</v>
      </c>
      <c r="F281">
        <f t="shared" si="4"/>
        <v>14</v>
      </c>
    </row>
    <row r="282" spans="1:6" x14ac:dyDescent="0.3">
      <c r="A282" t="s">
        <v>325</v>
      </c>
      <c r="B282" s="387" t="s">
        <v>296</v>
      </c>
      <c r="C282">
        <v>3</v>
      </c>
      <c r="F282">
        <f t="shared" si="4"/>
        <v>3</v>
      </c>
    </row>
    <row r="283" spans="1:6" x14ac:dyDescent="0.3">
      <c r="A283" t="s">
        <v>325</v>
      </c>
      <c r="B283" s="387" t="s">
        <v>298</v>
      </c>
      <c r="C283">
        <v>2</v>
      </c>
      <c r="D283">
        <v>11</v>
      </c>
      <c r="F283">
        <f t="shared" si="4"/>
        <v>13</v>
      </c>
    </row>
    <row r="284" spans="1:6" x14ac:dyDescent="0.3">
      <c r="A284" t="s">
        <v>325</v>
      </c>
      <c r="B284" s="387" t="s">
        <v>300</v>
      </c>
      <c r="D284">
        <v>14</v>
      </c>
      <c r="F284">
        <f t="shared" si="4"/>
        <v>14</v>
      </c>
    </row>
    <row r="285" spans="1:6" x14ac:dyDescent="0.3">
      <c r="A285" t="s">
        <v>325</v>
      </c>
      <c r="B285" s="387" t="s">
        <v>302</v>
      </c>
      <c r="C285">
        <v>1</v>
      </c>
      <c r="D285">
        <v>4</v>
      </c>
      <c r="F285">
        <f t="shared" si="4"/>
        <v>5</v>
      </c>
    </row>
    <row r="286" spans="1:6" x14ac:dyDescent="0.3">
      <c r="A286" t="s">
        <v>325</v>
      </c>
      <c r="B286" s="387" t="s">
        <v>304</v>
      </c>
      <c r="C286">
        <v>4</v>
      </c>
      <c r="D286">
        <v>7</v>
      </c>
      <c r="E286">
        <v>1</v>
      </c>
      <c r="F286">
        <f t="shared" si="4"/>
        <v>12</v>
      </c>
    </row>
    <row r="287" spans="1:6" x14ac:dyDescent="0.3">
      <c r="A287" t="s">
        <v>325</v>
      </c>
      <c r="B287" s="387" t="s">
        <v>307</v>
      </c>
      <c r="C287">
        <v>1</v>
      </c>
      <c r="D287">
        <v>9</v>
      </c>
      <c r="F287">
        <f t="shared" si="4"/>
        <v>10</v>
      </c>
    </row>
    <row r="288" spans="1:6" x14ac:dyDescent="0.3">
      <c r="A288" t="s">
        <v>325</v>
      </c>
      <c r="B288" s="387" t="s">
        <v>309</v>
      </c>
      <c r="C288">
        <v>2</v>
      </c>
      <c r="D288">
        <v>1</v>
      </c>
      <c r="F288">
        <f t="shared" si="4"/>
        <v>3</v>
      </c>
    </row>
    <row r="289" spans="1:6" x14ac:dyDescent="0.3">
      <c r="A289" t="s">
        <v>325</v>
      </c>
      <c r="B289" s="387" t="s">
        <v>311</v>
      </c>
      <c r="C289">
        <v>2</v>
      </c>
      <c r="D289">
        <v>4</v>
      </c>
      <c r="F289">
        <f t="shared" si="4"/>
        <v>6</v>
      </c>
    </row>
    <row r="290" spans="1:6" x14ac:dyDescent="0.3">
      <c r="A290" t="s">
        <v>326</v>
      </c>
      <c r="B290" t="s">
        <v>215</v>
      </c>
      <c r="C290">
        <v>3</v>
      </c>
      <c r="D290">
        <v>1</v>
      </c>
      <c r="F290">
        <v>4</v>
      </c>
    </row>
    <row r="291" spans="1:6" x14ac:dyDescent="0.3">
      <c r="A291" t="s">
        <v>326</v>
      </c>
      <c r="B291" t="s">
        <v>220</v>
      </c>
      <c r="C291">
        <v>1</v>
      </c>
      <c r="D291">
        <v>23</v>
      </c>
      <c r="F291">
        <v>24</v>
      </c>
    </row>
    <row r="292" spans="1:6" x14ac:dyDescent="0.3">
      <c r="A292" t="s">
        <v>326</v>
      </c>
      <c r="B292" t="s">
        <v>224</v>
      </c>
      <c r="C292">
        <v>1</v>
      </c>
      <c r="D292">
        <v>5</v>
      </c>
      <c r="F292">
        <v>6</v>
      </c>
    </row>
    <row r="293" spans="1:6" x14ac:dyDescent="0.3">
      <c r="A293" t="s">
        <v>326</v>
      </c>
      <c r="B293" t="s">
        <v>228</v>
      </c>
      <c r="C293">
        <v>2</v>
      </c>
      <c r="D293">
        <v>12</v>
      </c>
      <c r="E293">
        <v>25</v>
      </c>
      <c r="F293">
        <v>39</v>
      </c>
    </row>
    <row r="294" spans="1:6" x14ac:dyDescent="0.3">
      <c r="A294" t="s">
        <v>326</v>
      </c>
      <c r="B294" t="s">
        <v>234</v>
      </c>
      <c r="C294">
        <v>7</v>
      </c>
      <c r="D294">
        <v>1</v>
      </c>
      <c r="F294">
        <v>8</v>
      </c>
    </row>
    <row r="295" spans="1:6" x14ac:dyDescent="0.3">
      <c r="A295" t="s">
        <v>326</v>
      </c>
      <c r="B295" t="s">
        <v>240</v>
      </c>
      <c r="C295">
        <v>1</v>
      </c>
      <c r="D295">
        <v>1</v>
      </c>
      <c r="F295">
        <v>2</v>
      </c>
    </row>
    <row r="296" spans="1:6" x14ac:dyDescent="0.3">
      <c r="A296" t="s">
        <v>326</v>
      </c>
      <c r="B296" t="s">
        <v>244</v>
      </c>
      <c r="C296">
        <v>1</v>
      </c>
      <c r="D296">
        <v>15</v>
      </c>
      <c r="E296">
        <v>1</v>
      </c>
      <c r="F296">
        <v>17</v>
      </c>
    </row>
    <row r="297" spans="1:6" x14ac:dyDescent="0.3">
      <c r="A297" t="s">
        <v>326</v>
      </c>
      <c r="B297" t="s">
        <v>247</v>
      </c>
      <c r="C297">
        <v>4</v>
      </c>
      <c r="F297">
        <v>4</v>
      </c>
    </row>
    <row r="298" spans="1:6" x14ac:dyDescent="0.3">
      <c r="A298" t="s">
        <v>326</v>
      </c>
      <c r="B298" t="s">
        <v>249</v>
      </c>
      <c r="C298">
        <v>1</v>
      </c>
      <c r="D298">
        <v>7</v>
      </c>
      <c r="F298">
        <v>8</v>
      </c>
    </row>
    <row r="299" spans="1:6" x14ac:dyDescent="0.3">
      <c r="A299" t="s">
        <v>326</v>
      </c>
      <c r="B299" t="s">
        <v>253</v>
      </c>
      <c r="C299">
        <v>3</v>
      </c>
      <c r="F299">
        <v>3</v>
      </c>
    </row>
    <row r="300" spans="1:6" x14ac:dyDescent="0.3">
      <c r="A300" t="s">
        <v>326</v>
      </c>
      <c r="B300" t="s">
        <v>255</v>
      </c>
      <c r="C300">
        <v>1</v>
      </c>
      <c r="D300">
        <v>5</v>
      </c>
      <c r="F300">
        <v>6</v>
      </c>
    </row>
    <row r="301" spans="1:6" x14ac:dyDescent="0.3">
      <c r="A301" t="s">
        <v>326</v>
      </c>
      <c r="B301" t="s">
        <v>259</v>
      </c>
      <c r="C301">
        <v>2</v>
      </c>
      <c r="F301">
        <v>2</v>
      </c>
    </row>
    <row r="302" spans="1:6" x14ac:dyDescent="0.3">
      <c r="A302" t="s">
        <v>326</v>
      </c>
      <c r="B302" t="s">
        <v>263</v>
      </c>
      <c r="C302">
        <v>3</v>
      </c>
      <c r="D302">
        <v>2</v>
      </c>
      <c r="F302">
        <v>5</v>
      </c>
    </row>
    <row r="303" spans="1:6" x14ac:dyDescent="0.3">
      <c r="A303" t="s">
        <v>326</v>
      </c>
      <c r="B303" t="s">
        <v>267</v>
      </c>
      <c r="C303">
        <v>5</v>
      </c>
      <c r="D303">
        <v>8</v>
      </c>
      <c r="F303">
        <v>13</v>
      </c>
    </row>
    <row r="304" spans="1:6" x14ac:dyDescent="0.3">
      <c r="A304" t="s">
        <v>326</v>
      </c>
      <c r="B304" t="s">
        <v>270</v>
      </c>
      <c r="C304">
        <v>11</v>
      </c>
      <c r="F304">
        <v>11</v>
      </c>
    </row>
    <row r="305" spans="1:6" x14ac:dyDescent="0.3">
      <c r="A305" t="s">
        <v>326</v>
      </c>
      <c r="B305" t="s">
        <v>273</v>
      </c>
      <c r="C305">
        <v>1</v>
      </c>
      <c r="D305">
        <v>51</v>
      </c>
      <c r="E305">
        <v>9</v>
      </c>
      <c r="F305">
        <v>61</v>
      </c>
    </row>
    <row r="306" spans="1:6" x14ac:dyDescent="0.3">
      <c r="A306" t="s">
        <v>326</v>
      </c>
      <c r="B306" t="s">
        <v>277</v>
      </c>
      <c r="C306">
        <v>2</v>
      </c>
      <c r="D306">
        <v>1</v>
      </c>
      <c r="F306">
        <v>3</v>
      </c>
    </row>
    <row r="307" spans="1:6" x14ac:dyDescent="0.3">
      <c r="A307" t="s">
        <v>326</v>
      </c>
      <c r="B307" t="s">
        <v>279</v>
      </c>
      <c r="C307">
        <v>1</v>
      </c>
      <c r="D307">
        <v>1</v>
      </c>
      <c r="F307">
        <v>2</v>
      </c>
    </row>
    <row r="308" spans="1:6" x14ac:dyDescent="0.3">
      <c r="A308" t="s">
        <v>326</v>
      </c>
      <c r="B308" t="s">
        <v>281</v>
      </c>
      <c r="C308">
        <v>1</v>
      </c>
      <c r="D308">
        <v>10</v>
      </c>
      <c r="E308">
        <v>1</v>
      </c>
      <c r="F308">
        <v>12</v>
      </c>
    </row>
    <row r="309" spans="1:6" x14ac:dyDescent="0.3">
      <c r="A309" t="s">
        <v>326</v>
      </c>
      <c r="B309" t="s">
        <v>283</v>
      </c>
      <c r="D309">
        <v>14</v>
      </c>
      <c r="F309">
        <v>14</v>
      </c>
    </row>
    <row r="310" spans="1:6" x14ac:dyDescent="0.3">
      <c r="A310" t="s">
        <v>326</v>
      </c>
      <c r="B310" t="s">
        <v>287</v>
      </c>
      <c r="C310">
        <v>3</v>
      </c>
      <c r="D310">
        <v>8</v>
      </c>
      <c r="E310">
        <v>3</v>
      </c>
      <c r="F310">
        <v>14</v>
      </c>
    </row>
    <row r="311" spans="1:6" x14ac:dyDescent="0.3">
      <c r="A311" t="s">
        <v>326</v>
      </c>
      <c r="B311" t="s">
        <v>289</v>
      </c>
      <c r="C311">
        <v>4</v>
      </c>
      <c r="D311">
        <v>3</v>
      </c>
      <c r="F311">
        <v>7</v>
      </c>
    </row>
    <row r="312" spans="1:6" x14ac:dyDescent="0.3">
      <c r="A312" t="s">
        <v>326</v>
      </c>
      <c r="B312" t="s">
        <v>292</v>
      </c>
      <c r="D312">
        <v>12</v>
      </c>
      <c r="F312">
        <v>12</v>
      </c>
    </row>
    <row r="313" spans="1:6" x14ac:dyDescent="0.3">
      <c r="A313" t="s">
        <v>326</v>
      </c>
      <c r="B313" t="s">
        <v>294</v>
      </c>
      <c r="C313">
        <v>1</v>
      </c>
      <c r="D313">
        <v>10</v>
      </c>
      <c r="E313">
        <v>3</v>
      </c>
      <c r="F313">
        <v>14</v>
      </c>
    </row>
    <row r="314" spans="1:6" x14ac:dyDescent="0.3">
      <c r="A314" t="s">
        <v>326</v>
      </c>
      <c r="B314" t="s">
        <v>296</v>
      </c>
      <c r="C314">
        <v>3</v>
      </c>
      <c r="F314">
        <v>3</v>
      </c>
    </row>
    <row r="315" spans="1:6" x14ac:dyDescent="0.3">
      <c r="A315" t="s">
        <v>326</v>
      </c>
      <c r="B315" t="s">
        <v>298</v>
      </c>
      <c r="C315">
        <v>2</v>
      </c>
      <c r="D315">
        <v>11</v>
      </c>
      <c r="F315">
        <v>13</v>
      </c>
    </row>
    <row r="316" spans="1:6" x14ac:dyDescent="0.3">
      <c r="A316" t="s">
        <v>326</v>
      </c>
      <c r="B316" t="s">
        <v>300</v>
      </c>
      <c r="D316">
        <v>14</v>
      </c>
      <c r="F316">
        <v>14</v>
      </c>
    </row>
    <row r="317" spans="1:6" x14ac:dyDescent="0.3">
      <c r="A317" t="s">
        <v>326</v>
      </c>
      <c r="B317" t="s">
        <v>302</v>
      </c>
      <c r="C317">
        <v>1</v>
      </c>
      <c r="D317">
        <v>4</v>
      </c>
      <c r="F317">
        <v>5</v>
      </c>
    </row>
    <row r="318" spans="1:6" x14ac:dyDescent="0.3">
      <c r="A318" t="s">
        <v>326</v>
      </c>
      <c r="B318" t="s">
        <v>304</v>
      </c>
      <c r="C318">
        <v>4</v>
      </c>
      <c r="D318">
        <v>7</v>
      </c>
      <c r="F318">
        <v>12</v>
      </c>
    </row>
    <row r="319" spans="1:6" x14ac:dyDescent="0.3">
      <c r="A319" t="s">
        <v>326</v>
      </c>
      <c r="B319" t="s">
        <v>307</v>
      </c>
      <c r="C319">
        <v>1</v>
      </c>
      <c r="D319">
        <v>9</v>
      </c>
      <c r="F319">
        <v>10</v>
      </c>
    </row>
    <row r="320" spans="1:6" x14ac:dyDescent="0.3">
      <c r="A320" t="s">
        <v>326</v>
      </c>
      <c r="B320" t="s">
        <v>309</v>
      </c>
      <c r="C320">
        <v>2</v>
      </c>
      <c r="D320">
        <v>1</v>
      </c>
      <c r="F320">
        <v>3</v>
      </c>
    </row>
    <row r="321" spans="1:6" x14ac:dyDescent="0.3">
      <c r="A321" t="s">
        <v>326</v>
      </c>
      <c r="B321" t="s">
        <v>311</v>
      </c>
      <c r="C321">
        <v>2</v>
      </c>
      <c r="D321">
        <v>4</v>
      </c>
      <c r="F321">
        <v>6</v>
      </c>
    </row>
    <row r="322" spans="1:6" x14ac:dyDescent="0.3">
      <c r="A322" t="s">
        <v>328</v>
      </c>
      <c r="B322" t="s">
        <v>215</v>
      </c>
      <c r="C322">
        <v>3</v>
      </c>
      <c r="D322">
        <v>1</v>
      </c>
      <c r="F322">
        <v>4</v>
      </c>
    </row>
    <row r="323" spans="1:6" x14ac:dyDescent="0.3">
      <c r="A323" t="s">
        <v>328</v>
      </c>
      <c r="B323" t="s">
        <v>220</v>
      </c>
      <c r="C323">
        <v>1</v>
      </c>
      <c r="D323">
        <v>23</v>
      </c>
      <c r="F323">
        <v>24</v>
      </c>
    </row>
    <row r="324" spans="1:6" x14ac:dyDescent="0.3">
      <c r="A324" t="s">
        <v>328</v>
      </c>
      <c r="B324" t="s">
        <v>224</v>
      </c>
      <c r="C324">
        <v>1</v>
      </c>
      <c r="D324">
        <v>5</v>
      </c>
      <c r="F324">
        <v>6</v>
      </c>
    </row>
    <row r="325" spans="1:6" x14ac:dyDescent="0.3">
      <c r="A325" t="s">
        <v>328</v>
      </c>
      <c r="B325" t="s">
        <v>228</v>
      </c>
      <c r="C325">
        <v>2</v>
      </c>
      <c r="D325">
        <v>12</v>
      </c>
      <c r="E325">
        <v>25</v>
      </c>
      <c r="F325">
        <v>39</v>
      </c>
    </row>
    <row r="326" spans="1:6" x14ac:dyDescent="0.3">
      <c r="A326" t="s">
        <v>328</v>
      </c>
      <c r="B326" t="s">
        <v>234</v>
      </c>
      <c r="C326">
        <v>7</v>
      </c>
      <c r="D326">
        <v>1</v>
      </c>
      <c r="F326">
        <v>8</v>
      </c>
    </row>
    <row r="327" spans="1:6" x14ac:dyDescent="0.3">
      <c r="A327" t="s">
        <v>328</v>
      </c>
      <c r="B327" t="s">
        <v>240</v>
      </c>
      <c r="C327">
        <v>1</v>
      </c>
      <c r="D327">
        <v>1</v>
      </c>
      <c r="F327">
        <v>2</v>
      </c>
    </row>
    <row r="328" spans="1:6" x14ac:dyDescent="0.3">
      <c r="A328" t="s">
        <v>328</v>
      </c>
      <c r="B328" t="s">
        <v>244</v>
      </c>
      <c r="C328">
        <v>1</v>
      </c>
      <c r="D328">
        <v>15</v>
      </c>
      <c r="E328">
        <v>1</v>
      </c>
      <c r="F328">
        <v>17</v>
      </c>
    </row>
    <row r="329" spans="1:6" x14ac:dyDescent="0.3">
      <c r="A329" t="s">
        <v>328</v>
      </c>
      <c r="B329" t="s">
        <v>247</v>
      </c>
      <c r="C329">
        <v>4</v>
      </c>
      <c r="F329">
        <v>4</v>
      </c>
    </row>
    <row r="330" spans="1:6" x14ac:dyDescent="0.3">
      <c r="A330" t="s">
        <v>328</v>
      </c>
      <c r="B330" t="s">
        <v>249</v>
      </c>
      <c r="C330">
        <v>1</v>
      </c>
      <c r="D330">
        <v>7</v>
      </c>
      <c r="F330">
        <v>8</v>
      </c>
    </row>
    <row r="331" spans="1:6" x14ac:dyDescent="0.3">
      <c r="A331" t="s">
        <v>328</v>
      </c>
      <c r="B331" t="s">
        <v>253</v>
      </c>
      <c r="C331">
        <v>3</v>
      </c>
      <c r="F331">
        <v>3</v>
      </c>
    </row>
    <row r="332" spans="1:6" x14ac:dyDescent="0.3">
      <c r="A332" t="s">
        <v>328</v>
      </c>
      <c r="B332" t="s">
        <v>255</v>
      </c>
      <c r="C332">
        <v>1</v>
      </c>
      <c r="D332">
        <v>5</v>
      </c>
      <c r="F332">
        <v>6</v>
      </c>
    </row>
    <row r="333" spans="1:6" x14ac:dyDescent="0.3">
      <c r="A333" t="s">
        <v>328</v>
      </c>
      <c r="B333" t="s">
        <v>259</v>
      </c>
      <c r="C333">
        <v>2</v>
      </c>
      <c r="F333">
        <v>2</v>
      </c>
    </row>
    <row r="334" spans="1:6" x14ac:dyDescent="0.3">
      <c r="A334" t="s">
        <v>328</v>
      </c>
      <c r="B334" t="s">
        <v>263</v>
      </c>
      <c r="C334">
        <v>3</v>
      </c>
      <c r="D334">
        <v>2</v>
      </c>
      <c r="F334">
        <v>5</v>
      </c>
    </row>
    <row r="335" spans="1:6" x14ac:dyDescent="0.3">
      <c r="A335" t="s">
        <v>328</v>
      </c>
      <c r="B335" t="s">
        <v>267</v>
      </c>
      <c r="C335">
        <v>5</v>
      </c>
      <c r="D335">
        <v>8</v>
      </c>
      <c r="F335">
        <v>13</v>
      </c>
    </row>
    <row r="336" spans="1:6" x14ac:dyDescent="0.3">
      <c r="A336" t="s">
        <v>328</v>
      </c>
      <c r="B336" t="s">
        <v>270</v>
      </c>
      <c r="C336">
        <v>11</v>
      </c>
      <c r="F336">
        <v>11</v>
      </c>
    </row>
    <row r="337" spans="1:6" x14ac:dyDescent="0.3">
      <c r="A337" t="s">
        <v>328</v>
      </c>
      <c r="B337" t="s">
        <v>273</v>
      </c>
      <c r="C337">
        <v>1</v>
      </c>
      <c r="D337">
        <v>51</v>
      </c>
      <c r="E337">
        <v>9</v>
      </c>
      <c r="F337">
        <v>61</v>
      </c>
    </row>
    <row r="338" spans="1:6" x14ac:dyDescent="0.3">
      <c r="A338" t="s">
        <v>328</v>
      </c>
      <c r="B338" t="s">
        <v>277</v>
      </c>
      <c r="C338">
        <v>2</v>
      </c>
      <c r="D338">
        <v>1</v>
      </c>
      <c r="F338">
        <v>3</v>
      </c>
    </row>
    <row r="339" spans="1:6" x14ac:dyDescent="0.3">
      <c r="A339" t="s">
        <v>328</v>
      </c>
      <c r="B339" t="s">
        <v>279</v>
      </c>
      <c r="C339">
        <v>1</v>
      </c>
      <c r="D339">
        <v>1</v>
      </c>
      <c r="F339">
        <v>2</v>
      </c>
    </row>
    <row r="340" spans="1:6" x14ac:dyDescent="0.3">
      <c r="A340" t="s">
        <v>328</v>
      </c>
      <c r="B340" t="s">
        <v>281</v>
      </c>
      <c r="C340">
        <v>1</v>
      </c>
      <c r="D340">
        <v>10</v>
      </c>
      <c r="E340">
        <v>1</v>
      </c>
      <c r="F340">
        <v>12</v>
      </c>
    </row>
    <row r="341" spans="1:6" x14ac:dyDescent="0.3">
      <c r="A341" t="s">
        <v>328</v>
      </c>
      <c r="B341" t="s">
        <v>283</v>
      </c>
      <c r="D341">
        <v>14</v>
      </c>
      <c r="F341">
        <v>14</v>
      </c>
    </row>
    <row r="342" spans="1:6" x14ac:dyDescent="0.3">
      <c r="A342" t="s">
        <v>328</v>
      </c>
      <c r="B342" t="s">
        <v>287</v>
      </c>
      <c r="C342">
        <v>3</v>
      </c>
      <c r="D342">
        <v>8</v>
      </c>
      <c r="E342">
        <v>3</v>
      </c>
      <c r="F342">
        <v>14</v>
      </c>
    </row>
    <row r="343" spans="1:6" x14ac:dyDescent="0.3">
      <c r="A343" t="s">
        <v>328</v>
      </c>
      <c r="B343" t="s">
        <v>289</v>
      </c>
      <c r="C343">
        <v>4</v>
      </c>
      <c r="D343">
        <v>3</v>
      </c>
      <c r="F343">
        <v>7</v>
      </c>
    </row>
    <row r="344" spans="1:6" x14ac:dyDescent="0.3">
      <c r="A344" t="s">
        <v>328</v>
      </c>
      <c r="B344" t="s">
        <v>292</v>
      </c>
      <c r="D344">
        <v>12</v>
      </c>
      <c r="F344">
        <v>12</v>
      </c>
    </row>
    <row r="345" spans="1:6" x14ac:dyDescent="0.3">
      <c r="A345" t="s">
        <v>328</v>
      </c>
      <c r="B345" t="s">
        <v>294</v>
      </c>
      <c r="C345">
        <v>1</v>
      </c>
      <c r="D345">
        <v>10</v>
      </c>
      <c r="E345">
        <v>3</v>
      </c>
      <c r="F345">
        <v>14</v>
      </c>
    </row>
    <row r="346" spans="1:6" x14ac:dyDescent="0.3">
      <c r="A346" t="s">
        <v>328</v>
      </c>
      <c r="B346" t="s">
        <v>296</v>
      </c>
      <c r="C346">
        <v>3</v>
      </c>
      <c r="F346">
        <v>3</v>
      </c>
    </row>
    <row r="347" spans="1:6" x14ac:dyDescent="0.3">
      <c r="A347" t="s">
        <v>328</v>
      </c>
      <c r="B347" t="s">
        <v>298</v>
      </c>
      <c r="C347">
        <v>2</v>
      </c>
      <c r="D347">
        <v>11</v>
      </c>
      <c r="F347">
        <v>13</v>
      </c>
    </row>
    <row r="348" spans="1:6" x14ac:dyDescent="0.3">
      <c r="A348" t="s">
        <v>328</v>
      </c>
      <c r="B348" t="s">
        <v>300</v>
      </c>
      <c r="D348">
        <v>14</v>
      </c>
      <c r="F348">
        <v>14</v>
      </c>
    </row>
    <row r="349" spans="1:6" x14ac:dyDescent="0.3">
      <c r="A349" t="s">
        <v>328</v>
      </c>
      <c r="B349" t="s">
        <v>302</v>
      </c>
      <c r="C349">
        <v>1</v>
      </c>
      <c r="D349">
        <v>4</v>
      </c>
      <c r="F349">
        <v>5</v>
      </c>
    </row>
    <row r="350" spans="1:6" x14ac:dyDescent="0.3">
      <c r="A350" t="s">
        <v>328</v>
      </c>
      <c r="B350" t="s">
        <v>304</v>
      </c>
      <c r="C350">
        <v>4</v>
      </c>
      <c r="D350">
        <v>7</v>
      </c>
      <c r="F350">
        <v>12</v>
      </c>
    </row>
    <row r="351" spans="1:6" x14ac:dyDescent="0.3">
      <c r="A351" t="s">
        <v>328</v>
      </c>
      <c r="B351" t="s">
        <v>307</v>
      </c>
      <c r="C351">
        <v>1</v>
      </c>
      <c r="D351">
        <v>9</v>
      </c>
      <c r="F351">
        <v>10</v>
      </c>
    </row>
    <row r="352" spans="1:6" x14ac:dyDescent="0.3">
      <c r="A352" t="s">
        <v>328</v>
      </c>
      <c r="B352" t="s">
        <v>309</v>
      </c>
      <c r="C352">
        <v>2</v>
      </c>
      <c r="D352">
        <v>1</v>
      </c>
      <c r="F352">
        <v>3</v>
      </c>
    </row>
    <row r="353" spans="1:6" x14ac:dyDescent="0.3">
      <c r="A353" t="s">
        <v>328</v>
      </c>
      <c r="B353" t="s">
        <v>311</v>
      </c>
      <c r="C353">
        <v>2</v>
      </c>
      <c r="D353">
        <v>4</v>
      </c>
      <c r="F353">
        <v>6</v>
      </c>
    </row>
    <row r="354" spans="1:6" x14ac:dyDescent="0.3">
      <c r="A354" t="s">
        <v>412</v>
      </c>
      <c r="B354" t="s">
        <v>215</v>
      </c>
      <c r="C354">
        <v>3</v>
      </c>
      <c r="D354">
        <v>1</v>
      </c>
      <c r="F354">
        <f>SUM(C354:E354)</f>
        <v>4</v>
      </c>
    </row>
    <row r="355" spans="1:6" x14ac:dyDescent="0.3">
      <c r="A355" t="s">
        <v>412</v>
      </c>
      <c r="B355" t="s">
        <v>220</v>
      </c>
      <c r="C355">
        <v>1</v>
      </c>
      <c r="D355">
        <v>23</v>
      </c>
      <c r="F355">
        <f t="shared" ref="F355:F385" si="5">SUM(C355:E355)</f>
        <v>24</v>
      </c>
    </row>
    <row r="356" spans="1:6" x14ac:dyDescent="0.3">
      <c r="A356" t="s">
        <v>412</v>
      </c>
      <c r="B356" t="s">
        <v>224</v>
      </c>
      <c r="C356">
        <v>1</v>
      </c>
      <c r="D356">
        <v>5</v>
      </c>
      <c r="F356">
        <f t="shared" si="5"/>
        <v>6</v>
      </c>
    </row>
    <row r="357" spans="1:6" x14ac:dyDescent="0.3">
      <c r="A357" t="s">
        <v>412</v>
      </c>
      <c r="B357" t="s">
        <v>228</v>
      </c>
      <c r="C357">
        <v>2</v>
      </c>
      <c r="D357">
        <v>12</v>
      </c>
      <c r="E357">
        <v>25</v>
      </c>
      <c r="F357">
        <f t="shared" si="5"/>
        <v>39</v>
      </c>
    </row>
    <row r="358" spans="1:6" x14ac:dyDescent="0.3">
      <c r="A358" t="s">
        <v>412</v>
      </c>
      <c r="B358" t="s">
        <v>234</v>
      </c>
      <c r="C358">
        <v>7</v>
      </c>
      <c r="D358">
        <v>1</v>
      </c>
      <c r="F358">
        <f t="shared" si="5"/>
        <v>8</v>
      </c>
    </row>
    <row r="359" spans="1:6" x14ac:dyDescent="0.3">
      <c r="A359" t="s">
        <v>412</v>
      </c>
      <c r="B359" t="s">
        <v>240</v>
      </c>
      <c r="C359">
        <v>1</v>
      </c>
      <c r="D359">
        <v>1</v>
      </c>
      <c r="F359">
        <f t="shared" si="5"/>
        <v>2</v>
      </c>
    </row>
    <row r="360" spans="1:6" x14ac:dyDescent="0.3">
      <c r="A360" t="s">
        <v>412</v>
      </c>
      <c r="B360" t="s">
        <v>244</v>
      </c>
      <c r="C360">
        <v>1</v>
      </c>
      <c r="D360">
        <v>15</v>
      </c>
      <c r="E360">
        <v>1</v>
      </c>
      <c r="F360">
        <f t="shared" si="5"/>
        <v>17</v>
      </c>
    </row>
    <row r="361" spans="1:6" x14ac:dyDescent="0.3">
      <c r="A361" t="s">
        <v>412</v>
      </c>
      <c r="B361" t="s">
        <v>247</v>
      </c>
      <c r="C361">
        <v>4</v>
      </c>
      <c r="F361">
        <f t="shared" si="5"/>
        <v>4</v>
      </c>
    </row>
    <row r="362" spans="1:6" x14ac:dyDescent="0.3">
      <c r="A362" t="s">
        <v>412</v>
      </c>
      <c r="B362" t="s">
        <v>249</v>
      </c>
      <c r="C362">
        <v>1</v>
      </c>
      <c r="D362">
        <v>7</v>
      </c>
      <c r="F362">
        <f t="shared" si="5"/>
        <v>8</v>
      </c>
    </row>
    <row r="363" spans="1:6" x14ac:dyDescent="0.3">
      <c r="A363" t="s">
        <v>412</v>
      </c>
      <c r="B363" t="s">
        <v>253</v>
      </c>
      <c r="C363">
        <v>3</v>
      </c>
      <c r="F363">
        <f t="shared" si="5"/>
        <v>3</v>
      </c>
    </row>
    <row r="364" spans="1:6" x14ac:dyDescent="0.3">
      <c r="A364" t="s">
        <v>412</v>
      </c>
      <c r="B364" t="s">
        <v>255</v>
      </c>
      <c r="C364">
        <v>1</v>
      </c>
      <c r="D364">
        <v>5</v>
      </c>
      <c r="F364">
        <f t="shared" si="5"/>
        <v>6</v>
      </c>
    </row>
    <row r="365" spans="1:6" x14ac:dyDescent="0.3">
      <c r="A365" t="s">
        <v>412</v>
      </c>
      <c r="B365" t="s">
        <v>259</v>
      </c>
      <c r="C365">
        <v>2</v>
      </c>
      <c r="F365">
        <f t="shared" si="5"/>
        <v>2</v>
      </c>
    </row>
    <row r="366" spans="1:6" x14ac:dyDescent="0.3">
      <c r="A366" t="s">
        <v>412</v>
      </c>
      <c r="B366" t="s">
        <v>263</v>
      </c>
      <c r="C366">
        <v>3</v>
      </c>
      <c r="D366">
        <v>2</v>
      </c>
      <c r="F366">
        <f t="shared" si="5"/>
        <v>5</v>
      </c>
    </row>
    <row r="367" spans="1:6" x14ac:dyDescent="0.3">
      <c r="A367" t="s">
        <v>412</v>
      </c>
      <c r="B367" t="s">
        <v>267</v>
      </c>
      <c r="C367">
        <v>5</v>
      </c>
      <c r="D367">
        <v>8</v>
      </c>
      <c r="F367">
        <f t="shared" si="5"/>
        <v>13</v>
      </c>
    </row>
    <row r="368" spans="1:6" x14ac:dyDescent="0.3">
      <c r="A368" t="s">
        <v>412</v>
      </c>
      <c r="B368" t="s">
        <v>270</v>
      </c>
      <c r="C368">
        <v>11</v>
      </c>
      <c r="F368">
        <f t="shared" si="5"/>
        <v>11</v>
      </c>
    </row>
    <row r="369" spans="1:6" x14ac:dyDescent="0.3">
      <c r="A369" t="s">
        <v>412</v>
      </c>
      <c r="B369" t="s">
        <v>273</v>
      </c>
      <c r="C369">
        <v>1</v>
      </c>
      <c r="D369">
        <v>51</v>
      </c>
      <c r="E369">
        <v>9</v>
      </c>
      <c r="F369">
        <f t="shared" si="5"/>
        <v>61</v>
      </c>
    </row>
    <row r="370" spans="1:6" x14ac:dyDescent="0.3">
      <c r="A370" t="s">
        <v>412</v>
      </c>
      <c r="B370" t="s">
        <v>277</v>
      </c>
      <c r="C370">
        <v>2</v>
      </c>
      <c r="D370">
        <v>1</v>
      </c>
      <c r="F370">
        <f t="shared" si="5"/>
        <v>3</v>
      </c>
    </row>
    <row r="371" spans="1:6" x14ac:dyDescent="0.3">
      <c r="A371" t="s">
        <v>412</v>
      </c>
      <c r="B371" t="s">
        <v>279</v>
      </c>
      <c r="C371">
        <v>1</v>
      </c>
      <c r="D371">
        <v>1</v>
      </c>
      <c r="F371">
        <f t="shared" si="5"/>
        <v>2</v>
      </c>
    </row>
    <row r="372" spans="1:6" x14ac:dyDescent="0.3">
      <c r="A372" t="s">
        <v>412</v>
      </c>
      <c r="B372" t="s">
        <v>281</v>
      </c>
      <c r="C372">
        <v>1</v>
      </c>
      <c r="D372">
        <v>10</v>
      </c>
      <c r="E372">
        <v>1</v>
      </c>
      <c r="F372">
        <f t="shared" si="5"/>
        <v>12</v>
      </c>
    </row>
    <row r="373" spans="1:6" x14ac:dyDescent="0.3">
      <c r="A373" t="s">
        <v>412</v>
      </c>
      <c r="B373" t="s">
        <v>283</v>
      </c>
      <c r="D373">
        <v>14</v>
      </c>
      <c r="F373">
        <f t="shared" si="5"/>
        <v>14</v>
      </c>
    </row>
    <row r="374" spans="1:6" x14ac:dyDescent="0.3">
      <c r="A374" t="s">
        <v>412</v>
      </c>
      <c r="B374" t="s">
        <v>287</v>
      </c>
      <c r="C374">
        <v>3</v>
      </c>
      <c r="D374">
        <v>8</v>
      </c>
      <c r="E374">
        <v>3</v>
      </c>
      <c r="F374">
        <f t="shared" si="5"/>
        <v>14</v>
      </c>
    </row>
    <row r="375" spans="1:6" x14ac:dyDescent="0.3">
      <c r="A375" t="s">
        <v>412</v>
      </c>
      <c r="B375" t="s">
        <v>289</v>
      </c>
      <c r="C375">
        <v>4</v>
      </c>
      <c r="D375">
        <v>3</v>
      </c>
      <c r="F375">
        <f t="shared" si="5"/>
        <v>7</v>
      </c>
    </row>
    <row r="376" spans="1:6" x14ac:dyDescent="0.3">
      <c r="A376" t="s">
        <v>412</v>
      </c>
      <c r="B376" t="s">
        <v>292</v>
      </c>
      <c r="D376">
        <v>12</v>
      </c>
      <c r="F376">
        <f t="shared" si="5"/>
        <v>12</v>
      </c>
    </row>
    <row r="377" spans="1:6" x14ac:dyDescent="0.3">
      <c r="A377" t="s">
        <v>412</v>
      </c>
      <c r="B377" t="s">
        <v>294</v>
      </c>
      <c r="C377">
        <v>1</v>
      </c>
      <c r="D377">
        <v>10</v>
      </c>
      <c r="E377">
        <v>3</v>
      </c>
      <c r="F377">
        <f t="shared" si="5"/>
        <v>14</v>
      </c>
    </row>
    <row r="378" spans="1:6" x14ac:dyDescent="0.3">
      <c r="A378" t="s">
        <v>412</v>
      </c>
      <c r="B378" t="s">
        <v>296</v>
      </c>
      <c r="C378">
        <v>3</v>
      </c>
      <c r="F378">
        <f t="shared" si="5"/>
        <v>3</v>
      </c>
    </row>
    <row r="379" spans="1:6" x14ac:dyDescent="0.3">
      <c r="A379" t="s">
        <v>412</v>
      </c>
      <c r="B379" t="s">
        <v>298</v>
      </c>
      <c r="C379">
        <v>2</v>
      </c>
      <c r="D379">
        <v>11</v>
      </c>
      <c r="F379">
        <f t="shared" si="5"/>
        <v>13</v>
      </c>
    </row>
    <row r="380" spans="1:6" x14ac:dyDescent="0.3">
      <c r="A380" t="s">
        <v>412</v>
      </c>
      <c r="B380" t="s">
        <v>300</v>
      </c>
      <c r="D380">
        <v>14</v>
      </c>
      <c r="F380">
        <f t="shared" si="5"/>
        <v>14</v>
      </c>
    </row>
    <row r="381" spans="1:6" x14ac:dyDescent="0.3">
      <c r="A381" t="s">
        <v>412</v>
      </c>
      <c r="B381" t="s">
        <v>302</v>
      </c>
      <c r="C381">
        <v>1</v>
      </c>
      <c r="D381">
        <v>4</v>
      </c>
      <c r="F381">
        <f t="shared" si="5"/>
        <v>5</v>
      </c>
    </row>
    <row r="382" spans="1:6" x14ac:dyDescent="0.3">
      <c r="A382" t="s">
        <v>412</v>
      </c>
      <c r="B382" t="s">
        <v>304</v>
      </c>
      <c r="C382">
        <v>4</v>
      </c>
      <c r="D382">
        <v>7</v>
      </c>
      <c r="F382">
        <f t="shared" si="5"/>
        <v>11</v>
      </c>
    </row>
    <row r="383" spans="1:6" x14ac:dyDescent="0.3">
      <c r="A383" t="s">
        <v>412</v>
      </c>
      <c r="B383" t="s">
        <v>307</v>
      </c>
      <c r="C383">
        <v>1</v>
      </c>
      <c r="D383">
        <v>9</v>
      </c>
      <c r="F383">
        <f t="shared" si="5"/>
        <v>10</v>
      </c>
    </row>
    <row r="384" spans="1:6" x14ac:dyDescent="0.3">
      <c r="A384" t="s">
        <v>412</v>
      </c>
      <c r="B384" t="s">
        <v>309</v>
      </c>
      <c r="C384">
        <v>2</v>
      </c>
      <c r="D384">
        <v>1</v>
      </c>
      <c r="F384">
        <f t="shared" si="5"/>
        <v>3</v>
      </c>
    </row>
    <row r="385" spans="1:6" x14ac:dyDescent="0.3">
      <c r="A385" t="s">
        <v>412</v>
      </c>
      <c r="B385" t="s">
        <v>311</v>
      </c>
      <c r="C385">
        <v>2</v>
      </c>
      <c r="D385">
        <v>4</v>
      </c>
      <c r="F385">
        <f t="shared" si="5"/>
        <v>6</v>
      </c>
    </row>
  </sheetData>
  <autoFilter ref="A1:F289" xr:uid="{00000000-0009-0000-0000-00000B000000}"/>
  <sortState xmlns:xlrd2="http://schemas.microsoft.com/office/spreadsheetml/2017/richdata2" ref="A2:F353">
    <sortCondition ref="A1:A353"/>
  </sortState>
  <phoneticPr fontId="53" type="noConversion"/>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4" tint="0.59999389629810485"/>
  </sheetPr>
  <dimension ref="A1:I47"/>
  <sheetViews>
    <sheetView showGridLines="0" workbookViewId="0">
      <pane ySplit="2" topLeftCell="A22" activePane="bottomLeft" state="frozen"/>
      <selection pane="bottomLeft" sqref="A1:C1"/>
    </sheetView>
  </sheetViews>
  <sheetFormatPr defaultRowHeight="14.4" x14ac:dyDescent="0.3"/>
  <cols>
    <col min="1" max="1" width="18.5546875" customWidth="1"/>
    <col min="2" max="2" width="23.109375" customWidth="1"/>
    <col min="3" max="9" width="14" customWidth="1"/>
  </cols>
  <sheetData>
    <row r="1" spans="1:9" ht="15.6" x14ac:dyDescent="0.3">
      <c r="A1" s="1030" t="s">
        <v>333</v>
      </c>
      <c r="B1" s="1030"/>
      <c r="C1" s="1030"/>
    </row>
    <row r="2" spans="1:9" ht="15.6" x14ac:dyDescent="0.3">
      <c r="A2" s="498" t="s">
        <v>202</v>
      </c>
      <c r="B2" s="440"/>
      <c r="C2" s="440"/>
    </row>
    <row r="3" spans="1:9" ht="15.6" x14ac:dyDescent="0.3">
      <c r="D3" s="187"/>
      <c r="E3" s="187"/>
      <c r="F3" s="187"/>
    </row>
    <row r="4" spans="1:9" ht="15.6" x14ac:dyDescent="0.3">
      <c r="A4" s="1031" t="s">
        <v>369</v>
      </c>
      <c r="B4" s="1031"/>
      <c r="C4" s="1031"/>
      <c r="D4" s="1031"/>
      <c r="E4" s="1031"/>
      <c r="F4" s="1031"/>
    </row>
    <row r="5" spans="1:9" ht="15.6" x14ac:dyDescent="0.3">
      <c r="A5" t="s">
        <v>203</v>
      </c>
      <c r="B5" t="s">
        <v>38</v>
      </c>
      <c r="C5" s="233"/>
      <c r="D5" s="233"/>
      <c r="E5" s="233"/>
      <c r="F5" s="233"/>
    </row>
    <row r="6" spans="1:9" ht="15.6" x14ac:dyDescent="0.3">
      <c r="A6" t="s">
        <v>204</v>
      </c>
      <c r="B6" t="s">
        <v>205</v>
      </c>
      <c r="C6" s="233"/>
      <c r="D6" s="233"/>
      <c r="E6" s="233"/>
      <c r="F6" s="233"/>
    </row>
    <row r="7" spans="1:9" ht="15.6" x14ac:dyDescent="0.3">
      <c r="A7" t="s">
        <v>206</v>
      </c>
      <c r="B7" t="s">
        <v>207</v>
      </c>
      <c r="C7" s="233"/>
      <c r="D7" s="233"/>
      <c r="E7" s="233"/>
      <c r="F7" s="233"/>
    </row>
    <row r="8" spans="1:9" ht="15.6" x14ac:dyDescent="0.3">
      <c r="C8" s="233"/>
      <c r="D8" s="233"/>
      <c r="E8" s="233"/>
      <c r="F8" s="233"/>
    </row>
    <row r="9" spans="1:9" ht="15.6" x14ac:dyDescent="0.3">
      <c r="A9" s="750" t="s">
        <v>208</v>
      </c>
      <c r="B9" s="233"/>
      <c r="C9" s="233"/>
      <c r="D9" s="233"/>
      <c r="F9" s="233"/>
    </row>
    <row r="10" spans="1:9" x14ac:dyDescent="0.3">
      <c r="A10" s="312" t="str">
        <f>PrimaryCrewingAreaPivot!B1</f>
        <v>2025-26</v>
      </c>
      <c r="B10" s="192"/>
      <c r="C10" s="193"/>
      <c r="D10" s="193"/>
      <c r="E10" s="193"/>
      <c r="F10" s="375" t="s">
        <v>346</v>
      </c>
      <c r="G10" s="193"/>
      <c r="H10" s="193"/>
      <c r="I10" s="508" t="s">
        <v>94</v>
      </c>
    </row>
    <row r="11" spans="1:9" s="459" customFormat="1" ht="27" x14ac:dyDescent="0.3">
      <c r="A11" s="506" t="s">
        <v>209</v>
      </c>
      <c r="B11" s="506" t="s">
        <v>347</v>
      </c>
      <c r="C11" s="203" t="s">
        <v>335</v>
      </c>
      <c r="D11" s="203" t="s">
        <v>361</v>
      </c>
      <c r="E11" s="203" t="s">
        <v>339</v>
      </c>
      <c r="F11" s="507" t="s">
        <v>340</v>
      </c>
      <c r="G11" s="509" t="s">
        <v>335</v>
      </c>
      <c r="H11" s="507" t="s">
        <v>361</v>
      </c>
      <c r="I11" s="507" t="s">
        <v>339</v>
      </c>
    </row>
    <row r="12" spans="1:9" ht="18" customHeight="1" x14ac:dyDescent="0.3">
      <c r="A12" s="390" t="s">
        <v>214</v>
      </c>
      <c r="B12" s="45" t="s">
        <v>215</v>
      </c>
      <c r="C12" s="51">
        <f>PrimaryCrewingAreaPivot!B4</f>
        <v>3</v>
      </c>
      <c r="D12" s="51">
        <f>PrimaryCrewingAreaPivot!C4</f>
        <v>1</v>
      </c>
      <c r="E12" s="51">
        <f>PrimaryCrewingAreaPivot!D4</f>
        <v>0</v>
      </c>
      <c r="F12" s="194">
        <f t="shared" ref="F12:F43" si="0">SUM(C12:E12)</f>
        <v>4</v>
      </c>
      <c r="G12" s="510">
        <f t="shared" ref="G12:G44" si="1">C12/$F12</f>
        <v>0.75</v>
      </c>
      <c r="H12" s="271">
        <f t="shared" ref="H12:H44" si="2">D12/$F12</f>
        <v>0.25</v>
      </c>
      <c r="I12" s="271">
        <f t="shared" ref="I12:I44" si="3">E12/$F12</f>
        <v>0</v>
      </c>
    </row>
    <row r="13" spans="1:9" x14ac:dyDescent="0.3">
      <c r="A13" s="89" t="s">
        <v>219</v>
      </c>
      <c r="B13" s="48" t="s">
        <v>220</v>
      </c>
      <c r="C13" s="51">
        <f>PrimaryCrewingAreaPivot!B5</f>
        <v>1</v>
      </c>
      <c r="D13" s="51">
        <f>PrimaryCrewingAreaPivot!C5</f>
        <v>23</v>
      </c>
      <c r="E13" s="51">
        <f>PrimaryCrewingAreaPivot!D5</f>
        <v>0</v>
      </c>
      <c r="F13" s="69">
        <f t="shared" si="0"/>
        <v>24</v>
      </c>
      <c r="G13" s="510">
        <f t="shared" si="1"/>
        <v>4.1666666666666664E-2</v>
      </c>
      <c r="H13" s="271">
        <f t="shared" si="2"/>
        <v>0.95833333333333337</v>
      </c>
      <c r="I13" s="271">
        <f t="shared" si="3"/>
        <v>0</v>
      </c>
    </row>
    <row r="14" spans="1:9" x14ac:dyDescent="0.3">
      <c r="A14" s="89" t="s">
        <v>223</v>
      </c>
      <c r="B14" s="48" t="s">
        <v>224</v>
      </c>
      <c r="C14" s="51">
        <f>PrimaryCrewingAreaPivot!B6</f>
        <v>1</v>
      </c>
      <c r="D14" s="51">
        <f>PrimaryCrewingAreaPivot!C6</f>
        <v>5</v>
      </c>
      <c r="E14" s="51">
        <f>PrimaryCrewingAreaPivot!D6</f>
        <v>0</v>
      </c>
      <c r="F14" s="69">
        <f t="shared" si="0"/>
        <v>6</v>
      </c>
      <c r="G14" s="510">
        <f t="shared" si="1"/>
        <v>0.16666666666666666</v>
      </c>
      <c r="H14" s="271">
        <f t="shared" si="2"/>
        <v>0.83333333333333337</v>
      </c>
      <c r="I14" s="271">
        <f t="shared" si="3"/>
        <v>0</v>
      </c>
    </row>
    <row r="15" spans="1:9" x14ac:dyDescent="0.3">
      <c r="A15" s="89" t="s">
        <v>227</v>
      </c>
      <c r="B15" s="48" t="s">
        <v>228</v>
      </c>
      <c r="C15" s="51">
        <f>PrimaryCrewingAreaPivot!B7</f>
        <v>2</v>
      </c>
      <c r="D15" s="51">
        <f>PrimaryCrewingAreaPivot!C7</f>
        <v>12</v>
      </c>
      <c r="E15" s="51">
        <f>PrimaryCrewingAreaPivot!D7</f>
        <v>25</v>
      </c>
      <c r="F15" s="69">
        <f t="shared" si="0"/>
        <v>39</v>
      </c>
      <c r="G15" s="510">
        <f t="shared" si="1"/>
        <v>5.128205128205128E-2</v>
      </c>
      <c r="H15" s="271">
        <f t="shared" si="2"/>
        <v>0.30769230769230771</v>
      </c>
      <c r="I15" s="271">
        <f t="shared" si="3"/>
        <v>0.64102564102564108</v>
      </c>
    </row>
    <row r="16" spans="1:9" x14ac:dyDescent="0.3">
      <c r="A16" s="89" t="s">
        <v>233</v>
      </c>
      <c r="B16" s="48" t="s">
        <v>234</v>
      </c>
      <c r="C16" s="51">
        <f>PrimaryCrewingAreaPivot!B8</f>
        <v>7</v>
      </c>
      <c r="D16" s="51">
        <f>PrimaryCrewingAreaPivot!C8</f>
        <v>1</v>
      </c>
      <c r="E16" s="51">
        <f>PrimaryCrewingAreaPivot!D8</f>
        <v>0</v>
      </c>
      <c r="F16" s="69">
        <f t="shared" si="0"/>
        <v>8</v>
      </c>
      <c r="G16" s="510">
        <f t="shared" si="1"/>
        <v>0.875</v>
      </c>
      <c r="H16" s="271">
        <f t="shared" si="2"/>
        <v>0.125</v>
      </c>
      <c r="I16" s="271">
        <f t="shared" si="3"/>
        <v>0</v>
      </c>
    </row>
    <row r="17" spans="1:9" x14ac:dyDescent="0.3">
      <c r="A17" s="89" t="s">
        <v>239</v>
      </c>
      <c r="B17" s="48" t="s">
        <v>240</v>
      </c>
      <c r="C17" s="51">
        <f>PrimaryCrewingAreaPivot!B9</f>
        <v>1</v>
      </c>
      <c r="D17" s="51">
        <f>PrimaryCrewingAreaPivot!C9</f>
        <v>1</v>
      </c>
      <c r="E17" s="51">
        <f>PrimaryCrewingAreaPivot!D9</f>
        <v>0</v>
      </c>
      <c r="F17" s="69">
        <f t="shared" si="0"/>
        <v>2</v>
      </c>
      <c r="G17" s="510">
        <f t="shared" si="1"/>
        <v>0.5</v>
      </c>
      <c r="H17" s="271">
        <f t="shared" si="2"/>
        <v>0.5</v>
      </c>
      <c r="I17" s="271">
        <f t="shared" si="3"/>
        <v>0</v>
      </c>
    </row>
    <row r="18" spans="1:9" x14ac:dyDescent="0.3">
      <c r="A18" s="89" t="s">
        <v>243</v>
      </c>
      <c r="B18" s="48" t="s">
        <v>244</v>
      </c>
      <c r="C18" s="51">
        <f>PrimaryCrewingAreaPivot!B10</f>
        <v>1</v>
      </c>
      <c r="D18" s="51">
        <f>PrimaryCrewingAreaPivot!C10</f>
        <v>15</v>
      </c>
      <c r="E18" s="51">
        <f>PrimaryCrewingAreaPivot!D10</f>
        <v>1</v>
      </c>
      <c r="F18" s="69">
        <f t="shared" si="0"/>
        <v>17</v>
      </c>
      <c r="G18" s="510">
        <f t="shared" si="1"/>
        <v>5.8823529411764705E-2</v>
      </c>
      <c r="H18" s="271">
        <f t="shared" si="2"/>
        <v>0.88235294117647056</v>
      </c>
      <c r="I18" s="271">
        <f t="shared" si="3"/>
        <v>5.8823529411764705E-2</v>
      </c>
    </row>
    <row r="19" spans="1:9" x14ac:dyDescent="0.3">
      <c r="A19" s="89" t="s">
        <v>246</v>
      </c>
      <c r="B19" s="48" t="s">
        <v>247</v>
      </c>
      <c r="C19" s="51">
        <f>PrimaryCrewingAreaPivot!B11</f>
        <v>4</v>
      </c>
      <c r="D19" s="51">
        <f>PrimaryCrewingAreaPivot!C11</f>
        <v>0</v>
      </c>
      <c r="E19" s="51">
        <f>PrimaryCrewingAreaPivot!D11</f>
        <v>0</v>
      </c>
      <c r="F19" s="69">
        <f t="shared" si="0"/>
        <v>4</v>
      </c>
      <c r="G19" s="510">
        <f t="shared" si="1"/>
        <v>1</v>
      </c>
      <c r="H19" s="271">
        <f t="shared" si="2"/>
        <v>0</v>
      </c>
      <c r="I19" s="271">
        <f t="shared" si="3"/>
        <v>0</v>
      </c>
    </row>
    <row r="20" spans="1:9" x14ac:dyDescent="0.3">
      <c r="A20" s="89" t="s">
        <v>248</v>
      </c>
      <c r="B20" s="48" t="s">
        <v>249</v>
      </c>
      <c r="C20" s="51">
        <f>PrimaryCrewingAreaPivot!B12</f>
        <v>1</v>
      </c>
      <c r="D20" s="51">
        <f>PrimaryCrewingAreaPivot!C12</f>
        <v>7</v>
      </c>
      <c r="E20" s="51">
        <f>PrimaryCrewingAreaPivot!D12</f>
        <v>0</v>
      </c>
      <c r="F20" s="69">
        <f t="shared" si="0"/>
        <v>8</v>
      </c>
      <c r="G20" s="510">
        <f t="shared" si="1"/>
        <v>0.125</v>
      </c>
      <c r="H20" s="271">
        <f t="shared" si="2"/>
        <v>0.875</v>
      </c>
      <c r="I20" s="271">
        <f t="shared" si="3"/>
        <v>0</v>
      </c>
    </row>
    <row r="21" spans="1:9" x14ac:dyDescent="0.3">
      <c r="A21" s="89" t="s">
        <v>252</v>
      </c>
      <c r="B21" s="48" t="s">
        <v>253</v>
      </c>
      <c r="C21" s="51">
        <f>PrimaryCrewingAreaPivot!B13</f>
        <v>3</v>
      </c>
      <c r="D21" s="51">
        <f>PrimaryCrewingAreaPivot!C13</f>
        <v>0</v>
      </c>
      <c r="E21" s="51">
        <f>PrimaryCrewingAreaPivot!D13</f>
        <v>0</v>
      </c>
      <c r="F21" s="69">
        <f t="shared" si="0"/>
        <v>3</v>
      </c>
      <c r="G21" s="510">
        <f t="shared" si="1"/>
        <v>1</v>
      </c>
      <c r="H21" s="271">
        <f t="shared" si="2"/>
        <v>0</v>
      </c>
      <c r="I21" s="271">
        <f t="shared" si="3"/>
        <v>0</v>
      </c>
    </row>
    <row r="22" spans="1:9" x14ac:dyDescent="0.3">
      <c r="A22" s="89" t="s">
        <v>254</v>
      </c>
      <c r="B22" s="48" t="s">
        <v>255</v>
      </c>
      <c r="C22" s="51">
        <f>PrimaryCrewingAreaPivot!B14</f>
        <v>1</v>
      </c>
      <c r="D22" s="51">
        <f>PrimaryCrewingAreaPivot!C14</f>
        <v>5</v>
      </c>
      <c r="E22" s="51">
        <f>PrimaryCrewingAreaPivot!D14</f>
        <v>0</v>
      </c>
      <c r="F22" s="69">
        <f t="shared" si="0"/>
        <v>6</v>
      </c>
      <c r="G22" s="510">
        <f t="shared" si="1"/>
        <v>0.16666666666666666</v>
      </c>
      <c r="H22" s="271">
        <f t="shared" si="2"/>
        <v>0.83333333333333337</v>
      </c>
      <c r="I22" s="271">
        <f t="shared" si="3"/>
        <v>0</v>
      </c>
    </row>
    <row r="23" spans="1:9" x14ac:dyDescent="0.3">
      <c r="A23" s="89" t="s">
        <v>258</v>
      </c>
      <c r="B23" s="48" t="s">
        <v>259</v>
      </c>
      <c r="C23" s="51">
        <f>PrimaryCrewingAreaPivot!B15</f>
        <v>2</v>
      </c>
      <c r="D23" s="51">
        <f>PrimaryCrewingAreaPivot!C15</f>
        <v>0</v>
      </c>
      <c r="E23" s="51">
        <f>PrimaryCrewingAreaPivot!D15</f>
        <v>0</v>
      </c>
      <c r="F23" s="69">
        <f t="shared" si="0"/>
        <v>2</v>
      </c>
      <c r="G23" s="510">
        <f t="shared" si="1"/>
        <v>1</v>
      </c>
      <c r="H23" s="271">
        <f t="shared" si="2"/>
        <v>0</v>
      </c>
      <c r="I23" s="271">
        <f t="shared" si="3"/>
        <v>0</v>
      </c>
    </row>
    <row r="24" spans="1:9" x14ac:dyDescent="0.3">
      <c r="A24" s="89" t="s">
        <v>262</v>
      </c>
      <c r="B24" s="48" t="s">
        <v>263</v>
      </c>
      <c r="C24" s="51">
        <f>PrimaryCrewingAreaPivot!B16</f>
        <v>3</v>
      </c>
      <c r="D24" s="51">
        <f>PrimaryCrewingAreaPivot!C16</f>
        <v>2</v>
      </c>
      <c r="E24" s="51">
        <f>PrimaryCrewingAreaPivot!D16</f>
        <v>0</v>
      </c>
      <c r="F24" s="69">
        <f t="shared" si="0"/>
        <v>5</v>
      </c>
      <c r="G24" s="510">
        <f t="shared" si="1"/>
        <v>0.6</v>
      </c>
      <c r="H24" s="271">
        <f t="shared" si="2"/>
        <v>0.4</v>
      </c>
      <c r="I24" s="271">
        <f t="shared" si="3"/>
        <v>0</v>
      </c>
    </row>
    <row r="25" spans="1:9" x14ac:dyDescent="0.3">
      <c r="A25" s="89" t="s">
        <v>266</v>
      </c>
      <c r="B25" s="48" t="s">
        <v>267</v>
      </c>
      <c r="C25" s="51">
        <f>PrimaryCrewingAreaPivot!B17</f>
        <v>5</v>
      </c>
      <c r="D25" s="51">
        <f>PrimaryCrewingAreaPivot!C17</f>
        <v>8</v>
      </c>
      <c r="E25" s="51">
        <f>PrimaryCrewingAreaPivot!D17</f>
        <v>0</v>
      </c>
      <c r="F25" s="69">
        <f t="shared" si="0"/>
        <v>13</v>
      </c>
      <c r="G25" s="510">
        <f t="shared" si="1"/>
        <v>0.38461538461538464</v>
      </c>
      <c r="H25" s="271">
        <f t="shared" si="2"/>
        <v>0.61538461538461542</v>
      </c>
      <c r="I25" s="271">
        <f t="shared" si="3"/>
        <v>0</v>
      </c>
    </row>
    <row r="26" spans="1:9" x14ac:dyDescent="0.3">
      <c r="A26" s="89" t="str">
        <f>IF(A10 = "2019-20","S12000049","S12000046")</f>
        <v>S12000046</v>
      </c>
      <c r="B26" s="48" t="s">
        <v>270</v>
      </c>
      <c r="C26" s="51">
        <f>PrimaryCrewingAreaPivot!B18</f>
        <v>11</v>
      </c>
      <c r="D26" s="51">
        <f>PrimaryCrewingAreaPivot!C18</f>
        <v>0</v>
      </c>
      <c r="E26" s="51">
        <f>PrimaryCrewingAreaPivot!D18</f>
        <v>0</v>
      </c>
      <c r="F26" s="69">
        <f t="shared" si="0"/>
        <v>11</v>
      </c>
      <c r="G26" s="510">
        <f t="shared" si="1"/>
        <v>1</v>
      </c>
      <c r="H26" s="271">
        <f t="shared" si="2"/>
        <v>0</v>
      </c>
      <c r="I26" s="271">
        <f t="shared" si="3"/>
        <v>0</v>
      </c>
    </row>
    <row r="27" spans="1:9" x14ac:dyDescent="0.3">
      <c r="A27" s="89" t="s">
        <v>272</v>
      </c>
      <c r="B27" s="48" t="s">
        <v>273</v>
      </c>
      <c r="C27" s="51">
        <f>PrimaryCrewingAreaPivot!B19</f>
        <v>1</v>
      </c>
      <c r="D27" s="51">
        <f>PrimaryCrewingAreaPivot!C19</f>
        <v>51</v>
      </c>
      <c r="E27" s="51">
        <f>PrimaryCrewingAreaPivot!D19</f>
        <v>9</v>
      </c>
      <c r="F27" s="69">
        <f t="shared" si="0"/>
        <v>61</v>
      </c>
      <c r="G27" s="510">
        <f t="shared" si="1"/>
        <v>1.6393442622950821E-2</v>
      </c>
      <c r="H27" s="271">
        <f t="shared" si="2"/>
        <v>0.83606557377049184</v>
      </c>
      <c r="I27" s="271">
        <f t="shared" si="3"/>
        <v>0.14754098360655737</v>
      </c>
    </row>
    <row r="28" spans="1:9" x14ac:dyDescent="0.3">
      <c r="A28" s="89" t="s">
        <v>276</v>
      </c>
      <c r="B28" s="48" t="s">
        <v>277</v>
      </c>
      <c r="C28" s="51">
        <f>PrimaryCrewingAreaPivot!B20</f>
        <v>2</v>
      </c>
      <c r="D28" s="51">
        <f>PrimaryCrewingAreaPivot!C20</f>
        <v>1</v>
      </c>
      <c r="E28" s="51">
        <f>PrimaryCrewingAreaPivot!D20</f>
        <v>0</v>
      </c>
      <c r="F28" s="69">
        <f t="shared" si="0"/>
        <v>3</v>
      </c>
      <c r="G28" s="510">
        <f t="shared" si="1"/>
        <v>0.66666666666666663</v>
      </c>
      <c r="H28" s="271">
        <f t="shared" si="2"/>
        <v>0.33333333333333331</v>
      </c>
      <c r="I28" s="271">
        <f t="shared" si="3"/>
        <v>0</v>
      </c>
    </row>
    <row r="29" spans="1:9" x14ac:dyDescent="0.3">
      <c r="A29" s="89" t="s">
        <v>278</v>
      </c>
      <c r="B29" s="48" t="s">
        <v>279</v>
      </c>
      <c r="C29" s="51">
        <f>PrimaryCrewingAreaPivot!B21</f>
        <v>1</v>
      </c>
      <c r="D29" s="51">
        <f>PrimaryCrewingAreaPivot!C21</f>
        <v>1</v>
      </c>
      <c r="E29" s="51">
        <f>PrimaryCrewingAreaPivot!D21</f>
        <v>0</v>
      </c>
      <c r="F29" s="69">
        <f t="shared" si="0"/>
        <v>2</v>
      </c>
      <c r="G29" s="510">
        <f t="shared" si="1"/>
        <v>0.5</v>
      </c>
      <c r="H29" s="271">
        <f t="shared" si="2"/>
        <v>0.5</v>
      </c>
      <c r="I29" s="271">
        <f t="shared" si="3"/>
        <v>0</v>
      </c>
    </row>
    <row r="30" spans="1:9" x14ac:dyDescent="0.3">
      <c r="A30" s="89" t="s">
        <v>280</v>
      </c>
      <c r="B30" s="48" t="s">
        <v>281</v>
      </c>
      <c r="C30" s="51">
        <f>PrimaryCrewingAreaPivot!B22</f>
        <v>1</v>
      </c>
      <c r="D30" s="51">
        <f>PrimaryCrewingAreaPivot!C22</f>
        <v>10</v>
      </c>
      <c r="E30" s="51">
        <f>PrimaryCrewingAreaPivot!D22</f>
        <v>1</v>
      </c>
      <c r="F30" s="69">
        <f t="shared" si="0"/>
        <v>12</v>
      </c>
      <c r="G30" s="510">
        <f t="shared" si="1"/>
        <v>8.3333333333333329E-2</v>
      </c>
      <c r="H30" s="271">
        <f t="shared" si="2"/>
        <v>0.83333333333333337</v>
      </c>
      <c r="I30" s="271">
        <f t="shared" si="3"/>
        <v>8.3333333333333329E-2</v>
      </c>
    </row>
    <row r="31" spans="1:9" x14ac:dyDescent="0.3">
      <c r="A31" s="89" t="s">
        <v>282</v>
      </c>
      <c r="B31" s="48" t="s">
        <v>283</v>
      </c>
      <c r="C31" s="51">
        <f>PrimaryCrewingAreaPivot!B23</f>
        <v>0</v>
      </c>
      <c r="D31" s="51">
        <f>PrimaryCrewingAreaPivot!C23</f>
        <v>14</v>
      </c>
      <c r="E31" s="51">
        <f>PrimaryCrewingAreaPivot!D23</f>
        <v>0</v>
      </c>
      <c r="F31" s="69">
        <f t="shared" si="0"/>
        <v>14</v>
      </c>
      <c r="G31" s="510">
        <f t="shared" si="1"/>
        <v>0</v>
      </c>
      <c r="H31" s="271">
        <f t="shared" si="2"/>
        <v>1</v>
      </c>
      <c r="I31" s="271">
        <f t="shared" si="3"/>
        <v>0</v>
      </c>
    </row>
    <row r="32" spans="1:9" x14ac:dyDescent="0.3">
      <c r="A32" s="89" t="s">
        <v>286</v>
      </c>
      <c r="B32" s="48" t="s">
        <v>287</v>
      </c>
      <c r="C32" s="51">
        <f>PrimaryCrewingAreaPivot!B24</f>
        <v>3</v>
      </c>
      <c r="D32" s="51">
        <f>PrimaryCrewingAreaPivot!C24</f>
        <v>8</v>
      </c>
      <c r="E32" s="51">
        <f>PrimaryCrewingAreaPivot!D24</f>
        <v>3</v>
      </c>
      <c r="F32" s="69">
        <f t="shared" si="0"/>
        <v>14</v>
      </c>
      <c r="G32" s="510">
        <f t="shared" si="1"/>
        <v>0.21428571428571427</v>
      </c>
      <c r="H32" s="271">
        <f t="shared" si="2"/>
        <v>0.5714285714285714</v>
      </c>
      <c r="I32" s="271">
        <f t="shared" si="3"/>
        <v>0.21428571428571427</v>
      </c>
    </row>
    <row r="33" spans="1:9" x14ac:dyDescent="0.3">
      <c r="A33" s="89" t="str">
        <f>IF(A10="2019-20","S12000040","S12000044")</f>
        <v>S12000044</v>
      </c>
      <c r="B33" s="48" t="s">
        <v>289</v>
      </c>
      <c r="C33" s="51">
        <f>PrimaryCrewingAreaPivot!B25</f>
        <v>4</v>
      </c>
      <c r="D33" s="51">
        <f>PrimaryCrewingAreaPivot!C25</f>
        <v>3</v>
      </c>
      <c r="E33" s="51">
        <f>PrimaryCrewingAreaPivot!D25</f>
        <v>0</v>
      </c>
      <c r="F33" s="69">
        <f t="shared" si="0"/>
        <v>7</v>
      </c>
      <c r="G33" s="510">
        <f t="shared" si="1"/>
        <v>0.5714285714285714</v>
      </c>
      <c r="H33" s="271">
        <f t="shared" si="2"/>
        <v>0.42857142857142855</v>
      </c>
      <c r="I33" s="271">
        <f t="shared" si="3"/>
        <v>0</v>
      </c>
    </row>
    <row r="34" spans="1:9" x14ac:dyDescent="0.3">
      <c r="A34" s="89" t="s">
        <v>291</v>
      </c>
      <c r="B34" s="48" t="s">
        <v>292</v>
      </c>
      <c r="C34" s="51">
        <f>PrimaryCrewingAreaPivot!B26</f>
        <v>0</v>
      </c>
      <c r="D34" s="51">
        <f>PrimaryCrewingAreaPivot!C26</f>
        <v>12</v>
      </c>
      <c r="E34" s="51">
        <f>PrimaryCrewingAreaPivot!D26</f>
        <v>0</v>
      </c>
      <c r="F34" s="69">
        <f t="shared" si="0"/>
        <v>12</v>
      </c>
      <c r="G34" s="510">
        <f t="shared" si="1"/>
        <v>0</v>
      </c>
      <c r="H34" s="271">
        <f t="shared" si="2"/>
        <v>1</v>
      </c>
      <c r="I34" s="271">
        <f t="shared" si="3"/>
        <v>0</v>
      </c>
    </row>
    <row r="35" spans="1:9" x14ac:dyDescent="0.3">
      <c r="A35" s="89" t="s">
        <v>293</v>
      </c>
      <c r="B35" s="48" t="s">
        <v>294</v>
      </c>
      <c r="C35" s="51">
        <f>PrimaryCrewingAreaPivot!B27</f>
        <v>1</v>
      </c>
      <c r="D35" s="51">
        <f>PrimaryCrewingAreaPivot!C27</f>
        <v>10</v>
      </c>
      <c r="E35" s="51">
        <f>PrimaryCrewingAreaPivot!D27</f>
        <v>3</v>
      </c>
      <c r="F35" s="69">
        <f t="shared" si="0"/>
        <v>14</v>
      </c>
      <c r="G35" s="510">
        <f t="shared" si="1"/>
        <v>7.1428571428571425E-2</v>
      </c>
      <c r="H35" s="271">
        <f t="shared" si="2"/>
        <v>0.7142857142857143</v>
      </c>
      <c r="I35" s="271">
        <f t="shared" si="3"/>
        <v>0.21428571428571427</v>
      </c>
    </row>
    <row r="36" spans="1:9" x14ac:dyDescent="0.3">
      <c r="A36" s="89" t="s">
        <v>295</v>
      </c>
      <c r="B36" s="48" t="s">
        <v>296</v>
      </c>
      <c r="C36" s="51">
        <f>PrimaryCrewingAreaPivot!B28</f>
        <v>3</v>
      </c>
      <c r="D36" s="51">
        <f>PrimaryCrewingAreaPivot!C28</f>
        <v>0</v>
      </c>
      <c r="E36" s="51">
        <f>PrimaryCrewingAreaPivot!D28</f>
        <v>0</v>
      </c>
      <c r="F36" s="69">
        <f t="shared" si="0"/>
        <v>3</v>
      </c>
      <c r="G36" s="510">
        <f t="shared" si="1"/>
        <v>1</v>
      </c>
      <c r="H36" s="271">
        <f t="shared" si="2"/>
        <v>0</v>
      </c>
      <c r="I36" s="271">
        <f t="shared" si="3"/>
        <v>0</v>
      </c>
    </row>
    <row r="37" spans="1:9" x14ac:dyDescent="0.3">
      <c r="A37" s="89" t="s">
        <v>297</v>
      </c>
      <c r="B37" s="48" t="s">
        <v>298</v>
      </c>
      <c r="C37" s="51">
        <f>PrimaryCrewingAreaPivot!B29</f>
        <v>2</v>
      </c>
      <c r="D37" s="51">
        <f>PrimaryCrewingAreaPivot!C29</f>
        <v>11</v>
      </c>
      <c r="E37" s="51">
        <f>PrimaryCrewingAreaPivot!D29</f>
        <v>0</v>
      </c>
      <c r="F37" s="69">
        <f t="shared" si="0"/>
        <v>13</v>
      </c>
      <c r="G37" s="510">
        <f t="shared" si="1"/>
        <v>0.15384615384615385</v>
      </c>
      <c r="H37" s="271">
        <f t="shared" si="2"/>
        <v>0.84615384615384615</v>
      </c>
      <c r="I37" s="271">
        <f t="shared" si="3"/>
        <v>0</v>
      </c>
    </row>
    <row r="38" spans="1:9" x14ac:dyDescent="0.3">
      <c r="A38" s="89" t="s">
        <v>299</v>
      </c>
      <c r="B38" s="48" t="s">
        <v>300</v>
      </c>
      <c r="C38" s="51">
        <f>PrimaryCrewingAreaPivot!B30</f>
        <v>0</v>
      </c>
      <c r="D38" s="51">
        <f>PrimaryCrewingAreaPivot!C30</f>
        <v>14</v>
      </c>
      <c r="E38" s="51">
        <f>PrimaryCrewingAreaPivot!D30</f>
        <v>0</v>
      </c>
      <c r="F38" s="69">
        <f t="shared" si="0"/>
        <v>14</v>
      </c>
      <c r="G38" s="510">
        <f t="shared" si="1"/>
        <v>0</v>
      </c>
      <c r="H38" s="271">
        <f t="shared" si="2"/>
        <v>1</v>
      </c>
      <c r="I38" s="271">
        <f t="shared" si="3"/>
        <v>0</v>
      </c>
    </row>
    <row r="39" spans="1:9" x14ac:dyDescent="0.3">
      <c r="A39" s="89" t="s">
        <v>301</v>
      </c>
      <c r="B39" s="48" t="s">
        <v>302</v>
      </c>
      <c r="C39" s="51">
        <f>PrimaryCrewingAreaPivot!B31</f>
        <v>1</v>
      </c>
      <c r="D39" s="51">
        <f>PrimaryCrewingAreaPivot!C31</f>
        <v>4</v>
      </c>
      <c r="E39" s="51">
        <f>PrimaryCrewingAreaPivot!D31</f>
        <v>0</v>
      </c>
      <c r="F39" s="69">
        <f t="shared" si="0"/>
        <v>5</v>
      </c>
      <c r="G39" s="510">
        <f t="shared" si="1"/>
        <v>0.2</v>
      </c>
      <c r="H39" s="271">
        <f t="shared" si="2"/>
        <v>0.8</v>
      </c>
      <c r="I39" s="271">
        <f t="shared" si="3"/>
        <v>0</v>
      </c>
    </row>
    <row r="40" spans="1:9" x14ac:dyDescent="0.3">
      <c r="A40" s="89" t="s">
        <v>303</v>
      </c>
      <c r="B40" s="48" t="s">
        <v>304</v>
      </c>
      <c r="C40" s="51">
        <f>PrimaryCrewingAreaPivot!B32</f>
        <v>4</v>
      </c>
      <c r="D40" s="51">
        <f>PrimaryCrewingAreaPivot!C32</f>
        <v>7</v>
      </c>
      <c r="E40" s="51">
        <f>PrimaryCrewingAreaPivot!D32</f>
        <v>0</v>
      </c>
      <c r="F40" s="69">
        <f t="shared" si="0"/>
        <v>11</v>
      </c>
      <c r="G40" s="510">
        <f t="shared" si="1"/>
        <v>0.36363636363636365</v>
      </c>
      <c r="H40" s="271">
        <f t="shared" si="2"/>
        <v>0.63636363636363635</v>
      </c>
      <c r="I40" s="271">
        <f t="shared" si="3"/>
        <v>0</v>
      </c>
    </row>
    <row r="41" spans="1:9" x14ac:dyDescent="0.3">
      <c r="A41" s="89" t="s">
        <v>306</v>
      </c>
      <c r="B41" s="48" t="s">
        <v>307</v>
      </c>
      <c r="C41" s="51">
        <f>PrimaryCrewingAreaPivot!B33</f>
        <v>1</v>
      </c>
      <c r="D41" s="51">
        <f>PrimaryCrewingAreaPivot!C33</f>
        <v>9</v>
      </c>
      <c r="E41" s="51">
        <f>PrimaryCrewingAreaPivot!D33</f>
        <v>0</v>
      </c>
      <c r="F41" s="69">
        <f t="shared" si="0"/>
        <v>10</v>
      </c>
      <c r="G41" s="510">
        <f t="shared" si="1"/>
        <v>0.1</v>
      </c>
      <c r="H41" s="271">
        <f t="shared" si="2"/>
        <v>0.9</v>
      </c>
      <c r="I41" s="271">
        <f t="shared" si="3"/>
        <v>0</v>
      </c>
    </row>
    <row r="42" spans="1:9" x14ac:dyDescent="0.3">
      <c r="A42" s="89" t="s">
        <v>308</v>
      </c>
      <c r="B42" s="48" t="s">
        <v>309</v>
      </c>
      <c r="C42" s="51">
        <f>PrimaryCrewingAreaPivot!B34</f>
        <v>2</v>
      </c>
      <c r="D42" s="51">
        <f>PrimaryCrewingAreaPivot!C34</f>
        <v>1</v>
      </c>
      <c r="E42" s="51">
        <f>PrimaryCrewingAreaPivot!D34</f>
        <v>0</v>
      </c>
      <c r="F42" s="69">
        <f t="shared" si="0"/>
        <v>3</v>
      </c>
      <c r="G42" s="510">
        <f t="shared" si="1"/>
        <v>0.66666666666666663</v>
      </c>
      <c r="H42" s="271">
        <f t="shared" si="2"/>
        <v>0.33333333333333331</v>
      </c>
      <c r="I42" s="271">
        <f t="shared" si="3"/>
        <v>0</v>
      </c>
    </row>
    <row r="43" spans="1:9" ht="15.75" customHeight="1" x14ac:dyDescent="0.3">
      <c r="A43" s="89" t="s">
        <v>310</v>
      </c>
      <c r="B43" s="48" t="s">
        <v>311</v>
      </c>
      <c r="C43" s="51">
        <f>PrimaryCrewingAreaPivot!B35</f>
        <v>2</v>
      </c>
      <c r="D43" s="51">
        <f>PrimaryCrewingAreaPivot!C35</f>
        <v>4</v>
      </c>
      <c r="E43" s="51">
        <f>PrimaryCrewingAreaPivot!D35</f>
        <v>0</v>
      </c>
      <c r="F43" s="69">
        <f t="shared" si="0"/>
        <v>6</v>
      </c>
      <c r="G43" s="510">
        <f t="shared" si="1"/>
        <v>0.33333333333333331</v>
      </c>
      <c r="H43" s="271">
        <f t="shared" si="2"/>
        <v>0.66666666666666663</v>
      </c>
      <c r="I43" s="271">
        <f t="shared" si="3"/>
        <v>0</v>
      </c>
    </row>
    <row r="44" spans="1:9" ht="21" customHeight="1" thickBot="1" x14ac:dyDescent="0.35">
      <c r="A44" s="33"/>
      <c r="B44" s="33" t="s">
        <v>348</v>
      </c>
      <c r="C44" s="70">
        <f>SUM(C12:C43)</f>
        <v>74</v>
      </c>
      <c r="D44" s="70">
        <f>SUM(D12:D43)</f>
        <v>240</v>
      </c>
      <c r="E44" s="70">
        <f>SUM(E12:E43)</f>
        <v>42</v>
      </c>
      <c r="F44" s="70">
        <f>SUM(F12:F43)</f>
        <v>356</v>
      </c>
      <c r="G44" s="511">
        <f t="shared" si="1"/>
        <v>0.20786516853932585</v>
      </c>
      <c r="H44" s="272">
        <f t="shared" si="2"/>
        <v>0.6741573033707865</v>
      </c>
      <c r="I44" s="272">
        <f t="shared" si="3"/>
        <v>0.11797752808988764</v>
      </c>
    </row>
    <row r="45" spans="1:9" x14ac:dyDescent="0.3">
      <c r="A45" s="195"/>
      <c r="B45" s="196"/>
      <c r="C45" s="196"/>
      <c r="D45" s="196"/>
      <c r="E45" s="196"/>
      <c r="F45" s="192"/>
      <c r="G45" s="273"/>
      <c r="H45" s="273"/>
      <c r="I45" s="192"/>
    </row>
    <row r="46" spans="1:9" x14ac:dyDescent="0.3">
      <c r="A46" s="353" t="s">
        <v>329</v>
      </c>
      <c r="B46" s="354"/>
      <c r="C46" s="354"/>
      <c r="D46" s="354"/>
      <c r="E46" s="354"/>
      <c r="F46" s="355"/>
      <c r="G46" s="356"/>
      <c r="H46" s="356"/>
      <c r="I46" s="355"/>
    </row>
    <row r="47" spans="1:9" ht="30" customHeight="1" x14ac:dyDescent="0.3">
      <c r="A47" s="1032" t="s">
        <v>367</v>
      </c>
      <c r="B47" s="1032"/>
      <c r="C47" s="1032"/>
      <c r="D47" s="1032"/>
      <c r="E47" s="1032"/>
      <c r="F47" s="1032"/>
      <c r="G47" s="1032"/>
      <c r="H47" s="1032"/>
      <c r="I47" s="1032"/>
    </row>
  </sheetData>
  <sheetProtection algorithmName="SHA-512" hashValue="UjZobzd+d1bzUzN09W57xKqTzbbIzdmqG0t7b7ekR3YrMRkp5Tub0zqkzqA3sVrtZ/MHS04Ou2SqY6FqgvEG5A==" saltValue="2FHpwVjii+NKBrTqRCXmRw==" spinCount="100000" sheet="1" formatCells="0" sort="0" autoFilter="0" pivotTables="0"/>
  <mergeCells count="3">
    <mergeCell ref="A1:C1"/>
    <mergeCell ref="A4:F4"/>
    <mergeCell ref="A47:I47"/>
  </mergeCells>
  <hyperlinks>
    <hyperlink ref="A2" location="'Table of Contents'!A1" display="Back to Table of Contents" xr:uid="{00000000-0004-0000-0C00-000000000000}"/>
  </hyperlinks>
  <pageMargins left="0.7" right="0.7" top="0.75" bottom="0.75" header="0.3" footer="0.3"/>
  <drawing r:id="rId1"/>
  <extLst>
    <ext xmlns:x14="http://schemas.microsoft.com/office/spreadsheetml/2009/9/main" uri="{A8765BA9-456A-4dab-B4F3-ACF838C121DE}">
      <x14:slicerList>
        <x14:slicer r:id="rId2"/>
      </x14:slicerList>
    </ext>
  </extLst>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theme="4" tint="0.59999389629810485"/>
  </sheetPr>
  <dimension ref="A1:H25"/>
  <sheetViews>
    <sheetView showGridLines="0" workbookViewId="0">
      <pane ySplit="2" topLeftCell="A3" activePane="bottomLeft" state="frozen"/>
      <selection pane="bottomLeft" sqref="A1:C1"/>
    </sheetView>
  </sheetViews>
  <sheetFormatPr defaultRowHeight="14.4" x14ac:dyDescent="0.3"/>
  <cols>
    <col min="1" max="1" width="17.109375" customWidth="1"/>
    <col min="2" max="2" width="14.44140625" style="579" customWidth="1"/>
    <col min="3" max="3" width="11.44140625" style="579" customWidth="1"/>
    <col min="4" max="4" width="14.44140625" style="579" customWidth="1"/>
    <col min="5" max="5" width="14.109375" style="579" customWidth="1"/>
    <col min="6" max="6" width="14.44140625" style="579" customWidth="1"/>
  </cols>
  <sheetData>
    <row r="1" spans="1:6" ht="15.6" x14ac:dyDescent="0.3">
      <c r="A1" s="1030" t="s">
        <v>333</v>
      </c>
      <c r="B1" s="1030"/>
      <c r="C1" s="1030"/>
    </row>
    <row r="2" spans="1:6" ht="15.6" x14ac:dyDescent="0.3">
      <c r="A2" s="498" t="s">
        <v>202</v>
      </c>
      <c r="B2" s="580"/>
      <c r="C2" s="580"/>
    </row>
    <row r="4" spans="1:6" ht="15.6" x14ac:dyDescent="0.3">
      <c r="A4" s="1031" t="s">
        <v>370</v>
      </c>
      <c r="B4" s="1031"/>
      <c r="C4" s="1031"/>
      <c r="D4" s="1031"/>
      <c r="E4" s="1031"/>
      <c r="F4" s="1031"/>
    </row>
    <row r="5" spans="1:6" x14ac:dyDescent="0.3">
      <c r="A5" t="s">
        <v>203</v>
      </c>
      <c r="B5" t="s">
        <v>40</v>
      </c>
    </row>
    <row r="6" spans="1:6" x14ac:dyDescent="0.3">
      <c r="A6" t="s">
        <v>204</v>
      </c>
      <c r="B6" s="387" t="s">
        <v>205</v>
      </c>
    </row>
    <row r="7" spans="1:6" x14ac:dyDescent="0.3">
      <c r="A7" t="s">
        <v>206</v>
      </c>
      <c r="B7" s="387" t="s">
        <v>207</v>
      </c>
    </row>
    <row r="8" spans="1:6" ht="15.6" x14ac:dyDescent="0.3">
      <c r="A8" s="571"/>
    </row>
    <row r="9" spans="1:6" x14ac:dyDescent="0.3">
      <c r="A9" s="585" t="s">
        <v>208</v>
      </c>
      <c r="B9" s="586" t="s">
        <v>335</v>
      </c>
      <c r="C9" s="587" t="s">
        <v>371</v>
      </c>
      <c r="D9" s="587" t="s">
        <v>338</v>
      </c>
      <c r="E9" s="588" t="s">
        <v>339</v>
      </c>
      <c r="F9" s="588" t="s">
        <v>340</v>
      </c>
    </row>
    <row r="10" spans="1:6" x14ac:dyDescent="0.3">
      <c r="A10" s="582" t="s">
        <v>341</v>
      </c>
      <c r="B10" s="583">
        <v>116</v>
      </c>
      <c r="C10" s="583">
        <v>1</v>
      </c>
      <c r="D10" s="583">
        <v>311</v>
      </c>
      <c r="E10" s="583">
        <v>43</v>
      </c>
      <c r="F10" s="584">
        <f>SUM(B10:E10)</f>
        <v>471</v>
      </c>
    </row>
    <row r="11" spans="1:6" x14ac:dyDescent="0.3">
      <c r="A11" s="582" t="s">
        <v>342</v>
      </c>
      <c r="B11" s="583">
        <v>116</v>
      </c>
      <c r="C11" s="583">
        <v>1</v>
      </c>
      <c r="D11" s="583">
        <v>311</v>
      </c>
      <c r="E11" s="583">
        <v>43</v>
      </c>
      <c r="F11" s="584">
        <f t="shared" ref="F11:F14" si="0">SUM(B11:E11)</f>
        <v>471</v>
      </c>
    </row>
    <row r="12" spans="1:6" x14ac:dyDescent="0.3">
      <c r="A12" s="582" t="s">
        <v>213</v>
      </c>
      <c r="B12" s="583">
        <v>116</v>
      </c>
      <c r="C12" s="583">
        <v>1</v>
      </c>
      <c r="D12" s="583">
        <v>311</v>
      </c>
      <c r="E12" s="583">
        <v>43</v>
      </c>
      <c r="F12" s="584">
        <f t="shared" si="0"/>
        <v>471</v>
      </c>
    </row>
    <row r="13" spans="1:6" x14ac:dyDescent="0.3">
      <c r="A13" s="582" t="s">
        <v>312</v>
      </c>
      <c r="B13" s="583">
        <v>116</v>
      </c>
      <c r="C13" s="583">
        <v>1</v>
      </c>
      <c r="D13" s="583">
        <v>311</v>
      </c>
      <c r="E13" s="583">
        <v>43</v>
      </c>
      <c r="F13" s="584">
        <f t="shared" ref="F13" si="1">SUM(B13:E13)</f>
        <v>471</v>
      </c>
    </row>
    <row r="14" spans="1:6" x14ac:dyDescent="0.3">
      <c r="A14" s="176" t="s">
        <v>318</v>
      </c>
      <c r="B14" s="142">
        <v>116</v>
      </c>
      <c r="C14" s="142">
        <v>1</v>
      </c>
      <c r="D14" s="142">
        <v>311</v>
      </c>
      <c r="E14" s="142">
        <v>43</v>
      </c>
      <c r="F14" s="107">
        <f t="shared" si="0"/>
        <v>471</v>
      </c>
    </row>
    <row r="15" spans="1:6" x14ac:dyDescent="0.3">
      <c r="A15" s="176" t="s">
        <v>320</v>
      </c>
      <c r="B15" s="142">
        <v>116</v>
      </c>
      <c r="C15" s="142">
        <v>1</v>
      </c>
      <c r="D15" s="142">
        <v>311</v>
      </c>
      <c r="E15" s="142">
        <v>43</v>
      </c>
      <c r="F15" s="107">
        <f t="shared" ref="F15" si="2">SUM(B15:E15)</f>
        <v>471</v>
      </c>
    </row>
    <row r="16" spans="1:6" x14ac:dyDescent="0.3">
      <c r="A16" s="176" t="s">
        <v>325</v>
      </c>
      <c r="B16" s="142">
        <v>116</v>
      </c>
      <c r="C16" s="142">
        <v>1</v>
      </c>
      <c r="D16" s="142">
        <v>311</v>
      </c>
      <c r="E16" s="142">
        <v>43</v>
      </c>
      <c r="F16" s="107">
        <f t="shared" ref="F16" si="3">SUM(B16:E16)</f>
        <v>471</v>
      </c>
    </row>
    <row r="17" spans="1:8" x14ac:dyDescent="0.3">
      <c r="A17" s="176" t="s">
        <v>326</v>
      </c>
      <c r="B17" s="142">
        <v>116</v>
      </c>
      <c r="C17" s="142">
        <v>1</v>
      </c>
      <c r="D17" s="142">
        <v>311</v>
      </c>
      <c r="E17" s="142">
        <v>42</v>
      </c>
      <c r="F17" s="107">
        <f t="shared" ref="F17" si="4">SUM(B17:E17)</f>
        <v>470</v>
      </c>
    </row>
    <row r="18" spans="1:8" x14ac:dyDescent="0.3">
      <c r="A18" s="176" t="s">
        <v>328</v>
      </c>
      <c r="B18" s="142">
        <v>106</v>
      </c>
      <c r="C18" s="142">
        <v>1</v>
      </c>
      <c r="D18" s="142">
        <v>311</v>
      </c>
      <c r="E18" s="142">
        <v>42</v>
      </c>
      <c r="F18" s="107">
        <f t="shared" ref="F18" si="5">SUM(B18:E18)</f>
        <v>460</v>
      </c>
    </row>
    <row r="19" spans="1:8" ht="15" thickBot="1" x14ac:dyDescent="0.35">
      <c r="A19" s="184" t="s">
        <v>412</v>
      </c>
      <c r="B19" s="190">
        <v>106</v>
      </c>
      <c r="C19" s="190">
        <v>1</v>
      </c>
      <c r="D19" s="190">
        <v>311</v>
      </c>
      <c r="E19" s="190">
        <v>42</v>
      </c>
      <c r="F19" s="578">
        <f t="shared" ref="F19" si="6">SUM(B19:E19)</f>
        <v>460</v>
      </c>
    </row>
    <row r="20" spans="1:8" x14ac:dyDescent="0.3">
      <c r="A20" s="176"/>
      <c r="B20" s="142"/>
      <c r="C20" s="142"/>
      <c r="D20" s="142"/>
      <c r="E20" s="142"/>
      <c r="F20" s="107"/>
    </row>
    <row r="21" spans="1:8" x14ac:dyDescent="0.3">
      <c r="A21" s="334" t="s">
        <v>329</v>
      </c>
      <c r="B21" s="581"/>
      <c r="C21" s="581"/>
      <c r="D21" s="581"/>
      <c r="E21" s="581"/>
      <c r="F21" s="581"/>
      <c r="G21" s="312"/>
      <c r="H21" s="312"/>
    </row>
    <row r="22" spans="1:8" ht="15" customHeight="1" x14ac:dyDescent="0.3">
      <c r="A22" t="s">
        <v>372</v>
      </c>
      <c r="B22" s="581"/>
      <c r="C22" s="581"/>
      <c r="D22" s="581"/>
      <c r="E22" s="581"/>
      <c r="F22" s="581"/>
      <c r="G22" s="312"/>
      <c r="H22" s="312"/>
    </row>
    <row r="23" spans="1:8" ht="15" customHeight="1" x14ac:dyDescent="0.3">
      <c r="A23" t="s">
        <v>373</v>
      </c>
      <c r="B23" s="581"/>
      <c r="C23" s="581"/>
      <c r="D23" s="581"/>
      <c r="E23" s="581"/>
      <c r="F23" s="581"/>
      <c r="G23" s="312"/>
      <c r="H23" s="312"/>
    </row>
    <row r="24" spans="1:8" x14ac:dyDescent="0.3">
      <c r="A24" t="s">
        <v>374</v>
      </c>
      <c r="B24"/>
      <c r="C24"/>
      <c r="D24"/>
      <c r="E24"/>
      <c r="F24"/>
    </row>
    <row r="25" spans="1:8" x14ac:dyDescent="0.3">
      <c r="A25" t="s">
        <v>375</v>
      </c>
    </row>
  </sheetData>
  <sheetProtection algorithmName="SHA-512" hashValue="FCKmNa+6THeBmqSUzH6Z3g9A0hq4M5cLVMGB1/CStpGFz3MPLHE74p//5kudtMNyGswqACidr17lreEdBLeLeQ==" saltValue="yFRGi3zyIaQktwEcmpObsg==" spinCount="100000" sheet="1" formatCells="0" sort="0" autoFilter="0" pivotTables="0"/>
  <mergeCells count="2">
    <mergeCell ref="A1:C1"/>
    <mergeCell ref="A4:F4"/>
  </mergeCells>
  <phoneticPr fontId="53" type="noConversion"/>
  <hyperlinks>
    <hyperlink ref="A2" location="'Table of Contents'!A1" display="Back to Table of Contents" xr:uid="{00000000-0004-0000-0D00-000000000000}"/>
  </hyperlinks>
  <pageMargins left="0.7" right="0.7" top="0.75" bottom="0.75" header="0.3" footer="0.3"/>
  <pageSetup paperSize="9" orientation="portrait"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CA80EBC-FD7E-4ADD-8E71-FA2D77AA6D18}">
  <sheetPr>
    <tabColor theme="4" tint="0.59999389629810485"/>
  </sheetPr>
  <dimension ref="A1:K155"/>
  <sheetViews>
    <sheetView topLeftCell="D4" workbookViewId="0">
      <selection activeCell="K13" sqref="K13"/>
    </sheetView>
  </sheetViews>
  <sheetFormatPr defaultRowHeight="14.4" x14ac:dyDescent="0.3"/>
  <cols>
    <col min="1" max="1" width="10.21875" bestFit="1" customWidth="1"/>
    <col min="2" max="2" width="19.33203125" bestFit="1" customWidth="1"/>
    <col min="3" max="3" width="12.6640625" bestFit="1" customWidth="1"/>
    <col min="4" max="4" width="7.77734375" bestFit="1" customWidth="1"/>
    <col min="5" max="5" width="8.109375" bestFit="1" customWidth="1"/>
    <col min="9" max="9" width="10.21875" bestFit="1" customWidth="1"/>
    <col min="10" max="10" width="20.21875" bestFit="1" customWidth="1"/>
    <col min="11" max="11" width="32.77734375" bestFit="1" customWidth="1"/>
    <col min="12" max="12" width="33.44140625" bestFit="1" customWidth="1"/>
  </cols>
  <sheetData>
    <row r="1" spans="1:11" x14ac:dyDescent="0.3">
      <c r="A1" t="s">
        <v>376</v>
      </c>
      <c r="B1" t="s">
        <v>377</v>
      </c>
      <c r="C1" t="s">
        <v>378</v>
      </c>
      <c r="D1" t="s">
        <v>379</v>
      </c>
    </row>
    <row r="2" spans="1:11" x14ac:dyDescent="0.3">
      <c r="A2" t="s">
        <v>312</v>
      </c>
      <c r="C2" t="s">
        <v>380</v>
      </c>
      <c r="D2">
        <v>4</v>
      </c>
    </row>
    <row r="3" spans="1:11" x14ac:dyDescent="0.3">
      <c r="A3" t="s">
        <v>312</v>
      </c>
      <c r="B3" t="s">
        <v>381</v>
      </c>
      <c r="C3" t="s">
        <v>382</v>
      </c>
      <c r="D3">
        <v>8</v>
      </c>
    </row>
    <row r="4" spans="1:11" x14ac:dyDescent="0.3">
      <c r="A4" t="s">
        <v>312</v>
      </c>
      <c r="B4" t="s">
        <v>381</v>
      </c>
      <c r="C4" t="s">
        <v>383</v>
      </c>
      <c r="D4">
        <v>4</v>
      </c>
    </row>
    <row r="5" spans="1:11" x14ac:dyDescent="0.3">
      <c r="A5" t="s">
        <v>312</v>
      </c>
      <c r="B5" t="s">
        <v>381</v>
      </c>
      <c r="C5" t="s">
        <v>384</v>
      </c>
      <c r="D5">
        <v>78</v>
      </c>
    </row>
    <row r="6" spans="1:11" x14ac:dyDescent="0.3">
      <c r="A6" t="s">
        <v>312</v>
      </c>
      <c r="B6" t="s">
        <v>381</v>
      </c>
      <c r="C6" t="s">
        <v>385</v>
      </c>
      <c r="D6">
        <v>1</v>
      </c>
      <c r="I6" t="s">
        <v>376</v>
      </c>
      <c r="J6" t="s">
        <v>377</v>
      </c>
      <c r="K6" t="s">
        <v>386</v>
      </c>
    </row>
    <row r="7" spans="1:11" x14ac:dyDescent="0.3">
      <c r="A7" t="s">
        <v>312</v>
      </c>
      <c r="B7" t="s">
        <v>381</v>
      </c>
      <c r="C7" t="s">
        <v>387</v>
      </c>
      <c r="D7">
        <v>4</v>
      </c>
      <c r="I7" t="s">
        <v>312</v>
      </c>
      <c r="J7" t="s">
        <v>388</v>
      </c>
      <c r="K7">
        <v>95</v>
      </c>
    </row>
    <row r="8" spans="1:11" x14ac:dyDescent="0.3">
      <c r="A8" t="s">
        <v>312</v>
      </c>
      <c r="B8" t="s">
        <v>381</v>
      </c>
      <c r="C8" t="s">
        <v>389</v>
      </c>
      <c r="D8">
        <v>5</v>
      </c>
      <c r="I8" t="s">
        <v>312</v>
      </c>
      <c r="J8" t="s">
        <v>390</v>
      </c>
      <c r="K8">
        <v>37</v>
      </c>
    </row>
    <row r="9" spans="1:11" x14ac:dyDescent="0.3">
      <c r="A9" t="s">
        <v>312</v>
      </c>
      <c r="B9" t="s">
        <v>381</v>
      </c>
      <c r="C9" t="s">
        <v>391</v>
      </c>
      <c r="D9">
        <v>3</v>
      </c>
      <c r="I9" t="s">
        <v>312</v>
      </c>
      <c r="J9" t="s">
        <v>392</v>
      </c>
      <c r="K9">
        <v>54</v>
      </c>
    </row>
    <row r="10" spans="1:11" x14ac:dyDescent="0.3">
      <c r="A10" t="s">
        <v>312</v>
      </c>
      <c r="B10" t="s">
        <v>381</v>
      </c>
      <c r="C10" t="s">
        <v>393</v>
      </c>
      <c r="D10">
        <v>20</v>
      </c>
      <c r="I10" t="s">
        <v>318</v>
      </c>
      <c r="J10" t="s">
        <v>388</v>
      </c>
      <c r="K10">
        <v>95</v>
      </c>
    </row>
    <row r="11" spans="1:11" x14ac:dyDescent="0.3">
      <c r="A11" t="s">
        <v>312</v>
      </c>
      <c r="B11" t="s">
        <v>381</v>
      </c>
      <c r="C11" t="s">
        <v>394</v>
      </c>
      <c r="D11">
        <v>10</v>
      </c>
      <c r="I11" t="s">
        <v>318</v>
      </c>
      <c r="J11" t="s">
        <v>390</v>
      </c>
      <c r="K11">
        <v>37</v>
      </c>
    </row>
    <row r="12" spans="1:11" x14ac:dyDescent="0.3">
      <c r="A12" t="s">
        <v>312</v>
      </c>
      <c r="B12" t="s">
        <v>390</v>
      </c>
      <c r="C12" t="s">
        <v>395</v>
      </c>
      <c r="D12">
        <v>5</v>
      </c>
      <c r="I12" t="s">
        <v>318</v>
      </c>
      <c r="J12" t="s">
        <v>392</v>
      </c>
      <c r="K12">
        <v>54</v>
      </c>
    </row>
    <row r="13" spans="1:11" x14ac:dyDescent="0.3">
      <c r="A13" t="s">
        <v>312</v>
      </c>
      <c r="B13" t="s">
        <v>390</v>
      </c>
      <c r="C13" t="s">
        <v>396</v>
      </c>
      <c r="D13">
        <v>25</v>
      </c>
      <c r="I13" t="s">
        <v>320</v>
      </c>
      <c r="J13" t="s">
        <v>388</v>
      </c>
      <c r="K13">
        <v>101</v>
      </c>
    </row>
    <row r="14" spans="1:11" x14ac:dyDescent="0.3">
      <c r="A14" t="s">
        <v>312</v>
      </c>
      <c r="B14" t="s">
        <v>390</v>
      </c>
      <c r="C14" t="s">
        <v>397</v>
      </c>
      <c r="D14">
        <v>8</v>
      </c>
      <c r="I14" t="s">
        <v>320</v>
      </c>
      <c r="J14" t="s">
        <v>390</v>
      </c>
      <c r="K14">
        <v>36</v>
      </c>
    </row>
    <row r="15" spans="1:11" x14ac:dyDescent="0.3">
      <c r="A15" t="s">
        <v>312</v>
      </c>
      <c r="B15" t="s">
        <v>390</v>
      </c>
      <c r="C15" t="s">
        <v>398</v>
      </c>
      <c r="D15">
        <v>17</v>
      </c>
      <c r="I15" t="s">
        <v>320</v>
      </c>
      <c r="J15" t="s">
        <v>392</v>
      </c>
      <c r="K15">
        <v>52</v>
      </c>
    </row>
    <row r="16" spans="1:11" x14ac:dyDescent="0.3">
      <c r="A16" t="s">
        <v>312</v>
      </c>
      <c r="B16" t="s">
        <v>390</v>
      </c>
      <c r="C16" t="s">
        <v>399</v>
      </c>
      <c r="D16">
        <v>3</v>
      </c>
      <c r="I16" t="s">
        <v>325</v>
      </c>
      <c r="J16" t="s">
        <v>388</v>
      </c>
      <c r="K16">
        <v>104</v>
      </c>
    </row>
    <row r="17" spans="1:11" x14ac:dyDescent="0.3">
      <c r="A17" t="s">
        <v>312</v>
      </c>
      <c r="B17" t="s">
        <v>390</v>
      </c>
      <c r="C17" t="s">
        <v>400</v>
      </c>
      <c r="D17">
        <v>7</v>
      </c>
      <c r="I17" t="s">
        <v>325</v>
      </c>
      <c r="J17" t="s">
        <v>390</v>
      </c>
      <c r="K17">
        <v>35</v>
      </c>
    </row>
    <row r="18" spans="1:11" x14ac:dyDescent="0.3">
      <c r="A18" t="s">
        <v>312</v>
      </c>
      <c r="B18" t="s">
        <v>392</v>
      </c>
      <c r="C18" t="s">
        <v>401</v>
      </c>
      <c r="D18">
        <v>6</v>
      </c>
      <c r="I18" t="s">
        <v>325</v>
      </c>
      <c r="J18" t="s">
        <v>392</v>
      </c>
      <c r="K18">
        <v>52</v>
      </c>
    </row>
    <row r="19" spans="1:11" x14ac:dyDescent="0.3">
      <c r="A19" t="s">
        <v>312</v>
      </c>
      <c r="B19" t="s">
        <v>392</v>
      </c>
      <c r="C19" t="s">
        <v>402</v>
      </c>
      <c r="D19">
        <v>21</v>
      </c>
      <c r="I19" t="s">
        <v>326</v>
      </c>
      <c r="J19" t="s">
        <v>388</v>
      </c>
      <c r="K19">
        <v>105</v>
      </c>
    </row>
    <row r="20" spans="1:11" x14ac:dyDescent="0.3">
      <c r="A20" t="s">
        <v>312</v>
      </c>
      <c r="B20" t="s">
        <v>392</v>
      </c>
      <c r="C20" t="s">
        <v>403</v>
      </c>
      <c r="D20">
        <v>35</v>
      </c>
      <c r="I20" t="s">
        <v>326</v>
      </c>
      <c r="J20" t="s">
        <v>390</v>
      </c>
      <c r="K20">
        <v>26</v>
      </c>
    </row>
    <row r="21" spans="1:11" x14ac:dyDescent="0.3">
      <c r="A21" t="s">
        <v>312</v>
      </c>
      <c r="B21" t="s">
        <v>392</v>
      </c>
      <c r="C21" t="s">
        <v>404</v>
      </c>
      <c r="D21">
        <v>5</v>
      </c>
      <c r="I21" t="s">
        <v>326</v>
      </c>
      <c r="J21" t="s">
        <v>392</v>
      </c>
      <c r="K21">
        <v>53</v>
      </c>
    </row>
    <row r="22" spans="1:11" x14ac:dyDescent="0.3">
      <c r="A22" t="s">
        <v>312</v>
      </c>
      <c r="B22" t="s">
        <v>392</v>
      </c>
      <c r="C22" t="s">
        <v>405</v>
      </c>
      <c r="D22">
        <v>19</v>
      </c>
      <c r="I22" t="s">
        <v>328</v>
      </c>
      <c r="K22">
        <v>1</v>
      </c>
    </row>
    <row r="23" spans="1:11" x14ac:dyDescent="0.3">
      <c r="A23" t="s">
        <v>312</v>
      </c>
      <c r="B23" t="s">
        <v>406</v>
      </c>
      <c r="C23" t="s">
        <v>407</v>
      </c>
      <c r="D23">
        <v>244</v>
      </c>
      <c r="I23" t="s">
        <v>328</v>
      </c>
      <c r="J23" t="s">
        <v>381</v>
      </c>
      <c r="K23">
        <v>115</v>
      </c>
    </row>
    <row r="24" spans="1:11" x14ac:dyDescent="0.3">
      <c r="A24" t="s">
        <v>312</v>
      </c>
      <c r="B24" t="s">
        <v>406</v>
      </c>
      <c r="C24" t="s">
        <v>408</v>
      </c>
      <c r="D24">
        <v>6</v>
      </c>
      <c r="I24" t="s">
        <v>328</v>
      </c>
      <c r="J24" t="s">
        <v>390</v>
      </c>
      <c r="K24">
        <v>26</v>
      </c>
    </row>
    <row r="25" spans="1:11" x14ac:dyDescent="0.3">
      <c r="A25" t="s">
        <v>312</v>
      </c>
      <c r="B25" t="s">
        <v>406</v>
      </c>
      <c r="C25" t="s">
        <v>409</v>
      </c>
      <c r="D25">
        <v>101</v>
      </c>
      <c r="I25" t="s">
        <v>328</v>
      </c>
      <c r="J25" t="s">
        <v>392</v>
      </c>
      <c r="K25">
        <v>68</v>
      </c>
    </row>
    <row r="26" spans="1:11" x14ac:dyDescent="0.3">
      <c r="A26" t="s">
        <v>318</v>
      </c>
      <c r="C26" t="s">
        <v>380</v>
      </c>
      <c r="D26">
        <v>4</v>
      </c>
      <c r="I26" t="s">
        <v>328</v>
      </c>
      <c r="J26" t="s">
        <v>406</v>
      </c>
      <c r="K26">
        <v>351</v>
      </c>
    </row>
    <row r="27" spans="1:11" x14ac:dyDescent="0.3">
      <c r="A27" t="s">
        <v>318</v>
      </c>
      <c r="B27" t="s">
        <v>381</v>
      </c>
      <c r="C27" t="s">
        <v>382</v>
      </c>
      <c r="D27">
        <v>8</v>
      </c>
      <c r="I27" t="s">
        <v>412</v>
      </c>
      <c r="J27" t="s">
        <v>381</v>
      </c>
      <c r="K27">
        <v>115</v>
      </c>
    </row>
    <row r="28" spans="1:11" x14ac:dyDescent="0.3">
      <c r="A28" t="s">
        <v>318</v>
      </c>
      <c r="B28" t="s">
        <v>381</v>
      </c>
      <c r="C28" t="s">
        <v>383</v>
      </c>
      <c r="D28">
        <v>4</v>
      </c>
      <c r="I28" t="s">
        <v>412</v>
      </c>
      <c r="J28" t="s">
        <v>390</v>
      </c>
      <c r="K28">
        <v>26</v>
      </c>
    </row>
    <row r="29" spans="1:11" x14ac:dyDescent="0.3">
      <c r="A29" t="s">
        <v>318</v>
      </c>
      <c r="B29" t="s">
        <v>381</v>
      </c>
      <c r="C29" t="s">
        <v>384</v>
      </c>
      <c r="D29">
        <v>78</v>
      </c>
      <c r="I29" t="s">
        <v>412</v>
      </c>
      <c r="J29" t="s">
        <v>392</v>
      </c>
      <c r="K29">
        <v>71</v>
      </c>
    </row>
    <row r="30" spans="1:11" x14ac:dyDescent="0.3">
      <c r="A30" t="s">
        <v>318</v>
      </c>
      <c r="B30" t="s">
        <v>381</v>
      </c>
      <c r="C30" t="s">
        <v>385</v>
      </c>
      <c r="D30">
        <v>1</v>
      </c>
    </row>
    <row r="31" spans="1:11" x14ac:dyDescent="0.3">
      <c r="A31" t="s">
        <v>318</v>
      </c>
      <c r="B31" t="s">
        <v>381</v>
      </c>
      <c r="C31" t="s">
        <v>387</v>
      </c>
      <c r="D31">
        <v>4</v>
      </c>
    </row>
    <row r="32" spans="1:11" x14ac:dyDescent="0.3">
      <c r="A32" t="s">
        <v>318</v>
      </c>
      <c r="B32" t="s">
        <v>381</v>
      </c>
      <c r="C32" t="s">
        <v>389</v>
      </c>
      <c r="D32">
        <v>5</v>
      </c>
    </row>
    <row r="33" spans="1:4" x14ac:dyDescent="0.3">
      <c r="A33" t="s">
        <v>318</v>
      </c>
      <c r="B33" t="s">
        <v>381</v>
      </c>
      <c r="C33" t="s">
        <v>391</v>
      </c>
      <c r="D33">
        <v>3</v>
      </c>
    </row>
    <row r="34" spans="1:4" x14ac:dyDescent="0.3">
      <c r="A34" t="s">
        <v>318</v>
      </c>
      <c r="B34" t="s">
        <v>381</v>
      </c>
      <c r="C34" t="s">
        <v>393</v>
      </c>
      <c r="D34">
        <v>20</v>
      </c>
    </row>
    <row r="35" spans="1:4" x14ac:dyDescent="0.3">
      <c r="A35" t="s">
        <v>318</v>
      </c>
      <c r="B35" t="s">
        <v>381</v>
      </c>
      <c r="C35" t="s">
        <v>394</v>
      </c>
      <c r="D35">
        <v>10</v>
      </c>
    </row>
    <row r="36" spans="1:4" x14ac:dyDescent="0.3">
      <c r="A36" t="s">
        <v>318</v>
      </c>
      <c r="B36" t="s">
        <v>390</v>
      </c>
      <c r="C36" t="s">
        <v>395</v>
      </c>
      <c r="D36">
        <v>5</v>
      </c>
    </row>
    <row r="37" spans="1:4" x14ac:dyDescent="0.3">
      <c r="A37" t="s">
        <v>318</v>
      </c>
      <c r="B37" t="s">
        <v>390</v>
      </c>
      <c r="C37" t="s">
        <v>396</v>
      </c>
      <c r="D37">
        <v>25</v>
      </c>
    </row>
    <row r="38" spans="1:4" x14ac:dyDescent="0.3">
      <c r="A38" t="s">
        <v>318</v>
      </c>
      <c r="B38" t="s">
        <v>390</v>
      </c>
      <c r="C38" t="s">
        <v>397</v>
      </c>
      <c r="D38">
        <v>8</v>
      </c>
    </row>
    <row r="39" spans="1:4" x14ac:dyDescent="0.3">
      <c r="A39" t="s">
        <v>318</v>
      </c>
      <c r="B39" t="s">
        <v>390</v>
      </c>
      <c r="C39" t="s">
        <v>398</v>
      </c>
      <c r="D39">
        <v>17</v>
      </c>
    </row>
    <row r="40" spans="1:4" x14ac:dyDescent="0.3">
      <c r="A40" t="s">
        <v>318</v>
      </c>
      <c r="B40" t="s">
        <v>390</v>
      </c>
      <c r="C40" t="s">
        <v>399</v>
      </c>
      <c r="D40">
        <v>3</v>
      </c>
    </row>
    <row r="41" spans="1:4" x14ac:dyDescent="0.3">
      <c r="A41" t="s">
        <v>318</v>
      </c>
      <c r="B41" t="s">
        <v>390</v>
      </c>
      <c r="C41" t="s">
        <v>400</v>
      </c>
      <c r="D41">
        <v>7</v>
      </c>
    </row>
    <row r="42" spans="1:4" x14ac:dyDescent="0.3">
      <c r="A42" t="s">
        <v>318</v>
      </c>
      <c r="B42" t="s">
        <v>392</v>
      </c>
      <c r="C42" t="s">
        <v>401</v>
      </c>
      <c r="D42">
        <v>6</v>
      </c>
    </row>
    <row r="43" spans="1:4" x14ac:dyDescent="0.3">
      <c r="A43" t="s">
        <v>318</v>
      </c>
      <c r="B43" t="s">
        <v>392</v>
      </c>
      <c r="C43" t="s">
        <v>402</v>
      </c>
      <c r="D43">
        <v>21</v>
      </c>
    </row>
    <row r="44" spans="1:4" x14ac:dyDescent="0.3">
      <c r="A44" t="s">
        <v>318</v>
      </c>
      <c r="B44" t="s">
        <v>392</v>
      </c>
      <c r="C44" t="s">
        <v>403</v>
      </c>
      <c r="D44">
        <v>35</v>
      </c>
    </row>
    <row r="45" spans="1:4" x14ac:dyDescent="0.3">
      <c r="A45" t="s">
        <v>318</v>
      </c>
      <c r="B45" t="s">
        <v>392</v>
      </c>
      <c r="C45" t="s">
        <v>404</v>
      </c>
      <c r="D45">
        <v>5</v>
      </c>
    </row>
    <row r="46" spans="1:4" x14ac:dyDescent="0.3">
      <c r="A46" t="s">
        <v>318</v>
      </c>
      <c r="B46" t="s">
        <v>392</v>
      </c>
      <c r="C46" t="s">
        <v>405</v>
      </c>
      <c r="D46">
        <v>19</v>
      </c>
    </row>
    <row r="47" spans="1:4" x14ac:dyDescent="0.3">
      <c r="A47" t="s">
        <v>318</v>
      </c>
      <c r="B47" t="s">
        <v>406</v>
      </c>
      <c r="C47" t="s">
        <v>407</v>
      </c>
      <c r="D47">
        <v>244</v>
      </c>
    </row>
    <row r="48" spans="1:4" x14ac:dyDescent="0.3">
      <c r="A48" t="s">
        <v>318</v>
      </c>
      <c r="B48" t="s">
        <v>406</v>
      </c>
      <c r="C48" t="s">
        <v>408</v>
      </c>
      <c r="D48">
        <v>6</v>
      </c>
    </row>
    <row r="49" spans="1:4" x14ac:dyDescent="0.3">
      <c r="A49" t="s">
        <v>318</v>
      </c>
      <c r="B49" t="s">
        <v>406</v>
      </c>
      <c r="C49" t="s">
        <v>409</v>
      </c>
      <c r="D49">
        <v>101</v>
      </c>
    </row>
    <row r="50" spans="1:4" x14ac:dyDescent="0.3">
      <c r="A50" t="s">
        <v>320</v>
      </c>
      <c r="B50" t="s">
        <v>381</v>
      </c>
      <c r="C50" t="s">
        <v>382</v>
      </c>
      <c r="D50">
        <v>8</v>
      </c>
    </row>
    <row r="51" spans="1:4" x14ac:dyDescent="0.3">
      <c r="A51" t="s">
        <v>320</v>
      </c>
      <c r="B51" t="s">
        <v>381</v>
      </c>
      <c r="C51" t="s">
        <v>383</v>
      </c>
      <c r="D51">
        <v>4</v>
      </c>
    </row>
    <row r="52" spans="1:4" x14ac:dyDescent="0.3">
      <c r="A52" t="s">
        <v>320</v>
      </c>
      <c r="B52" t="s">
        <v>381</v>
      </c>
      <c r="C52" t="s">
        <v>384</v>
      </c>
      <c r="D52">
        <v>83</v>
      </c>
    </row>
    <row r="53" spans="1:4" x14ac:dyDescent="0.3">
      <c r="A53" t="s">
        <v>320</v>
      </c>
      <c r="B53" t="s">
        <v>381</v>
      </c>
      <c r="C53" t="s">
        <v>385</v>
      </c>
      <c r="D53">
        <v>1</v>
      </c>
    </row>
    <row r="54" spans="1:4" x14ac:dyDescent="0.3">
      <c r="A54" t="s">
        <v>320</v>
      </c>
      <c r="B54" t="s">
        <v>381</v>
      </c>
      <c r="C54" t="s">
        <v>387</v>
      </c>
      <c r="D54">
        <v>4</v>
      </c>
    </row>
    <row r="55" spans="1:4" x14ac:dyDescent="0.3">
      <c r="A55" t="s">
        <v>320</v>
      </c>
      <c r="B55" t="s">
        <v>381</v>
      </c>
      <c r="C55" t="s">
        <v>389</v>
      </c>
      <c r="D55">
        <v>8</v>
      </c>
    </row>
    <row r="56" spans="1:4" x14ac:dyDescent="0.3">
      <c r="A56" t="s">
        <v>320</v>
      </c>
      <c r="B56" t="s">
        <v>381</v>
      </c>
      <c r="C56" t="s">
        <v>391</v>
      </c>
      <c r="D56">
        <v>4</v>
      </c>
    </row>
    <row r="57" spans="1:4" x14ac:dyDescent="0.3">
      <c r="A57" t="s">
        <v>320</v>
      </c>
      <c r="B57" t="s">
        <v>381</v>
      </c>
      <c r="C57" t="s">
        <v>393</v>
      </c>
      <c r="D57">
        <v>20</v>
      </c>
    </row>
    <row r="58" spans="1:4" x14ac:dyDescent="0.3">
      <c r="A58" t="s">
        <v>320</v>
      </c>
      <c r="B58" t="s">
        <v>381</v>
      </c>
      <c r="C58" t="s">
        <v>394</v>
      </c>
      <c r="D58">
        <v>7</v>
      </c>
    </row>
    <row r="59" spans="1:4" x14ac:dyDescent="0.3">
      <c r="A59" t="s">
        <v>320</v>
      </c>
      <c r="B59" t="s">
        <v>390</v>
      </c>
      <c r="C59" t="s">
        <v>395</v>
      </c>
      <c r="D59">
        <v>5</v>
      </c>
    </row>
    <row r="60" spans="1:4" x14ac:dyDescent="0.3">
      <c r="A60" t="s">
        <v>320</v>
      </c>
      <c r="B60" t="s">
        <v>390</v>
      </c>
      <c r="C60" t="s">
        <v>396</v>
      </c>
      <c r="D60">
        <v>25</v>
      </c>
    </row>
    <row r="61" spans="1:4" x14ac:dyDescent="0.3">
      <c r="A61" t="s">
        <v>320</v>
      </c>
      <c r="B61" t="s">
        <v>390</v>
      </c>
      <c r="C61" t="s">
        <v>397</v>
      </c>
      <c r="D61">
        <v>7</v>
      </c>
    </row>
    <row r="62" spans="1:4" x14ac:dyDescent="0.3">
      <c r="A62" t="s">
        <v>320</v>
      </c>
      <c r="B62" t="s">
        <v>390</v>
      </c>
      <c r="C62" t="s">
        <v>399</v>
      </c>
      <c r="D62">
        <v>4</v>
      </c>
    </row>
    <row r="63" spans="1:4" x14ac:dyDescent="0.3">
      <c r="A63" t="s">
        <v>320</v>
      </c>
      <c r="B63" t="s">
        <v>390</v>
      </c>
      <c r="C63" t="s">
        <v>400</v>
      </c>
      <c r="D63">
        <v>7</v>
      </c>
    </row>
    <row r="64" spans="1:4" x14ac:dyDescent="0.3">
      <c r="A64" t="s">
        <v>320</v>
      </c>
      <c r="B64" t="s">
        <v>392</v>
      </c>
      <c r="C64" t="s">
        <v>403</v>
      </c>
      <c r="D64">
        <v>34</v>
      </c>
    </row>
    <row r="65" spans="1:4" x14ac:dyDescent="0.3">
      <c r="A65" t="s">
        <v>320</v>
      </c>
      <c r="B65" t="s">
        <v>392</v>
      </c>
      <c r="C65" t="s">
        <v>404</v>
      </c>
      <c r="D65">
        <v>5</v>
      </c>
    </row>
    <row r="66" spans="1:4" x14ac:dyDescent="0.3">
      <c r="A66" t="s">
        <v>320</v>
      </c>
      <c r="B66" t="s">
        <v>392</v>
      </c>
      <c r="C66" t="s">
        <v>405</v>
      </c>
      <c r="D66">
        <v>15</v>
      </c>
    </row>
    <row r="67" spans="1:4" x14ac:dyDescent="0.3">
      <c r="A67" t="s">
        <v>320</v>
      </c>
      <c r="B67" t="s">
        <v>406</v>
      </c>
      <c r="C67" t="s">
        <v>407</v>
      </c>
      <c r="D67">
        <v>243</v>
      </c>
    </row>
    <row r="68" spans="1:4" x14ac:dyDescent="0.3">
      <c r="A68" t="s">
        <v>320</v>
      </c>
      <c r="B68" t="s">
        <v>406</v>
      </c>
      <c r="C68" t="s">
        <v>410</v>
      </c>
      <c r="D68">
        <v>1</v>
      </c>
    </row>
    <row r="69" spans="1:4" x14ac:dyDescent="0.3">
      <c r="A69" t="s">
        <v>320</v>
      </c>
      <c r="B69" t="s">
        <v>406</v>
      </c>
      <c r="C69" t="s">
        <v>408</v>
      </c>
      <c r="D69">
        <v>6</v>
      </c>
    </row>
    <row r="70" spans="1:4" x14ac:dyDescent="0.3">
      <c r="A70" t="s">
        <v>320</v>
      </c>
      <c r="B70" t="s">
        <v>406</v>
      </c>
      <c r="C70" t="s">
        <v>409</v>
      </c>
      <c r="D70">
        <v>102</v>
      </c>
    </row>
    <row r="71" spans="1:4" x14ac:dyDescent="0.3">
      <c r="A71" t="s">
        <v>325</v>
      </c>
      <c r="B71" t="s">
        <v>381</v>
      </c>
      <c r="C71" t="s">
        <v>382</v>
      </c>
      <c r="D71">
        <v>8</v>
      </c>
    </row>
    <row r="72" spans="1:4" x14ac:dyDescent="0.3">
      <c r="A72" t="s">
        <v>325</v>
      </c>
      <c r="B72" t="s">
        <v>381</v>
      </c>
      <c r="C72" t="s">
        <v>383</v>
      </c>
      <c r="D72">
        <v>4</v>
      </c>
    </row>
    <row r="73" spans="1:4" x14ac:dyDescent="0.3">
      <c r="A73" t="s">
        <v>325</v>
      </c>
      <c r="B73" t="s">
        <v>381</v>
      </c>
      <c r="C73" t="s">
        <v>384</v>
      </c>
      <c r="D73">
        <v>91</v>
      </c>
    </row>
    <row r="74" spans="1:4" x14ac:dyDescent="0.3">
      <c r="A74" t="s">
        <v>325</v>
      </c>
      <c r="B74" t="s">
        <v>381</v>
      </c>
      <c r="C74" t="s">
        <v>385</v>
      </c>
      <c r="D74">
        <v>1</v>
      </c>
    </row>
    <row r="75" spans="1:4" x14ac:dyDescent="0.3">
      <c r="A75" t="s">
        <v>325</v>
      </c>
      <c r="B75" t="s">
        <v>381</v>
      </c>
      <c r="C75" t="s">
        <v>387</v>
      </c>
      <c r="D75">
        <v>4</v>
      </c>
    </row>
    <row r="76" spans="1:4" x14ac:dyDescent="0.3">
      <c r="A76" t="s">
        <v>325</v>
      </c>
      <c r="B76" t="s">
        <v>381</v>
      </c>
      <c r="C76" t="s">
        <v>389</v>
      </c>
      <c r="D76">
        <v>7</v>
      </c>
    </row>
    <row r="77" spans="1:4" x14ac:dyDescent="0.3">
      <c r="A77" t="s">
        <v>325</v>
      </c>
      <c r="B77" t="s">
        <v>381</v>
      </c>
      <c r="C77" t="s">
        <v>391</v>
      </c>
      <c r="D77">
        <v>3</v>
      </c>
    </row>
    <row r="78" spans="1:4" x14ac:dyDescent="0.3">
      <c r="A78" t="s">
        <v>325</v>
      </c>
      <c r="B78" t="s">
        <v>381</v>
      </c>
      <c r="C78" t="s">
        <v>393</v>
      </c>
      <c r="D78">
        <v>20</v>
      </c>
    </row>
    <row r="79" spans="1:4" x14ac:dyDescent="0.3">
      <c r="A79" t="s">
        <v>325</v>
      </c>
      <c r="B79" t="s">
        <v>381</v>
      </c>
      <c r="C79" t="s">
        <v>394</v>
      </c>
      <c r="D79">
        <v>6</v>
      </c>
    </row>
    <row r="80" spans="1:4" x14ac:dyDescent="0.3">
      <c r="A80" t="s">
        <v>325</v>
      </c>
      <c r="B80" t="s">
        <v>390</v>
      </c>
      <c r="C80" t="s">
        <v>395</v>
      </c>
      <c r="D80">
        <v>5</v>
      </c>
    </row>
    <row r="81" spans="1:4" x14ac:dyDescent="0.3">
      <c r="A81" t="s">
        <v>325</v>
      </c>
      <c r="B81" t="s">
        <v>390</v>
      </c>
      <c r="C81" t="s">
        <v>396</v>
      </c>
      <c r="D81">
        <v>25</v>
      </c>
    </row>
    <row r="82" spans="1:4" x14ac:dyDescent="0.3">
      <c r="A82" t="s">
        <v>325</v>
      </c>
      <c r="B82" t="s">
        <v>390</v>
      </c>
      <c r="C82" t="s">
        <v>397</v>
      </c>
      <c r="D82">
        <v>7</v>
      </c>
    </row>
    <row r="83" spans="1:4" x14ac:dyDescent="0.3">
      <c r="A83" t="s">
        <v>325</v>
      </c>
      <c r="B83" t="s">
        <v>390</v>
      </c>
      <c r="C83" t="s">
        <v>399</v>
      </c>
      <c r="D83">
        <v>4</v>
      </c>
    </row>
    <row r="84" spans="1:4" x14ac:dyDescent="0.3">
      <c r="A84" t="s">
        <v>325</v>
      </c>
      <c r="B84" t="s">
        <v>390</v>
      </c>
      <c r="C84" t="s">
        <v>400</v>
      </c>
      <c r="D84">
        <v>8</v>
      </c>
    </row>
    <row r="85" spans="1:4" x14ac:dyDescent="0.3">
      <c r="A85" t="s">
        <v>325</v>
      </c>
      <c r="B85" t="s">
        <v>392</v>
      </c>
      <c r="C85" t="s">
        <v>403</v>
      </c>
      <c r="D85">
        <v>33</v>
      </c>
    </row>
    <row r="86" spans="1:4" x14ac:dyDescent="0.3">
      <c r="A86" t="s">
        <v>325</v>
      </c>
      <c r="B86" t="s">
        <v>392</v>
      </c>
      <c r="C86" t="s">
        <v>404</v>
      </c>
      <c r="D86">
        <v>5</v>
      </c>
    </row>
    <row r="87" spans="1:4" x14ac:dyDescent="0.3">
      <c r="A87" t="s">
        <v>325</v>
      </c>
      <c r="B87" t="s">
        <v>392</v>
      </c>
      <c r="C87" t="s">
        <v>405</v>
      </c>
      <c r="D87">
        <v>15</v>
      </c>
    </row>
    <row r="88" spans="1:4" x14ac:dyDescent="0.3">
      <c r="A88" t="s">
        <v>325</v>
      </c>
      <c r="B88" t="s">
        <v>406</v>
      </c>
      <c r="C88" t="s">
        <v>407</v>
      </c>
      <c r="D88">
        <v>244</v>
      </c>
    </row>
    <row r="89" spans="1:4" x14ac:dyDescent="0.3">
      <c r="A89" t="s">
        <v>325</v>
      </c>
      <c r="B89" t="s">
        <v>406</v>
      </c>
      <c r="C89" t="s">
        <v>408</v>
      </c>
      <c r="D89">
        <v>6</v>
      </c>
    </row>
    <row r="90" spans="1:4" x14ac:dyDescent="0.3">
      <c r="A90" t="s">
        <v>325</v>
      </c>
      <c r="B90" t="s">
        <v>406</v>
      </c>
      <c r="C90" t="s">
        <v>409</v>
      </c>
      <c r="D90">
        <v>101</v>
      </c>
    </row>
    <row r="91" spans="1:4" x14ac:dyDescent="0.3">
      <c r="A91" t="s">
        <v>326</v>
      </c>
      <c r="B91" t="s">
        <v>381</v>
      </c>
      <c r="C91" t="s">
        <v>382</v>
      </c>
      <c r="D91">
        <v>8</v>
      </c>
    </row>
    <row r="92" spans="1:4" x14ac:dyDescent="0.3">
      <c r="A92" t="s">
        <v>326</v>
      </c>
      <c r="B92" t="s">
        <v>381</v>
      </c>
      <c r="C92" t="s">
        <v>383</v>
      </c>
      <c r="D92">
        <v>4</v>
      </c>
    </row>
    <row r="93" spans="1:4" x14ac:dyDescent="0.3">
      <c r="A93" t="s">
        <v>326</v>
      </c>
      <c r="B93" t="s">
        <v>381</v>
      </c>
      <c r="C93" t="s">
        <v>384</v>
      </c>
      <c r="D93">
        <v>91</v>
      </c>
    </row>
    <row r="94" spans="1:4" x14ac:dyDescent="0.3">
      <c r="A94" t="s">
        <v>326</v>
      </c>
      <c r="B94" t="s">
        <v>381</v>
      </c>
      <c r="C94" t="s">
        <v>385</v>
      </c>
      <c r="D94">
        <v>1</v>
      </c>
    </row>
    <row r="95" spans="1:4" x14ac:dyDescent="0.3">
      <c r="A95" t="s">
        <v>326</v>
      </c>
      <c r="B95" t="s">
        <v>381</v>
      </c>
      <c r="C95" t="s">
        <v>387</v>
      </c>
      <c r="D95">
        <v>4</v>
      </c>
    </row>
    <row r="96" spans="1:4" x14ac:dyDescent="0.3">
      <c r="A96" t="s">
        <v>326</v>
      </c>
      <c r="B96" t="s">
        <v>381</v>
      </c>
      <c r="C96" t="s">
        <v>389</v>
      </c>
      <c r="D96">
        <v>7</v>
      </c>
    </row>
    <row r="97" spans="1:4" x14ac:dyDescent="0.3">
      <c r="A97" t="s">
        <v>326</v>
      </c>
      <c r="B97" t="s">
        <v>381</v>
      </c>
      <c r="C97" t="s">
        <v>391</v>
      </c>
      <c r="D97">
        <v>4</v>
      </c>
    </row>
    <row r="98" spans="1:4" x14ac:dyDescent="0.3">
      <c r="A98" t="s">
        <v>326</v>
      </c>
      <c r="B98" t="s">
        <v>381</v>
      </c>
      <c r="C98" t="s">
        <v>393</v>
      </c>
      <c r="D98">
        <v>20</v>
      </c>
    </row>
    <row r="99" spans="1:4" x14ac:dyDescent="0.3">
      <c r="A99" t="s">
        <v>326</v>
      </c>
      <c r="B99" t="s">
        <v>381</v>
      </c>
      <c r="C99" t="s">
        <v>394</v>
      </c>
      <c r="D99">
        <v>7</v>
      </c>
    </row>
    <row r="100" spans="1:4" x14ac:dyDescent="0.3">
      <c r="A100" t="s">
        <v>326</v>
      </c>
      <c r="B100" t="s">
        <v>390</v>
      </c>
      <c r="C100" t="s">
        <v>395</v>
      </c>
      <c r="D100">
        <v>5</v>
      </c>
    </row>
    <row r="101" spans="1:4" x14ac:dyDescent="0.3">
      <c r="A101" t="s">
        <v>326</v>
      </c>
      <c r="B101" t="s">
        <v>390</v>
      </c>
      <c r="C101" t="s">
        <v>396</v>
      </c>
      <c r="D101">
        <v>16</v>
      </c>
    </row>
    <row r="102" spans="1:4" x14ac:dyDescent="0.3">
      <c r="A102" t="s">
        <v>326</v>
      </c>
      <c r="B102" t="s">
        <v>390</v>
      </c>
      <c r="C102" t="s">
        <v>397</v>
      </c>
      <c r="D102">
        <v>5</v>
      </c>
    </row>
    <row r="103" spans="1:4" x14ac:dyDescent="0.3">
      <c r="A103" t="s">
        <v>326</v>
      </c>
      <c r="B103" t="s">
        <v>390</v>
      </c>
      <c r="C103" t="s">
        <v>399</v>
      </c>
      <c r="D103">
        <v>4</v>
      </c>
    </row>
    <row r="104" spans="1:4" x14ac:dyDescent="0.3">
      <c r="A104" t="s">
        <v>326</v>
      </c>
      <c r="B104" t="s">
        <v>390</v>
      </c>
      <c r="C104" t="s">
        <v>400</v>
      </c>
      <c r="D104">
        <v>7</v>
      </c>
    </row>
    <row r="105" spans="1:4" x14ac:dyDescent="0.3">
      <c r="A105" t="s">
        <v>326</v>
      </c>
      <c r="B105" t="s">
        <v>392</v>
      </c>
      <c r="C105" t="s">
        <v>403</v>
      </c>
      <c r="D105">
        <v>34</v>
      </c>
    </row>
    <row r="106" spans="1:4" x14ac:dyDescent="0.3">
      <c r="A106" t="s">
        <v>326</v>
      </c>
      <c r="B106" t="s">
        <v>392</v>
      </c>
      <c r="C106" t="s">
        <v>404</v>
      </c>
      <c r="D106">
        <v>5</v>
      </c>
    </row>
    <row r="107" spans="1:4" x14ac:dyDescent="0.3">
      <c r="A107" t="s">
        <v>326</v>
      </c>
      <c r="B107" t="s">
        <v>392</v>
      </c>
      <c r="C107" t="s">
        <v>405</v>
      </c>
      <c r="D107">
        <v>15</v>
      </c>
    </row>
    <row r="108" spans="1:4" x14ac:dyDescent="0.3">
      <c r="A108" t="s">
        <v>326</v>
      </c>
      <c r="B108" t="s">
        <v>406</v>
      </c>
      <c r="C108" t="s">
        <v>407</v>
      </c>
      <c r="D108">
        <v>251</v>
      </c>
    </row>
    <row r="109" spans="1:4" x14ac:dyDescent="0.3">
      <c r="A109" t="s">
        <v>326</v>
      </c>
      <c r="B109" t="s">
        <v>406</v>
      </c>
      <c r="C109" t="s">
        <v>408</v>
      </c>
      <c r="D109">
        <v>5</v>
      </c>
    </row>
    <row r="110" spans="1:4" x14ac:dyDescent="0.3">
      <c r="A110" t="s">
        <v>326</v>
      </c>
      <c r="B110" t="s">
        <v>406</v>
      </c>
      <c r="C110" t="s">
        <v>409</v>
      </c>
      <c r="D110">
        <v>95</v>
      </c>
    </row>
    <row r="111" spans="1:4" x14ac:dyDescent="0.3">
      <c r="A111" t="s">
        <v>328</v>
      </c>
      <c r="C111" t="s">
        <v>411</v>
      </c>
      <c r="D111">
        <v>1</v>
      </c>
    </row>
    <row r="112" spans="1:4" x14ac:dyDescent="0.3">
      <c r="A112" t="s">
        <v>328</v>
      </c>
      <c r="B112" t="s">
        <v>381</v>
      </c>
      <c r="C112" t="s">
        <v>382</v>
      </c>
      <c r="D112">
        <v>8</v>
      </c>
    </row>
    <row r="113" spans="1:4" x14ac:dyDescent="0.3">
      <c r="A113" t="s">
        <v>328</v>
      </c>
      <c r="B113" t="s">
        <v>381</v>
      </c>
      <c r="C113" t="s">
        <v>383</v>
      </c>
      <c r="D113">
        <v>4</v>
      </c>
    </row>
    <row r="114" spans="1:4" x14ac:dyDescent="0.3">
      <c r="A114" t="s">
        <v>328</v>
      </c>
      <c r="B114" t="s">
        <v>381</v>
      </c>
      <c r="C114" t="s">
        <v>384</v>
      </c>
      <c r="D114">
        <v>81</v>
      </c>
    </row>
    <row r="115" spans="1:4" x14ac:dyDescent="0.3">
      <c r="A115" t="s">
        <v>328</v>
      </c>
      <c r="B115" t="s">
        <v>381</v>
      </c>
      <c r="C115" t="s">
        <v>385</v>
      </c>
      <c r="D115">
        <v>1</v>
      </c>
    </row>
    <row r="116" spans="1:4" x14ac:dyDescent="0.3">
      <c r="A116" t="s">
        <v>328</v>
      </c>
      <c r="B116" t="s">
        <v>381</v>
      </c>
      <c r="C116" t="s">
        <v>387</v>
      </c>
      <c r="D116">
        <v>4</v>
      </c>
    </row>
    <row r="117" spans="1:4" x14ac:dyDescent="0.3">
      <c r="A117" t="s">
        <v>328</v>
      </c>
      <c r="B117" t="s">
        <v>381</v>
      </c>
      <c r="C117" t="s">
        <v>389</v>
      </c>
      <c r="D117">
        <v>8</v>
      </c>
    </row>
    <row r="118" spans="1:4" x14ac:dyDescent="0.3">
      <c r="A118" t="s">
        <v>328</v>
      </c>
      <c r="B118" t="s">
        <v>381</v>
      </c>
      <c r="C118" t="s">
        <v>391</v>
      </c>
      <c r="D118">
        <v>4</v>
      </c>
    </row>
    <row r="119" spans="1:4" x14ac:dyDescent="0.3">
      <c r="A119" t="s">
        <v>328</v>
      </c>
      <c r="B119" t="s">
        <v>381</v>
      </c>
      <c r="C119" t="s">
        <v>393</v>
      </c>
      <c r="D119">
        <v>20</v>
      </c>
    </row>
    <row r="120" spans="1:4" x14ac:dyDescent="0.3">
      <c r="A120" t="s">
        <v>328</v>
      </c>
      <c r="B120" t="s">
        <v>381</v>
      </c>
      <c r="C120" t="s">
        <v>394</v>
      </c>
      <c r="D120">
        <v>6</v>
      </c>
    </row>
    <row r="121" spans="1:4" x14ac:dyDescent="0.3">
      <c r="A121" t="s">
        <v>328</v>
      </c>
      <c r="B121" t="s">
        <v>390</v>
      </c>
      <c r="C121" t="s">
        <v>395</v>
      </c>
      <c r="D121">
        <v>4</v>
      </c>
    </row>
    <row r="122" spans="1:4" x14ac:dyDescent="0.3">
      <c r="A122" t="s">
        <v>328</v>
      </c>
      <c r="B122" t="s">
        <v>390</v>
      </c>
      <c r="C122" t="s">
        <v>396</v>
      </c>
      <c r="D122">
        <v>16</v>
      </c>
    </row>
    <row r="123" spans="1:4" x14ac:dyDescent="0.3">
      <c r="A123" t="s">
        <v>328</v>
      </c>
      <c r="B123" t="s">
        <v>390</v>
      </c>
      <c r="C123" t="s">
        <v>397</v>
      </c>
      <c r="D123">
        <v>1</v>
      </c>
    </row>
    <row r="124" spans="1:4" x14ac:dyDescent="0.3">
      <c r="A124" t="s">
        <v>328</v>
      </c>
      <c r="B124" t="s">
        <v>390</v>
      </c>
      <c r="C124" t="s">
        <v>397</v>
      </c>
      <c r="D124">
        <v>5</v>
      </c>
    </row>
    <row r="125" spans="1:4" x14ac:dyDescent="0.3">
      <c r="A125" t="s">
        <v>328</v>
      </c>
      <c r="B125" t="s">
        <v>390</v>
      </c>
      <c r="C125" t="s">
        <v>399</v>
      </c>
      <c r="D125">
        <v>4</v>
      </c>
    </row>
    <row r="126" spans="1:4" x14ac:dyDescent="0.3">
      <c r="A126" t="s">
        <v>328</v>
      </c>
      <c r="B126" t="s">
        <v>390</v>
      </c>
      <c r="C126" t="s">
        <v>400</v>
      </c>
      <c r="D126">
        <v>7</v>
      </c>
    </row>
    <row r="127" spans="1:4" x14ac:dyDescent="0.3">
      <c r="A127" t="s">
        <v>328</v>
      </c>
      <c r="B127" t="s">
        <v>392</v>
      </c>
      <c r="C127" t="s">
        <v>403</v>
      </c>
      <c r="D127">
        <v>33</v>
      </c>
    </row>
    <row r="128" spans="1:4" x14ac:dyDescent="0.3">
      <c r="A128" t="s">
        <v>328</v>
      </c>
      <c r="B128" t="s">
        <v>392</v>
      </c>
      <c r="C128" t="s">
        <v>404</v>
      </c>
      <c r="D128">
        <v>5</v>
      </c>
    </row>
    <row r="129" spans="1:4" x14ac:dyDescent="0.3">
      <c r="A129" t="s">
        <v>328</v>
      </c>
      <c r="B129" t="s">
        <v>392</v>
      </c>
      <c r="C129" t="s">
        <v>405</v>
      </c>
      <c r="D129">
        <v>31</v>
      </c>
    </row>
    <row r="130" spans="1:4" x14ac:dyDescent="0.3">
      <c r="A130" t="s">
        <v>328</v>
      </c>
      <c r="B130" t="s">
        <v>406</v>
      </c>
      <c r="C130" t="s">
        <v>407</v>
      </c>
      <c r="D130">
        <v>251</v>
      </c>
    </row>
    <row r="131" spans="1:4" x14ac:dyDescent="0.3">
      <c r="A131" t="s">
        <v>328</v>
      </c>
      <c r="B131" t="s">
        <v>406</v>
      </c>
      <c r="C131" t="s">
        <v>408</v>
      </c>
      <c r="D131">
        <v>6</v>
      </c>
    </row>
    <row r="132" spans="1:4" x14ac:dyDescent="0.3">
      <c r="A132" t="s">
        <v>328</v>
      </c>
      <c r="B132" t="s">
        <v>406</v>
      </c>
      <c r="C132" t="s">
        <v>409</v>
      </c>
      <c r="D132">
        <v>94</v>
      </c>
    </row>
    <row r="133" spans="1:4" x14ac:dyDescent="0.3">
      <c r="A133" t="s">
        <v>412</v>
      </c>
      <c r="B133" t="s">
        <v>381</v>
      </c>
      <c r="C133" t="s">
        <v>382</v>
      </c>
      <c r="D133">
        <v>8</v>
      </c>
    </row>
    <row r="134" spans="1:4" x14ac:dyDescent="0.3">
      <c r="A134" t="s">
        <v>412</v>
      </c>
      <c r="B134" t="s">
        <v>381</v>
      </c>
      <c r="C134" t="s">
        <v>383</v>
      </c>
      <c r="D134">
        <v>4</v>
      </c>
    </row>
    <row r="135" spans="1:4" x14ac:dyDescent="0.3">
      <c r="A135" t="s">
        <v>412</v>
      </c>
      <c r="B135" t="s">
        <v>381</v>
      </c>
      <c r="C135" t="s">
        <v>384</v>
      </c>
      <c r="D135">
        <v>81</v>
      </c>
    </row>
    <row r="136" spans="1:4" x14ac:dyDescent="0.3">
      <c r="A136" t="s">
        <v>412</v>
      </c>
      <c r="B136" t="s">
        <v>381</v>
      </c>
      <c r="C136" t="s">
        <v>385</v>
      </c>
      <c r="D136">
        <v>1</v>
      </c>
    </row>
    <row r="137" spans="1:4" x14ac:dyDescent="0.3">
      <c r="A137" t="s">
        <v>412</v>
      </c>
      <c r="B137" t="s">
        <v>381</v>
      </c>
      <c r="C137" t="s">
        <v>387</v>
      </c>
      <c r="D137">
        <v>4</v>
      </c>
    </row>
    <row r="138" spans="1:4" x14ac:dyDescent="0.3">
      <c r="A138" t="s">
        <v>412</v>
      </c>
      <c r="B138" t="s">
        <v>381</v>
      </c>
      <c r="C138" t="s">
        <v>389</v>
      </c>
      <c r="D138">
        <v>8</v>
      </c>
    </row>
    <row r="139" spans="1:4" x14ac:dyDescent="0.3">
      <c r="A139" t="s">
        <v>412</v>
      </c>
      <c r="B139" t="s">
        <v>381</v>
      </c>
      <c r="C139" t="s">
        <v>391</v>
      </c>
      <c r="D139">
        <v>4</v>
      </c>
    </row>
    <row r="140" spans="1:4" x14ac:dyDescent="0.3">
      <c r="A140" t="s">
        <v>412</v>
      </c>
      <c r="B140" t="s">
        <v>381</v>
      </c>
      <c r="C140" t="s">
        <v>393</v>
      </c>
      <c r="D140">
        <v>20</v>
      </c>
    </row>
    <row r="141" spans="1:4" x14ac:dyDescent="0.3">
      <c r="A141" t="s">
        <v>412</v>
      </c>
      <c r="B141" t="s">
        <v>381</v>
      </c>
      <c r="C141" t="s">
        <v>394</v>
      </c>
      <c r="D141">
        <v>6</v>
      </c>
    </row>
    <row r="142" spans="1:4" x14ac:dyDescent="0.3">
      <c r="A142" t="s">
        <v>412</v>
      </c>
      <c r="B142" t="s">
        <v>390</v>
      </c>
      <c r="C142" t="s">
        <v>395</v>
      </c>
      <c r="D142">
        <v>4</v>
      </c>
    </row>
    <row r="143" spans="1:4" x14ac:dyDescent="0.3">
      <c r="A143" t="s">
        <v>412</v>
      </c>
      <c r="B143" t="s">
        <v>390</v>
      </c>
      <c r="C143" t="s">
        <v>396</v>
      </c>
      <c r="D143">
        <v>16</v>
      </c>
    </row>
    <row r="144" spans="1:4" x14ac:dyDescent="0.3">
      <c r="A144" t="s">
        <v>412</v>
      </c>
      <c r="B144" t="s">
        <v>390</v>
      </c>
      <c r="C144" t="s">
        <v>397</v>
      </c>
      <c r="D144">
        <v>6</v>
      </c>
    </row>
    <row r="145" spans="1:4" x14ac:dyDescent="0.3">
      <c r="A145" t="s">
        <v>412</v>
      </c>
      <c r="B145" t="s">
        <v>390</v>
      </c>
      <c r="C145" t="s">
        <v>399</v>
      </c>
      <c r="D145">
        <v>4</v>
      </c>
    </row>
    <row r="146" spans="1:4" x14ac:dyDescent="0.3">
      <c r="A146" t="s">
        <v>412</v>
      </c>
      <c r="B146" t="s">
        <v>390</v>
      </c>
      <c r="C146" t="s">
        <v>400</v>
      </c>
      <c r="D146">
        <v>7</v>
      </c>
    </row>
    <row r="147" spans="1:4" x14ac:dyDescent="0.3">
      <c r="A147" t="s">
        <v>412</v>
      </c>
      <c r="B147" t="s">
        <v>392</v>
      </c>
      <c r="C147" t="s">
        <v>403</v>
      </c>
      <c r="D147">
        <v>33</v>
      </c>
    </row>
    <row r="148" spans="1:4" x14ac:dyDescent="0.3">
      <c r="A148" t="s">
        <v>412</v>
      </c>
      <c r="B148" t="s">
        <v>392</v>
      </c>
      <c r="C148" t="s">
        <v>404</v>
      </c>
      <c r="D148">
        <v>4</v>
      </c>
    </row>
    <row r="149" spans="1:4" x14ac:dyDescent="0.3">
      <c r="A149" t="s">
        <v>412</v>
      </c>
      <c r="B149" t="s">
        <v>392</v>
      </c>
      <c r="C149" t="s">
        <v>405</v>
      </c>
      <c r="D149">
        <v>1</v>
      </c>
    </row>
    <row r="150" spans="1:4" x14ac:dyDescent="0.3">
      <c r="A150" t="s">
        <v>412</v>
      </c>
      <c r="B150" t="s">
        <v>392</v>
      </c>
      <c r="C150" t="s">
        <v>405</v>
      </c>
      <c r="D150">
        <v>10</v>
      </c>
    </row>
    <row r="151" spans="1:4" x14ac:dyDescent="0.3">
      <c r="A151" t="s">
        <v>412</v>
      </c>
      <c r="B151" t="s">
        <v>392</v>
      </c>
      <c r="C151" t="s">
        <v>405</v>
      </c>
      <c r="D151">
        <v>24</v>
      </c>
    </row>
    <row r="152" spans="1:4" x14ac:dyDescent="0.3">
      <c r="A152" t="s">
        <v>412</v>
      </c>
      <c r="B152" t="s">
        <v>406</v>
      </c>
      <c r="D152">
        <v>4</v>
      </c>
    </row>
    <row r="153" spans="1:4" x14ac:dyDescent="0.3">
      <c r="A153" t="s">
        <v>412</v>
      </c>
      <c r="B153" t="s">
        <v>406</v>
      </c>
      <c r="C153" t="s">
        <v>407</v>
      </c>
      <c r="D153">
        <v>251</v>
      </c>
    </row>
    <row r="154" spans="1:4" x14ac:dyDescent="0.3">
      <c r="A154" t="s">
        <v>412</v>
      </c>
      <c r="B154" t="s">
        <v>406</v>
      </c>
      <c r="C154" t="s">
        <v>408</v>
      </c>
      <c r="D154">
        <v>4</v>
      </c>
    </row>
    <row r="155" spans="1:4" x14ac:dyDescent="0.3">
      <c r="A155" t="s">
        <v>412</v>
      </c>
      <c r="B155" t="s">
        <v>406</v>
      </c>
      <c r="C155" t="s">
        <v>409</v>
      </c>
      <c r="D155">
        <v>96</v>
      </c>
    </row>
  </sheetData>
  <pageMargins left="0.7" right="0.7" top="0.75" bottom="0.75" header="0.3" footer="0.3"/>
  <tableParts count="2">
    <tablePart r:id="rId1"/>
    <tablePart r:id="rId2"/>
  </tablePart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CA00BF-B0A5-4F92-88B1-3F0F864024EE}">
  <sheetPr>
    <tabColor theme="4" tint="0.59999389629810485"/>
  </sheetPr>
  <dimension ref="A1:AC63"/>
  <sheetViews>
    <sheetView topLeftCell="A22" workbookViewId="0">
      <selection activeCell="E32" sqref="E32"/>
      <pivotSelection pane="bottomRight" showHeader="1" extendable="1" activeRow="31" activeCol="4" previousRow="31" previousCol="4" click="1" r:id="rId2">
        <pivotArea dataOnly="0" outline="0" axis="axisValues" fieldPosition="0"/>
      </pivotSelection>
    </sheetView>
  </sheetViews>
  <sheetFormatPr defaultRowHeight="14.4" x14ac:dyDescent="0.3"/>
  <cols>
    <col min="1" max="1" width="12.5546875" bestFit="1" customWidth="1"/>
    <col min="2" max="2" width="15.5546875" bestFit="1" customWidth="1"/>
    <col min="3" max="3" width="4.44140625" bestFit="1" customWidth="1"/>
    <col min="4" max="4" width="4.5546875" bestFit="1" customWidth="1"/>
    <col min="5" max="5" width="4.44140625" bestFit="1" customWidth="1"/>
    <col min="6" max="7" width="5.6640625" bestFit="1" customWidth="1"/>
    <col min="8" max="8" width="5.88671875" bestFit="1" customWidth="1"/>
    <col min="9" max="10" width="4.5546875" bestFit="1" customWidth="1"/>
    <col min="11" max="11" width="4.33203125" bestFit="1" customWidth="1"/>
    <col min="12" max="12" width="4" bestFit="1" customWidth="1"/>
    <col min="13" max="13" width="5.33203125" bestFit="1" customWidth="1"/>
    <col min="14" max="14" width="5" bestFit="1" customWidth="1"/>
    <col min="15" max="15" width="10.44140625" bestFit="1" customWidth="1"/>
    <col min="16" max="16" width="12.6640625" bestFit="1" customWidth="1"/>
    <col min="17" max="17" width="7.33203125" bestFit="1" customWidth="1"/>
    <col min="18" max="18" width="5.33203125" bestFit="1" customWidth="1"/>
    <col min="19" max="19" width="4.5546875" bestFit="1" customWidth="1"/>
    <col min="20" max="20" width="4.44140625" bestFit="1" customWidth="1"/>
    <col min="21" max="21" width="4.109375" bestFit="1" customWidth="1"/>
    <col min="22" max="22" width="13.21875" bestFit="1" customWidth="1"/>
    <col min="23" max="23" width="11.88671875" bestFit="1" customWidth="1"/>
    <col min="24" max="24" width="5.6640625" bestFit="1" customWidth="1"/>
    <col min="25" max="25" width="7.6640625" bestFit="1" customWidth="1"/>
    <col min="26" max="27" width="7.5546875" bestFit="1" customWidth="1"/>
    <col min="28" max="28" width="7" bestFit="1" customWidth="1"/>
    <col min="29" max="29" width="10.77734375" bestFit="1" customWidth="1"/>
    <col min="30" max="32" width="10.6640625" bestFit="1" customWidth="1"/>
    <col min="33" max="33" width="29.33203125" bestFit="1" customWidth="1"/>
    <col min="34" max="34" width="3.88671875" bestFit="1" customWidth="1"/>
    <col min="35" max="35" width="19.88671875" bestFit="1" customWidth="1"/>
    <col min="36" max="36" width="12.88671875" bestFit="1" customWidth="1"/>
    <col min="37" max="37" width="11.88671875" bestFit="1" customWidth="1"/>
    <col min="38" max="38" width="22.44140625" bestFit="1" customWidth="1"/>
    <col min="39" max="39" width="5.5546875" bestFit="1" customWidth="1"/>
    <col min="40" max="40" width="7.6640625" bestFit="1" customWidth="1"/>
    <col min="41" max="41" width="12.5546875" bestFit="1" customWidth="1"/>
    <col min="42" max="42" width="7.88671875" bestFit="1" customWidth="1"/>
    <col min="43" max="43" width="8" bestFit="1" customWidth="1"/>
    <col min="44" max="44" width="10.6640625" bestFit="1" customWidth="1"/>
    <col min="45" max="45" width="22.44140625" bestFit="1" customWidth="1"/>
    <col min="46" max="46" width="25.44140625" bestFit="1" customWidth="1"/>
    <col min="47" max="47" width="15.5546875" bestFit="1" customWidth="1"/>
    <col min="48" max="48" width="12.88671875" bestFit="1" customWidth="1"/>
    <col min="49" max="49" width="11.88671875" bestFit="1" customWidth="1"/>
    <col min="50" max="50" width="7.109375" bestFit="1" customWidth="1"/>
    <col min="51" max="51" width="18.5546875" bestFit="1" customWidth="1"/>
    <col min="52" max="52" width="10.6640625" bestFit="1" customWidth="1"/>
  </cols>
  <sheetData>
    <row r="1" spans="1:29" x14ac:dyDescent="0.3">
      <c r="A1" s="386" t="s">
        <v>413</v>
      </c>
      <c r="B1" s="386" t="s">
        <v>414</v>
      </c>
    </row>
    <row r="2" spans="1:29" x14ac:dyDescent="0.3">
      <c r="A2" s="386" t="s">
        <v>350</v>
      </c>
      <c r="C2" t="s">
        <v>382</v>
      </c>
      <c r="D2" t="s">
        <v>383</v>
      </c>
      <c r="E2" t="s">
        <v>395</v>
      </c>
      <c r="F2" t="s">
        <v>384</v>
      </c>
      <c r="G2" t="s">
        <v>401</v>
      </c>
      <c r="H2" t="s">
        <v>396</v>
      </c>
      <c r="I2" t="s">
        <v>385</v>
      </c>
      <c r="J2" t="s">
        <v>387</v>
      </c>
      <c r="K2" t="s">
        <v>397</v>
      </c>
      <c r="L2" t="s">
        <v>389</v>
      </c>
      <c r="M2" t="s">
        <v>402</v>
      </c>
      <c r="N2" t="s">
        <v>380</v>
      </c>
      <c r="O2" t="s">
        <v>407</v>
      </c>
      <c r="P2" t="s">
        <v>398</v>
      </c>
      <c r="Q2" t="s">
        <v>410</v>
      </c>
      <c r="R2" t="s">
        <v>399</v>
      </c>
      <c r="S2" t="s">
        <v>403</v>
      </c>
      <c r="T2" t="s">
        <v>391</v>
      </c>
      <c r="U2" t="s">
        <v>393</v>
      </c>
      <c r="V2" t="s">
        <v>408</v>
      </c>
      <c r="W2" t="s">
        <v>409</v>
      </c>
      <c r="X2" t="s">
        <v>394</v>
      </c>
      <c r="Y2" t="s">
        <v>404</v>
      </c>
      <c r="Z2" t="s">
        <v>400</v>
      </c>
      <c r="AA2" t="s">
        <v>405</v>
      </c>
      <c r="AB2" t="s">
        <v>415</v>
      </c>
      <c r="AC2" t="s">
        <v>357</v>
      </c>
    </row>
    <row r="3" spans="1:29" ht="12.9" customHeight="1" x14ac:dyDescent="0.3">
      <c r="A3" s="387" t="s">
        <v>312</v>
      </c>
      <c r="C3">
        <v>8</v>
      </c>
      <c r="D3">
        <v>4</v>
      </c>
      <c r="E3">
        <v>5</v>
      </c>
      <c r="F3">
        <v>78</v>
      </c>
      <c r="G3">
        <v>6</v>
      </c>
      <c r="H3">
        <v>25</v>
      </c>
      <c r="I3">
        <v>1</v>
      </c>
      <c r="J3">
        <v>4</v>
      </c>
      <c r="K3">
        <v>8</v>
      </c>
      <c r="L3">
        <v>5</v>
      </c>
      <c r="M3">
        <v>21</v>
      </c>
      <c r="N3">
        <v>4</v>
      </c>
      <c r="O3">
        <v>244</v>
      </c>
      <c r="P3">
        <v>17</v>
      </c>
      <c r="R3">
        <v>3</v>
      </c>
      <c r="S3">
        <v>35</v>
      </c>
      <c r="T3">
        <v>3</v>
      </c>
      <c r="U3">
        <v>20</v>
      </c>
      <c r="V3">
        <v>6</v>
      </c>
      <c r="W3">
        <v>101</v>
      </c>
      <c r="X3">
        <v>10</v>
      </c>
      <c r="Y3">
        <v>5</v>
      </c>
      <c r="Z3">
        <v>7</v>
      </c>
      <c r="AA3">
        <v>19</v>
      </c>
      <c r="AC3">
        <v>639</v>
      </c>
    </row>
    <row r="4" spans="1:29" x14ac:dyDescent="0.3">
      <c r="A4" s="387" t="s">
        <v>318</v>
      </c>
      <c r="C4">
        <v>8</v>
      </c>
      <c r="D4">
        <v>4</v>
      </c>
      <c r="E4">
        <v>5</v>
      </c>
      <c r="F4">
        <v>78</v>
      </c>
      <c r="G4">
        <v>6</v>
      </c>
      <c r="H4">
        <v>25</v>
      </c>
      <c r="I4">
        <v>1</v>
      </c>
      <c r="J4">
        <v>4</v>
      </c>
      <c r="K4">
        <v>8</v>
      </c>
      <c r="L4">
        <v>5</v>
      </c>
      <c r="M4">
        <v>21</v>
      </c>
      <c r="N4">
        <v>4</v>
      </c>
      <c r="O4">
        <v>244</v>
      </c>
      <c r="P4">
        <v>17</v>
      </c>
      <c r="R4">
        <v>3</v>
      </c>
      <c r="S4">
        <v>35</v>
      </c>
      <c r="T4">
        <v>3</v>
      </c>
      <c r="U4">
        <v>20</v>
      </c>
      <c r="V4">
        <v>6</v>
      </c>
      <c r="W4">
        <v>101</v>
      </c>
      <c r="X4">
        <v>10</v>
      </c>
      <c r="Y4">
        <v>5</v>
      </c>
      <c r="Z4">
        <v>7</v>
      </c>
      <c r="AA4">
        <v>19</v>
      </c>
      <c r="AC4">
        <v>639</v>
      </c>
    </row>
    <row r="5" spans="1:29" x14ac:dyDescent="0.3">
      <c r="A5" s="387" t="s">
        <v>320</v>
      </c>
      <c r="C5">
        <v>8</v>
      </c>
      <c r="D5">
        <v>4</v>
      </c>
      <c r="E5">
        <v>5</v>
      </c>
      <c r="F5">
        <v>83</v>
      </c>
      <c r="H5">
        <v>25</v>
      </c>
      <c r="I5">
        <v>1</v>
      </c>
      <c r="J5">
        <v>4</v>
      </c>
      <c r="K5">
        <v>7</v>
      </c>
      <c r="L5">
        <v>8</v>
      </c>
      <c r="O5">
        <v>243</v>
      </c>
      <c r="Q5">
        <v>1</v>
      </c>
      <c r="R5">
        <v>4</v>
      </c>
      <c r="S5">
        <v>34</v>
      </c>
      <c r="T5">
        <v>4</v>
      </c>
      <c r="U5">
        <v>20</v>
      </c>
      <c r="V5">
        <v>6</v>
      </c>
      <c r="W5">
        <v>102</v>
      </c>
      <c r="X5">
        <v>7</v>
      </c>
      <c r="Y5">
        <v>5</v>
      </c>
      <c r="Z5">
        <v>7</v>
      </c>
      <c r="AA5">
        <v>15</v>
      </c>
      <c r="AC5">
        <v>593</v>
      </c>
    </row>
    <row r="6" spans="1:29" x14ac:dyDescent="0.3">
      <c r="A6" s="387" t="s">
        <v>325</v>
      </c>
      <c r="C6">
        <v>8</v>
      </c>
      <c r="D6">
        <v>4</v>
      </c>
      <c r="E6">
        <v>5</v>
      </c>
      <c r="F6">
        <v>91</v>
      </c>
      <c r="H6">
        <v>25</v>
      </c>
      <c r="I6">
        <v>1</v>
      </c>
      <c r="J6">
        <v>4</v>
      </c>
      <c r="K6">
        <v>7</v>
      </c>
      <c r="L6">
        <v>7</v>
      </c>
      <c r="O6">
        <v>244</v>
      </c>
      <c r="R6">
        <v>4</v>
      </c>
      <c r="S6">
        <v>33</v>
      </c>
      <c r="T6">
        <v>3</v>
      </c>
      <c r="U6">
        <v>20</v>
      </c>
      <c r="V6">
        <v>6</v>
      </c>
      <c r="W6">
        <v>101</v>
      </c>
      <c r="X6">
        <v>6</v>
      </c>
      <c r="Y6">
        <v>5</v>
      </c>
      <c r="Z6">
        <v>8</v>
      </c>
      <c r="AA6">
        <v>15</v>
      </c>
      <c r="AC6">
        <v>597</v>
      </c>
    </row>
    <row r="7" spans="1:29" x14ac:dyDescent="0.3">
      <c r="A7" s="387" t="s">
        <v>326</v>
      </c>
      <c r="C7">
        <v>8</v>
      </c>
      <c r="D7">
        <v>4</v>
      </c>
      <c r="E7">
        <v>5</v>
      </c>
      <c r="F7">
        <v>91</v>
      </c>
      <c r="H7">
        <v>16</v>
      </c>
      <c r="I7">
        <v>1</v>
      </c>
      <c r="J7">
        <v>4</v>
      </c>
      <c r="K7">
        <v>5</v>
      </c>
      <c r="L7">
        <v>7</v>
      </c>
      <c r="O7">
        <v>251</v>
      </c>
      <c r="R7">
        <v>4</v>
      </c>
      <c r="S7">
        <v>34</v>
      </c>
      <c r="T7">
        <v>4</v>
      </c>
      <c r="U7">
        <v>20</v>
      </c>
      <c r="V7">
        <v>5</v>
      </c>
      <c r="W7">
        <v>95</v>
      </c>
      <c r="X7">
        <v>7</v>
      </c>
      <c r="Y7">
        <v>5</v>
      </c>
      <c r="Z7">
        <v>7</v>
      </c>
      <c r="AA7">
        <v>15</v>
      </c>
      <c r="AC7">
        <v>588</v>
      </c>
    </row>
    <row r="8" spans="1:29" x14ac:dyDescent="0.3">
      <c r="A8" s="387" t="s">
        <v>328</v>
      </c>
      <c r="B8">
        <v>1</v>
      </c>
      <c r="C8">
        <v>8</v>
      </c>
      <c r="D8">
        <v>4</v>
      </c>
      <c r="E8">
        <v>4</v>
      </c>
      <c r="F8">
        <v>81</v>
      </c>
      <c r="H8">
        <v>16</v>
      </c>
      <c r="I8">
        <v>1</v>
      </c>
      <c r="J8">
        <v>4</v>
      </c>
      <c r="K8">
        <v>6</v>
      </c>
      <c r="L8">
        <v>8</v>
      </c>
      <c r="O8">
        <v>251</v>
      </c>
      <c r="R8">
        <v>4</v>
      </c>
      <c r="S8">
        <v>33</v>
      </c>
      <c r="T8">
        <v>4</v>
      </c>
      <c r="U8">
        <v>20</v>
      </c>
      <c r="V8">
        <v>6</v>
      </c>
      <c r="W8">
        <v>94</v>
      </c>
      <c r="X8">
        <v>6</v>
      </c>
      <c r="Y8">
        <v>5</v>
      </c>
      <c r="Z8">
        <v>7</v>
      </c>
      <c r="AA8">
        <v>31</v>
      </c>
      <c r="AC8">
        <v>594</v>
      </c>
    </row>
    <row r="9" spans="1:29" x14ac:dyDescent="0.3">
      <c r="A9" s="387" t="s">
        <v>412</v>
      </c>
      <c r="C9">
        <v>8</v>
      </c>
      <c r="D9">
        <v>4</v>
      </c>
      <c r="E9">
        <v>4</v>
      </c>
      <c r="F9">
        <v>81</v>
      </c>
      <c r="H9">
        <v>16</v>
      </c>
      <c r="I9">
        <v>1</v>
      </c>
      <c r="J9">
        <v>4</v>
      </c>
      <c r="K9">
        <v>6</v>
      </c>
      <c r="L9">
        <v>8</v>
      </c>
      <c r="O9">
        <v>251</v>
      </c>
      <c r="R9">
        <v>4</v>
      </c>
      <c r="S9">
        <v>33</v>
      </c>
      <c r="T9">
        <v>4</v>
      </c>
      <c r="U9">
        <v>20</v>
      </c>
      <c r="V9">
        <v>4</v>
      </c>
      <c r="W9">
        <v>96</v>
      </c>
      <c r="X9">
        <v>6</v>
      </c>
      <c r="Y9">
        <v>4</v>
      </c>
      <c r="Z9">
        <v>7</v>
      </c>
      <c r="AA9">
        <v>35</v>
      </c>
      <c r="AB9">
        <v>4</v>
      </c>
      <c r="AC9">
        <v>600</v>
      </c>
    </row>
    <row r="10" spans="1:29" x14ac:dyDescent="0.3">
      <c r="A10" s="387" t="s">
        <v>357</v>
      </c>
      <c r="B10">
        <v>1</v>
      </c>
      <c r="C10">
        <v>56</v>
      </c>
      <c r="D10">
        <v>28</v>
      </c>
      <c r="E10">
        <v>33</v>
      </c>
      <c r="F10">
        <v>583</v>
      </c>
      <c r="G10">
        <v>12</v>
      </c>
      <c r="H10">
        <v>148</v>
      </c>
      <c r="I10">
        <v>7</v>
      </c>
      <c r="J10">
        <v>28</v>
      </c>
      <c r="K10">
        <v>47</v>
      </c>
      <c r="L10">
        <v>48</v>
      </c>
      <c r="M10">
        <v>42</v>
      </c>
      <c r="N10">
        <v>8</v>
      </c>
      <c r="O10">
        <v>1728</v>
      </c>
      <c r="P10">
        <v>34</v>
      </c>
      <c r="Q10">
        <v>1</v>
      </c>
      <c r="R10">
        <v>26</v>
      </c>
      <c r="S10">
        <v>237</v>
      </c>
      <c r="T10">
        <v>25</v>
      </c>
      <c r="U10">
        <v>140</v>
      </c>
      <c r="V10">
        <v>39</v>
      </c>
      <c r="W10">
        <v>690</v>
      </c>
      <c r="X10">
        <v>52</v>
      </c>
      <c r="Y10">
        <v>34</v>
      </c>
      <c r="Z10">
        <v>50</v>
      </c>
      <c r="AA10">
        <v>149</v>
      </c>
      <c r="AB10">
        <v>4</v>
      </c>
      <c r="AC10">
        <v>4250</v>
      </c>
    </row>
    <row r="32" spans="4:5" x14ac:dyDescent="0.3">
      <c r="D32" s="386" t="s">
        <v>350</v>
      </c>
      <c r="E32" t="s">
        <v>416</v>
      </c>
    </row>
    <row r="33" spans="4:5" x14ac:dyDescent="0.3">
      <c r="D33" s="387" t="s">
        <v>320</v>
      </c>
      <c r="E33">
        <v>189</v>
      </c>
    </row>
    <row r="34" spans="4:5" x14ac:dyDescent="0.3">
      <c r="D34" s="388" t="s">
        <v>388</v>
      </c>
      <c r="E34">
        <v>101</v>
      </c>
    </row>
    <row r="35" spans="4:5" x14ac:dyDescent="0.3">
      <c r="D35" s="388" t="s">
        <v>390</v>
      </c>
      <c r="E35">
        <v>36</v>
      </c>
    </row>
    <row r="36" spans="4:5" x14ac:dyDescent="0.3">
      <c r="D36" s="388" t="s">
        <v>392</v>
      </c>
      <c r="E36">
        <v>52</v>
      </c>
    </row>
    <row r="37" spans="4:5" x14ac:dyDescent="0.3">
      <c r="D37" s="387" t="s">
        <v>312</v>
      </c>
      <c r="E37">
        <v>186</v>
      </c>
    </row>
    <row r="38" spans="4:5" x14ac:dyDescent="0.3">
      <c r="D38" s="388" t="s">
        <v>388</v>
      </c>
      <c r="E38">
        <v>95</v>
      </c>
    </row>
    <row r="39" spans="4:5" x14ac:dyDescent="0.3">
      <c r="D39" s="388" t="s">
        <v>390</v>
      </c>
      <c r="E39">
        <v>37</v>
      </c>
    </row>
    <row r="40" spans="4:5" x14ac:dyDescent="0.3">
      <c r="D40" s="388" t="s">
        <v>392</v>
      </c>
      <c r="E40">
        <v>54</v>
      </c>
    </row>
    <row r="41" spans="4:5" x14ac:dyDescent="0.3">
      <c r="D41" s="387" t="s">
        <v>318</v>
      </c>
      <c r="E41">
        <v>186</v>
      </c>
    </row>
    <row r="42" spans="4:5" x14ac:dyDescent="0.3">
      <c r="D42" s="388" t="s">
        <v>388</v>
      </c>
      <c r="E42">
        <v>95</v>
      </c>
    </row>
    <row r="43" spans="4:5" x14ac:dyDescent="0.3">
      <c r="D43" s="388" t="s">
        <v>390</v>
      </c>
      <c r="E43">
        <v>37</v>
      </c>
    </row>
    <row r="44" spans="4:5" x14ac:dyDescent="0.3">
      <c r="D44" s="388" t="s">
        <v>392</v>
      </c>
      <c r="E44">
        <v>54</v>
      </c>
    </row>
    <row r="45" spans="4:5" x14ac:dyDescent="0.3">
      <c r="D45" s="387" t="s">
        <v>325</v>
      </c>
      <c r="E45">
        <v>191</v>
      </c>
    </row>
    <row r="46" spans="4:5" x14ac:dyDescent="0.3">
      <c r="D46" s="388" t="s">
        <v>388</v>
      </c>
      <c r="E46">
        <v>104</v>
      </c>
    </row>
    <row r="47" spans="4:5" x14ac:dyDescent="0.3">
      <c r="D47" s="388" t="s">
        <v>390</v>
      </c>
      <c r="E47">
        <v>35</v>
      </c>
    </row>
    <row r="48" spans="4:5" x14ac:dyDescent="0.3">
      <c r="D48" s="388" t="s">
        <v>392</v>
      </c>
      <c r="E48">
        <v>52</v>
      </c>
    </row>
    <row r="49" spans="4:5" x14ac:dyDescent="0.3">
      <c r="D49" s="387" t="s">
        <v>326</v>
      </c>
      <c r="E49">
        <v>184</v>
      </c>
    </row>
    <row r="50" spans="4:5" x14ac:dyDescent="0.3">
      <c r="D50" s="388" t="s">
        <v>388</v>
      </c>
      <c r="E50">
        <v>105</v>
      </c>
    </row>
    <row r="51" spans="4:5" x14ac:dyDescent="0.3">
      <c r="D51" s="388" t="s">
        <v>390</v>
      </c>
      <c r="E51">
        <v>26</v>
      </c>
    </row>
    <row r="52" spans="4:5" x14ac:dyDescent="0.3">
      <c r="D52" s="388" t="s">
        <v>392</v>
      </c>
      <c r="E52">
        <v>53</v>
      </c>
    </row>
    <row r="53" spans="4:5" x14ac:dyDescent="0.3">
      <c r="D53" s="387" t="s">
        <v>328</v>
      </c>
      <c r="E53">
        <v>561</v>
      </c>
    </row>
    <row r="54" spans="4:5" x14ac:dyDescent="0.3">
      <c r="D54" s="388" t="s">
        <v>390</v>
      </c>
      <c r="E54">
        <v>26</v>
      </c>
    </row>
    <row r="55" spans="4:5" x14ac:dyDescent="0.3">
      <c r="D55" s="388" t="s">
        <v>392</v>
      </c>
      <c r="E55">
        <v>68</v>
      </c>
    </row>
    <row r="56" spans="4:5" x14ac:dyDescent="0.3">
      <c r="D56" s="388" t="s">
        <v>415</v>
      </c>
      <c r="E56">
        <v>1</v>
      </c>
    </row>
    <row r="57" spans="4:5" x14ac:dyDescent="0.3">
      <c r="D57" s="388" t="s">
        <v>381</v>
      </c>
      <c r="E57">
        <v>115</v>
      </c>
    </row>
    <row r="58" spans="4:5" x14ac:dyDescent="0.3">
      <c r="D58" s="388" t="s">
        <v>406</v>
      </c>
      <c r="E58">
        <v>351</v>
      </c>
    </row>
    <row r="59" spans="4:5" x14ac:dyDescent="0.3">
      <c r="D59" s="387" t="s">
        <v>412</v>
      </c>
      <c r="E59">
        <v>212</v>
      </c>
    </row>
    <row r="60" spans="4:5" x14ac:dyDescent="0.3">
      <c r="D60" s="388" t="s">
        <v>390</v>
      </c>
      <c r="E60">
        <v>26</v>
      </c>
    </row>
    <row r="61" spans="4:5" x14ac:dyDescent="0.3">
      <c r="D61" s="388" t="s">
        <v>392</v>
      </c>
      <c r="E61">
        <v>71</v>
      </c>
    </row>
    <row r="62" spans="4:5" x14ac:dyDescent="0.3">
      <c r="D62" s="388" t="s">
        <v>381</v>
      </c>
      <c r="E62">
        <v>115</v>
      </c>
    </row>
    <row r="63" spans="4:5" x14ac:dyDescent="0.3">
      <c r="D63" s="387" t="s">
        <v>357</v>
      </c>
      <c r="E63">
        <v>1709</v>
      </c>
    </row>
  </sheetData>
  <pageMargins left="0.7" right="0.7" top="0.75" bottom="0.75" header="0.3" footer="0.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theme="4" tint="0.59999389629810485"/>
  </sheetPr>
  <dimension ref="A1:M49"/>
  <sheetViews>
    <sheetView showGridLines="0" zoomScaleNormal="100" workbookViewId="0">
      <pane ySplit="2" topLeftCell="A3" activePane="bottomLeft" state="frozen"/>
      <selection pane="bottomLeft" sqref="A1:C1"/>
    </sheetView>
  </sheetViews>
  <sheetFormatPr defaultRowHeight="14.4" x14ac:dyDescent="0.3"/>
  <cols>
    <col min="1" max="1" width="17.88671875" customWidth="1"/>
    <col min="2" max="2" width="10.88671875" customWidth="1"/>
    <col min="3" max="3" width="9.33203125" customWidth="1"/>
    <col min="4" max="4" width="11.5546875" customWidth="1"/>
    <col min="5" max="5" width="9.33203125" customWidth="1"/>
    <col min="6" max="6" width="11.33203125" customWidth="1"/>
    <col min="7" max="7" width="15.5546875" customWidth="1"/>
    <col min="8" max="8" width="11.88671875" customWidth="1"/>
    <col min="9" max="9" width="16.6640625" customWidth="1"/>
    <col min="10" max="11" width="10.6640625" customWidth="1"/>
    <col min="12" max="12" width="13" customWidth="1"/>
    <col min="13" max="13" width="11.6640625" customWidth="1"/>
    <col min="14" max="14" width="11.88671875" customWidth="1"/>
    <col min="15" max="15" width="10.33203125" customWidth="1"/>
    <col min="17" max="17" width="11.88671875" customWidth="1"/>
    <col min="18" max="18" width="13.109375" customWidth="1"/>
  </cols>
  <sheetData>
    <row r="1" spans="1:12" ht="15.75" customHeight="1" x14ac:dyDescent="0.3">
      <c r="A1" s="1030" t="s">
        <v>333</v>
      </c>
      <c r="B1" s="1030"/>
      <c r="C1" s="1030"/>
    </row>
    <row r="2" spans="1:12" ht="15.6" x14ac:dyDescent="0.3">
      <c r="A2" s="498" t="s">
        <v>202</v>
      </c>
      <c r="B2" s="580"/>
      <c r="C2" s="580"/>
    </row>
    <row r="4" spans="1:12" ht="18" x14ac:dyDescent="0.35">
      <c r="A4" s="572" t="s">
        <v>417</v>
      </c>
    </row>
    <row r="5" spans="1:12" x14ac:dyDescent="0.3">
      <c r="A5" t="s">
        <v>203</v>
      </c>
      <c r="B5" t="s">
        <v>42</v>
      </c>
    </row>
    <row r="6" spans="1:12" x14ac:dyDescent="0.3">
      <c r="A6" t="s">
        <v>204</v>
      </c>
      <c r="B6" s="387" t="s">
        <v>205</v>
      </c>
    </row>
    <row r="7" spans="1:12" x14ac:dyDescent="0.3">
      <c r="A7" t="s">
        <v>206</v>
      </c>
      <c r="B7" s="387" t="s">
        <v>207</v>
      </c>
    </row>
    <row r="8" spans="1:12" x14ac:dyDescent="0.3">
      <c r="B8" s="579"/>
    </row>
    <row r="9" spans="1:12" ht="18" x14ac:dyDescent="0.35">
      <c r="B9" s="572" t="s">
        <v>418</v>
      </c>
    </row>
    <row r="10" spans="1:12" ht="15.6" x14ac:dyDescent="0.3">
      <c r="B10" s="571"/>
      <c r="J10" s="300"/>
    </row>
    <row r="11" spans="1:12" x14ac:dyDescent="0.3">
      <c r="A11" s="1034" t="s">
        <v>208</v>
      </c>
      <c r="B11" s="1036" t="s">
        <v>419</v>
      </c>
      <c r="C11" s="1037"/>
      <c r="D11" s="1037"/>
      <c r="E11" s="1038"/>
      <c r="F11" s="1036" t="s">
        <v>420</v>
      </c>
      <c r="G11" s="1037"/>
      <c r="H11" s="1038"/>
      <c r="J11" s="661"/>
      <c r="K11" s="661"/>
    </row>
    <row r="12" spans="1:12" ht="59.1" customHeight="1" x14ac:dyDescent="0.3">
      <c r="A12" s="1035"/>
      <c r="B12" s="521" t="s">
        <v>421</v>
      </c>
      <c r="C12" s="518" t="s">
        <v>422</v>
      </c>
      <c r="D12" s="518" t="s">
        <v>423</v>
      </c>
      <c r="E12" s="518" t="s">
        <v>340</v>
      </c>
      <c r="F12" s="521" t="s">
        <v>424</v>
      </c>
      <c r="G12" s="518" t="s">
        <v>425</v>
      </c>
      <c r="H12" s="573" t="s">
        <v>405</v>
      </c>
      <c r="J12" s="574" t="s">
        <v>426</v>
      </c>
      <c r="K12" s="574" t="s">
        <v>427</v>
      </c>
      <c r="L12" s="459"/>
    </row>
    <row r="13" spans="1:12" x14ac:dyDescent="0.3">
      <c r="A13" s="662" t="s">
        <v>312</v>
      </c>
      <c r="B13" s="663">
        <f>GETPIVOTDATA("Value",CapabilitiesPivot!$C$4,"Fiscal_Yr","2019-20","Capability","ONE PUMP")</f>
        <v>244</v>
      </c>
      <c r="C13" s="663">
        <f>GETPIVOTDATA("Value",CapabilitiesPivot!$C$4,"Fiscal_Yr","2019-20","Capability","TWO PUMPS")</f>
        <v>101</v>
      </c>
      <c r="D13" s="663">
        <f>GETPIVOTDATA("Value",CapabilitiesPivot!$C$4,"Fiscal_Yr","2019-20","Capability","THREE PUMPS")</f>
        <v>6</v>
      </c>
      <c r="E13" s="663">
        <f>SUM(B13:D13)</f>
        <v>351</v>
      </c>
      <c r="F13" s="663">
        <f>GETPIVOTDATA("Value",CapabilitiesPivot!$C$4,"Fiscal_Yr","2019-20","Capability","RRU")</f>
        <v>35</v>
      </c>
      <c r="G13" s="663">
        <f>GETPIVOTDATA("Value",CapabilitiesPivot!$C$4,"Fiscal_Yr","2019-20","Capability","Water C")</f>
        <v>5</v>
      </c>
      <c r="H13" s="663">
        <f>GETPIVOTDATA("Value",CapabilitiesPivot!$C$4,"Fiscal_Yr","2019-20","Capability","Wildfire")</f>
        <v>19</v>
      </c>
      <c r="J13" s="663">
        <f>GETPIVOTDATA("Number of Stations with Capability",CapabilitiesPivot!$D$32,"Fiscal_Yr","2019-20","CapabilityType","Tactical")</f>
        <v>54</v>
      </c>
      <c r="K13" s="662">
        <f t="shared" ref="K13:K14" si="0">SUM(F13:H13)</f>
        <v>59</v>
      </c>
      <c r="L13" s="459"/>
    </row>
    <row r="14" spans="1:12" x14ac:dyDescent="0.3">
      <c r="A14" s="662" t="s">
        <v>318</v>
      </c>
      <c r="B14" s="663">
        <f>GETPIVOTDATA("Value",CapabilitiesPivot!$C$4,"Fiscal_Yr","2020-21","Capability","ONE PUMP")</f>
        <v>244</v>
      </c>
      <c r="C14" s="663">
        <f>GETPIVOTDATA("Value",CapabilitiesPivot!$C$4,"Fiscal_Yr","2020-21","Capability","TWO PUMPS")</f>
        <v>101</v>
      </c>
      <c r="D14" s="663">
        <f>GETPIVOTDATA("Value",CapabilitiesPivot!$C$4,"Fiscal_Yr","2020-21","Capability","THREE PUMPS")</f>
        <v>6</v>
      </c>
      <c r="E14" s="663">
        <f>SUM(B14:D14)</f>
        <v>351</v>
      </c>
      <c r="F14" s="663">
        <f>GETPIVOTDATA("Value",CapabilitiesPivot!$C$4,"Fiscal_Yr","2020-21","Capability","RRU")</f>
        <v>35</v>
      </c>
      <c r="G14" s="663">
        <f>GETPIVOTDATA("Value",CapabilitiesPivot!$C$4,"Fiscal_Yr","2020-21","Capability","Water C")</f>
        <v>5</v>
      </c>
      <c r="H14" s="663">
        <f>GETPIVOTDATA("Value",CapabilitiesPivot!$C$4,"Fiscal_Yr","2020-21","Capability","Wildfire")</f>
        <v>19</v>
      </c>
      <c r="J14" s="663">
        <f>GETPIVOTDATA("Number of Stations with Capability",CapabilitiesPivot!$D$32,"Fiscal_Yr","2020-21","CapabilityType","Tactical")</f>
        <v>54</v>
      </c>
      <c r="K14" s="662">
        <f t="shared" si="0"/>
        <v>59</v>
      </c>
    </row>
    <row r="15" spans="1:12" x14ac:dyDescent="0.3">
      <c r="A15" s="662" t="s">
        <v>320</v>
      </c>
      <c r="B15" s="663">
        <f>GETPIVOTDATA("Value",CapabilitiesPivot!$C$4,"Fiscal_Yr","2021-22","Capability","ONE PUMP")</f>
        <v>243</v>
      </c>
      <c r="C15" s="663">
        <f>GETPIVOTDATA("Value",CapabilitiesPivot!$C$4,"Fiscal_Yr","2021-22","Capability","TWO PUMPS")</f>
        <v>102</v>
      </c>
      <c r="D15" s="663">
        <f>GETPIVOTDATA("Value",CapabilitiesPivot!$C$4,"Fiscal_Yr","2021-22","Capability","THREE PUMPS")</f>
        <v>6</v>
      </c>
      <c r="E15" s="663">
        <f>SUM(B15:D15)</f>
        <v>351</v>
      </c>
      <c r="F15" s="663">
        <f>GETPIVOTDATA("Value",CapabilitiesPivot!$C$4,"Fiscal_Yr","2021-22","Capability","RRU")</f>
        <v>34</v>
      </c>
      <c r="G15" s="663">
        <f>GETPIVOTDATA("Value",CapabilitiesPivot!$C$4,"Fiscal_Yr","2021-22","Capability","Water C")</f>
        <v>5</v>
      </c>
      <c r="H15" s="663">
        <f>GETPIVOTDATA("Value",CapabilitiesPivot!$C$4,"Fiscal_Yr","2021-22","Capability","Wildfire")</f>
        <v>15</v>
      </c>
      <c r="J15" s="663">
        <f>GETPIVOTDATA("Number of Stations with Capability",CapabilitiesPivot!$D$32,"Fiscal_Yr","2021-22","CapabilityType","Tactical")</f>
        <v>52</v>
      </c>
      <c r="K15" s="662">
        <f>SUM(F15:H15)</f>
        <v>54</v>
      </c>
    </row>
    <row r="16" spans="1:12" x14ac:dyDescent="0.3">
      <c r="A16" s="662" t="s">
        <v>325</v>
      </c>
      <c r="B16" s="663">
        <f>GETPIVOTDATA("Value",CapabilitiesPivot!$C$4,"Fiscal_Yr","2022-23","Capability","ONE PUMP")</f>
        <v>244</v>
      </c>
      <c r="C16" s="663">
        <f>GETPIVOTDATA("Value",CapabilitiesPivot!$C$4,"Fiscal_Yr","2022-23","Capability","TWO PUMPS")</f>
        <v>101</v>
      </c>
      <c r="D16" s="663">
        <f>GETPIVOTDATA("Value",CapabilitiesPivot!$C$4,"Fiscal_Yr","2022-23","Capability","THREE PUMPS")</f>
        <v>6</v>
      </c>
      <c r="E16" s="663">
        <f>SUM(B16:D16)</f>
        <v>351</v>
      </c>
      <c r="F16" s="663">
        <f>GETPIVOTDATA("Value",CapabilitiesPivot!$C$4,"Fiscal_Yr","2022-23","Capability","RRU")</f>
        <v>33</v>
      </c>
      <c r="G16" s="663">
        <f>GETPIVOTDATA("Value",CapabilitiesPivot!$C$4,"Fiscal_Yr","2022-23","Capability","Water C")</f>
        <v>5</v>
      </c>
      <c r="H16" s="663">
        <f>GETPIVOTDATA("Value",CapabilitiesPivot!$C$4,"Fiscal_Yr","2022-23","Capability","Wildfire")</f>
        <v>15</v>
      </c>
      <c r="J16" s="663">
        <f>GETPIVOTDATA("Number of Stations with Capability",CapabilitiesPivot!$D$32,"Fiscal_Yr","2022-23","CapabilityType","Tactical")</f>
        <v>52</v>
      </c>
      <c r="K16" s="662">
        <f>SUM(F16:H16)</f>
        <v>53</v>
      </c>
    </row>
    <row r="17" spans="1:13" x14ac:dyDescent="0.3">
      <c r="A17" s="662" t="s">
        <v>326</v>
      </c>
      <c r="B17" s="663">
        <f>GETPIVOTDATA("Value",CapabilitiesPivot!$C$4,"Fiscal_Yr","2023-24","Capability","ONE PUMP")</f>
        <v>251</v>
      </c>
      <c r="C17" s="663">
        <f>GETPIVOTDATA("Value",CapabilitiesPivot!$C$4,"Fiscal_Yr","2023-24","Capability","TWO PUMPS")</f>
        <v>95</v>
      </c>
      <c r="D17" s="663">
        <f>GETPIVOTDATA("Value",CapabilitiesPivot!$C$4,"Fiscal_Yr","2023-24","Capability","THREE PUMPS")</f>
        <v>5</v>
      </c>
      <c r="E17" s="663">
        <f t="shared" ref="E17:E18" si="1">SUM(B17:D17)</f>
        <v>351</v>
      </c>
      <c r="F17" s="663">
        <f>GETPIVOTDATA("Value",CapabilitiesPivot!$C$4,"Fiscal_Yr","2023-24","Capability","RRU")</f>
        <v>34</v>
      </c>
      <c r="G17" s="663">
        <f>GETPIVOTDATA("Value",CapabilitiesPivot!$C$4,"Fiscal_Yr","2023-24","Capability","Water C")</f>
        <v>5</v>
      </c>
      <c r="H17" s="663">
        <f>GETPIVOTDATA("Value",CapabilitiesPivot!$C$4,"Fiscal_Yr","2023-24","Capability","Wildfire")</f>
        <v>15</v>
      </c>
      <c r="J17" s="663">
        <f>GETPIVOTDATA("Number of Stations with Capability",CapabilitiesPivot!$D$32,"Fiscal_Yr","2023-24","CapabilityType","Tactical")</f>
        <v>53</v>
      </c>
      <c r="K17" s="662">
        <f t="shared" ref="K17:K18" si="2">SUM(F17:H17)</f>
        <v>54</v>
      </c>
    </row>
    <row r="18" spans="1:13" x14ac:dyDescent="0.3">
      <c r="A18" s="662" t="s">
        <v>328</v>
      </c>
      <c r="B18" s="663">
        <f>GETPIVOTDATA("Value",CapabilitiesPivot!$C$4,"Fiscal_Yr","2024-25","Capability","ONE PUMP")</f>
        <v>251</v>
      </c>
      <c r="C18" s="663">
        <f>GETPIVOTDATA("Value",CapabilitiesPivot!$C$4,"Fiscal_Yr","2024-25","Capability","TWO PUMPS")</f>
        <v>94</v>
      </c>
      <c r="D18" s="663">
        <f>GETPIVOTDATA("Value",CapabilitiesPivot!$C$4,"Fiscal_Yr","2024-25","Capability","THREE PUMPS")</f>
        <v>6</v>
      </c>
      <c r="E18" s="663">
        <f t="shared" si="1"/>
        <v>351</v>
      </c>
      <c r="F18" s="663">
        <f>GETPIVOTDATA("Value",CapabilitiesPivot!$C$4,"Fiscal_Yr","2024-25","Capability","RRU")</f>
        <v>33</v>
      </c>
      <c r="G18" s="663">
        <f>GETPIVOTDATA("Value",CapabilitiesPivot!$C$4,"Fiscal_Yr","2024-25","Capability","Water C")</f>
        <v>5</v>
      </c>
      <c r="H18" s="663">
        <f>GETPIVOTDATA("Value",CapabilitiesPivot!$C$4,"Fiscal_Yr","2024-25","Capability","Wildfire")</f>
        <v>31</v>
      </c>
      <c r="J18" s="663">
        <f>GETPIVOTDATA("Number of Stations with Capability",CapabilitiesPivot!$D$32,"Fiscal_Yr","2024-25","CapabilityType","Tactical")</f>
        <v>68</v>
      </c>
      <c r="K18" s="662">
        <f t="shared" si="2"/>
        <v>69</v>
      </c>
    </row>
    <row r="19" spans="1:13" ht="15" thickBot="1" x14ac:dyDescent="0.35">
      <c r="A19" s="524" t="s">
        <v>412</v>
      </c>
      <c r="B19" s="325">
        <f>GETPIVOTDATA("Value",CapabilitiesPivot!$C$4,"Fiscal_Yr","2025-26","Capability","ONE PUMP")</f>
        <v>251</v>
      </c>
      <c r="C19" s="325">
        <f>GETPIVOTDATA("Value",CapabilitiesPivot!$C$4,"Fiscal_Yr","2025-26","Capability","TWO PUMPS")</f>
        <v>96</v>
      </c>
      <c r="D19" s="325">
        <f>GETPIVOTDATA("Value",CapabilitiesPivot!$C$4,"Fiscal_Yr","2025-26","Capability","THREE PUMPS")</f>
        <v>4</v>
      </c>
      <c r="E19" s="325">
        <f t="shared" ref="E19" si="3">SUM(B19:D19)</f>
        <v>351</v>
      </c>
      <c r="F19" s="325">
        <f>GETPIVOTDATA("Value",CapabilitiesPivot!$C$4,"Fiscal_Yr","2025-26","Capability","RRU")</f>
        <v>33</v>
      </c>
      <c r="G19" s="325">
        <f>GETPIVOTDATA("Value",CapabilitiesPivot!$C$4,"Fiscal_Yr","2025-26","Capability","Water C")</f>
        <v>4</v>
      </c>
      <c r="H19" s="325">
        <f>GETPIVOTDATA("Value",CapabilitiesPivot!$C$4,"Fiscal_Yr","2025-26","Capability","Wildfire")</f>
        <v>35</v>
      </c>
      <c r="I19" s="325"/>
      <c r="J19" s="325">
        <f>GETPIVOTDATA("Number of Stations with Capability",CapabilitiesPivot!$D$32,"Fiscal_Yr","2025-26","CapabilityType","Tactical")</f>
        <v>71</v>
      </c>
      <c r="K19" s="524">
        <f t="shared" ref="K19" si="4">SUM(F19:H19)</f>
        <v>72</v>
      </c>
    </row>
    <row r="20" spans="1:13" x14ac:dyDescent="0.3">
      <c r="A20" s="312"/>
      <c r="K20" s="312"/>
    </row>
    <row r="21" spans="1:13" ht="18" x14ac:dyDescent="0.35">
      <c r="A21" s="312"/>
      <c r="B21" s="572" t="s">
        <v>428</v>
      </c>
    </row>
    <row r="22" spans="1:13" x14ac:dyDescent="0.3">
      <c r="A22" s="312"/>
    </row>
    <row r="23" spans="1:13" ht="74.099999999999994" customHeight="1" x14ac:dyDescent="0.3">
      <c r="A23" s="589" t="s">
        <v>208</v>
      </c>
      <c r="B23" s="519" t="s">
        <v>429</v>
      </c>
      <c r="C23" s="520" t="s">
        <v>430</v>
      </c>
      <c r="D23" s="520" t="s">
        <v>431</v>
      </c>
      <c r="E23" s="520" t="s">
        <v>432</v>
      </c>
      <c r="F23" s="520" t="s">
        <v>433</v>
      </c>
      <c r="G23" s="520" t="s">
        <v>434</v>
      </c>
      <c r="H23" s="520" t="s">
        <v>435</v>
      </c>
      <c r="I23" s="520" t="s">
        <v>436</v>
      </c>
      <c r="J23" s="575" t="s">
        <v>437</v>
      </c>
      <c r="L23" s="574" t="s">
        <v>438</v>
      </c>
      <c r="M23" s="574" t="s">
        <v>439</v>
      </c>
    </row>
    <row r="24" spans="1:13" x14ac:dyDescent="0.3">
      <c r="A24" s="662" t="s">
        <v>312</v>
      </c>
      <c r="B24" s="663">
        <f>GETPIVOTDATA("Value",CapabilitiesPivot!$A$1,"Fiscal_Yr","2019-20","Capability","Flood")</f>
        <v>78</v>
      </c>
      <c r="C24" s="663">
        <f>GETPIVOTDATA("Value",CapabilitiesPivot!$A$1,"Fiscal_Yr","2019-20","Capability","SRT")</f>
        <v>20</v>
      </c>
      <c r="D24" s="663">
        <f>GETPIVOTDATA("Value",CapabilitiesPivot!$C$4,"Fiscal_Yr","2019-20","Capability","DIM")</f>
        <v>4</v>
      </c>
      <c r="E24" s="663">
        <f>GETPIVOTDATA("Value",CapabilitiesPivot!$C$4,"Fiscal_Yr","2019-20","Capability","HSU")</f>
        <v>1</v>
      </c>
      <c r="F24" s="663">
        <f>GETPIVOTDATA("Value",CapabilitiesPivot!$C$4,"Fiscal_Yr","2019-20","Capability","SOR")</f>
        <v>3</v>
      </c>
      <c r="G24" s="663">
        <f>GETPIVOTDATA("Value",CapabilitiesPivot!$C$4,"Fiscal_Yr","2019-20","Capability","MD")</f>
        <v>5</v>
      </c>
      <c r="H24" s="663">
        <f>GETPIVOTDATA("Value",CapabilitiesPivot!$C$4,"Fiscal_Yr","2019-20","Capability","USAR")</f>
        <v>10</v>
      </c>
      <c r="I24" s="663">
        <f>GETPIVOTDATA("Value",CapabilitiesPivot!$C$4,"Fiscal_Yr","2019-20","Capability","CSU")</f>
        <v>8</v>
      </c>
      <c r="J24" s="663">
        <f>GETPIVOTDATA("Value",CapabilitiesPivot!$C$4,"Fiscal_Yr","2019-20","Capability","HVP")</f>
        <v>4</v>
      </c>
      <c r="L24" s="300">
        <f>GETPIVOTDATA("Number of Stations with Capability",CapabilitiesPivot!$D$32,"Fiscal_Yr","2019-20","CapabilityType","National Fire Resilience")</f>
        <v>95</v>
      </c>
      <c r="M24" s="662">
        <f t="shared" ref="M24:M25" si="5">SUM(B24:J24)</f>
        <v>133</v>
      </c>
    </row>
    <row r="25" spans="1:13" x14ac:dyDescent="0.3">
      <c r="A25" s="662" t="s">
        <v>318</v>
      </c>
      <c r="B25" s="663">
        <f>GETPIVOTDATA("Value",CapabilitiesPivot!$A$1,"Fiscal_Yr","2020-21","Capability","Flood")</f>
        <v>78</v>
      </c>
      <c r="C25" s="663">
        <f>GETPIVOTDATA("Value",CapabilitiesPivot!$A$1,"Fiscal_Yr","2020-21","Capability","SRT")</f>
        <v>20</v>
      </c>
      <c r="D25" s="663">
        <f>GETPIVOTDATA("Value",CapabilitiesPivot!$C$4,"Fiscal_Yr","2020-21","Capability","DIM")</f>
        <v>4</v>
      </c>
      <c r="E25" s="663">
        <f>GETPIVOTDATA("Value",CapabilitiesPivot!$C$4,"Fiscal_Yr","2020-21","Capability","HSU")</f>
        <v>1</v>
      </c>
      <c r="F25" s="663">
        <f>GETPIVOTDATA("Value",CapabilitiesPivot!$C$4,"Fiscal_Yr","2020-21","Capability","SOR")</f>
        <v>3</v>
      </c>
      <c r="G25" s="663">
        <f>GETPIVOTDATA("Value",CapabilitiesPivot!$C$4,"Fiscal_Yr","2020-21","Capability","MD")</f>
        <v>5</v>
      </c>
      <c r="H25" s="663">
        <f>GETPIVOTDATA("Value",CapabilitiesPivot!$C$4,"Fiscal_Yr","2020-21","Capability","USAR")</f>
        <v>10</v>
      </c>
      <c r="I25" s="663">
        <f>GETPIVOTDATA("Value",CapabilitiesPivot!$C$4,"Fiscal_Yr","2020-21","Capability","CSU")</f>
        <v>8</v>
      </c>
      <c r="J25" s="663">
        <f>GETPIVOTDATA("Value",CapabilitiesPivot!$C$4,"Fiscal_Yr","2020-21","Capability","HVP")</f>
        <v>4</v>
      </c>
      <c r="L25" s="663">
        <f>GETPIVOTDATA("Number of Stations with Capability",CapabilitiesPivot!$D$32,"Fiscal_Yr","2020-21","CapabilityType","National Fire Resilience")</f>
        <v>95</v>
      </c>
      <c r="M25" s="662">
        <f t="shared" si="5"/>
        <v>133</v>
      </c>
    </row>
    <row r="26" spans="1:13" x14ac:dyDescent="0.3">
      <c r="A26" s="662" t="s">
        <v>320</v>
      </c>
      <c r="B26" s="663">
        <f>GETPIVOTDATA("Value",CapabilitiesPivot!$A$1,"Fiscal_Yr","2021-22","Capability","Flood")</f>
        <v>83</v>
      </c>
      <c r="C26" s="663">
        <f>GETPIVOTDATA("Value",CapabilitiesPivot!$A$1,"Fiscal_Yr","2021-22","Capability","SRT")</f>
        <v>20</v>
      </c>
      <c r="D26" s="663">
        <f>GETPIVOTDATA("Value",CapabilitiesPivot!$C$4,"Fiscal_Yr","2021-22","Capability","DIM")</f>
        <v>4</v>
      </c>
      <c r="E26" s="663">
        <f>GETPIVOTDATA("Value",CapabilitiesPivot!$C$4,"Fiscal_Yr","2021-22","Capability","HSU")</f>
        <v>1</v>
      </c>
      <c r="F26" s="663">
        <f>GETPIVOTDATA("Value",CapabilitiesPivot!$C$4,"Fiscal_Yr","2021-22","Capability","SOR")</f>
        <v>4</v>
      </c>
      <c r="G26" s="663">
        <f>GETPIVOTDATA("Value",CapabilitiesPivot!$C$4,"Fiscal_Yr","2021-22","Capability","MD")</f>
        <v>8</v>
      </c>
      <c r="H26" s="663">
        <f>GETPIVOTDATA("Value",CapabilitiesPivot!$C$4,"Fiscal_Yr","2021-22","Capability","USAR")</f>
        <v>7</v>
      </c>
      <c r="I26" s="663">
        <f>GETPIVOTDATA("Value",CapabilitiesPivot!$C$4,"Fiscal_Yr","2021-22","Capability","CSU")</f>
        <v>8</v>
      </c>
      <c r="J26" s="663">
        <f>GETPIVOTDATA("Value",CapabilitiesPivot!$C$4,"Fiscal_Yr","2021-22","Capability","HVP")</f>
        <v>4</v>
      </c>
      <c r="L26" s="663">
        <f>GETPIVOTDATA("Number of Stations with Capability",CapabilitiesPivot!$D$32,"Fiscal_Yr","2021-22","CapabilityType","National Fire Resilience")</f>
        <v>101</v>
      </c>
      <c r="M26" s="662">
        <f>SUM(B26:J26)</f>
        <v>139</v>
      </c>
    </row>
    <row r="27" spans="1:13" x14ac:dyDescent="0.3">
      <c r="A27" s="525" t="s">
        <v>325</v>
      </c>
      <c r="B27" s="663">
        <f>GETPIVOTDATA("Value",CapabilitiesPivot!$A$1,"Fiscal_Yr","2022-23","Capability","Flood")</f>
        <v>91</v>
      </c>
      <c r="C27" s="663">
        <f>GETPIVOTDATA("Value",CapabilitiesPivot!$A$1,"Fiscal_Yr","2022-23","Capability","SRT")</f>
        <v>20</v>
      </c>
      <c r="D27" s="300">
        <f>GETPIVOTDATA("Value",CapabilitiesPivot!$C$4,"Fiscal_Yr","2022-23","Capability","DIM")</f>
        <v>4</v>
      </c>
      <c r="E27" s="300">
        <f>GETPIVOTDATA("Value",CapabilitiesPivot!$C$4,"Fiscal_Yr","2022-23","Capability","HSU")</f>
        <v>1</v>
      </c>
      <c r="F27" s="300">
        <f>GETPIVOTDATA("Value",CapabilitiesPivot!$C$4,"Fiscal_Yr","2022-23","Capability","SOR")</f>
        <v>3</v>
      </c>
      <c r="G27" s="300">
        <f>GETPIVOTDATA("Value",CapabilitiesPivot!$C$4,"Fiscal_Yr","2022-23","Capability","MD")</f>
        <v>7</v>
      </c>
      <c r="H27" s="300">
        <f>GETPIVOTDATA("Value",CapabilitiesPivot!$C$4,"Fiscal_Yr","2022-23","Capability","USAR")</f>
        <v>6</v>
      </c>
      <c r="I27" s="300">
        <f>GETPIVOTDATA("Value",CapabilitiesPivot!$C$4,"Fiscal_Yr","2022-23","Capability","CSU")</f>
        <v>8</v>
      </c>
      <c r="J27" s="300">
        <f>GETPIVOTDATA("Value",CapabilitiesPivot!$C$4,"Fiscal_Yr","2022-23","Capability","HVP")</f>
        <v>4</v>
      </c>
      <c r="L27" s="300">
        <f>GETPIVOTDATA("Number of Stations with Capability",CapabilitiesPivot!$D$32,"Fiscal_Yr","2022-23","CapabilityType","National Fire Resilience")</f>
        <v>104</v>
      </c>
      <c r="M27" s="525">
        <f>SUM(B27:J27)</f>
        <v>144</v>
      </c>
    </row>
    <row r="28" spans="1:13" x14ac:dyDescent="0.3">
      <c r="A28" s="525" t="s">
        <v>326</v>
      </c>
      <c r="B28" s="663">
        <f>GETPIVOTDATA("Value",CapabilitiesPivot!$A$1,"Fiscal_Yr","2023-24","Capability","Flood")</f>
        <v>91</v>
      </c>
      <c r="C28" s="663">
        <f>GETPIVOTDATA("Value",CapabilitiesPivot!$A$1,"Fiscal_Yr","2023-24","Capability","SRT")</f>
        <v>20</v>
      </c>
      <c r="D28" s="300">
        <f>GETPIVOTDATA("Value",CapabilitiesPivot!$C$4,"Fiscal_Yr",A28,"Capability","DIM")</f>
        <v>4</v>
      </c>
      <c r="E28" s="300">
        <f>GETPIVOTDATA("Value",CapabilitiesPivot!$C$4,"Fiscal_Yr",A28,"Capability","HSU")</f>
        <v>1</v>
      </c>
      <c r="F28" s="300">
        <f>GETPIVOTDATA("Value",CapabilitiesPivot!$C$4,"Fiscal_Yr",A28,"Capability","SOR")</f>
        <v>4</v>
      </c>
      <c r="G28" s="300">
        <f>GETPIVOTDATA("Value",CapabilitiesPivot!$C$4,"Fiscal_Yr",A28,"Capability","MD")</f>
        <v>7</v>
      </c>
      <c r="H28" s="300">
        <f>GETPIVOTDATA("Value",CapabilitiesPivot!$C$4,"Fiscal_Yr",A28,"Capability","USAR")</f>
        <v>7</v>
      </c>
      <c r="I28" s="300">
        <f>GETPIVOTDATA("Value",CapabilitiesPivot!$C$4,"Fiscal_Yr",A28,"Capability","CSU")</f>
        <v>8</v>
      </c>
      <c r="J28" s="300">
        <f>GETPIVOTDATA("Value",CapabilitiesPivot!$C$4,"Fiscal_Yr",A28,"Capability","HVP")</f>
        <v>4</v>
      </c>
      <c r="L28" s="300">
        <f>GETPIVOTDATA("Number of Stations with Capability",CapabilitiesPivot!$D$32,"Fiscal_Yr",A28,"CapabilityType","National Fire Resilience")</f>
        <v>105</v>
      </c>
      <c r="M28" s="525">
        <f>SUM(B28:J28)</f>
        <v>146</v>
      </c>
    </row>
    <row r="29" spans="1:13" x14ac:dyDescent="0.3">
      <c r="A29" s="662" t="s">
        <v>328</v>
      </c>
      <c r="B29" s="663">
        <f>GETPIVOTDATA("Value",CapabilitiesPivot!$A$1,"Fiscal_Yr","2024-25","Capability","Flood")</f>
        <v>81</v>
      </c>
      <c r="C29" s="663">
        <f>GETPIVOTDATA("Value",CapabilitiesPivot!$A$1,"Fiscal_Yr","2024-25","Capability","SRT")</f>
        <v>20</v>
      </c>
      <c r="D29" s="663">
        <f>GETPIVOTDATA("Value",CapabilitiesPivot!$C$4,"Fiscal_Yr",A29,"Capability","DIM")</f>
        <v>4</v>
      </c>
      <c r="E29" s="663">
        <f>GETPIVOTDATA("Value",CapabilitiesPivot!$C$4,"Fiscal_Yr",A29,"Capability","HSU")</f>
        <v>1</v>
      </c>
      <c r="F29" s="663">
        <f>GETPIVOTDATA("Value",CapabilitiesPivot!$C$4,"Fiscal_Yr",A29,"Capability","SOR")</f>
        <v>4</v>
      </c>
      <c r="G29" s="663">
        <f>GETPIVOTDATA("Value",CapabilitiesPivot!$C$4,"Fiscal_Yr",A29,"Capability","MD")</f>
        <v>8</v>
      </c>
      <c r="H29" s="663">
        <f>GETPIVOTDATA("Value",CapabilitiesPivot!$C$4,"Fiscal_Yr",A29,"Capability","USAR")</f>
        <v>6</v>
      </c>
      <c r="I29" s="663">
        <f>GETPIVOTDATA("Value",CapabilitiesPivot!$C$4,"Fiscal_Yr",A29,"Capability","CSU")</f>
        <v>8</v>
      </c>
      <c r="J29" s="663">
        <f>GETPIVOTDATA("Value",CapabilitiesPivot!$C$4,"Fiscal_Yr",A29,"Capability","HVP")</f>
        <v>4</v>
      </c>
      <c r="L29" s="663">
        <f>GETPIVOTDATA("Number of Stations with Capability",CapabilitiesPivot!$D$32,"Fiscal_Yr","2024-25","CapabilityType","NationalFireResilience")</f>
        <v>115</v>
      </c>
      <c r="M29" s="662">
        <f>SUM(B29:J29)</f>
        <v>136</v>
      </c>
    </row>
    <row r="30" spans="1:13" ht="15" thickBot="1" x14ac:dyDescent="0.35">
      <c r="A30" s="524" t="s">
        <v>412</v>
      </c>
      <c r="B30" s="325">
        <f>GETPIVOTDATA("Value",CapabilitiesPivot!$A$1,"Fiscal_Yr","2025-26","Capability","Flood")</f>
        <v>81</v>
      </c>
      <c r="C30" s="325">
        <f>GETPIVOTDATA("Value",CapabilitiesPivot!$A$1,"Fiscal_Yr","2025-26","Capability","SRT")</f>
        <v>20</v>
      </c>
      <c r="D30" s="325">
        <f>GETPIVOTDATA("Value",CapabilitiesPivot!$C$4,"Fiscal_Yr",A30,"Capability","DIM")</f>
        <v>4</v>
      </c>
      <c r="E30" s="325">
        <f>GETPIVOTDATA("Value",CapabilitiesPivot!$C$4,"Fiscal_Yr",A30,"Capability","HSU")</f>
        <v>1</v>
      </c>
      <c r="F30" s="325">
        <f>GETPIVOTDATA("Value",CapabilitiesPivot!$C$4,"Fiscal_Yr",A30,"Capability","SOR")</f>
        <v>4</v>
      </c>
      <c r="G30" s="325">
        <f>GETPIVOTDATA("Value",CapabilitiesPivot!$C$4,"Fiscal_Yr",A30,"Capability","MD")</f>
        <v>8</v>
      </c>
      <c r="H30" s="325">
        <f>GETPIVOTDATA("Value",CapabilitiesPivot!$C$4,"Fiscal_Yr",A30,"Capability","USAR")</f>
        <v>6</v>
      </c>
      <c r="I30" s="325">
        <f>GETPIVOTDATA("Value",CapabilitiesPivot!$C$4,"Fiscal_Yr",A30,"Capability","CSU")</f>
        <v>8</v>
      </c>
      <c r="J30" s="325">
        <f>GETPIVOTDATA("Value",CapabilitiesPivot!$C$4,"Fiscal_Yr",A30,"Capability","HVP")</f>
        <v>4</v>
      </c>
      <c r="K30" s="325"/>
      <c r="L30" s="325">
        <f>GETPIVOTDATA("Number of Stations with Capability",CapabilitiesPivot!$D$32,"Fiscal_Yr","2025-26","CapabilityType","NationalFireResilience")</f>
        <v>115</v>
      </c>
      <c r="M30" s="524">
        <f>SUM(B30:J30)</f>
        <v>136</v>
      </c>
    </row>
    <row r="31" spans="1:13" x14ac:dyDescent="0.3">
      <c r="A31" s="312"/>
    </row>
    <row r="32" spans="1:13" ht="18" x14ac:dyDescent="0.35">
      <c r="B32" s="572" t="s">
        <v>440</v>
      </c>
    </row>
    <row r="33" spans="1:13" ht="15.6" x14ac:dyDescent="0.3">
      <c r="B33" s="571"/>
    </row>
    <row r="34" spans="1:13" ht="57.6" x14ac:dyDescent="0.3">
      <c r="A34" s="589" t="s">
        <v>208</v>
      </c>
      <c r="B34" s="520" t="s">
        <v>441</v>
      </c>
      <c r="C34" s="520" t="s">
        <v>442</v>
      </c>
      <c r="D34" s="520" t="s">
        <v>443</v>
      </c>
      <c r="E34" s="520" t="s">
        <v>444</v>
      </c>
      <c r="F34" s="575" t="s">
        <v>400</v>
      </c>
      <c r="G34" s="576"/>
      <c r="H34" s="574" t="s">
        <v>445</v>
      </c>
      <c r="I34" s="574" t="s">
        <v>446</v>
      </c>
    </row>
    <row r="35" spans="1:13" x14ac:dyDescent="0.3">
      <c r="A35" s="662" t="s">
        <v>312</v>
      </c>
      <c r="B35" s="663">
        <f>GETPIVOTDATA("Value",CapabilitiesPivot!$C$4,"Fiscal_Yr","2019-20","Capability","EPU")</f>
        <v>5</v>
      </c>
      <c r="C35" s="663">
        <f>GETPIVOTDATA("Value",CapabilitiesPivot!$C$4,"Fiscal_Yr","2019-20","Capability","HighR")</f>
        <v>25</v>
      </c>
      <c r="D35" s="663">
        <f>GETPIVOTDATA("Value",CapabilitiesPivot!$C$4,"Fiscal_Yr","2019-20","Capability","Rope")</f>
        <v>3</v>
      </c>
      <c r="E35" s="663">
        <f>GETPIVOTDATA("Value",CapabilitiesPivot!$C$4,"Fiscal_Yr","2019-20","Capability","HvR")</f>
        <v>8</v>
      </c>
      <c r="F35" s="663">
        <f>GETPIVOTDATA("Value",CapabilitiesPivot!$C$4,"Fiscal_Yr","2019-20","Capability","Welfare")</f>
        <v>7</v>
      </c>
      <c r="H35" s="520">
        <f>GETPIVOTDATA("Number of Stations with Capability",CapabilitiesPivot!$D$32,"Fiscal_Yr","2019-20","CapabilityType","Specialist")</f>
        <v>37</v>
      </c>
      <c r="I35" s="664">
        <f t="shared" ref="I35:I40" si="6">SUM(B35:F35)</f>
        <v>48</v>
      </c>
    </row>
    <row r="36" spans="1:13" x14ac:dyDescent="0.3">
      <c r="A36" s="662" t="s">
        <v>318</v>
      </c>
      <c r="B36" s="663">
        <f>GETPIVOTDATA("Value",CapabilitiesPivot!$C$4,"Fiscal_Yr","2020-21","Capability","EPU")</f>
        <v>5</v>
      </c>
      <c r="C36" s="663">
        <f>GETPIVOTDATA("Value",CapabilitiesPivot!$C$4,"Fiscal_Yr","2020-21","Capability","HighR")</f>
        <v>25</v>
      </c>
      <c r="D36" s="663">
        <f>GETPIVOTDATA("Value",CapabilitiesPivot!$C$4,"Fiscal_Yr","2020-21","Capability","Rope")</f>
        <v>3</v>
      </c>
      <c r="E36" s="663">
        <f>GETPIVOTDATA("Value",CapabilitiesPivot!$C$4,"Fiscal_Yr","2020-21","Capability","HvR")</f>
        <v>8</v>
      </c>
      <c r="F36" s="663">
        <f>GETPIVOTDATA("Value",CapabilitiesPivot!$C$4,"Fiscal_Yr","2020-21","Capability","Welfare")</f>
        <v>7</v>
      </c>
      <c r="H36" s="520">
        <f>GETPIVOTDATA("Number of Stations with Capability",CapabilitiesPivot!$D$32,"Fiscal_Yr","2020-21","CapabilityType","Specialist")</f>
        <v>37</v>
      </c>
      <c r="I36" s="664">
        <f t="shared" si="6"/>
        <v>48</v>
      </c>
    </row>
    <row r="37" spans="1:13" x14ac:dyDescent="0.3">
      <c r="A37" s="662" t="s">
        <v>320</v>
      </c>
      <c r="B37" s="663">
        <f>GETPIVOTDATA("Value",CapabilitiesPivot!$C$4,"Fiscal_Yr","2021-22","Capability","EPU")</f>
        <v>5</v>
      </c>
      <c r="C37" s="663">
        <f>GETPIVOTDATA("Value",CapabilitiesPivot!$C$4,"Fiscal_Yr","2021-22","Capability","HighR")</f>
        <v>25</v>
      </c>
      <c r="D37" s="663">
        <f>GETPIVOTDATA("Value",CapabilitiesPivot!$C$4,"Fiscal_Yr","2021-22","Capability","Rope")</f>
        <v>4</v>
      </c>
      <c r="E37" s="663">
        <f>GETPIVOTDATA("Value",CapabilitiesPivot!$C$4,"Fiscal_Yr","2021-22","Capability","HvR")</f>
        <v>7</v>
      </c>
      <c r="F37" s="663">
        <f>GETPIVOTDATA("Value",CapabilitiesPivot!$C$4,"Fiscal_Yr","2021-22","Capability","Welfare")</f>
        <v>7</v>
      </c>
      <c r="H37" s="663">
        <f>GETPIVOTDATA("Number of Stations with Capability",CapabilitiesPivot!$D$32,"Fiscal_Yr","2021-22","CapabilityType","Specialist")</f>
        <v>36</v>
      </c>
      <c r="I37" s="664">
        <f t="shared" si="6"/>
        <v>48</v>
      </c>
    </row>
    <row r="38" spans="1:13" x14ac:dyDescent="0.3">
      <c r="A38" s="662" t="s">
        <v>325</v>
      </c>
      <c r="B38" s="663">
        <f>GETPIVOTDATA("Value",CapabilitiesPivot!$C$4,"Fiscal_Yr","2022-23","Capability","EPU")</f>
        <v>5</v>
      </c>
      <c r="C38" s="663">
        <f>GETPIVOTDATA("Value",CapabilitiesPivot!$C$4,"Fiscal_Yr","2022-23","Capability","HighR")</f>
        <v>25</v>
      </c>
      <c r="D38" s="663">
        <f>GETPIVOTDATA("Value",CapabilitiesPivot!$C$4,"Fiscal_Yr","2022-23","Capability","Rope")</f>
        <v>4</v>
      </c>
      <c r="E38" s="663">
        <f>GETPIVOTDATA("Value",CapabilitiesPivot!$C$4,"Fiscal_Yr","2022-23","Capability","HvR")</f>
        <v>7</v>
      </c>
      <c r="F38" s="663">
        <f>GETPIVOTDATA("Value",CapabilitiesPivot!$C$4,"Fiscal_Yr","2022-23","Capability","Welfare")</f>
        <v>8</v>
      </c>
      <c r="H38" s="663">
        <f>GETPIVOTDATA("Number of Stations with Capability",CapabilitiesPivot!$D$32,"Fiscal_Yr","2022-23","CapabilityType","Specialist")</f>
        <v>35</v>
      </c>
      <c r="I38" s="664">
        <f t="shared" si="6"/>
        <v>49</v>
      </c>
    </row>
    <row r="39" spans="1:13" x14ac:dyDescent="0.3">
      <c r="A39" s="662" t="s">
        <v>326</v>
      </c>
      <c r="B39" s="663">
        <f>GETPIVOTDATA("Value",CapabilitiesPivot!$C$4,"Fiscal_Yr",A39,"Capability","EPU")</f>
        <v>5</v>
      </c>
      <c r="C39" s="663">
        <f>GETPIVOTDATA("Value",CapabilitiesPivot!$C$4,"Fiscal_Yr",A39,"Capability","HighR")</f>
        <v>16</v>
      </c>
      <c r="D39" s="663">
        <f>GETPIVOTDATA("Value",CapabilitiesPivot!$C$4,"Fiscal_Yr",A39,"Capability","Rope")</f>
        <v>4</v>
      </c>
      <c r="E39" s="663">
        <f>GETPIVOTDATA("Value",CapabilitiesPivot!$C$4,"Fiscal_Yr",A39,"Capability","HvR")</f>
        <v>5</v>
      </c>
      <c r="F39" s="663">
        <f>GETPIVOTDATA("Value",CapabilitiesPivot!$C$4,"Fiscal_Yr",A39,"Capability","Welfare")</f>
        <v>7</v>
      </c>
      <c r="H39" s="663">
        <f>GETPIVOTDATA("Number of Stations with Capability",CapabilitiesPivot!$D$32,"Fiscal_Yr",A39,"CapabilityType","Specialist")</f>
        <v>26</v>
      </c>
      <c r="I39" s="664">
        <f t="shared" si="6"/>
        <v>37</v>
      </c>
    </row>
    <row r="40" spans="1:13" x14ac:dyDescent="0.3">
      <c r="A40" s="525" t="s">
        <v>328</v>
      </c>
      <c r="B40" s="300">
        <f>GETPIVOTDATA("Value",CapabilitiesPivot!$C$4,"Fiscal_Yr",A40,"Capability","EPU")</f>
        <v>4</v>
      </c>
      <c r="C40" s="300">
        <f>GETPIVOTDATA("Value",CapabilitiesPivot!$C$4,"Fiscal_Yr",A40,"Capability","HighR")</f>
        <v>16</v>
      </c>
      <c r="D40" s="300">
        <f>GETPIVOTDATA("Value",CapabilitiesPivot!$C$4,"Fiscal_Yr",A40,"Capability","Rope")</f>
        <v>4</v>
      </c>
      <c r="E40" s="300">
        <f>GETPIVOTDATA("Value",CapabilitiesPivot!$C$4,"Fiscal_Yr",A40,"Capability","HvR")</f>
        <v>6</v>
      </c>
      <c r="F40" s="300">
        <f>GETPIVOTDATA("Value",CapabilitiesPivot!$C$4,"Fiscal_Yr",A40,"Capability","Welfare")</f>
        <v>7</v>
      </c>
      <c r="H40" s="300">
        <f>GETPIVOTDATA("Number of Stations with Capability",CapabilitiesPivot!$D$32,"Fiscal_Yr",A40,"CapabilityType","Specialist")</f>
        <v>26</v>
      </c>
      <c r="I40" s="495">
        <f t="shared" si="6"/>
        <v>37</v>
      </c>
    </row>
    <row r="41" spans="1:13" ht="15" thickBot="1" x14ac:dyDescent="0.35">
      <c r="A41" s="524" t="s">
        <v>412</v>
      </c>
      <c r="B41" s="325">
        <f>GETPIVOTDATA("Value",CapabilitiesPivot!$C$4,"Fiscal_Yr",A41,"Capability","EPU")</f>
        <v>4</v>
      </c>
      <c r="C41" s="325">
        <f>GETPIVOTDATA("Value",CapabilitiesPivot!$C$4,"Fiscal_Yr",A41,"Capability","HighR")</f>
        <v>16</v>
      </c>
      <c r="D41" s="325">
        <f>GETPIVOTDATA("Value",CapabilitiesPivot!$C$4,"Fiscal_Yr",A41,"Capability","Rope")</f>
        <v>4</v>
      </c>
      <c r="E41" s="325">
        <f>GETPIVOTDATA("Value",CapabilitiesPivot!$C$4,"Fiscal_Yr",A41,"Capability","HvR")</f>
        <v>6</v>
      </c>
      <c r="F41" s="325">
        <f>GETPIVOTDATA("Value",CapabilitiesPivot!$C$4,"Fiscal_Yr",A41,"Capability","Welfare")</f>
        <v>7</v>
      </c>
      <c r="G41" s="325"/>
      <c r="H41" s="325">
        <f>GETPIVOTDATA("Number of Stations with Capability",CapabilitiesPivot!$D$32,"Fiscal_Yr",A41,"CapabilityType","Specialist")</f>
        <v>26</v>
      </c>
      <c r="I41" s="783">
        <f t="shared" ref="I41" si="7">SUM(B41:F41)</f>
        <v>37</v>
      </c>
    </row>
    <row r="43" spans="1:13" x14ac:dyDescent="0.3">
      <c r="A43" s="334" t="s">
        <v>329</v>
      </c>
    </row>
    <row r="44" spans="1:13" x14ac:dyDescent="0.3">
      <c r="A44" t="s">
        <v>447</v>
      </c>
    </row>
    <row r="45" spans="1:13" x14ac:dyDescent="0.3">
      <c r="A45" t="s">
        <v>448</v>
      </c>
    </row>
    <row r="46" spans="1:13" x14ac:dyDescent="0.3">
      <c r="A46" t="s">
        <v>449</v>
      </c>
    </row>
    <row r="47" spans="1:13" ht="30.9" customHeight="1" x14ac:dyDescent="0.3">
      <c r="A47" s="1029" t="s">
        <v>450</v>
      </c>
      <c r="B47" s="1029"/>
      <c r="C47" s="1029"/>
      <c r="D47" s="1029"/>
      <c r="E47" s="1029"/>
      <c r="F47" s="1029"/>
      <c r="G47" s="1029"/>
      <c r="H47" s="1029"/>
      <c r="I47" s="1029"/>
      <c r="J47" s="1029"/>
      <c r="K47" s="1029"/>
      <c r="L47" s="1029"/>
      <c r="M47" s="1029"/>
    </row>
    <row r="48" spans="1:13" ht="45.9" customHeight="1" x14ac:dyDescent="0.3">
      <c r="A48" s="1029" t="s">
        <v>451</v>
      </c>
      <c r="B48" s="1029"/>
      <c r="C48" s="1029"/>
      <c r="D48" s="1029"/>
      <c r="E48" s="1029"/>
      <c r="F48" s="1029"/>
      <c r="G48" s="1029"/>
      <c r="H48" s="1029"/>
      <c r="I48" s="1029"/>
      <c r="J48" s="1029"/>
      <c r="K48" s="1029"/>
      <c r="L48" s="1029"/>
      <c r="M48" s="1029"/>
    </row>
    <row r="49" spans="1:9" ht="46.5" customHeight="1" x14ac:dyDescent="0.3">
      <c r="A49" s="1029" t="s">
        <v>452</v>
      </c>
      <c r="B49" s="1029"/>
      <c r="C49" s="1029"/>
      <c r="D49" s="1029"/>
      <c r="E49" s="1029"/>
      <c r="F49" s="1029"/>
      <c r="G49" s="1029"/>
      <c r="H49" s="1029"/>
      <c r="I49" s="1029"/>
    </row>
  </sheetData>
  <sheetProtection algorithmName="SHA-512" hashValue="2YoI0zBzc7MrjDU4rMaEJ3EyBlR4BE392xIO8sGHkdpYWiIVFovdX+tWVsCVXfcmjSnrj16A/2KUX3Z66cRUFQ==" saltValue="ub+plvhdbPwx0fhf0URPNw==" spinCount="100000" sheet="1" formatCells="0" sort="0" autoFilter="0" pivotTables="0"/>
  <mergeCells count="7">
    <mergeCell ref="A49:I49"/>
    <mergeCell ref="A47:M47"/>
    <mergeCell ref="A48:M48"/>
    <mergeCell ref="A1:C1"/>
    <mergeCell ref="A11:A12"/>
    <mergeCell ref="B11:E11"/>
    <mergeCell ref="F11:H11"/>
  </mergeCells>
  <phoneticPr fontId="53" type="noConversion"/>
  <hyperlinks>
    <hyperlink ref="A2" location="'Table of Contents'!A1" display="Back to Table of Contents" xr:uid="{00000000-0004-0000-0E00-000000000000}"/>
  </hyperlinks>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theme="4" tint="0.59999389629810485"/>
  </sheetPr>
  <dimension ref="A1:H20"/>
  <sheetViews>
    <sheetView showGridLines="0" workbookViewId="0">
      <pane ySplit="2" topLeftCell="A3" activePane="bottomLeft" state="frozen"/>
      <selection pane="bottomLeft" sqref="A1:C1"/>
    </sheetView>
  </sheetViews>
  <sheetFormatPr defaultRowHeight="14.4" x14ac:dyDescent="0.3"/>
  <cols>
    <col min="1" max="1" width="11" bestFit="1" customWidth="1"/>
    <col min="2" max="2" width="24" bestFit="1" customWidth="1"/>
  </cols>
  <sheetData>
    <row r="1" spans="1:8" ht="15.6" x14ac:dyDescent="0.3">
      <c r="A1" s="1030" t="s">
        <v>333</v>
      </c>
      <c r="B1" s="1030"/>
      <c r="C1" s="1030"/>
    </row>
    <row r="2" spans="1:8" ht="15.6" x14ac:dyDescent="0.3">
      <c r="A2" s="498" t="s">
        <v>202</v>
      </c>
      <c r="B2" s="440"/>
      <c r="C2" s="440"/>
    </row>
    <row r="4" spans="1:8" ht="15.6" x14ac:dyDescent="0.3">
      <c r="A4" s="1031" t="s">
        <v>453</v>
      </c>
      <c r="B4" s="1031"/>
      <c r="C4" s="1031"/>
      <c r="D4" s="1031"/>
      <c r="E4" s="1031"/>
      <c r="F4" s="1031"/>
      <c r="G4" s="1031"/>
      <c r="H4" s="1031"/>
    </row>
    <row r="5" spans="1:8" ht="15.75" customHeight="1" x14ac:dyDescent="0.3">
      <c r="A5" s="560" t="s">
        <v>454</v>
      </c>
    </row>
    <row r="6" spans="1:8" x14ac:dyDescent="0.3">
      <c r="A6" s="560" t="s">
        <v>45</v>
      </c>
      <c r="B6" s="512"/>
      <c r="C6" s="512"/>
      <c r="D6" s="512"/>
      <c r="E6" s="512" t="s">
        <v>335</v>
      </c>
      <c r="F6" s="512">
        <v>74</v>
      </c>
    </row>
    <row r="7" spans="1:8" x14ac:dyDescent="0.3">
      <c r="A7" s="512"/>
      <c r="B7" s="512"/>
      <c r="C7" s="512"/>
      <c r="D7" s="512"/>
      <c r="E7" s="512" t="s">
        <v>338</v>
      </c>
      <c r="F7" s="512">
        <v>240</v>
      </c>
    </row>
    <row r="8" spans="1:8" ht="15.75" customHeight="1" x14ac:dyDescent="0.3">
      <c r="A8" s="512"/>
      <c r="B8" s="512"/>
      <c r="C8" s="512"/>
      <c r="D8" s="512"/>
      <c r="E8" s="512" t="s">
        <v>339</v>
      </c>
      <c r="F8" s="512">
        <v>42</v>
      </c>
    </row>
    <row r="9" spans="1:8" x14ac:dyDescent="0.3">
      <c r="A9" s="512"/>
      <c r="B9" s="512"/>
      <c r="C9" s="512"/>
      <c r="D9" s="512"/>
      <c r="E9" s="512"/>
      <c r="F9" s="512"/>
    </row>
    <row r="10" spans="1:8" x14ac:dyDescent="0.3">
      <c r="A10" s="512"/>
      <c r="B10" s="512"/>
      <c r="C10" s="512"/>
      <c r="D10" s="512"/>
      <c r="E10" s="512"/>
      <c r="F10" s="512"/>
    </row>
    <row r="11" spans="1:8" x14ac:dyDescent="0.3">
      <c r="A11" s="512"/>
      <c r="B11" s="512"/>
      <c r="C11" s="512"/>
      <c r="D11" s="512"/>
      <c r="E11" s="512"/>
      <c r="F11" s="512"/>
    </row>
    <row r="12" spans="1:8" x14ac:dyDescent="0.3">
      <c r="A12" s="512"/>
      <c r="B12" s="512"/>
      <c r="C12" s="512"/>
      <c r="D12" s="512"/>
      <c r="E12" s="512"/>
      <c r="F12" s="512"/>
    </row>
    <row r="13" spans="1:8" x14ac:dyDescent="0.3">
      <c r="A13" s="512"/>
      <c r="B13" s="512" t="s">
        <v>335</v>
      </c>
      <c r="C13" s="512">
        <v>74</v>
      </c>
      <c r="D13" s="512"/>
      <c r="E13" s="512"/>
      <c r="F13" s="512"/>
    </row>
    <row r="14" spans="1:8" x14ac:dyDescent="0.3">
      <c r="A14" s="512"/>
      <c r="B14" s="512" t="s">
        <v>338</v>
      </c>
      <c r="C14" s="512">
        <v>240</v>
      </c>
      <c r="D14" s="512"/>
      <c r="E14" s="512"/>
      <c r="F14" s="512"/>
    </row>
    <row r="15" spans="1:8" x14ac:dyDescent="0.3">
      <c r="A15" s="512"/>
      <c r="B15" s="512" t="s">
        <v>339</v>
      </c>
      <c r="C15" s="512">
        <v>42</v>
      </c>
      <c r="D15" s="512"/>
      <c r="E15" s="512"/>
      <c r="F15" s="512"/>
    </row>
    <row r="16" spans="1:8" x14ac:dyDescent="0.3">
      <c r="A16" s="512"/>
      <c r="B16" s="512"/>
      <c r="C16" s="512"/>
      <c r="D16" s="512"/>
      <c r="E16" s="512"/>
      <c r="F16" s="512"/>
    </row>
    <row r="17" spans="1:6" x14ac:dyDescent="0.3">
      <c r="A17" s="512"/>
      <c r="B17" s="512"/>
      <c r="C17" s="512"/>
      <c r="D17" s="512"/>
      <c r="E17" s="512"/>
      <c r="F17" s="512"/>
    </row>
    <row r="18" spans="1:6" x14ac:dyDescent="0.3">
      <c r="A18" s="512"/>
      <c r="B18" s="512"/>
      <c r="C18" s="512"/>
      <c r="D18" s="512"/>
      <c r="E18" s="512"/>
      <c r="F18" s="512"/>
    </row>
    <row r="19" spans="1:6" x14ac:dyDescent="0.3">
      <c r="A19" s="512"/>
      <c r="B19" s="512"/>
      <c r="C19" s="512"/>
      <c r="D19" s="512"/>
      <c r="E19" s="512"/>
      <c r="F19" s="512"/>
    </row>
    <row r="20" spans="1:6" x14ac:dyDescent="0.3">
      <c r="A20" s="512"/>
      <c r="B20" s="512"/>
      <c r="C20" s="512"/>
      <c r="D20" s="512"/>
      <c r="E20" s="512"/>
      <c r="F20" s="512"/>
    </row>
  </sheetData>
  <sheetProtection algorithmName="SHA-512" hashValue="eeTuw6wmamP4jSWmZK0GslicZOmxeCBNdAZv44QddA1C6OidkhIhU+FLcdbj93/klEH1jkmvAfh45Zqi0bh2jQ==" saltValue="QeOn5hg81XKlJLvlwgh/+A==" spinCount="100000" sheet="1" scenarios="1" formatCells="0" sort="0" autoFilter="0" pivotTables="0"/>
  <mergeCells count="2">
    <mergeCell ref="A1:C1"/>
    <mergeCell ref="A4:H4"/>
  </mergeCells>
  <hyperlinks>
    <hyperlink ref="A2" location="'Table of Contents'!A1" display="Back to Table of Contents" xr:uid="{00000000-0004-0000-0F00-000000000000}"/>
  </hyperlinks>
  <pageMargins left="0.7" right="0.7" top="0.75" bottom="0.75" header="0.3" footer="0.3"/>
  <pageSetup paperSize="9" orientation="portrait" r:id="rId1"/>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theme="4" tint="0.59999389629810485"/>
  </sheetPr>
  <dimension ref="A1:H6"/>
  <sheetViews>
    <sheetView showGridLines="0" workbookViewId="0">
      <pane ySplit="2" topLeftCell="A3" activePane="bottomLeft" state="frozen"/>
      <selection pane="bottomLeft" sqref="A1:C1"/>
    </sheetView>
  </sheetViews>
  <sheetFormatPr defaultRowHeight="14.4" x14ac:dyDescent="0.3"/>
  <sheetData>
    <row r="1" spans="1:8" ht="15.6" x14ac:dyDescent="0.3">
      <c r="A1" s="1030" t="s">
        <v>333</v>
      </c>
      <c r="B1" s="1030"/>
      <c r="C1" s="1030"/>
    </row>
    <row r="2" spans="1:8" ht="15.6" x14ac:dyDescent="0.3">
      <c r="A2" s="498" t="s">
        <v>202</v>
      </c>
      <c r="B2" s="440"/>
      <c r="C2" s="440"/>
    </row>
    <row r="4" spans="1:8" ht="15.6" x14ac:dyDescent="0.3">
      <c r="A4" s="1031" t="s">
        <v>345</v>
      </c>
      <c r="B4" s="1031"/>
      <c r="C4" s="1031"/>
      <c r="D4" s="1031"/>
      <c r="E4" s="1031"/>
      <c r="F4" s="1031"/>
      <c r="G4" s="1031"/>
      <c r="H4" s="1031"/>
    </row>
    <row r="5" spans="1:8" x14ac:dyDescent="0.3">
      <c r="A5" s="560" t="s">
        <v>454</v>
      </c>
    </row>
    <row r="6" spans="1:8" x14ac:dyDescent="0.3">
      <c r="A6" s="560" t="s">
        <v>46</v>
      </c>
    </row>
  </sheetData>
  <sheetProtection algorithmName="SHA-512" hashValue="f0g6uvgzP0oIgyIKw0UOrhTzVa0hM2lh6P805+kWGb8Be2gOTEdM4gqj+rMGCgTNDjdOLnnWT7VLvMlj/kCZOg==" saltValue="OqCBUwu6ltP/ET3k8ivB6w==" spinCount="100000" sheet="1" scenarios="1" formatCells="0" sort="0" autoFilter="0" pivotTables="0"/>
  <mergeCells count="2">
    <mergeCell ref="A1:C1"/>
    <mergeCell ref="A4:H4"/>
  </mergeCells>
  <hyperlinks>
    <hyperlink ref="A2" location="'Table of Contents'!A1" display="Back to Table of Contents"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theme="4" tint="0.59999389629810485"/>
  </sheetPr>
  <dimension ref="A1:H6"/>
  <sheetViews>
    <sheetView showGridLines="0" workbookViewId="0">
      <pane ySplit="2" topLeftCell="A17" activePane="bottomLeft" state="frozen"/>
      <selection pane="bottomLeft" activeCell="K18" sqref="K18"/>
    </sheetView>
  </sheetViews>
  <sheetFormatPr defaultRowHeight="14.4" x14ac:dyDescent="0.3"/>
  <sheetData>
    <row r="1" spans="1:8" ht="15.6" x14ac:dyDescent="0.3">
      <c r="A1" s="1030" t="s">
        <v>333</v>
      </c>
      <c r="B1" s="1030"/>
      <c r="C1" s="1030"/>
    </row>
    <row r="2" spans="1:8" ht="15.6" x14ac:dyDescent="0.3">
      <c r="A2" s="498" t="s">
        <v>202</v>
      </c>
      <c r="B2" s="440"/>
      <c r="C2" s="440"/>
    </row>
    <row r="4" spans="1:8" ht="15.6" x14ac:dyDescent="0.3">
      <c r="A4" s="1031" t="s">
        <v>455</v>
      </c>
      <c r="B4" s="1031"/>
      <c r="C4" s="1031"/>
      <c r="D4" s="1031"/>
      <c r="E4" s="1031"/>
      <c r="F4" s="1031"/>
      <c r="G4" s="1031"/>
      <c r="H4" s="1031"/>
    </row>
    <row r="5" spans="1:8" x14ac:dyDescent="0.3">
      <c r="A5" s="560" t="s">
        <v>454</v>
      </c>
    </row>
    <row r="6" spans="1:8" x14ac:dyDescent="0.3">
      <c r="A6" s="560" t="s">
        <v>48</v>
      </c>
    </row>
  </sheetData>
  <sheetProtection algorithmName="SHA-512" hashValue="krbQ/JTGyY6EW350dp66pFYvtFZH22DoAzm/OylbuPHGQtJLTzg653w8JgAbkQCLzXBkbw7ROIOejruK15AqFA==" saltValue="jdfqE6bcTjNWDBRdRitppA==" spinCount="100000" sheet="1" scenarios="1" formatCells="0" sort="0" autoFilter="0" pivotTables="0"/>
  <mergeCells count="2">
    <mergeCell ref="A1:C1"/>
    <mergeCell ref="A4:H4"/>
  </mergeCells>
  <hyperlinks>
    <hyperlink ref="A2" location="'Table of Contents'!A1" display="Back to Table of Contents" xr:uid="{00000000-0004-0000-1100-000000000000}"/>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834CC50-461A-48A6-B6F7-F060CB834AC6}">
  <dimension ref="A3:N18"/>
  <sheetViews>
    <sheetView topLeftCell="A4" workbookViewId="0">
      <selection activeCell="F7" sqref="F7"/>
    </sheetView>
  </sheetViews>
  <sheetFormatPr defaultRowHeight="14.4" x14ac:dyDescent="0.3"/>
  <cols>
    <col min="1" max="1" width="12.44140625" bestFit="1" customWidth="1"/>
    <col min="2" max="2" width="24.109375" bestFit="1" customWidth="1"/>
    <col min="3" max="3" width="21.5546875" bestFit="1" customWidth="1"/>
    <col min="4" max="4" width="25" bestFit="1" customWidth="1"/>
    <col min="5" max="5" width="15.44140625" bestFit="1" customWidth="1"/>
    <col min="6" max="6" width="28.5546875" bestFit="1" customWidth="1"/>
    <col min="7" max="7" width="29" bestFit="1" customWidth="1"/>
    <col min="8" max="8" width="12" bestFit="1" customWidth="1"/>
    <col min="9" max="9" width="21.109375" bestFit="1" customWidth="1"/>
    <col min="10" max="10" width="28.88671875" bestFit="1" customWidth="1"/>
    <col min="11" max="11" width="23.44140625" bestFit="1" customWidth="1"/>
    <col min="12" max="12" width="23.5546875" bestFit="1" customWidth="1"/>
    <col min="13" max="13" width="51.44140625" bestFit="1" customWidth="1"/>
    <col min="14" max="14" width="28.6640625" bestFit="1" customWidth="1"/>
  </cols>
  <sheetData>
    <row r="3" spans="1:14" x14ac:dyDescent="0.3">
      <c r="A3" s="386" t="s">
        <v>350</v>
      </c>
      <c r="B3" t="s">
        <v>456</v>
      </c>
      <c r="C3" t="s">
        <v>457</v>
      </c>
      <c r="D3" t="s">
        <v>458</v>
      </c>
      <c r="E3" t="s">
        <v>459</v>
      </c>
      <c r="F3" t="s">
        <v>460</v>
      </c>
      <c r="G3" t="s">
        <v>461</v>
      </c>
      <c r="H3" t="s">
        <v>462</v>
      </c>
      <c r="I3" t="s">
        <v>463</v>
      </c>
      <c r="J3" t="s">
        <v>464</v>
      </c>
      <c r="K3" t="s">
        <v>465</v>
      </c>
      <c r="L3" t="s">
        <v>466</v>
      </c>
      <c r="M3" t="s">
        <v>467</v>
      </c>
      <c r="N3" t="s">
        <v>468</v>
      </c>
    </row>
    <row r="4" spans="1:14" x14ac:dyDescent="0.3">
      <c r="A4" s="387" t="s">
        <v>363</v>
      </c>
      <c r="B4">
        <v>465</v>
      </c>
      <c r="C4">
        <v>28</v>
      </c>
      <c r="D4">
        <v>37</v>
      </c>
      <c r="E4">
        <v>22</v>
      </c>
      <c r="F4">
        <v>15</v>
      </c>
      <c r="G4">
        <v>30</v>
      </c>
      <c r="H4">
        <v>23</v>
      </c>
      <c r="I4">
        <v>620</v>
      </c>
      <c r="K4">
        <v>59</v>
      </c>
      <c r="L4">
        <v>31</v>
      </c>
      <c r="M4">
        <v>805</v>
      </c>
      <c r="N4">
        <v>1515</v>
      </c>
    </row>
    <row r="5" spans="1:14" x14ac:dyDescent="0.3">
      <c r="A5" s="387" t="s">
        <v>364</v>
      </c>
      <c r="B5">
        <v>452</v>
      </c>
      <c r="C5">
        <v>31</v>
      </c>
      <c r="D5">
        <v>21</v>
      </c>
      <c r="F5">
        <v>19</v>
      </c>
      <c r="G5">
        <v>29</v>
      </c>
      <c r="H5">
        <v>25</v>
      </c>
      <c r="I5">
        <v>577</v>
      </c>
      <c r="K5">
        <v>65</v>
      </c>
      <c r="L5">
        <v>31</v>
      </c>
      <c r="M5">
        <v>628</v>
      </c>
      <c r="N5">
        <v>1301</v>
      </c>
    </row>
    <row r="6" spans="1:14" x14ac:dyDescent="0.3">
      <c r="A6" s="387" t="s">
        <v>365</v>
      </c>
      <c r="B6">
        <v>449</v>
      </c>
      <c r="C6">
        <v>14</v>
      </c>
      <c r="D6">
        <v>23</v>
      </c>
      <c r="E6">
        <v>25</v>
      </c>
      <c r="F6">
        <v>16</v>
      </c>
      <c r="G6">
        <v>36</v>
      </c>
      <c r="H6">
        <v>24</v>
      </c>
      <c r="I6">
        <v>587</v>
      </c>
      <c r="K6">
        <v>85</v>
      </c>
      <c r="L6">
        <v>27</v>
      </c>
      <c r="M6">
        <v>875</v>
      </c>
      <c r="N6">
        <v>1574</v>
      </c>
    </row>
    <row r="7" spans="1:14" x14ac:dyDescent="0.3">
      <c r="A7" s="387" t="s">
        <v>366</v>
      </c>
      <c r="B7">
        <v>438</v>
      </c>
      <c r="C7">
        <v>12</v>
      </c>
      <c r="D7">
        <v>14</v>
      </c>
      <c r="E7">
        <v>24</v>
      </c>
      <c r="F7">
        <v>18</v>
      </c>
      <c r="G7">
        <v>39</v>
      </c>
      <c r="H7">
        <v>47</v>
      </c>
      <c r="I7">
        <v>592</v>
      </c>
      <c r="K7">
        <v>65</v>
      </c>
      <c r="L7">
        <v>42</v>
      </c>
      <c r="M7">
        <v>811</v>
      </c>
      <c r="N7">
        <v>1510</v>
      </c>
    </row>
    <row r="8" spans="1:14" x14ac:dyDescent="0.3">
      <c r="A8" s="387" t="s">
        <v>341</v>
      </c>
      <c r="B8">
        <v>418</v>
      </c>
      <c r="C8">
        <v>26</v>
      </c>
      <c r="D8">
        <v>43</v>
      </c>
      <c r="E8">
        <v>26</v>
      </c>
      <c r="F8">
        <v>17</v>
      </c>
      <c r="G8">
        <v>34</v>
      </c>
      <c r="H8">
        <v>68</v>
      </c>
      <c r="I8">
        <v>632</v>
      </c>
      <c r="K8">
        <v>65</v>
      </c>
      <c r="L8">
        <v>62</v>
      </c>
      <c r="M8">
        <v>788</v>
      </c>
      <c r="N8">
        <v>1547</v>
      </c>
    </row>
    <row r="9" spans="1:14" x14ac:dyDescent="0.3">
      <c r="A9" s="387" t="s">
        <v>342</v>
      </c>
      <c r="B9">
        <v>417</v>
      </c>
      <c r="C9">
        <v>25</v>
      </c>
      <c r="D9">
        <v>43</v>
      </c>
      <c r="E9">
        <v>27</v>
      </c>
      <c r="F9">
        <v>20</v>
      </c>
      <c r="G9">
        <v>41</v>
      </c>
      <c r="H9">
        <v>59</v>
      </c>
      <c r="I9">
        <v>632</v>
      </c>
      <c r="J9">
        <v>95</v>
      </c>
      <c r="K9">
        <v>74</v>
      </c>
      <c r="L9">
        <v>64</v>
      </c>
      <c r="M9">
        <v>641</v>
      </c>
      <c r="N9">
        <v>1506</v>
      </c>
    </row>
    <row r="10" spans="1:14" x14ac:dyDescent="0.3">
      <c r="A10" s="387" t="s">
        <v>213</v>
      </c>
      <c r="B10">
        <v>431</v>
      </c>
      <c r="C10">
        <v>28</v>
      </c>
      <c r="D10">
        <v>42</v>
      </c>
      <c r="E10">
        <v>39</v>
      </c>
      <c r="F10">
        <v>25</v>
      </c>
      <c r="G10">
        <v>39</v>
      </c>
      <c r="H10">
        <v>62</v>
      </c>
      <c r="I10">
        <v>666</v>
      </c>
      <c r="J10">
        <v>198</v>
      </c>
      <c r="K10">
        <v>90</v>
      </c>
      <c r="L10">
        <v>65</v>
      </c>
      <c r="M10">
        <v>532</v>
      </c>
      <c r="N10">
        <v>1551</v>
      </c>
    </row>
    <row r="11" spans="1:14" x14ac:dyDescent="0.3">
      <c r="A11" s="387" t="s">
        <v>312</v>
      </c>
      <c r="B11">
        <v>421</v>
      </c>
      <c r="C11">
        <v>26</v>
      </c>
      <c r="D11">
        <v>39</v>
      </c>
      <c r="E11">
        <v>41</v>
      </c>
      <c r="F11">
        <v>29</v>
      </c>
      <c r="G11">
        <v>36</v>
      </c>
      <c r="H11">
        <v>63</v>
      </c>
      <c r="I11">
        <v>655</v>
      </c>
      <c r="J11">
        <v>285</v>
      </c>
      <c r="K11">
        <v>86</v>
      </c>
      <c r="L11">
        <v>71</v>
      </c>
      <c r="M11">
        <v>470</v>
      </c>
      <c r="N11">
        <v>1567</v>
      </c>
    </row>
    <row r="12" spans="1:14" x14ac:dyDescent="0.3">
      <c r="A12" s="387" t="s">
        <v>318</v>
      </c>
      <c r="B12">
        <v>445</v>
      </c>
      <c r="C12">
        <v>25</v>
      </c>
      <c r="D12">
        <v>38</v>
      </c>
      <c r="E12">
        <v>24</v>
      </c>
      <c r="F12">
        <v>28</v>
      </c>
      <c r="G12">
        <v>30</v>
      </c>
      <c r="H12">
        <v>60</v>
      </c>
      <c r="I12">
        <v>650</v>
      </c>
      <c r="J12">
        <v>335</v>
      </c>
      <c r="K12">
        <v>94</v>
      </c>
      <c r="L12">
        <v>61</v>
      </c>
      <c r="M12">
        <v>491</v>
      </c>
      <c r="N12">
        <v>1631</v>
      </c>
    </row>
    <row r="13" spans="1:14" x14ac:dyDescent="0.3">
      <c r="A13" s="387" t="s">
        <v>320</v>
      </c>
      <c r="B13">
        <v>427</v>
      </c>
      <c r="C13">
        <v>25</v>
      </c>
      <c r="D13">
        <v>23</v>
      </c>
      <c r="E13">
        <v>25</v>
      </c>
      <c r="F13">
        <v>28</v>
      </c>
      <c r="G13">
        <v>30</v>
      </c>
      <c r="H13">
        <v>77</v>
      </c>
      <c r="I13">
        <v>635</v>
      </c>
      <c r="J13">
        <v>313</v>
      </c>
      <c r="K13">
        <v>109</v>
      </c>
      <c r="L13">
        <v>60</v>
      </c>
      <c r="M13">
        <v>560</v>
      </c>
      <c r="N13">
        <v>1677</v>
      </c>
    </row>
    <row r="14" spans="1:14" x14ac:dyDescent="0.3">
      <c r="A14" s="387" t="s">
        <v>325</v>
      </c>
      <c r="B14">
        <v>429</v>
      </c>
      <c r="C14">
        <v>25</v>
      </c>
      <c r="D14">
        <v>23</v>
      </c>
      <c r="E14">
        <v>24</v>
      </c>
      <c r="F14">
        <v>28</v>
      </c>
      <c r="G14">
        <v>31</v>
      </c>
      <c r="H14">
        <v>77</v>
      </c>
      <c r="I14">
        <v>637</v>
      </c>
      <c r="J14">
        <v>319</v>
      </c>
      <c r="K14">
        <v>90</v>
      </c>
      <c r="L14">
        <v>55</v>
      </c>
      <c r="M14">
        <v>527</v>
      </c>
      <c r="N14">
        <v>1628</v>
      </c>
    </row>
    <row r="15" spans="1:14" x14ac:dyDescent="0.3">
      <c r="A15" s="387" t="s">
        <v>326</v>
      </c>
      <c r="B15">
        <v>424</v>
      </c>
      <c r="C15">
        <v>16</v>
      </c>
      <c r="D15">
        <v>21</v>
      </c>
      <c r="E15">
        <v>24</v>
      </c>
      <c r="F15">
        <v>28</v>
      </c>
      <c r="G15">
        <v>35</v>
      </c>
      <c r="H15">
        <v>73</v>
      </c>
      <c r="I15">
        <v>621</v>
      </c>
      <c r="J15">
        <v>327</v>
      </c>
      <c r="K15">
        <v>85</v>
      </c>
      <c r="L15">
        <v>61</v>
      </c>
      <c r="M15">
        <v>491</v>
      </c>
      <c r="N15">
        <v>1585</v>
      </c>
    </row>
    <row r="16" spans="1:14" x14ac:dyDescent="0.3">
      <c r="A16" s="387" t="s">
        <v>328</v>
      </c>
      <c r="B16">
        <v>424</v>
      </c>
      <c r="C16">
        <v>16</v>
      </c>
      <c r="D16">
        <v>19</v>
      </c>
      <c r="E16">
        <v>24</v>
      </c>
      <c r="F16">
        <v>28</v>
      </c>
      <c r="G16">
        <v>30</v>
      </c>
      <c r="H16">
        <v>89</v>
      </c>
      <c r="I16">
        <v>630</v>
      </c>
      <c r="J16">
        <v>329</v>
      </c>
      <c r="K16">
        <v>83</v>
      </c>
      <c r="L16">
        <v>61</v>
      </c>
      <c r="M16">
        <v>473</v>
      </c>
      <c r="N16">
        <v>1576</v>
      </c>
    </row>
    <row r="17" spans="1:14" x14ac:dyDescent="0.3">
      <c r="A17" s="387" t="s">
        <v>412</v>
      </c>
      <c r="B17">
        <v>420</v>
      </c>
      <c r="C17">
        <v>16</v>
      </c>
      <c r="D17">
        <v>17</v>
      </c>
      <c r="E17">
        <v>24</v>
      </c>
      <c r="F17">
        <v>28</v>
      </c>
      <c r="G17">
        <v>34</v>
      </c>
      <c r="H17">
        <v>82</v>
      </c>
      <c r="I17">
        <v>621</v>
      </c>
      <c r="J17">
        <v>331</v>
      </c>
      <c r="K17">
        <v>91</v>
      </c>
      <c r="L17">
        <v>59</v>
      </c>
      <c r="M17">
        <v>473</v>
      </c>
      <c r="N17">
        <v>1575</v>
      </c>
    </row>
    <row r="18" spans="1:14" x14ac:dyDescent="0.3">
      <c r="A18" s="387" t="s">
        <v>357</v>
      </c>
      <c r="B18">
        <v>6060</v>
      </c>
      <c r="C18">
        <v>313</v>
      </c>
      <c r="D18">
        <v>403</v>
      </c>
      <c r="E18">
        <v>349</v>
      </c>
      <c r="F18">
        <v>327</v>
      </c>
      <c r="G18">
        <v>474</v>
      </c>
      <c r="H18">
        <v>829</v>
      </c>
      <c r="I18">
        <v>8755</v>
      </c>
      <c r="J18">
        <v>2532</v>
      </c>
      <c r="K18">
        <v>1141</v>
      </c>
      <c r="L18">
        <v>750</v>
      </c>
      <c r="M18">
        <v>8565</v>
      </c>
      <c r="N18">
        <v>21743</v>
      </c>
    </row>
  </sheetData>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N15"/>
  <sheetViews>
    <sheetView workbookViewId="0">
      <selection activeCell="D6" sqref="D6"/>
    </sheetView>
  </sheetViews>
  <sheetFormatPr defaultRowHeight="14.4" x14ac:dyDescent="0.3"/>
  <cols>
    <col min="1" max="1" width="7.44140625" bestFit="1" customWidth="1"/>
    <col min="2" max="2" width="20.109375" bestFit="1" customWidth="1"/>
    <col min="3" max="3" width="17.44140625" bestFit="1" customWidth="1"/>
    <col min="4" max="4" width="20.88671875" bestFit="1" customWidth="1"/>
    <col min="5" max="5" width="11.44140625" bestFit="1" customWidth="1"/>
    <col min="6" max="6" width="24.44140625" bestFit="1" customWidth="1"/>
    <col min="7" max="7" width="24.88671875" bestFit="1" customWidth="1"/>
    <col min="8" max="8" width="8" bestFit="1" customWidth="1"/>
    <col min="9" max="9" width="16.88671875" bestFit="1" customWidth="1"/>
    <col min="10" max="10" width="24.6640625" bestFit="1" customWidth="1"/>
    <col min="11" max="11" width="19.33203125" bestFit="1" customWidth="1"/>
    <col min="12" max="12" width="19.44140625" bestFit="1" customWidth="1"/>
    <col min="13" max="13" width="47.33203125" bestFit="1" customWidth="1"/>
    <col min="14" max="14" width="24.5546875" bestFit="1" customWidth="1"/>
  </cols>
  <sheetData>
    <row r="1" spans="1:14" x14ac:dyDescent="0.3">
      <c r="A1" t="s">
        <v>208</v>
      </c>
      <c r="B1" t="s">
        <v>469</v>
      </c>
      <c r="C1" t="s">
        <v>470</v>
      </c>
      <c r="D1" t="s">
        <v>471</v>
      </c>
      <c r="E1" t="s">
        <v>472</v>
      </c>
      <c r="F1" t="s">
        <v>473</v>
      </c>
      <c r="G1" t="s">
        <v>474</v>
      </c>
      <c r="H1" t="s">
        <v>475</v>
      </c>
      <c r="I1" t="s">
        <v>476</v>
      </c>
      <c r="J1" t="s">
        <v>477</v>
      </c>
      <c r="K1" t="s">
        <v>478</v>
      </c>
      <c r="L1" t="s">
        <v>479</v>
      </c>
      <c r="M1" t="s">
        <v>480</v>
      </c>
      <c r="N1" t="s">
        <v>481</v>
      </c>
    </row>
    <row r="2" spans="1:14" x14ac:dyDescent="0.3">
      <c r="A2" t="s">
        <v>363</v>
      </c>
      <c r="B2">
        <v>465</v>
      </c>
      <c r="C2">
        <v>28</v>
      </c>
      <c r="D2">
        <v>37</v>
      </c>
      <c r="E2">
        <v>22</v>
      </c>
      <c r="F2">
        <v>15</v>
      </c>
      <c r="G2">
        <v>30</v>
      </c>
      <c r="H2">
        <v>23</v>
      </c>
      <c r="I2">
        <v>620</v>
      </c>
      <c r="K2">
        <v>59</v>
      </c>
      <c r="L2">
        <v>31</v>
      </c>
      <c r="M2">
        <v>805</v>
      </c>
      <c r="N2">
        <v>1515</v>
      </c>
    </row>
    <row r="3" spans="1:14" x14ac:dyDescent="0.3">
      <c r="A3" t="s">
        <v>364</v>
      </c>
      <c r="B3">
        <v>452</v>
      </c>
      <c r="C3">
        <v>31</v>
      </c>
      <c r="D3">
        <v>21</v>
      </c>
      <c r="F3">
        <v>19</v>
      </c>
      <c r="G3">
        <v>29</v>
      </c>
      <c r="H3">
        <v>25</v>
      </c>
      <c r="I3">
        <v>577</v>
      </c>
      <c r="K3">
        <v>65</v>
      </c>
      <c r="L3">
        <v>31</v>
      </c>
      <c r="M3">
        <v>628</v>
      </c>
      <c r="N3">
        <v>1301</v>
      </c>
    </row>
    <row r="4" spans="1:14" x14ac:dyDescent="0.3">
      <c r="A4" t="s">
        <v>365</v>
      </c>
      <c r="B4">
        <v>449</v>
      </c>
      <c r="C4">
        <v>14</v>
      </c>
      <c r="D4">
        <v>23</v>
      </c>
      <c r="E4">
        <v>25</v>
      </c>
      <c r="F4">
        <v>16</v>
      </c>
      <c r="G4">
        <v>36</v>
      </c>
      <c r="H4">
        <v>24</v>
      </c>
      <c r="I4">
        <v>587</v>
      </c>
      <c r="K4">
        <v>85</v>
      </c>
      <c r="L4">
        <v>27</v>
      </c>
      <c r="M4">
        <v>875</v>
      </c>
      <c r="N4">
        <v>1574</v>
      </c>
    </row>
    <row r="5" spans="1:14" x14ac:dyDescent="0.3">
      <c r="A5" t="s">
        <v>366</v>
      </c>
      <c r="B5">
        <v>438</v>
      </c>
      <c r="C5">
        <v>12</v>
      </c>
      <c r="D5">
        <v>14</v>
      </c>
      <c r="E5">
        <v>24</v>
      </c>
      <c r="F5">
        <v>18</v>
      </c>
      <c r="G5">
        <v>39</v>
      </c>
      <c r="H5">
        <v>47</v>
      </c>
      <c r="I5">
        <v>592</v>
      </c>
      <c r="K5">
        <v>65</v>
      </c>
      <c r="L5">
        <v>42</v>
      </c>
      <c r="M5">
        <v>811</v>
      </c>
      <c r="N5">
        <v>1510</v>
      </c>
    </row>
    <row r="6" spans="1:14" x14ac:dyDescent="0.3">
      <c r="A6" t="s">
        <v>341</v>
      </c>
      <c r="B6">
        <v>418</v>
      </c>
      <c r="C6">
        <v>26</v>
      </c>
      <c r="D6">
        <v>43</v>
      </c>
      <c r="E6">
        <v>26</v>
      </c>
      <c r="F6">
        <v>17</v>
      </c>
      <c r="G6">
        <v>34</v>
      </c>
      <c r="H6">
        <v>68</v>
      </c>
      <c r="I6">
        <v>632</v>
      </c>
      <c r="K6">
        <v>65</v>
      </c>
      <c r="L6">
        <v>62</v>
      </c>
      <c r="M6">
        <v>788</v>
      </c>
      <c r="N6">
        <v>1547</v>
      </c>
    </row>
    <row r="7" spans="1:14" x14ac:dyDescent="0.3">
      <c r="A7" t="s">
        <v>342</v>
      </c>
      <c r="B7">
        <v>417</v>
      </c>
      <c r="C7">
        <v>25</v>
      </c>
      <c r="D7">
        <v>43</v>
      </c>
      <c r="E7">
        <v>27</v>
      </c>
      <c r="F7">
        <v>20</v>
      </c>
      <c r="G7">
        <v>41</v>
      </c>
      <c r="H7">
        <v>59</v>
      </c>
      <c r="I7">
        <v>632</v>
      </c>
      <c r="J7">
        <v>95</v>
      </c>
      <c r="K7">
        <v>74</v>
      </c>
      <c r="L7">
        <v>64</v>
      </c>
      <c r="M7">
        <v>641</v>
      </c>
      <c r="N7">
        <v>1506</v>
      </c>
    </row>
    <row r="8" spans="1:14" x14ac:dyDescent="0.3">
      <c r="A8" t="s">
        <v>213</v>
      </c>
      <c r="B8">
        <v>431</v>
      </c>
      <c r="C8">
        <v>28</v>
      </c>
      <c r="D8">
        <v>42</v>
      </c>
      <c r="E8">
        <v>39</v>
      </c>
      <c r="F8">
        <v>25</v>
      </c>
      <c r="G8">
        <v>39</v>
      </c>
      <c r="H8">
        <v>62</v>
      </c>
      <c r="I8">
        <v>666</v>
      </c>
      <c r="J8">
        <v>198</v>
      </c>
      <c r="K8">
        <v>90</v>
      </c>
      <c r="L8">
        <v>65</v>
      </c>
      <c r="M8">
        <v>532</v>
      </c>
      <c r="N8">
        <v>1551</v>
      </c>
    </row>
    <row r="9" spans="1:14" x14ac:dyDescent="0.3">
      <c r="A9" t="s">
        <v>312</v>
      </c>
      <c r="B9">
        <v>421</v>
      </c>
      <c r="C9">
        <v>26</v>
      </c>
      <c r="D9">
        <v>39</v>
      </c>
      <c r="E9">
        <v>41</v>
      </c>
      <c r="F9">
        <v>29</v>
      </c>
      <c r="G9">
        <v>36</v>
      </c>
      <c r="H9">
        <v>63</v>
      </c>
      <c r="I9">
        <v>655</v>
      </c>
      <c r="J9">
        <v>285</v>
      </c>
      <c r="K9">
        <v>86</v>
      </c>
      <c r="L9">
        <v>71</v>
      </c>
      <c r="M9">
        <v>470</v>
      </c>
      <c r="N9">
        <v>1567</v>
      </c>
    </row>
    <row r="10" spans="1:14" x14ac:dyDescent="0.3">
      <c r="A10" t="s">
        <v>318</v>
      </c>
      <c r="B10">
        <v>445</v>
      </c>
      <c r="C10">
        <v>25</v>
      </c>
      <c r="D10">
        <v>38</v>
      </c>
      <c r="E10">
        <v>24</v>
      </c>
      <c r="F10">
        <v>28</v>
      </c>
      <c r="G10">
        <v>30</v>
      </c>
      <c r="H10">
        <v>60</v>
      </c>
      <c r="I10">
        <v>650</v>
      </c>
      <c r="J10">
        <v>335</v>
      </c>
      <c r="K10">
        <v>94</v>
      </c>
      <c r="L10">
        <v>61</v>
      </c>
      <c r="M10">
        <v>491</v>
      </c>
      <c r="N10">
        <v>1631</v>
      </c>
    </row>
    <row r="11" spans="1:14" x14ac:dyDescent="0.3">
      <c r="A11" t="s">
        <v>320</v>
      </c>
      <c r="B11">
        <v>427</v>
      </c>
      <c r="C11">
        <v>25</v>
      </c>
      <c r="D11">
        <v>23</v>
      </c>
      <c r="E11">
        <v>25</v>
      </c>
      <c r="F11">
        <v>28</v>
      </c>
      <c r="G11">
        <v>30</v>
      </c>
      <c r="H11">
        <v>77</v>
      </c>
      <c r="I11">
        <v>635</v>
      </c>
      <c r="J11">
        <v>313</v>
      </c>
      <c r="K11">
        <v>109</v>
      </c>
      <c r="L11">
        <v>60</v>
      </c>
      <c r="M11">
        <v>560</v>
      </c>
      <c r="N11">
        <v>1677</v>
      </c>
    </row>
    <row r="12" spans="1:14" x14ac:dyDescent="0.3">
      <c r="A12" t="s">
        <v>325</v>
      </c>
      <c r="B12">
        <v>429</v>
      </c>
      <c r="C12">
        <v>25</v>
      </c>
      <c r="D12">
        <v>23</v>
      </c>
      <c r="E12">
        <v>24</v>
      </c>
      <c r="F12">
        <v>28</v>
      </c>
      <c r="G12">
        <v>31</v>
      </c>
      <c r="H12">
        <v>77</v>
      </c>
      <c r="I12">
        <v>637</v>
      </c>
      <c r="J12">
        <v>319</v>
      </c>
      <c r="K12">
        <v>90</v>
      </c>
      <c r="L12">
        <v>55</v>
      </c>
      <c r="M12">
        <v>527</v>
      </c>
      <c r="N12">
        <v>1628</v>
      </c>
    </row>
    <row r="13" spans="1:14" x14ac:dyDescent="0.3">
      <c r="A13" t="s">
        <v>326</v>
      </c>
      <c r="B13">
        <v>424</v>
      </c>
      <c r="C13">
        <v>16</v>
      </c>
      <c r="D13">
        <v>21</v>
      </c>
      <c r="E13">
        <v>24</v>
      </c>
      <c r="F13">
        <v>28</v>
      </c>
      <c r="G13">
        <v>35</v>
      </c>
      <c r="H13">
        <v>73</v>
      </c>
      <c r="I13">
        <v>621</v>
      </c>
      <c r="J13">
        <v>327</v>
      </c>
      <c r="K13">
        <v>85</v>
      </c>
      <c r="L13">
        <v>61</v>
      </c>
      <c r="M13">
        <v>491</v>
      </c>
      <c r="N13">
        <v>1585</v>
      </c>
    </row>
    <row r="14" spans="1:14" x14ac:dyDescent="0.3">
      <c r="A14" t="s">
        <v>328</v>
      </c>
      <c r="B14">
        <v>424</v>
      </c>
      <c r="C14">
        <v>16</v>
      </c>
      <c r="D14">
        <v>19</v>
      </c>
      <c r="E14">
        <v>24</v>
      </c>
      <c r="F14">
        <v>28</v>
      </c>
      <c r="G14">
        <v>30</v>
      </c>
      <c r="H14">
        <v>89</v>
      </c>
      <c r="I14">
        <v>630</v>
      </c>
      <c r="J14">
        <v>329</v>
      </c>
      <c r="K14">
        <v>83</v>
      </c>
      <c r="L14">
        <v>61</v>
      </c>
      <c r="M14">
        <v>473</v>
      </c>
      <c r="N14">
        <v>1576</v>
      </c>
    </row>
    <row r="15" spans="1:14" x14ac:dyDescent="0.3">
      <c r="A15" t="s">
        <v>412</v>
      </c>
      <c r="B15">
        <v>420</v>
      </c>
      <c r="C15">
        <v>16</v>
      </c>
      <c r="D15">
        <v>17</v>
      </c>
      <c r="E15">
        <v>24</v>
      </c>
      <c r="F15">
        <v>28</v>
      </c>
      <c r="G15">
        <v>34</v>
      </c>
      <c r="H15">
        <v>82</v>
      </c>
      <c r="I15">
        <v>621</v>
      </c>
      <c r="J15">
        <v>331</v>
      </c>
      <c r="K15">
        <v>91</v>
      </c>
      <c r="L15">
        <v>59</v>
      </c>
      <c r="M15">
        <v>473</v>
      </c>
      <c r="N15">
        <v>1575</v>
      </c>
    </row>
  </sheetData>
  <pageMargins left="0.7" right="0.7" top="0.75" bottom="0.75" header="0.3" footer="0.3"/>
  <tableParts count="1">
    <tablePart r:id="rId1"/>
  </tableParts>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23">
    <tabColor rgb="FFD9B3FF"/>
    <pageSetUpPr fitToPage="1"/>
  </sheetPr>
  <dimension ref="A1:AC35"/>
  <sheetViews>
    <sheetView showGridLines="0" zoomScaleNormal="100" workbookViewId="0">
      <pane ySplit="2" topLeftCell="A3" activePane="bottomLeft" state="frozen"/>
      <selection pane="bottomLeft" sqref="A1:J1"/>
    </sheetView>
  </sheetViews>
  <sheetFormatPr defaultRowHeight="14.4" x14ac:dyDescent="0.3"/>
  <cols>
    <col min="1" max="1" width="17.88671875" customWidth="1"/>
    <col min="2" max="6" width="10.33203125" customWidth="1"/>
    <col min="7" max="7" width="14" customWidth="1"/>
    <col min="8" max="8" width="12.44140625" customWidth="1"/>
    <col min="9" max="9" width="10.44140625" customWidth="1"/>
    <col min="10" max="10" width="10.5546875" customWidth="1"/>
    <col min="11" max="11" width="11" customWidth="1"/>
    <col min="12" max="12" width="12.44140625" customWidth="1"/>
    <col min="13" max="13" width="11.5546875" customWidth="1"/>
    <col min="14" max="14" width="10.44140625" customWidth="1"/>
    <col min="15" max="15" width="10.88671875" customWidth="1"/>
    <col min="16" max="16" width="10.6640625" customWidth="1"/>
    <col min="18" max="18" width="10" customWidth="1"/>
  </cols>
  <sheetData>
    <row r="1" spans="1:19" ht="15.6" x14ac:dyDescent="0.3">
      <c r="A1" s="1030" t="s">
        <v>482</v>
      </c>
      <c r="B1" s="1030"/>
      <c r="C1" s="1030"/>
      <c r="D1" s="1030"/>
      <c r="E1" s="1030"/>
      <c r="F1" s="1030"/>
      <c r="G1" s="1030"/>
      <c r="H1" s="1030"/>
      <c r="I1" s="1030"/>
      <c r="J1" s="1030"/>
    </row>
    <row r="2" spans="1:19" ht="17.399999999999999" x14ac:dyDescent="0.3">
      <c r="A2" s="498" t="s">
        <v>202</v>
      </c>
      <c r="B2" s="1"/>
      <c r="C2" s="1"/>
      <c r="D2" s="1"/>
      <c r="E2" s="1"/>
      <c r="F2" s="1"/>
      <c r="G2" s="1"/>
      <c r="H2" s="1"/>
      <c r="I2" s="1"/>
      <c r="J2" s="1"/>
    </row>
    <row r="3" spans="1:19" ht="17.399999999999999" x14ac:dyDescent="0.3">
      <c r="A3" s="1"/>
      <c r="B3" s="1"/>
      <c r="C3" s="1"/>
      <c r="D3" s="1"/>
      <c r="E3" s="1"/>
      <c r="F3" s="1"/>
      <c r="G3" s="1"/>
      <c r="H3" s="1"/>
      <c r="I3" s="1"/>
      <c r="J3" s="1"/>
    </row>
    <row r="4" spans="1:19" ht="15.6" x14ac:dyDescent="0.3">
      <c r="A4" s="438" t="s">
        <v>483</v>
      </c>
      <c r="B4" s="438"/>
      <c r="C4" s="438"/>
      <c r="D4" s="438"/>
      <c r="E4" s="438"/>
      <c r="F4" s="438"/>
      <c r="G4" s="438"/>
      <c r="H4" s="438"/>
      <c r="I4" s="438"/>
      <c r="J4" s="438"/>
    </row>
    <row r="5" spans="1:19" x14ac:dyDescent="0.3">
      <c r="A5" t="s">
        <v>203</v>
      </c>
      <c r="B5" t="s">
        <v>51</v>
      </c>
    </row>
    <row r="6" spans="1:19" x14ac:dyDescent="0.3">
      <c r="A6" t="s">
        <v>204</v>
      </c>
      <c r="B6" t="s">
        <v>205</v>
      </c>
    </row>
    <row r="7" spans="1:19" x14ac:dyDescent="0.3">
      <c r="A7" t="s">
        <v>206</v>
      </c>
      <c r="B7" t="s">
        <v>207</v>
      </c>
    </row>
    <row r="9" spans="1:19" ht="30" customHeight="1" x14ac:dyDescent="0.3">
      <c r="A9" s="197"/>
      <c r="B9" s="130"/>
      <c r="C9" s="130"/>
      <c r="D9" s="130"/>
      <c r="E9" s="130"/>
      <c r="F9" s="130"/>
      <c r="G9" s="130"/>
      <c r="H9" s="130"/>
      <c r="I9" s="198" t="s">
        <v>484</v>
      </c>
      <c r="J9" s="182"/>
      <c r="K9" s="199"/>
      <c r="L9" s="199"/>
      <c r="M9" s="323" t="s">
        <v>485</v>
      </c>
      <c r="N9" s="780"/>
      <c r="O9" s="233"/>
      <c r="Q9" s="233"/>
      <c r="S9" s="233"/>
    </row>
    <row r="10" spans="1:19" ht="15.6" x14ac:dyDescent="0.3">
      <c r="A10" s="197"/>
      <c r="B10" s="139"/>
      <c r="C10" s="139"/>
      <c r="D10" s="139"/>
      <c r="F10" s="550" t="s">
        <v>486</v>
      </c>
      <c r="G10" s="130"/>
      <c r="H10" s="130"/>
      <c r="K10" s="551"/>
      <c r="L10" s="549"/>
      <c r="M10" s="779"/>
      <c r="N10" s="781"/>
      <c r="Q10" s="233"/>
      <c r="S10" s="233"/>
    </row>
    <row r="11" spans="1:19" ht="60.6" x14ac:dyDescent="0.3">
      <c r="A11" s="200" t="s">
        <v>208</v>
      </c>
      <c r="B11" s="201" t="s">
        <v>469</v>
      </c>
      <c r="C11" s="201" t="s">
        <v>470</v>
      </c>
      <c r="D11" s="201" t="s">
        <v>471</v>
      </c>
      <c r="E11" s="415" t="s">
        <v>472</v>
      </c>
      <c r="F11" s="201" t="s">
        <v>473</v>
      </c>
      <c r="G11" s="201" t="s">
        <v>474</v>
      </c>
      <c r="H11" s="416" t="s">
        <v>475</v>
      </c>
      <c r="I11" s="552" t="s">
        <v>476</v>
      </c>
      <c r="J11" s="642" t="s">
        <v>477</v>
      </c>
      <c r="K11" s="201" t="s">
        <v>478</v>
      </c>
      <c r="L11" s="201" t="s">
        <v>479</v>
      </c>
      <c r="M11" s="552" t="s">
        <v>487</v>
      </c>
      <c r="N11" s="553" t="s">
        <v>488</v>
      </c>
      <c r="S11" s="417"/>
    </row>
    <row r="12" spans="1:19" x14ac:dyDescent="0.3">
      <c r="A12" s="176" t="s">
        <v>363</v>
      </c>
      <c r="B12" s="704">
        <f>GETPIVOTDATA("Sum of Pumping Appliances",VehiclesPivot!$A$3,"Year",A12)</f>
        <v>465</v>
      </c>
      <c r="C12" s="704">
        <f>GETPIVOTDATA("Sum of Aerial Appliances",VehiclesPivot!$A$3,"Year",A12)</f>
        <v>28</v>
      </c>
      <c r="D12" s="705">
        <f>GETPIVOTDATA("Sum of Resilience Appliances",VehiclesPivot!$A$3,"Year",A12)</f>
        <v>37</v>
      </c>
      <c r="E12" s="704">
        <f>GETPIVOTDATA("Sum of Fire Boats",VehiclesPivot!$A$3,"Year",A12)</f>
        <v>22</v>
      </c>
      <c r="F12" s="704">
        <f>GETPIVOTDATA("Sum of Vehicles for Rescue Work",VehiclesPivot!$A$3,"Year",A12)</f>
        <v>15</v>
      </c>
      <c r="G12" s="704">
        <f>GETPIVOTDATA("Sum of Small Firefighting Vehicles",VehiclesPivot!$A$3,"Year",A12)</f>
        <v>30</v>
      </c>
      <c r="H12" s="705">
        <f>GETPIVOTDATA("Sum of Other",VehiclesPivot!$A$3,"Year",A12)</f>
        <v>23</v>
      </c>
      <c r="I12" s="708">
        <f>GETPIVOTDATA("Sum of Total Appliances",VehiclesPivot!$A$3,"Year",A12)</f>
        <v>620</v>
      </c>
      <c r="J12" s="706"/>
      <c r="K12" s="704">
        <f>GETPIVOTDATA("Sum of Reserve Appliances",VehiclesPivot!$A$3,"Year",A12)</f>
        <v>59</v>
      </c>
      <c r="L12" s="705">
        <f>GETPIVOTDATA("Sum of Training Appliances",VehiclesPivot!$A$3,"Year",A12)</f>
        <v>31</v>
      </c>
      <c r="M12" s="707">
        <f>GETPIVOTDATA("Sum of Other Fleet Vehicles (excl Officer Response Vehicles)",VehiclesPivot!$A$3,"Year",A12)</f>
        <v>805</v>
      </c>
      <c r="N12" s="804">
        <f>GETPIVOTDATA("Sum of Total Vehicles (incl boats)",VehiclesPivot!$A$3,"Year",A12)</f>
        <v>1515</v>
      </c>
      <c r="P12" s="368"/>
      <c r="S12" s="117"/>
    </row>
    <row r="13" spans="1:19" x14ac:dyDescent="0.3">
      <c r="A13" s="176" t="s">
        <v>364</v>
      </c>
      <c r="B13" s="704">
        <f>GETPIVOTDATA("Sum of Pumping Appliances",VehiclesPivot!$A$3,"Year",A13)</f>
        <v>452</v>
      </c>
      <c r="C13" s="704">
        <f>GETPIVOTDATA("Sum of Aerial Appliances",VehiclesPivot!$A$3,"Year",A13)</f>
        <v>31</v>
      </c>
      <c r="D13" s="708">
        <f>GETPIVOTDATA("Sum of Resilience Appliances",VehiclesPivot!$A$3,"Year",A13)</f>
        <v>21</v>
      </c>
      <c r="E13" s="801">
        <f>GETPIVOTDATA("Sum of Fire Boats",VehiclesPivot!$A$3,"Year",A13)</f>
        <v>0</v>
      </c>
      <c r="F13" s="704">
        <f>GETPIVOTDATA("Sum of Vehicles for Rescue Work",VehiclesPivot!$A$3,"Year",A13)</f>
        <v>19</v>
      </c>
      <c r="G13" s="704">
        <f>GETPIVOTDATA("Sum of Small Firefighting Vehicles",VehiclesPivot!$A$3,"Year",A13)</f>
        <v>29</v>
      </c>
      <c r="H13" s="708">
        <f>GETPIVOTDATA("Sum of Other",VehiclesPivot!$A$3,"Year",A13)</f>
        <v>25</v>
      </c>
      <c r="I13" s="711">
        <f>GETPIVOTDATA("Sum of Total Appliances",VehiclesPivot!$A$3,"Year",A13)</f>
        <v>577</v>
      </c>
      <c r="J13" s="710"/>
      <c r="K13" s="704">
        <f>GETPIVOTDATA("Sum of Reserve Appliances",VehiclesPivot!$A$3,"Year",A13)</f>
        <v>65</v>
      </c>
      <c r="L13" s="708">
        <f>GETPIVOTDATA("Sum of Training Appliances",VehiclesPivot!$A$3,"Year",A13)</f>
        <v>31</v>
      </c>
      <c r="M13" s="709">
        <f>GETPIVOTDATA("Sum of Other Fleet Vehicles (excl Officer Response Vehicles)",VehiclesPivot!$A$3,"Year",A13)</f>
        <v>628</v>
      </c>
      <c r="N13" s="747">
        <f>GETPIVOTDATA("Sum of Total Vehicles (incl boats)",VehiclesPivot!$A$3,"Year",A13)</f>
        <v>1301</v>
      </c>
      <c r="S13" s="117"/>
    </row>
    <row r="14" spans="1:19" x14ac:dyDescent="0.3">
      <c r="A14" s="176" t="s">
        <v>365</v>
      </c>
      <c r="B14" s="704">
        <f>GETPIVOTDATA("Sum of Pumping Appliances",VehiclesPivot!$A$3,"Year",A14)</f>
        <v>449</v>
      </c>
      <c r="C14" s="704">
        <f>GETPIVOTDATA("Sum of Aerial Appliances",VehiclesPivot!$A$3,"Year",A14)</f>
        <v>14</v>
      </c>
      <c r="D14" s="708">
        <f>GETPIVOTDATA("Sum of Resilience Appliances",VehiclesPivot!$A$3,"Year",A14)</f>
        <v>23</v>
      </c>
      <c r="E14" s="704">
        <f>GETPIVOTDATA("Sum of Fire Boats",VehiclesPivot!$A$3,"Year",A14)</f>
        <v>25</v>
      </c>
      <c r="F14" s="704">
        <f>GETPIVOTDATA("Sum of Vehicles for Rescue Work",VehiclesPivot!$A$3,"Year",A14)</f>
        <v>16</v>
      </c>
      <c r="G14" s="704">
        <f>GETPIVOTDATA("Sum of Small Firefighting Vehicles",VehiclesPivot!$A$3,"Year",A14)</f>
        <v>36</v>
      </c>
      <c r="H14" s="708">
        <f>GETPIVOTDATA("Sum of Other",VehiclesPivot!$A$3,"Year",A14)</f>
        <v>24</v>
      </c>
      <c r="I14" s="708">
        <f>GETPIVOTDATA("Sum of Total Appliances",VehiclesPivot!$A$3,"Year",A14)</f>
        <v>587</v>
      </c>
      <c r="J14" s="710"/>
      <c r="K14" s="704">
        <f>GETPIVOTDATA("Sum of Reserve Appliances",VehiclesPivot!$A$3,"Year",A14)</f>
        <v>85</v>
      </c>
      <c r="L14" s="708">
        <f>GETPIVOTDATA("Sum of Training Appliances",VehiclesPivot!$A$3,"Year",A14)</f>
        <v>27</v>
      </c>
      <c r="M14" s="709">
        <f>GETPIVOTDATA("Sum of Other Fleet Vehicles (excl Officer Response Vehicles)",VehiclesPivot!$A$3,"Year",A14)</f>
        <v>875</v>
      </c>
      <c r="N14" s="747">
        <f>GETPIVOTDATA("Sum of Total Vehicles (incl boats)",VehiclesPivot!$A$3,"Year",A14)</f>
        <v>1574</v>
      </c>
      <c r="S14" s="117"/>
    </row>
    <row r="15" spans="1:19" x14ac:dyDescent="0.3">
      <c r="A15" s="176" t="s">
        <v>366</v>
      </c>
      <c r="B15" s="704">
        <f>GETPIVOTDATA("Sum of Pumping Appliances",VehiclesPivot!$A$3,"Year",A15)</f>
        <v>438</v>
      </c>
      <c r="C15" s="704">
        <f>GETPIVOTDATA("Sum of Aerial Appliances",VehiclesPivot!$A$3,"Year",A15)</f>
        <v>12</v>
      </c>
      <c r="D15" s="711">
        <f>GETPIVOTDATA("Sum of Resilience Appliances",VehiclesPivot!$A$3,"Year",A15)</f>
        <v>14</v>
      </c>
      <c r="E15" s="704">
        <f>GETPIVOTDATA("Sum of Fire Boats",VehiclesPivot!$A$3,"Year",A15)</f>
        <v>24</v>
      </c>
      <c r="F15" s="704">
        <f>GETPIVOTDATA("Sum of Vehicles for Rescue Work",VehiclesPivot!$A$3,"Year",A15)</f>
        <v>18</v>
      </c>
      <c r="G15" s="704">
        <f>GETPIVOTDATA("Sum of Small Firefighting Vehicles",VehiclesPivot!$A$3,"Year",A15)</f>
        <v>39</v>
      </c>
      <c r="H15" s="708">
        <f>GETPIVOTDATA("Sum of Other",VehiclesPivot!$A$3,"Year",A15)</f>
        <v>47</v>
      </c>
      <c r="I15" s="708">
        <f>GETPIVOTDATA("Sum of Total Appliances",VehiclesPivot!$A$3,"Year",A15)</f>
        <v>592</v>
      </c>
      <c r="J15" s="710"/>
      <c r="K15" s="704">
        <f>GETPIVOTDATA("Sum of Reserve Appliances",VehiclesPivot!$A$3,"Year",A15)</f>
        <v>65</v>
      </c>
      <c r="L15" s="708">
        <f>GETPIVOTDATA("Sum of Training Appliances",VehiclesPivot!$A$3,"Year",A15)</f>
        <v>42</v>
      </c>
      <c r="M15" s="709">
        <f>GETPIVOTDATA("Sum of Other Fleet Vehicles (excl Officer Response Vehicles)",VehiclesPivot!$A$3,"Year",A15)</f>
        <v>811</v>
      </c>
      <c r="N15" s="747">
        <f>GETPIVOTDATA("Sum of Total Vehicles (incl boats)",VehiclesPivot!$A$3,"Year",A15)</f>
        <v>1510</v>
      </c>
      <c r="S15" s="117"/>
    </row>
    <row r="16" spans="1:19" x14ac:dyDescent="0.3">
      <c r="A16" s="176" t="s">
        <v>341</v>
      </c>
      <c r="B16" s="704">
        <f>GETPIVOTDATA("Sum of Pumping Appliances",VehiclesPivot!$A$3,"Year",A16)</f>
        <v>418</v>
      </c>
      <c r="C16" s="704">
        <f>GETPIVOTDATA("Sum of Aerial Appliances",VehiclesPivot!$A$3,"Year",A16)</f>
        <v>26</v>
      </c>
      <c r="D16" s="708">
        <f>GETPIVOTDATA("Sum of Resilience Appliances",VehiclesPivot!$A$3,"Year",A16)</f>
        <v>43</v>
      </c>
      <c r="E16" s="704">
        <f>GETPIVOTDATA("Sum of Fire Boats",VehiclesPivot!$A$3,"Year",A16)</f>
        <v>26</v>
      </c>
      <c r="F16" s="704">
        <f>GETPIVOTDATA("Sum of Vehicles for Rescue Work",VehiclesPivot!$A$3,"Year",A16)</f>
        <v>17</v>
      </c>
      <c r="G16" s="704">
        <f>GETPIVOTDATA("Sum of Small Firefighting Vehicles",VehiclesPivot!$A$3,"Year",A16)</f>
        <v>34</v>
      </c>
      <c r="H16" s="708">
        <f>GETPIVOTDATA("Sum of Other",VehiclesPivot!$A$3,"Year",A16)</f>
        <v>68</v>
      </c>
      <c r="I16" s="708">
        <f>GETPIVOTDATA("Sum of Total Appliances",VehiclesPivot!$A$3,"Year",A16)</f>
        <v>632</v>
      </c>
      <c r="J16" s="710"/>
      <c r="K16" s="704">
        <f>GETPIVOTDATA("Sum of Reserve Appliances",VehiclesPivot!$A$3,"Year",A16)</f>
        <v>65</v>
      </c>
      <c r="L16" s="708">
        <f>GETPIVOTDATA("Sum of Training Appliances",VehiclesPivot!$A$3,"Year",A16)</f>
        <v>62</v>
      </c>
      <c r="M16" s="709">
        <f>GETPIVOTDATA("Sum of Other Fleet Vehicles (excl Officer Response Vehicles)",VehiclesPivot!$A$3,"Year",A16)</f>
        <v>788</v>
      </c>
      <c r="N16" s="747">
        <f>GETPIVOTDATA("Sum of Total Vehicles (incl boats)",VehiclesPivot!$A$3,"Year",A16)</f>
        <v>1547</v>
      </c>
      <c r="S16" s="117"/>
    </row>
    <row r="17" spans="1:29" x14ac:dyDescent="0.3">
      <c r="A17" s="176" t="s">
        <v>342</v>
      </c>
      <c r="B17" s="704">
        <f>GETPIVOTDATA("Sum of Pumping Appliances",VehiclesPivot!$A$3,"Year",A17)</f>
        <v>417</v>
      </c>
      <c r="C17" s="704">
        <f>GETPIVOTDATA("Sum of Aerial Appliances",VehiclesPivot!$A$3,"Year",A17)</f>
        <v>25</v>
      </c>
      <c r="D17" s="708">
        <f>GETPIVOTDATA("Sum of Resilience Appliances",VehiclesPivot!$A$3,"Year",A17)</f>
        <v>43</v>
      </c>
      <c r="E17" s="704">
        <f>GETPIVOTDATA("Sum of Fire Boats",VehiclesPivot!$A$3,"Year",A17)</f>
        <v>27</v>
      </c>
      <c r="F17" s="704">
        <f>GETPIVOTDATA("Sum of Vehicles for Rescue Work",VehiclesPivot!$A$3,"Year",A17)</f>
        <v>20</v>
      </c>
      <c r="G17" s="704">
        <f>GETPIVOTDATA("Sum of Small Firefighting Vehicles",VehiclesPivot!$A$3,"Year",A17)</f>
        <v>41</v>
      </c>
      <c r="H17" s="708">
        <f>GETPIVOTDATA("Sum of Other",VehiclesPivot!$A$3,"Year",A17)</f>
        <v>59</v>
      </c>
      <c r="I17" s="708">
        <f>GETPIVOTDATA("Sum of Total Appliances",VehiclesPivot!$A$3,"Year",A17)</f>
        <v>632</v>
      </c>
      <c r="J17" s="709">
        <f>GETPIVOTDATA("Sum of Officer Response Vehicles",VehiclesPivot!$A$3,"Year",A17)</f>
        <v>95</v>
      </c>
      <c r="K17" s="704">
        <f>GETPIVOTDATA("Sum of Reserve Appliances",VehiclesPivot!$A$3,"Year",A17)</f>
        <v>74</v>
      </c>
      <c r="L17" s="708">
        <f>GETPIVOTDATA("Sum of Training Appliances",VehiclesPivot!$A$3,"Year",A17)</f>
        <v>64</v>
      </c>
      <c r="M17" s="709">
        <f>GETPIVOTDATA("Sum of Other Fleet Vehicles (excl Officer Response Vehicles)",VehiclesPivot!$A$3,"Year",A17)</f>
        <v>641</v>
      </c>
      <c r="N17" s="747">
        <f>GETPIVOTDATA("Sum of Total Vehicles (incl boats)",VehiclesPivot!$A$3,"Year",A17)</f>
        <v>1506</v>
      </c>
      <c r="P17" s="368"/>
      <c r="S17" s="117"/>
    </row>
    <row r="18" spans="1:29" x14ac:dyDescent="0.3">
      <c r="A18" s="176" t="s">
        <v>213</v>
      </c>
      <c r="B18" s="704">
        <f>GETPIVOTDATA("Sum of Pumping Appliances",VehiclesPivot!$A$3,"Year",A18)</f>
        <v>431</v>
      </c>
      <c r="C18" s="704">
        <f>GETPIVOTDATA("Sum of Aerial Appliances",VehiclesPivot!$A$3,"Year",A18)</f>
        <v>28</v>
      </c>
      <c r="D18" s="708">
        <f>GETPIVOTDATA("Sum of Resilience Appliances",VehiclesPivot!$A$3,"Year",A18)</f>
        <v>42</v>
      </c>
      <c r="E18" s="704">
        <f>GETPIVOTDATA("Sum of Fire Boats",VehiclesPivot!$A$3,"Year",A18)</f>
        <v>39</v>
      </c>
      <c r="F18" s="704">
        <f>GETPIVOTDATA("Sum of Vehicles for Rescue Work",VehiclesPivot!$A$3,"Year",A18)</f>
        <v>25</v>
      </c>
      <c r="G18" s="704">
        <f>GETPIVOTDATA("Sum of Small Firefighting Vehicles",VehiclesPivot!$A$3,"Year",A18)</f>
        <v>39</v>
      </c>
      <c r="H18" s="708">
        <f>GETPIVOTDATA("Sum of Other",VehiclesPivot!$A$3,"Year",A18)</f>
        <v>62</v>
      </c>
      <c r="I18" s="708">
        <f>GETPIVOTDATA("Sum of Total Appliances",VehiclesPivot!$A$3,"Year",A18)</f>
        <v>666</v>
      </c>
      <c r="J18" s="709">
        <f>GETPIVOTDATA("Sum of Officer Response Vehicles",VehiclesPivot!$A$3,"Year",A18)</f>
        <v>198</v>
      </c>
      <c r="K18" s="704">
        <f>GETPIVOTDATA("Sum of Reserve Appliances",VehiclesPivot!$A$3,"Year",A18)</f>
        <v>90</v>
      </c>
      <c r="L18" s="708">
        <f>GETPIVOTDATA("Sum of Training Appliances",VehiclesPivot!$A$3,"Year",A18)</f>
        <v>65</v>
      </c>
      <c r="M18" s="709">
        <f>GETPIVOTDATA("Sum of Other Fleet Vehicles (excl Officer Response Vehicles)",VehiclesPivot!$A$3,"Year",A18)</f>
        <v>532</v>
      </c>
      <c r="N18" s="747">
        <f>GETPIVOTDATA("Sum of Total Vehicles (incl boats)",VehiclesPivot!$A$3,"Year",A18)</f>
        <v>1551</v>
      </c>
      <c r="P18" s="368"/>
      <c r="S18" s="117"/>
    </row>
    <row r="19" spans="1:29" x14ac:dyDescent="0.3">
      <c r="A19" s="176" t="s">
        <v>312</v>
      </c>
      <c r="B19" s="704">
        <f>GETPIVOTDATA("Sum of Pumping Appliances",VehiclesPivot!$A$3,"Year",A19)</f>
        <v>421</v>
      </c>
      <c r="C19" s="704">
        <f>GETPIVOTDATA("Sum of Aerial Appliances",VehiclesPivot!$A$3,"Year",A19)</f>
        <v>26</v>
      </c>
      <c r="D19" s="708">
        <f>GETPIVOTDATA("Sum of Resilience Appliances",VehiclesPivot!$A$3,"Year",A19)</f>
        <v>39</v>
      </c>
      <c r="E19" s="704">
        <f>GETPIVOTDATA("Sum of Fire Boats",VehiclesPivot!$A$3,"Year",A19)</f>
        <v>41</v>
      </c>
      <c r="F19" s="704">
        <f>GETPIVOTDATA("Sum of Vehicles for Rescue Work",VehiclesPivot!$A$3,"Year",A19)</f>
        <v>29</v>
      </c>
      <c r="G19" s="704">
        <f>GETPIVOTDATA("Sum of Small Firefighting Vehicles",VehiclesPivot!$A$3,"Year",A19)</f>
        <v>36</v>
      </c>
      <c r="H19" s="708">
        <f>GETPIVOTDATA("Sum of Other",VehiclesPivot!$A$3,"Year",A19)</f>
        <v>63</v>
      </c>
      <c r="I19" s="708">
        <f>GETPIVOTDATA("Sum of Total Appliances",VehiclesPivot!$A$3,"Year",A19)</f>
        <v>655</v>
      </c>
      <c r="J19" s="802">
        <f>GETPIVOTDATA("Sum of Officer Response Vehicles",VehiclesPivot!$A$3,"Year",A19)</f>
        <v>285</v>
      </c>
      <c r="K19" s="704">
        <f>GETPIVOTDATA("Sum of Reserve Appliances",VehiclesPivot!$A$3,"Year",A19)</f>
        <v>86</v>
      </c>
      <c r="L19" s="708">
        <f>GETPIVOTDATA("Sum of Training Appliances",VehiclesPivot!$A$3,"Year",A19)</f>
        <v>71</v>
      </c>
      <c r="M19" s="802">
        <f>GETPIVOTDATA("Sum of Other Fleet Vehicles (excl Officer Response Vehicles)",VehiclesPivot!$A$3,"Year",A19)</f>
        <v>470</v>
      </c>
      <c r="N19" s="747">
        <f>GETPIVOTDATA("Sum of Total Vehicles (incl boats)",VehiclesPivot!$A$3,"Year",A19)</f>
        <v>1567</v>
      </c>
      <c r="P19" s="368"/>
      <c r="S19" s="117"/>
    </row>
    <row r="20" spans="1:29" x14ac:dyDescent="0.3">
      <c r="A20" s="176" t="s">
        <v>318</v>
      </c>
      <c r="B20" s="704">
        <f>GETPIVOTDATA("Sum of Pumping Appliances",VehiclesPivot!$A$3,"Year",A20)</f>
        <v>445</v>
      </c>
      <c r="C20" s="704">
        <f>GETPIVOTDATA("Sum of Aerial Appliances",VehiclesPivot!$A$3,"Year",A20)</f>
        <v>25</v>
      </c>
      <c r="D20" s="708">
        <f>GETPIVOTDATA("Sum of Resilience Appliances",VehiclesPivot!$A$3,"Year",A20)</f>
        <v>38</v>
      </c>
      <c r="E20" s="704">
        <f>GETPIVOTDATA("Sum of Fire Boats",VehiclesPivot!$A$3,"Year",A20)</f>
        <v>24</v>
      </c>
      <c r="F20" s="704">
        <f>GETPIVOTDATA("Sum of Vehicles for Rescue Work",VehiclesPivot!$A$3,"Year",A20)</f>
        <v>28</v>
      </c>
      <c r="G20" s="704">
        <f>GETPIVOTDATA("Sum of Small Firefighting Vehicles",VehiclesPivot!$A$3,"Year",A20)</f>
        <v>30</v>
      </c>
      <c r="H20" s="708">
        <f>GETPIVOTDATA("Sum of Other",VehiclesPivot!$A$3,"Year",A20)</f>
        <v>60</v>
      </c>
      <c r="I20" s="708">
        <f>GETPIVOTDATA("Sum of Total Appliances",VehiclesPivot!$A$3,"Year",A20)</f>
        <v>650</v>
      </c>
      <c r="J20" s="802">
        <f>GETPIVOTDATA("Sum of Officer Response Vehicles",VehiclesPivot!$A$3,"Year",A20)</f>
        <v>335</v>
      </c>
      <c r="K20" s="704">
        <f>GETPIVOTDATA("Sum of Reserve Appliances",VehiclesPivot!$A$3,"Year",A20)</f>
        <v>94</v>
      </c>
      <c r="L20" s="708">
        <f>GETPIVOTDATA("Sum of Training Appliances",VehiclesPivot!$A$3,"Year",A20)</f>
        <v>61</v>
      </c>
      <c r="M20" s="802">
        <f>GETPIVOTDATA("Sum of Other Fleet Vehicles (excl Officer Response Vehicles)",VehiclesPivot!$A$3,"Year",A20)</f>
        <v>491</v>
      </c>
      <c r="N20" s="747">
        <f>GETPIVOTDATA("Sum of Total Vehicles (incl boats)",VehiclesPivot!$A$3,"Year",A20)</f>
        <v>1631</v>
      </c>
      <c r="S20" s="117"/>
    </row>
    <row r="21" spans="1:29" s="325" customFormat="1" ht="15" thickBot="1" x14ac:dyDescent="0.35">
      <c r="A21" s="172" t="s">
        <v>320</v>
      </c>
      <c r="B21" s="704">
        <f>GETPIVOTDATA("Sum of Pumping Appliances",VehiclesPivot!$A$3,"Year",A21)</f>
        <v>427</v>
      </c>
      <c r="C21" s="704">
        <f>GETPIVOTDATA("Sum of Aerial Appliances",VehiclesPivot!$A$3,"Year",A21)</f>
        <v>25</v>
      </c>
      <c r="D21" s="708">
        <f>GETPIVOTDATA("Sum of Resilience Appliances",VehiclesPivot!$A$3,"Year",A21)</f>
        <v>23</v>
      </c>
      <c r="E21" s="704">
        <f>GETPIVOTDATA("Sum of Fire Boats",VehiclesPivot!$A$3,"Year",A21)</f>
        <v>25</v>
      </c>
      <c r="F21" s="704">
        <f>GETPIVOTDATA("Sum of Vehicles for Rescue Work",VehiclesPivot!$A$3,"Year",A21)</f>
        <v>28</v>
      </c>
      <c r="G21" s="704">
        <f>GETPIVOTDATA("Sum of Small Firefighting Vehicles",VehiclesPivot!$A$3,"Year",A21)</f>
        <v>30</v>
      </c>
      <c r="H21" s="708">
        <f>GETPIVOTDATA("Sum of Other",VehiclesPivot!$A$3,"Year",A21)</f>
        <v>77</v>
      </c>
      <c r="I21" s="708">
        <f>GETPIVOTDATA("Sum of Total Appliances",VehiclesPivot!$A$3,"Year",A21)</f>
        <v>635</v>
      </c>
      <c r="J21" s="802">
        <f>GETPIVOTDATA("Sum of Officer Response Vehicles",VehiclesPivot!$A$3,"Year",A21)</f>
        <v>313</v>
      </c>
      <c r="K21" s="704">
        <f>GETPIVOTDATA("Sum of Reserve Appliances",VehiclesPivot!$A$3,"Year",A21)</f>
        <v>109</v>
      </c>
      <c r="L21" s="708">
        <f>GETPIVOTDATA("Sum of Training Appliances",VehiclesPivot!$A$3,"Year",A21)</f>
        <v>60</v>
      </c>
      <c r="M21" s="802">
        <f>GETPIVOTDATA("Sum of Other Fleet Vehicles (excl Officer Response Vehicles)",VehiclesPivot!$A$3,"Year",A21)</f>
        <v>560</v>
      </c>
      <c r="N21" s="747">
        <f>GETPIVOTDATA("Sum of Total Vehicles (incl boats)",VehiclesPivot!$A$3,"Year",A21)</f>
        <v>1677</v>
      </c>
      <c r="O21" s="25"/>
      <c r="P21"/>
      <c r="Q21" s="25"/>
      <c r="R21" s="25"/>
      <c r="S21" s="25"/>
      <c r="T21"/>
      <c r="U21"/>
      <c r="V21"/>
      <c r="W21"/>
      <c r="X21"/>
      <c r="Y21"/>
      <c r="Z21"/>
      <c r="AA21"/>
      <c r="AB21"/>
      <c r="AC21"/>
    </row>
    <row r="22" spans="1:29" x14ac:dyDescent="0.3">
      <c r="A22" s="172" t="s">
        <v>325</v>
      </c>
      <c r="B22" s="704">
        <f>GETPIVOTDATA("Sum of Pumping Appliances",VehiclesPivot!$A$3,"Year",A22)</f>
        <v>429</v>
      </c>
      <c r="C22" s="704">
        <f>GETPIVOTDATA("Sum of Aerial Appliances",VehiclesPivot!$A$3,"Year",A22)</f>
        <v>25</v>
      </c>
      <c r="D22" s="708">
        <f>GETPIVOTDATA("Sum of Resilience Appliances",VehiclesPivot!$A$3,"Year",A22)</f>
        <v>23</v>
      </c>
      <c r="E22" s="704">
        <f>GETPIVOTDATA("Sum of Fire Boats",VehiclesPivot!$A$3,"Year",A22)</f>
        <v>24</v>
      </c>
      <c r="F22" s="704">
        <f>GETPIVOTDATA("Sum of Vehicles for Rescue Work",VehiclesPivot!$A$3,"Year",A22)</f>
        <v>28</v>
      </c>
      <c r="G22" s="704">
        <f>GETPIVOTDATA("Sum of Small Firefighting Vehicles",VehiclesPivot!$A$3,"Year",A22)</f>
        <v>31</v>
      </c>
      <c r="H22" s="708">
        <f>GETPIVOTDATA("Sum of Other",VehiclesPivot!$A$3,"Year",A22)</f>
        <v>77</v>
      </c>
      <c r="I22" s="930">
        <f>GETPIVOTDATA("Sum of Total Appliances",VehiclesPivot!$A$3,"Year",A22)</f>
        <v>637</v>
      </c>
      <c r="J22" s="802">
        <f>GETPIVOTDATA("Sum of Officer Response Vehicles",VehiclesPivot!$A$3,"Year",A22)</f>
        <v>319</v>
      </c>
      <c r="K22" s="704">
        <f>GETPIVOTDATA("Sum of Reserve Appliances",VehiclesPivot!$A$3,"Year",A22)</f>
        <v>90</v>
      </c>
      <c r="L22" s="708">
        <f>GETPIVOTDATA("Sum of Training Appliances",VehiclesPivot!$A$3,"Year",A22)</f>
        <v>55</v>
      </c>
      <c r="M22" s="802">
        <f>GETPIVOTDATA("Sum of Other Fleet Vehicles (excl Officer Response Vehicles)",VehiclesPivot!$A$3,"Year",A22)</f>
        <v>527</v>
      </c>
      <c r="N22" s="747">
        <f>GETPIVOTDATA("Sum of Total Vehicles (incl boats)",VehiclesPivot!$A$3,"Year",A22)</f>
        <v>1628</v>
      </c>
      <c r="O22" s="25"/>
      <c r="Q22" s="25"/>
      <c r="R22" s="25"/>
      <c r="S22" s="25"/>
    </row>
    <row r="23" spans="1:29" x14ac:dyDescent="0.3">
      <c r="A23" s="172" t="s">
        <v>326</v>
      </c>
      <c r="B23" s="704">
        <f>GETPIVOTDATA("Sum of Pumping Appliances",VehiclesPivot!$A$3,"Year",A23)</f>
        <v>424</v>
      </c>
      <c r="C23" s="704">
        <f>GETPIVOTDATA("Sum of Aerial Appliances",VehiclesPivot!$A$3,"Year",A23)</f>
        <v>16</v>
      </c>
      <c r="D23" s="708">
        <f>GETPIVOTDATA("Sum of Resilience Appliances",VehiclesPivot!$A$3,"Year",A23)</f>
        <v>21</v>
      </c>
      <c r="E23" s="704">
        <f>GETPIVOTDATA("Sum of Fire Boats",VehiclesPivot!$A$3,"Year",A23)</f>
        <v>24</v>
      </c>
      <c r="F23" s="704">
        <f>GETPIVOTDATA("Sum of Vehicles for Rescue Work",VehiclesPivot!$A$3,"Year",A23)</f>
        <v>28</v>
      </c>
      <c r="G23" s="704">
        <f>GETPIVOTDATA("Sum of Small Firefighting Vehicles",VehiclesPivot!$A$3,"Year",A23)</f>
        <v>35</v>
      </c>
      <c r="H23" s="708">
        <f>GETPIVOTDATA("Sum of Other",VehiclesPivot!$A$3,"Year",A23)</f>
        <v>73</v>
      </c>
      <c r="I23" s="930">
        <f>GETPIVOTDATA("Sum of Total Appliances",VehiclesPivot!$A$3,"Year",A23)</f>
        <v>621</v>
      </c>
      <c r="J23" s="802">
        <f>GETPIVOTDATA("Sum of Officer Response Vehicles",VehiclesPivot!$A$3,"Year",A23)</f>
        <v>327</v>
      </c>
      <c r="K23" s="704">
        <f>GETPIVOTDATA("Sum of Reserve Appliances",VehiclesPivot!$A$3,"Year",A23)</f>
        <v>85</v>
      </c>
      <c r="L23" s="708">
        <f>GETPIVOTDATA("Sum of Training Appliances",VehiclesPivot!$A$3,"Year",A23)</f>
        <v>61</v>
      </c>
      <c r="M23" s="802">
        <f>GETPIVOTDATA("Sum of Other Fleet Vehicles (excl Officer Response Vehicles)",VehiclesPivot!$A$3,"Year",A23)</f>
        <v>491</v>
      </c>
      <c r="N23" s="747">
        <f>GETPIVOTDATA("Sum of Total Vehicles (incl boats)",VehiclesPivot!$A$3,"Year",A23)</f>
        <v>1585</v>
      </c>
      <c r="O23" s="25"/>
      <c r="Q23" s="25"/>
      <c r="R23" s="25"/>
      <c r="S23" s="25"/>
    </row>
    <row r="24" spans="1:29" x14ac:dyDescent="0.3">
      <c r="A24" s="172" t="s">
        <v>328</v>
      </c>
      <c r="B24" s="704">
        <f>GETPIVOTDATA("Sum of Pumping Appliances",VehiclesPivot!$A$3,"Year",A24)</f>
        <v>424</v>
      </c>
      <c r="C24" s="704">
        <f>GETPIVOTDATA("Sum of Aerial Appliances",VehiclesPivot!$A$3,"Year",A24)</f>
        <v>16</v>
      </c>
      <c r="D24" s="708">
        <f>GETPIVOTDATA("Sum of Resilience Appliances",VehiclesPivot!$A$3,"Year",A24)</f>
        <v>19</v>
      </c>
      <c r="E24" s="704">
        <f>GETPIVOTDATA("Sum of Fire Boats",VehiclesPivot!$A$3,"Year",A24)</f>
        <v>24</v>
      </c>
      <c r="F24" s="704">
        <f>GETPIVOTDATA("Sum of Vehicles for Rescue Work",VehiclesPivot!$A$3,"Year",A24)</f>
        <v>28</v>
      </c>
      <c r="G24" s="704">
        <f>GETPIVOTDATA("Sum of Small Firefighting Vehicles",VehiclesPivot!$A$3,"Year",A24)</f>
        <v>30</v>
      </c>
      <c r="H24" s="708">
        <f>GETPIVOTDATA("Sum of Other",VehiclesPivot!$A$3,"Year",A24)</f>
        <v>89</v>
      </c>
      <c r="I24" s="708">
        <f>GETPIVOTDATA("Sum of Total Appliances",VehiclesPivot!$A$3,"Year",A24)</f>
        <v>630</v>
      </c>
      <c r="J24" s="802">
        <f>GETPIVOTDATA("Sum of Officer Response Vehicles",VehiclesPivot!$A$3,"Year",A24)</f>
        <v>329</v>
      </c>
      <c r="K24" s="994">
        <f>GETPIVOTDATA("Sum of Reserve Appliances",VehiclesPivot!$A$3,"Year",A24)</f>
        <v>83</v>
      </c>
      <c r="L24" s="708">
        <f>GETPIVOTDATA("Sum of Training Appliances",VehiclesPivot!$A$3,"Year",A24)</f>
        <v>61</v>
      </c>
      <c r="M24" s="802">
        <f>GETPIVOTDATA("Sum of Other Fleet Vehicles (excl Officer Response Vehicles)",VehiclesPivot!$A$3,"Year",A24)</f>
        <v>473</v>
      </c>
      <c r="N24" s="747">
        <f>GETPIVOTDATA("Sum of Total Vehicles (incl boats)",VehiclesPivot!$A$3,"Year",A24)</f>
        <v>1576</v>
      </c>
      <c r="O24" s="25"/>
      <c r="Q24" s="25"/>
      <c r="R24" s="25"/>
      <c r="S24" s="25"/>
    </row>
    <row r="25" spans="1:29" ht="15" thickBot="1" x14ac:dyDescent="0.35">
      <c r="A25" s="658" t="s">
        <v>412</v>
      </c>
      <c r="B25" s="712">
        <f>GETPIVOTDATA("Sum of Pumping Appliances",VehiclesPivot!$A$3,"Year",A25)</f>
        <v>420</v>
      </c>
      <c r="C25" s="712">
        <f>GETPIVOTDATA("Sum of Aerial Appliances",VehiclesPivot!$A$3,"Year",A25)</f>
        <v>16</v>
      </c>
      <c r="D25" s="713">
        <f>GETPIVOTDATA("Sum of Resilience Appliances",VehiclesPivot!$A$3,"Year",A25)</f>
        <v>17</v>
      </c>
      <c r="E25" s="993">
        <f>GETPIVOTDATA("Sum of Fire Boats",VehiclesPivot!$A$3,"Year",A25)</f>
        <v>24</v>
      </c>
      <c r="F25" s="712">
        <f>GETPIVOTDATA("Sum of Vehicles for Rescue Work",VehiclesPivot!$A$3,"Year",A25)</f>
        <v>28</v>
      </c>
      <c r="G25" s="712">
        <f>GETPIVOTDATA("Sum of Small Firefighting Vehicles",VehiclesPivot!$A$3,"Year",A25)</f>
        <v>34</v>
      </c>
      <c r="H25" s="713">
        <f>GETPIVOTDATA("Sum of Other",VehiclesPivot!$A$3,"Year",A25)</f>
        <v>82</v>
      </c>
      <c r="I25" s="931">
        <f>GETPIVOTDATA("Sum of Total Appliances",VehiclesPivot!$A$3,"Year",A25)</f>
        <v>621</v>
      </c>
      <c r="J25" s="803">
        <f>GETPIVOTDATA("Sum of Officer Response Vehicles",VehiclesPivot!$A$3,"Year",A25)</f>
        <v>331</v>
      </c>
      <c r="K25" s="712">
        <f>GETPIVOTDATA("Sum of Reserve Appliances",VehiclesPivot!$A$3,"Year",A25)</f>
        <v>91</v>
      </c>
      <c r="L25" s="713">
        <f>GETPIVOTDATA("Sum of Training Appliances",VehiclesPivot!$A$3,"Year",A25)</f>
        <v>59</v>
      </c>
      <c r="M25" s="803">
        <f>GETPIVOTDATA("Sum of Other Fleet Vehicles (excl Officer Response Vehicles)",VehiclesPivot!$A$3,"Year",A25)</f>
        <v>473</v>
      </c>
      <c r="N25" s="748">
        <f>GETPIVOTDATA("Sum of Total Vehicles (incl boats)",VehiclesPivot!$A$3,"Year",A25)</f>
        <v>1575</v>
      </c>
      <c r="O25" s="25"/>
      <c r="Q25" s="25"/>
      <c r="R25" s="25"/>
      <c r="S25" s="25"/>
    </row>
    <row r="26" spans="1:29" x14ac:dyDescent="0.3">
      <c r="A26" s="172"/>
      <c r="B26" s="25"/>
      <c r="C26" s="25"/>
      <c r="D26" s="25"/>
      <c r="E26" s="25"/>
      <c r="F26" s="25"/>
      <c r="G26" s="25"/>
      <c r="H26" s="25"/>
      <c r="I26" s="25"/>
      <c r="J26" s="25"/>
      <c r="K26" s="25"/>
      <c r="L26" s="25"/>
      <c r="M26" s="25"/>
      <c r="N26" s="25"/>
      <c r="O26" s="25"/>
      <c r="Q26" s="25"/>
      <c r="R26" s="25"/>
      <c r="S26" s="25"/>
    </row>
    <row r="27" spans="1:29" x14ac:dyDescent="0.3">
      <c r="A27" s="312" t="s">
        <v>329</v>
      </c>
      <c r="I27" s="131"/>
    </row>
    <row r="28" spans="1:29" ht="30.75" customHeight="1" x14ac:dyDescent="0.3">
      <c r="A28" s="1029" t="s">
        <v>489</v>
      </c>
      <c r="B28" s="1029"/>
      <c r="C28" s="1029"/>
      <c r="D28" s="1029"/>
      <c r="E28" s="1029"/>
      <c r="F28" s="1029"/>
      <c r="G28" s="1029"/>
      <c r="H28" s="1029"/>
      <c r="I28" s="1029"/>
      <c r="J28" s="1029"/>
      <c r="K28" s="1029"/>
      <c r="L28" s="1029"/>
      <c r="M28" s="1029"/>
      <c r="N28" s="1029"/>
    </row>
    <row r="29" spans="1:29" ht="15" customHeight="1" x14ac:dyDescent="0.3">
      <c r="A29" s="387" t="s">
        <v>490</v>
      </c>
      <c r="B29" s="414"/>
      <c r="C29" s="414"/>
      <c r="D29" s="414"/>
      <c r="E29" s="414"/>
      <c r="F29" s="414"/>
      <c r="G29" s="414"/>
      <c r="H29" s="414"/>
      <c r="I29" s="414"/>
      <c r="J29" s="414"/>
      <c r="K29" s="414"/>
      <c r="L29" s="414"/>
      <c r="M29" s="414"/>
      <c r="N29" s="414"/>
    </row>
    <row r="30" spans="1:29" ht="30" customHeight="1" x14ac:dyDescent="0.3">
      <c r="A30" s="1029" t="s">
        <v>491</v>
      </c>
      <c r="B30" s="1029"/>
      <c r="C30" s="1029"/>
      <c r="D30" s="1029"/>
      <c r="E30" s="1029"/>
      <c r="F30" s="1029"/>
      <c r="G30" s="1029"/>
      <c r="H30" s="1029"/>
      <c r="I30" s="1029"/>
      <c r="J30" s="1029"/>
      <c r="K30" s="1029"/>
      <c r="L30" s="1029"/>
      <c r="M30" s="1029"/>
      <c r="N30" s="1029"/>
    </row>
    <row r="31" spans="1:29" ht="45" customHeight="1" x14ac:dyDescent="0.3">
      <c r="A31" s="1029" t="s">
        <v>492</v>
      </c>
      <c r="B31" s="1029"/>
      <c r="C31" s="1029"/>
      <c r="D31" s="1029"/>
      <c r="E31" s="1029"/>
      <c r="F31" s="1029"/>
      <c r="G31" s="1029"/>
      <c r="H31" s="1029"/>
      <c r="I31" s="1029"/>
      <c r="J31" s="1029"/>
      <c r="K31" s="1029"/>
      <c r="L31" s="1029"/>
      <c r="M31" s="1029"/>
      <c r="N31" s="1029"/>
      <c r="O31" s="459"/>
      <c r="P31" s="459"/>
      <c r="Q31" s="459"/>
      <c r="R31" s="459"/>
    </row>
    <row r="32" spans="1:29" ht="45" customHeight="1" x14ac:dyDescent="0.3">
      <c r="A32" s="1029" t="s">
        <v>493</v>
      </c>
      <c r="B32" s="1029"/>
      <c r="C32" s="1029"/>
      <c r="D32" s="1029"/>
      <c r="E32" s="1029"/>
      <c r="F32" s="1029"/>
      <c r="G32" s="1029"/>
      <c r="H32" s="1029"/>
      <c r="I32" s="1029"/>
      <c r="J32" s="1029"/>
      <c r="K32" s="1029"/>
      <c r="L32" s="1029"/>
      <c r="M32" s="1029"/>
      <c r="N32" s="1029"/>
      <c r="S32" s="414"/>
    </row>
    <row r="33" spans="1:19" x14ac:dyDescent="0.3">
      <c r="S33" s="414"/>
    </row>
    <row r="35" spans="1:19" x14ac:dyDescent="0.3">
      <c r="A35" s="339"/>
    </row>
  </sheetData>
  <sheetProtection algorithmName="SHA-512" hashValue="6c79YKm0BbFbGiHa2vKJ9FOCyzU59dqeD+OgtcvD+DmRvrbkVeorlmCCvvhm1NspY3pZ81k0VJhP3o+s+u3b3Q==" saltValue="N32Id0tLF1jV5Ns+estYJw==" spinCount="100000" sheet="1" formatCells="0" sort="0" autoFilter="0" pivotTables="0"/>
  <mergeCells count="5">
    <mergeCell ref="A1:J1"/>
    <mergeCell ref="A28:N28"/>
    <mergeCell ref="A30:N30"/>
    <mergeCell ref="A31:N31"/>
    <mergeCell ref="A32:N32"/>
  </mergeCells>
  <hyperlinks>
    <hyperlink ref="A2" location="'Table of Contents'!A1" display="Back to Table of Contents" xr:uid="{00000000-0004-0000-1300-000000000000}"/>
  </hyperlinks>
  <pageMargins left="0.70866141732283472" right="0.70866141732283472" top="0.74803149606299213" bottom="0.74803149606299213" header="0.31496062992125984" footer="0.31496062992125984"/>
  <pageSetup paperSize="9" scale="72" orientation="landscape"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tabColor rgb="FFD9B3FF"/>
  </sheetPr>
  <dimension ref="A1:H33"/>
  <sheetViews>
    <sheetView topLeftCell="C1" workbookViewId="0">
      <selection activeCell="E19" sqref="E19"/>
    </sheetView>
  </sheetViews>
  <sheetFormatPr defaultRowHeight="14.4" x14ac:dyDescent="0.3"/>
  <cols>
    <col min="1" max="1" width="19.5546875" bestFit="1" customWidth="1"/>
    <col min="2" max="2" width="25.44140625" bestFit="1" customWidth="1"/>
    <col min="3" max="3" width="22.77734375" bestFit="1" customWidth="1"/>
    <col min="4" max="4" width="30" bestFit="1" customWidth="1"/>
    <col min="5" max="5" width="31" bestFit="1" customWidth="1"/>
    <col min="6" max="6" width="23.44140625" bestFit="1" customWidth="1"/>
    <col min="7" max="7" width="26.6640625" bestFit="1" customWidth="1"/>
    <col min="8" max="8" width="21.88671875" bestFit="1" customWidth="1"/>
  </cols>
  <sheetData>
    <row r="1" spans="1:8" x14ac:dyDescent="0.3">
      <c r="A1" s="386" t="s">
        <v>208</v>
      </c>
      <c r="B1" t="s">
        <v>412</v>
      </c>
    </row>
    <row r="3" spans="1:8" x14ac:dyDescent="0.3">
      <c r="A3" s="386" t="s">
        <v>350</v>
      </c>
      <c r="B3" t="s">
        <v>456</v>
      </c>
      <c r="C3" t="s">
        <v>457</v>
      </c>
      <c r="D3" t="s">
        <v>460</v>
      </c>
      <c r="E3" t="s">
        <v>461</v>
      </c>
      <c r="F3" t="s">
        <v>494</v>
      </c>
      <c r="G3" t="s">
        <v>458</v>
      </c>
      <c r="H3" t="s">
        <v>463</v>
      </c>
    </row>
    <row r="4" spans="1:8" x14ac:dyDescent="0.3">
      <c r="A4" s="387" t="s">
        <v>215</v>
      </c>
      <c r="B4">
        <v>7</v>
      </c>
      <c r="C4">
        <v>1</v>
      </c>
      <c r="D4">
        <v>2</v>
      </c>
      <c r="E4">
        <v>0</v>
      </c>
      <c r="F4">
        <v>4</v>
      </c>
      <c r="G4">
        <v>3</v>
      </c>
      <c r="H4">
        <v>17</v>
      </c>
    </row>
    <row r="5" spans="1:8" x14ac:dyDescent="0.3">
      <c r="A5" s="387" t="s">
        <v>220</v>
      </c>
      <c r="B5">
        <v>31</v>
      </c>
      <c r="C5">
        <v>0</v>
      </c>
      <c r="D5">
        <v>0</v>
      </c>
      <c r="E5">
        <v>0</v>
      </c>
      <c r="F5">
        <v>6</v>
      </c>
      <c r="G5">
        <v>1</v>
      </c>
      <c r="H5">
        <v>38</v>
      </c>
    </row>
    <row r="6" spans="1:8" x14ac:dyDescent="0.3">
      <c r="A6" s="387" t="s">
        <v>224</v>
      </c>
      <c r="B6">
        <v>11</v>
      </c>
      <c r="C6">
        <v>0</v>
      </c>
      <c r="D6">
        <v>0</v>
      </c>
      <c r="E6">
        <v>0</v>
      </c>
      <c r="F6">
        <v>1</v>
      </c>
      <c r="G6">
        <v>1</v>
      </c>
      <c r="H6">
        <v>13</v>
      </c>
    </row>
    <row r="7" spans="1:8" x14ac:dyDescent="0.3">
      <c r="A7" s="387" t="s">
        <v>240</v>
      </c>
      <c r="B7">
        <v>3</v>
      </c>
      <c r="C7">
        <v>0</v>
      </c>
      <c r="D7">
        <v>0</v>
      </c>
      <c r="E7">
        <v>0</v>
      </c>
      <c r="F7">
        <v>1</v>
      </c>
      <c r="G7">
        <v>0</v>
      </c>
      <c r="H7">
        <v>4</v>
      </c>
    </row>
    <row r="8" spans="1:8" x14ac:dyDescent="0.3">
      <c r="A8" s="387" t="s">
        <v>247</v>
      </c>
      <c r="B8">
        <v>7</v>
      </c>
      <c r="C8">
        <v>1</v>
      </c>
      <c r="D8">
        <v>1</v>
      </c>
      <c r="E8">
        <v>0</v>
      </c>
      <c r="F8">
        <v>6</v>
      </c>
      <c r="G8">
        <v>1</v>
      </c>
      <c r="H8">
        <v>16</v>
      </c>
    </row>
    <row r="9" spans="1:8" x14ac:dyDescent="0.3">
      <c r="A9" s="387" t="s">
        <v>249</v>
      </c>
      <c r="B9">
        <v>10</v>
      </c>
      <c r="C9">
        <v>1</v>
      </c>
      <c r="D9">
        <v>0</v>
      </c>
      <c r="E9">
        <v>0</v>
      </c>
      <c r="F9">
        <v>0</v>
      </c>
      <c r="G9">
        <v>1</v>
      </c>
      <c r="H9">
        <v>12</v>
      </c>
    </row>
    <row r="10" spans="1:8" x14ac:dyDescent="0.3">
      <c r="A10" s="387" t="s">
        <v>253</v>
      </c>
      <c r="B10">
        <v>3</v>
      </c>
      <c r="C10">
        <v>0</v>
      </c>
      <c r="D10">
        <v>0</v>
      </c>
      <c r="E10">
        <v>0</v>
      </c>
      <c r="F10">
        <v>1</v>
      </c>
      <c r="G10">
        <v>1</v>
      </c>
      <c r="H10">
        <v>5</v>
      </c>
    </row>
    <row r="11" spans="1:8" x14ac:dyDescent="0.3">
      <c r="A11" s="387" t="s">
        <v>255</v>
      </c>
      <c r="B11">
        <v>8</v>
      </c>
      <c r="C11">
        <v>0</v>
      </c>
      <c r="D11">
        <v>0</v>
      </c>
      <c r="E11">
        <v>0</v>
      </c>
      <c r="F11">
        <v>2</v>
      </c>
      <c r="G11">
        <v>0</v>
      </c>
      <c r="H11">
        <v>10</v>
      </c>
    </row>
    <row r="12" spans="1:8" x14ac:dyDescent="0.3">
      <c r="A12" s="387" t="s">
        <v>259</v>
      </c>
      <c r="B12">
        <v>2</v>
      </c>
      <c r="C12">
        <v>0</v>
      </c>
      <c r="D12">
        <v>0</v>
      </c>
      <c r="E12">
        <v>0</v>
      </c>
      <c r="F12">
        <v>0</v>
      </c>
      <c r="G12">
        <v>0</v>
      </c>
      <c r="H12">
        <v>2</v>
      </c>
    </row>
    <row r="13" spans="1:8" x14ac:dyDescent="0.3">
      <c r="A13" s="387" t="s">
        <v>263</v>
      </c>
      <c r="B13">
        <v>9</v>
      </c>
      <c r="C13">
        <v>1</v>
      </c>
      <c r="D13">
        <v>0</v>
      </c>
      <c r="E13">
        <v>0</v>
      </c>
      <c r="F13">
        <v>3</v>
      </c>
      <c r="G13">
        <v>1</v>
      </c>
      <c r="H13">
        <v>14</v>
      </c>
    </row>
    <row r="14" spans="1:8" x14ac:dyDescent="0.3">
      <c r="A14" s="387" t="s">
        <v>267</v>
      </c>
      <c r="B14">
        <v>18</v>
      </c>
      <c r="C14">
        <v>1</v>
      </c>
      <c r="D14">
        <v>2</v>
      </c>
      <c r="E14">
        <v>0</v>
      </c>
      <c r="F14">
        <v>2</v>
      </c>
      <c r="G14">
        <v>0</v>
      </c>
      <c r="H14">
        <v>23</v>
      </c>
    </row>
    <row r="15" spans="1:8" x14ac:dyDescent="0.3">
      <c r="A15" s="387" t="s">
        <v>270</v>
      </c>
      <c r="B15">
        <v>17</v>
      </c>
      <c r="C15">
        <v>2</v>
      </c>
      <c r="D15">
        <v>3</v>
      </c>
      <c r="E15">
        <v>0</v>
      </c>
      <c r="F15">
        <v>4</v>
      </c>
      <c r="G15">
        <v>0</v>
      </c>
      <c r="H15">
        <v>26</v>
      </c>
    </row>
    <row r="16" spans="1:8" x14ac:dyDescent="0.3">
      <c r="A16" s="387" t="s">
        <v>273</v>
      </c>
      <c r="B16">
        <v>63</v>
      </c>
      <c r="C16">
        <v>1</v>
      </c>
      <c r="D16">
        <v>3</v>
      </c>
      <c r="E16">
        <v>5</v>
      </c>
      <c r="F16">
        <v>6</v>
      </c>
      <c r="G16">
        <v>1</v>
      </c>
      <c r="H16">
        <v>79</v>
      </c>
    </row>
    <row r="17" spans="1:8" x14ac:dyDescent="0.3">
      <c r="A17" s="387" t="s">
        <v>277</v>
      </c>
      <c r="B17">
        <v>6</v>
      </c>
      <c r="C17">
        <v>1</v>
      </c>
      <c r="D17">
        <v>0</v>
      </c>
      <c r="E17">
        <v>0</v>
      </c>
      <c r="F17">
        <v>0</v>
      </c>
      <c r="G17">
        <v>0</v>
      </c>
      <c r="H17">
        <v>7</v>
      </c>
    </row>
    <row r="18" spans="1:8" x14ac:dyDescent="0.3">
      <c r="A18" s="387" t="s">
        <v>279</v>
      </c>
      <c r="B18">
        <v>2</v>
      </c>
      <c r="C18">
        <v>0</v>
      </c>
      <c r="D18">
        <v>0</v>
      </c>
      <c r="E18">
        <v>0</v>
      </c>
      <c r="F18">
        <v>1</v>
      </c>
      <c r="G18">
        <v>0</v>
      </c>
      <c r="H18">
        <v>3</v>
      </c>
    </row>
    <row r="19" spans="1:8" x14ac:dyDescent="0.3">
      <c r="A19" s="387" t="s">
        <v>281</v>
      </c>
      <c r="B19">
        <v>13</v>
      </c>
      <c r="C19">
        <v>0</v>
      </c>
      <c r="D19">
        <v>1</v>
      </c>
      <c r="E19">
        <v>2</v>
      </c>
      <c r="F19">
        <v>5</v>
      </c>
      <c r="G19">
        <v>1</v>
      </c>
      <c r="H19">
        <v>22</v>
      </c>
    </row>
    <row r="20" spans="1:8" x14ac:dyDescent="0.3">
      <c r="A20" s="387" t="s">
        <v>283</v>
      </c>
      <c r="B20">
        <v>16</v>
      </c>
      <c r="C20">
        <v>0</v>
      </c>
      <c r="D20">
        <v>0</v>
      </c>
      <c r="E20">
        <v>0</v>
      </c>
      <c r="F20">
        <v>3</v>
      </c>
      <c r="G20">
        <v>0</v>
      </c>
      <c r="H20">
        <v>19</v>
      </c>
    </row>
    <row r="21" spans="1:8" x14ac:dyDescent="0.3">
      <c r="A21" s="387" t="s">
        <v>287</v>
      </c>
      <c r="B21">
        <v>15</v>
      </c>
      <c r="C21">
        <v>0</v>
      </c>
      <c r="D21">
        <v>0</v>
      </c>
      <c r="E21">
        <v>2</v>
      </c>
      <c r="F21">
        <v>3</v>
      </c>
      <c r="G21">
        <v>0</v>
      </c>
      <c r="H21">
        <v>20</v>
      </c>
    </row>
    <row r="22" spans="1:8" x14ac:dyDescent="0.3">
      <c r="A22" s="387" t="s">
        <v>289</v>
      </c>
      <c r="B22">
        <v>10</v>
      </c>
      <c r="C22">
        <v>1</v>
      </c>
      <c r="D22">
        <v>1</v>
      </c>
      <c r="E22">
        <v>0</v>
      </c>
      <c r="F22">
        <v>4</v>
      </c>
      <c r="G22">
        <v>1</v>
      </c>
      <c r="H22">
        <v>17</v>
      </c>
    </row>
    <row r="23" spans="1:8" x14ac:dyDescent="0.3">
      <c r="A23" s="387" t="s">
        <v>292</v>
      </c>
      <c r="B23">
        <v>13</v>
      </c>
      <c r="C23">
        <v>0</v>
      </c>
      <c r="D23">
        <v>0</v>
      </c>
      <c r="E23">
        <v>1</v>
      </c>
      <c r="F23">
        <v>0</v>
      </c>
      <c r="G23">
        <v>0</v>
      </c>
      <c r="H23">
        <v>14</v>
      </c>
    </row>
    <row r="24" spans="1:8" x14ac:dyDescent="0.3">
      <c r="A24" s="387" t="s">
        <v>296</v>
      </c>
      <c r="B24">
        <v>5</v>
      </c>
      <c r="C24">
        <v>1</v>
      </c>
      <c r="D24">
        <v>0</v>
      </c>
      <c r="E24">
        <v>0</v>
      </c>
      <c r="F24">
        <v>4</v>
      </c>
      <c r="G24">
        <v>0</v>
      </c>
      <c r="H24">
        <v>10</v>
      </c>
    </row>
    <row r="25" spans="1:8" x14ac:dyDescent="0.3">
      <c r="A25" s="387" t="s">
        <v>298</v>
      </c>
      <c r="B25">
        <v>17</v>
      </c>
      <c r="C25">
        <v>0</v>
      </c>
      <c r="D25">
        <v>2</v>
      </c>
      <c r="E25">
        <v>0</v>
      </c>
      <c r="F25">
        <v>2</v>
      </c>
      <c r="G25">
        <v>0</v>
      </c>
      <c r="H25">
        <v>21</v>
      </c>
    </row>
    <row r="26" spans="1:8" x14ac:dyDescent="0.3">
      <c r="A26" s="387" t="s">
        <v>300</v>
      </c>
      <c r="B26">
        <v>16</v>
      </c>
      <c r="C26">
        <v>0</v>
      </c>
      <c r="D26">
        <v>0</v>
      </c>
      <c r="E26">
        <v>1</v>
      </c>
      <c r="F26">
        <v>1</v>
      </c>
      <c r="G26">
        <v>0</v>
      </c>
      <c r="H26">
        <v>18</v>
      </c>
    </row>
    <row r="27" spans="1:8" x14ac:dyDescent="0.3">
      <c r="A27" s="387" t="s">
        <v>302</v>
      </c>
      <c r="B27">
        <v>8</v>
      </c>
      <c r="C27">
        <v>0</v>
      </c>
      <c r="D27">
        <v>1</v>
      </c>
      <c r="E27">
        <v>0</v>
      </c>
      <c r="F27">
        <v>0</v>
      </c>
      <c r="G27">
        <v>0</v>
      </c>
      <c r="H27">
        <v>9</v>
      </c>
    </row>
    <row r="28" spans="1:8" x14ac:dyDescent="0.3">
      <c r="A28" s="387" t="s">
        <v>304</v>
      </c>
      <c r="B28">
        <v>15</v>
      </c>
      <c r="C28">
        <v>0</v>
      </c>
      <c r="D28">
        <v>2</v>
      </c>
      <c r="E28">
        <v>0</v>
      </c>
      <c r="F28">
        <v>3</v>
      </c>
      <c r="G28">
        <v>1</v>
      </c>
      <c r="H28">
        <v>21</v>
      </c>
    </row>
    <row r="29" spans="1:8" x14ac:dyDescent="0.3">
      <c r="A29" s="387" t="s">
        <v>307</v>
      </c>
      <c r="B29">
        <v>9</v>
      </c>
      <c r="C29">
        <v>0</v>
      </c>
      <c r="D29">
        <v>1</v>
      </c>
      <c r="E29">
        <v>1</v>
      </c>
      <c r="F29">
        <v>4</v>
      </c>
      <c r="G29">
        <v>0</v>
      </c>
      <c r="H29">
        <v>15</v>
      </c>
    </row>
    <row r="30" spans="1:8" x14ac:dyDescent="0.3">
      <c r="A30" s="387" t="s">
        <v>309</v>
      </c>
      <c r="B30">
        <v>5</v>
      </c>
      <c r="C30">
        <v>0</v>
      </c>
      <c r="D30">
        <v>0</v>
      </c>
      <c r="E30">
        <v>0</v>
      </c>
      <c r="F30">
        <v>3</v>
      </c>
      <c r="G30">
        <v>1</v>
      </c>
      <c r="H30">
        <v>9</v>
      </c>
    </row>
    <row r="31" spans="1:8" x14ac:dyDescent="0.3">
      <c r="A31" s="387" t="s">
        <v>311</v>
      </c>
      <c r="B31">
        <v>8</v>
      </c>
      <c r="C31">
        <v>0</v>
      </c>
      <c r="D31">
        <v>1</v>
      </c>
      <c r="E31">
        <v>0</v>
      </c>
      <c r="F31">
        <v>2</v>
      </c>
      <c r="G31">
        <v>0</v>
      </c>
      <c r="H31">
        <v>11</v>
      </c>
    </row>
    <row r="32" spans="1:8" x14ac:dyDescent="0.3">
      <c r="A32" s="387" t="s">
        <v>415</v>
      </c>
      <c r="B32">
        <v>73</v>
      </c>
      <c r="C32">
        <v>5</v>
      </c>
      <c r="D32">
        <v>8</v>
      </c>
      <c r="E32">
        <v>22</v>
      </c>
      <c r="F32">
        <v>11</v>
      </c>
      <c r="G32">
        <v>3</v>
      </c>
      <c r="H32">
        <v>122</v>
      </c>
    </row>
    <row r="33" spans="1:8" x14ac:dyDescent="0.3">
      <c r="A33" s="387" t="s">
        <v>357</v>
      </c>
      <c r="B33">
        <v>420</v>
      </c>
      <c r="C33">
        <v>16</v>
      </c>
      <c r="D33">
        <v>28</v>
      </c>
      <c r="E33">
        <v>34</v>
      </c>
      <c r="F33">
        <v>82</v>
      </c>
      <c r="G33">
        <v>17</v>
      </c>
      <c r="H33">
        <v>597</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rgb="FFD9B3FF"/>
  </sheetPr>
  <dimension ref="A1:J233"/>
  <sheetViews>
    <sheetView topLeftCell="A166" workbookViewId="0">
      <selection activeCell="E19" sqref="E19"/>
    </sheetView>
  </sheetViews>
  <sheetFormatPr defaultRowHeight="14.4" x14ac:dyDescent="0.3"/>
  <cols>
    <col min="1" max="1" width="7.6640625" bestFit="1" customWidth="1"/>
    <col min="2" max="2" width="10.109375" bestFit="1" customWidth="1"/>
    <col min="3" max="3" width="20.77734375" bestFit="1" customWidth="1"/>
    <col min="4" max="4" width="21" bestFit="1" customWidth="1"/>
    <col min="5" max="5" width="18.33203125" bestFit="1" customWidth="1"/>
    <col min="6" max="6" width="22.21875" bestFit="1" customWidth="1"/>
    <col min="7" max="7" width="25.5546875" bestFit="1" customWidth="1"/>
    <col min="8" max="8" width="26.5546875" bestFit="1" customWidth="1"/>
    <col min="9" max="9" width="19.109375" bestFit="1" customWidth="1"/>
    <col min="10" max="10" width="17.44140625" bestFit="1" customWidth="1"/>
  </cols>
  <sheetData>
    <row r="1" spans="1:10" x14ac:dyDescent="0.3">
      <c r="A1" t="s">
        <v>208</v>
      </c>
      <c r="B1" t="s">
        <v>209</v>
      </c>
      <c r="C1" t="s">
        <v>347</v>
      </c>
      <c r="D1" t="s">
        <v>469</v>
      </c>
      <c r="E1" t="s">
        <v>470</v>
      </c>
      <c r="F1" t="s">
        <v>471</v>
      </c>
      <c r="G1" t="s">
        <v>473</v>
      </c>
      <c r="H1" t="s">
        <v>474</v>
      </c>
      <c r="I1" t="s">
        <v>495</v>
      </c>
      <c r="J1" t="s">
        <v>476</v>
      </c>
    </row>
    <row r="2" spans="1:10" x14ac:dyDescent="0.3">
      <c r="A2" t="s">
        <v>213</v>
      </c>
      <c r="D2">
        <v>75</v>
      </c>
      <c r="E2">
        <v>7</v>
      </c>
      <c r="F2">
        <v>8</v>
      </c>
      <c r="G2">
        <v>7</v>
      </c>
      <c r="H2">
        <v>23</v>
      </c>
      <c r="I2">
        <v>9</v>
      </c>
      <c r="J2">
        <v>129</v>
      </c>
    </row>
    <row r="3" spans="1:10" x14ac:dyDescent="0.3">
      <c r="A3" t="s">
        <v>312</v>
      </c>
      <c r="D3">
        <v>72</v>
      </c>
      <c r="E3">
        <v>6</v>
      </c>
      <c r="F3">
        <v>8</v>
      </c>
      <c r="G3">
        <v>7</v>
      </c>
      <c r="H3">
        <v>20</v>
      </c>
      <c r="I3">
        <v>10</v>
      </c>
      <c r="J3">
        <v>123</v>
      </c>
    </row>
    <row r="4" spans="1:10" x14ac:dyDescent="0.3">
      <c r="A4" t="s">
        <v>318</v>
      </c>
      <c r="D4">
        <v>80</v>
      </c>
      <c r="E4">
        <v>6</v>
      </c>
      <c r="F4">
        <v>7</v>
      </c>
      <c r="G4">
        <v>7</v>
      </c>
      <c r="H4">
        <v>20</v>
      </c>
      <c r="I4">
        <v>10</v>
      </c>
      <c r="J4">
        <v>130</v>
      </c>
    </row>
    <row r="5" spans="1:10" x14ac:dyDescent="0.3">
      <c r="A5" t="s">
        <v>320</v>
      </c>
      <c r="D5">
        <v>75</v>
      </c>
      <c r="E5">
        <v>6</v>
      </c>
      <c r="F5">
        <v>4</v>
      </c>
      <c r="G5">
        <v>7</v>
      </c>
      <c r="H5">
        <v>20</v>
      </c>
      <c r="I5">
        <v>12</v>
      </c>
      <c r="J5">
        <v>124</v>
      </c>
    </row>
    <row r="6" spans="1:10" x14ac:dyDescent="0.3">
      <c r="A6" t="s">
        <v>325</v>
      </c>
      <c r="D6">
        <v>72</v>
      </c>
      <c r="E6">
        <v>6</v>
      </c>
      <c r="F6">
        <v>4</v>
      </c>
      <c r="G6">
        <v>8</v>
      </c>
      <c r="H6">
        <v>20</v>
      </c>
      <c r="I6">
        <v>13</v>
      </c>
      <c r="J6">
        <v>123</v>
      </c>
    </row>
    <row r="7" spans="1:10" x14ac:dyDescent="0.3">
      <c r="A7" t="s">
        <v>326</v>
      </c>
      <c r="D7">
        <v>74</v>
      </c>
      <c r="E7">
        <v>5</v>
      </c>
      <c r="F7">
        <v>4</v>
      </c>
      <c r="G7">
        <v>8</v>
      </c>
      <c r="H7">
        <v>20</v>
      </c>
      <c r="I7">
        <v>11</v>
      </c>
      <c r="J7">
        <v>122</v>
      </c>
    </row>
    <row r="8" spans="1:10" x14ac:dyDescent="0.3">
      <c r="A8" t="s">
        <v>328</v>
      </c>
      <c r="D8">
        <v>146</v>
      </c>
      <c r="E8">
        <v>10</v>
      </c>
      <c r="F8">
        <v>8</v>
      </c>
      <c r="G8">
        <v>16</v>
      </c>
      <c r="H8">
        <v>40</v>
      </c>
      <c r="I8">
        <v>22</v>
      </c>
      <c r="J8">
        <v>242</v>
      </c>
    </row>
    <row r="9" spans="1:10" x14ac:dyDescent="0.3">
      <c r="A9" t="s">
        <v>412</v>
      </c>
      <c r="D9">
        <v>73</v>
      </c>
      <c r="E9">
        <v>5</v>
      </c>
      <c r="F9">
        <v>3</v>
      </c>
      <c r="G9">
        <v>8</v>
      </c>
      <c r="H9">
        <v>22</v>
      </c>
      <c r="I9">
        <v>11</v>
      </c>
      <c r="J9">
        <v>122</v>
      </c>
    </row>
    <row r="10" spans="1:10" x14ac:dyDescent="0.3">
      <c r="A10" t="s">
        <v>213</v>
      </c>
      <c r="B10" t="s">
        <v>214</v>
      </c>
      <c r="C10" t="s">
        <v>215</v>
      </c>
      <c r="D10">
        <v>8</v>
      </c>
      <c r="E10">
        <v>2</v>
      </c>
      <c r="F10">
        <v>6</v>
      </c>
      <c r="G10">
        <v>1</v>
      </c>
      <c r="H10">
        <v>0</v>
      </c>
      <c r="I10">
        <v>2</v>
      </c>
      <c r="J10">
        <v>19</v>
      </c>
    </row>
    <row r="11" spans="1:10" x14ac:dyDescent="0.3">
      <c r="A11" t="s">
        <v>312</v>
      </c>
      <c r="B11" t="s">
        <v>214</v>
      </c>
      <c r="C11" t="s">
        <v>215</v>
      </c>
      <c r="D11">
        <v>9</v>
      </c>
      <c r="E11">
        <v>1</v>
      </c>
      <c r="F11">
        <v>6</v>
      </c>
      <c r="G11">
        <v>1</v>
      </c>
      <c r="H11">
        <v>0</v>
      </c>
      <c r="I11">
        <v>4</v>
      </c>
      <c r="J11">
        <v>21</v>
      </c>
    </row>
    <row r="12" spans="1:10" x14ac:dyDescent="0.3">
      <c r="A12" t="s">
        <v>318</v>
      </c>
      <c r="B12" t="s">
        <v>214</v>
      </c>
      <c r="C12" t="s">
        <v>215</v>
      </c>
      <c r="D12">
        <v>7</v>
      </c>
      <c r="E12">
        <v>1</v>
      </c>
      <c r="F12">
        <v>6</v>
      </c>
      <c r="G12">
        <v>2</v>
      </c>
      <c r="H12">
        <v>0</v>
      </c>
      <c r="I12">
        <v>2</v>
      </c>
      <c r="J12">
        <v>18</v>
      </c>
    </row>
    <row r="13" spans="1:10" x14ac:dyDescent="0.3">
      <c r="A13" t="s">
        <v>320</v>
      </c>
      <c r="B13" t="s">
        <v>214</v>
      </c>
      <c r="C13" t="s">
        <v>215</v>
      </c>
      <c r="D13">
        <v>7</v>
      </c>
      <c r="E13">
        <v>1</v>
      </c>
      <c r="F13">
        <v>4</v>
      </c>
      <c r="G13">
        <v>2</v>
      </c>
      <c r="H13">
        <v>0</v>
      </c>
      <c r="I13">
        <v>4</v>
      </c>
      <c r="J13">
        <v>18</v>
      </c>
    </row>
    <row r="14" spans="1:10" x14ac:dyDescent="0.3">
      <c r="A14" t="s">
        <v>325</v>
      </c>
      <c r="B14" t="s">
        <v>214</v>
      </c>
      <c r="C14" t="s">
        <v>215</v>
      </c>
      <c r="D14">
        <v>7</v>
      </c>
      <c r="E14">
        <v>1</v>
      </c>
      <c r="F14">
        <v>4</v>
      </c>
      <c r="G14">
        <v>2</v>
      </c>
      <c r="H14">
        <v>0</v>
      </c>
      <c r="I14">
        <v>4</v>
      </c>
      <c r="J14">
        <v>18</v>
      </c>
    </row>
    <row r="15" spans="1:10" x14ac:dyDescent="0.3">
      <c r="A15" t="s">
        <v>326</v>
      </c>
      <c r="B15" t="s">
        <v>214</v>
      </c>
      <c r="C15" t="s">
        <v>215</v>
      </c>
      <c r="D15">
        <v>7</v>
      </c>
      <c r="E15">
        <v>1</v>
      </c>
      <c r="F15">
        <v>3</v>
      </c>
      <c r="G15">
        <v>2</v>
      </c>
      <c r="H15">
        <v>0</v>
      </c>
      <c r="I15">
        <v>4</v>
      </c>
      <c r="J15">
        <v>17</v>
      </c>
    </row>
    <row r="16" spans="1:10" x14ac:dyDescent="0.3">
      <c r="A16" t="s">
        <v>328</v>
      </c>
      <c r="B16" t="s">
        <v>214</v>
      </c>
      <c r="C16" t="s">
        <v>215</v>
      </c>
      <c r="D16">
        <v>14</v>
      </c>
      <c r="E16">
        <v>2</v>
      </c>
      <c r="F16">
        <v>6</v>
      </c>
      <c r="G16">
        <v>4</v>
      </c>
      <c r="H16">
        <v>0</v>
      </c>
      <c r="I16">
        <v>8</v>
      </c>
      <c r="J16">
        <v>34</v>
      </c>
    </row>
    <row r="17" spans="1:10" x14ac:dyDescent="0.3">
      <c r="A17" t="s">
        <v>412</v>
      </c>
      <c r="B17" t="s">
        <v>214</v>
      </c>
      <c r="C17" t="s">
        <v>215</v>
      </c>
      <c r="D17">
        <v>7</v>
      </c>
      <c r="E17">
        <v>1</v>
      </c>
      <c r="F17">
        <v>3</v>
      </c>
      <c r="G17">
        <v>2</v>
      </c>
      <c r="H17">
        <v>0</v>
      </c>
      <c r="I17">
        <v>4</v>
      </c>
      <c r="J17">
        <v>17</v>
      </c>
    </row>
    <row r="18" spans="1:10" x14ac:dyDescent="0.3">
      <c r="A18" t="s">
        <v>213</v>
      </c>
      <c r="B18" t="s">
        <v>219</v>
      </c>
      <c r="C18" t="s">
        <v>220</v>
      </c>
      <c r="D18">
        <v>31</v>
      </c>
      <c r="E18">
        <v>0</v>
      </c>
      <c r="F18">
        <v>1</v>
      </c>
      <c r="G18">
        <v>0</v>
      </c>
      <c r="H18">
        <v>0</v>
      </c>
      <c r="I18">
        <v>5</v>
      </c>
      <c r="J18">
        <v>37</v>
      </c>
    </row>
    <row r="19" spans="1:10" x14ac:dyDescent="0.3">
      <c r="A19" t="s">
        <v>312</v>
      </c>
      <c r="B19" t="s">
        <v>219</v>
      </c>
      <c r="C19" t="s">
        <v>220</v>
      </c>
      <c r="D19">
        <v>31</v>
      </c>
      <c r="E19">
        <v>0</v>
      </c>
      <c r="F19">
        <v>1</v>
      </c>
      <c r="G19">
        <v>1</v>
      </c>
      <c r="H19">
        <v>0</v>
      </c>
      <c r="I19">
        <v>5</v>
      </c>
      <c r="J19">
        <v>38</v>
      </c>
    </row>
    <row r="20" spans="1:10" x14ac:dyDescent="0.3">
      <c r="A20" t="s">
        <v>318</v>
      </c>
      <c r="B20" t="s">
        <v>219</v>
      </c>
      <c r="C20" t="s">
        <v>220</v>
      </c>
      <c r="D20">
        <v>31</v>
      </c>
      <c r="E20">
        <v>0</v>
      </c>
      <c r="F20">
        <v>1</v>
      </c>
      <c r="G20">
        <v>0</v>
      </c>
      <c r="H20">
        <v>0</v>
      </c>
      <c r="I20">
        <v>4</v>
      </c>
      <c r="J20">
        <v>36</v>
      </c>
    </row>
    <row r="21" spans="1:10" x14ac:dyDescent="0.3">
      <c r="A21" t="s">
        <v>320</v>
      </c>
      <c r="B21" t="s">
        <v>219</v>
      </c>
      <c r="C21" t="s">
        <v>220</v>
      </c>
      <c r="D21">
        <v>31</v>
      </c>
      <c r="E21">
        <v>0</v>
      </c>
      <c r="F21">
        <v>1</v>
      </c>
      <c r="G21">
        <v>0</v>
      </c>
      <c r="H21">
        <v>0</v>
      </c>
      <c r="I21">
        <v>4</v>
      </c>
      <c r="J21">
        <v>36</v>
      </c>
    </row>
    <row r="22" spans="1:10" x14ac:dyDescent="0.3">
      <c r="A22" t="s">
        <v>325</v>
      </c>
      <c r="B22" t="s">
        <v>219</v>
      </c>
      <c r="C22" t="s">
        <v>220</v>
      </c>
      <c r="D22">
        <v>32</v>
      </c>
      <c r="E22">
        <v>0</v>
      </c>
      <c r="F22">
        <v>1</v>
      </c>
      <c r="G22">
        <v>0</v>
      </c>
      <c r="H22">
        <v>0</v>
      </c>
      <c r="I22">
        <v>4</v>
      </c>
      <c r="J22">
        <v>37</v>
      </c>
    </row>
    <row r="23" spans="1:10" x14ac:dyDescent="0.3">
      <c r="A23" t="s">
        <v>326</v>
      </c>
      <c r="B23" t="s">
        <v>219</v>
      </c>
      <c r="C23" t="s">
        <v>220</v>
      </c>
      <c r="D23">
        <v>31</v>
      </c>
      <c r="E23">
        <v>0</v>
      </c>
      <c r="F23">
        <v>1</v>
      </c>
      <c r="G23">
        <v>0</v>
      </c>
      <c r="H23">
        <v>0</v>
      </c>
      <c r="I23">
        <v>3</v>
      </c>
      <c r="J23">
        <v>35</v>
      </c>
    </row>
    <row r="24" spans="1:10" x14ac:dyDescent="0.3">
      <c r="A24" t="s">
        <v>328</v>
      </c>
      <c r="B24" t="s">
        <v>219</v>
      </c>
      <c r="C24" t="s">
        <v>220</v>
      </c>
      <c r="D24">
        <v>63</v>
      </c>
      <c r="E24">
        <v>0</v>
      </c>
      <c r="F24">
        <v>2</v>
      </c>
      <c r="G24">
        <v>0</v>
      </c>
      <c r="H24">
        <v>0</v>
      </c>
      <c r="I24">
        <v>10</v>
      </c>
      <c r="J24">
        <v>75</v>
      </c>
    </row>
    <row r="25" spans="1:10" x14ac:dyDescent="0.3">
      <c r="A25" t="s">
        <v>412</v>
      </c>
      <c r="B25" t="s">
        <v>219</v>
      </c>
      <c r="C25" t="s">
        <v>220</v>
      </c>
      <c r="D25">
        <v>31</v>
      </c>
      <c r="E25">
        <v>0</v>
      </c>
      <c r="F25">
        <v>1</v>
      </c>
      <c r="G25">
        <v>0</v>
      </c>
      <c r="H25">
        <v>0</v>
      </c>
      <c r="I25">
        <v>6</v>
      </c>
      <c r="J25">
        <v>38</v>
      </c>
    </row>
    <row r="26" spans="1:10" x14ac:dyDescent="0.3">
      <c r="A26" t="s">
        <v>213</v>
      </c>
      <c r="B26" t="s">
        <v>223</v>
      </c>
      <c r="C26" t="s">
        <v>224</v>
      </c>
      <c r="D26">
        <v>11</v>
      </c>
      <c r="E26">
        <v>0</v>
      </c>
      <c r="F26">
        <v>1</v>
      </c>
      <c r="G26">
        <v>0</v>
      </c>
      <c r="H26">
        <v>0</v>
      </c>
      <c r="I26">
        <v>1</v>
      </c>
      <c r="J26">
        <v>13</v>
      </c>
    </row>
    <row r="27" spans="1:10" x14ac:dyDescent="0.3">
      <c r="A27" t="s">
        <v>312</v>
      </c>
      <c r="B27" t="s">
        <v>223</v>
      </c>
      <c r="C27" t="s">
        <v>224</v>
      </c>
      <c r="D27">
        <v>11</v>
      </c>
      <c r="E27">
        <v>0</v>
      </c>
      <c r="F27">
        <v>1</v>
      </c>
      <c r="G27">
        <v>0</v>
      </c>
      <c r="H27">
        <v>0</v>
      </c>
      <c r="I27">
        <v>1</v>
      </c>
      <c r="J27">
        <v>13</v>
      </c>
    </row>
    <row r="28" spans="1:10" x14ac:dyDescent="0.3">
      <c r="A28" t="s">
        <v>318</v>
      </c>
      <c r="B28" t="s">
        <v>223</v>
      </c>
      <c r="C28" t="s">
        <v>224</v>
      </c>
      <c r="D28">
        <v>11</v>
      </c>
      <c r="E28">
        <v>0</v>
      </c>
      <c r="F28">
        <v>1</v>
      </c>
      <c r="G28">
        <v>0</v>
      </c>
      <c r="H28">
        <v>0</v>
      </c>
      <c r="I28">
        <v>1</v>
      </c>
      <c r="J28">
        <v>13</v>
      </c>
    </row>
    <row r="29" spans="1:10" x14ac:dyDescent="0.3">
      <c r="A29" t="s">
        <v>320</v>
      </c>
      <c r="B29" t="s">
        <v>223</v>
      </c>
      <c r="C29" t="s">
        <v>224</v>
      </c>
      <c r="D29">
        <v>11</v>
      </c>
      <c r="E29">
        <v>0</v>
      </c>
      <c r="F29">
        <v>1</v>
      </c>
      <c r="G29">
        <v>0</v>
      </c>
      <c r="H29">
        <v>0</v>
      </c>
      <c r="I29">
        <v>1</v>
      </c>
      <c r="J29">
        <v>13</v>
      </c>
    </row>
    <row r="30" spans="1:10" x14ac:dyDescent="0.3">
      <c r="A30" t="s">
        <v>325</v>
      </c>
      <c r="B30" t="s">
        <v>223</v>
      </c>
      <c r="C30" t="s">
        <v>224</v>
      </c>
      <c r="D30">
        <v>11</v>
      </c>
      <c r="E30">
        <v>0</v>
      </c>
      <c r="F30">
        <v>1</v>
      </c>
      <c r="G30">
        <v>0</v>
      </c>
      <c r="H30">
        <v>0</v>
      </c>
      <c r="I30">
        <v>1</v>
      </c>
      <c r="J30">
        <v>13</v>
      </c>
    </row>
    <row r="31" spans="1:10" x14ac:dyDescent="0.3">
      <c r="A31" t="s">
        <v>326</v>
      </c>
      <c r="B31" t="s">
        <v>223</v>
      </c>
      <c r="C31" t="s">
        <v>224</v>
      </c>
      <c r="D31">
        <v>12</v>
      </c>
      <c r="E31">
        <v>0</v>
      </c>
      <c r="F31">
        <v>1</v>
      </c>
      <c r="G31">
        <v>0</v>
      </c>
      <c r="H31">
        <v>0</v>
      </c>
      <c r="I31">
        <v>1</v>
      </c>
      <c r="J31">
        <v>14</v>
      </c>
    </row>
    <row r="32" spans="1:10" x14ac:dyDescent="0.3">
      <c r="A32" t="s">
        <v>328</v>
      </c>
      <c r="B32" t="s">
        <v>223</v>
      </c>
      <c r="C32" t="s">
        <v>224</v>
      </c>
      <c r="D32">
        <v>22</v>
      </c>
      <c r="E32">
        <v>0</v>
      </c>
      <c r="F32">
        <v>0</v>
      </c>
      <c r="G32">
        <v>0</v>
      </c>
      <c r="H32">
        <v>0</v>
      </c>
      <c r="I32">
        <v>2</v>
      </c>
      <c r="J32">
        <v>24</v>
      </c>
    </row>
    <row r="33" spans="1:10" x14ac:dyDescent="0.3">
      <c r="A33" t="s">
        <v>412</v>
      </c>
      <c r="B33" t="s">
        <v>223</v>
      </c>
      <c r="C33" t="s">
        <v>224</v>
      </c>
      <c r="D33">
        <v>11</v>
      </c>
      <c r="E33">
        <v>0</v>
      </c>
      <c r="F33">
        <v>1</v>
      </c>
      <c r="G33">
        <v>0</v>
      </c>
      <c r="H33">
        <v>0</v>
      </c>
      <c r="I33">
        <v>1</v>
      </c>
      <c r="J33">
        <v>13</v>
      </c>
    </row>
    <row r="34" spans="1:10" x14ac:dyDescent="0.3">
      <c r="A34" t="s">
        <v>213</v>
      </c>
      <c r="B34" t="s">
        <v>239</v>
      </c>
      <c r="C34" t="s">
        <v>240</v>
      </c>
      <c r="D34">
        <v>3</v>
      </c>
      <c r="E34">
        <v>0</v>
      </c>
      <c r="F34">
        <v>0</v>
      </c>
      <c r="G34">
        <v>1</v>
      </c>
      <c r="H34">
        <v>0</v>
      </c>
      <c r="I34">
        <v>1</v>
      </c>
      <c r="J34">
        <v>5</v>
      </c>
    </row>
    <row r="35" spans="1:10" x14ac:dyDescent="0.3">
      <c r="A35" t="s">
        <v>312</v>
      </c>
      <c r="B35" t="s">
        <v>239</v>
      </c>
      <c r="C35" t="s">
        <v>240</v>
      </c>
      <c r="D35">
        <v>2</v>
      </c>
      <c r="E35">
        <v>0</v>
      </c>
      <c r="F35">
        <v>0</v>
      </c>
      <c r="G35">
        <v>1</v>
      </c>
      <c r="H35">
        <v>0</v>
      </c>
      <c r="I35">
        <v>1</v>
      </c>
      <c r="J35">
        <v>4</v>
      </c>
    </row>
    <row r="36" spans="1:10" x14ac:dyDescent="0.3">
      <c r="A36" t="s">
        <v>318</v>
      </c>
      <c r="B36" t="s">
        <v>239</v>
      </c>
      <c r="C36" t="s">
        <v>240</v>
      </c>
      <c r="D36">
        <v>3</v>
      </c>
      <c r="E36">
        <v>0</v>
      </c>
      <c r="F36">
        <v>0</v>
      </c>
      <c r="G36">
        <v>1</v>
      </c>
      <c r="H36">
        <v>0</v>
      </c>
      <c r="I36">
        <v>1</v>
      </c>
      <c r="J36">
        <v>5</v>
      </c>
    </row>
    <row r="37" spans="1:10" x14ac:dyDescent="0.3">
      <c r="A37" t="s">
        <v>320</v>
      </c>
      <c r="B37" t="s">
        <v>239</v>
      </c>
      <c r="C37" t="s">
        <v>240</v>
      </c>
      <c r="D37">
        <v>3</v>
      </c>
      <c r="E37">
        <v>0</v>
      </c>
      <c r="F37">
        <v>0</v>
      </c>
      <c r="G37">
        <v>1</v>
      </c>
      <c r="H37">
        <v>0</v>
      </c>
      <c r="I37">
        <v>1</v>
      </c>
      <c r="J37">
        <v>5</v>
      </c>
    </row>
    <row r="38" spans="1:10" x14ac:dyDescent="0.3">
      <c r="A38" t="s">
        <v>325</v>
      </c>
      <c r="B38" t="s">
        <v>239</v>
      </c>
      <c r="C38" t="s">
        <v>240</v>
      </c>
      <c r="D38">
        <v>3</v>
      </c>
      <c r="E38">
        <v>0</v>
      </c>
      <c r="F38">
        <v>0</v>
      </c>
      <c r="G38">
        <v>0</v>
      </c>
      <c r="H38">
        <v>0</v>
      </c>
      <c r="I38">
        <v>1</v>
      </c>
      <c r="J38">
        <v>4</v>
      </c>
    </row>
    <row r="39" spans="1:10" x14ac:dyDescent="0.3">
      <c r="A39" t="s">
        <v>326</v>
      </c>
      <c r="B39" t="s">
        <v>239</v>
      </c>
      <c r="C39" t="s">
        <v>240</v>
      </c>
      <c r="D39">
        <v>3</v>
      </c>
      <c r="E39">
        <v>0</v>
      </c>
      <c r="F39">
        <v>0</v>
      </c>
      <c r="G39">
        <v>0</v>
      </c>
      <c r="H39">
        <v>0</v>
      </c>
      <c r="I39">
        <v>1</v>
      </c>
      <c r="J39">
        <v>4</v>
      </c>
    </row>
    <row r="40" spans="1:10" x14ac:dyDescent="0.3">
      <c r="A40" t="s">
        <v>328</v>
      </c>
      <c r="B40" t="s">
        <v>239</v>
      </c>
      <c r="C40" t="s">
        <v>240</v>
      </c>
      <c r="D40">
        <v>6</v>
      </c>
      <c r="E40">
        <v>0</v>
      </c>
      <c r="F40">
        <v>0</v>
      </c>
      <c r="G40">
        <v>0</v>
      </c>
      <c r="H40">
        <v>0</v>
      </c>
      <c r="I40">
        <v>2</v>
      </c>
      <c r="J40">
        <v>8</v>
      </c>
    </row>
    <row r="41" spans="1:10" x14ac:dyDescent="0.3">
      <c r="A41" t="s">
        <v>412</v>
      </c>
      <c r="B41" t="s">
        <v>239</v>
      </c>
      <c r="C41" t="s">
        <v>240</v>
      </c>
      <c r="D41">
        <v>3</v>
      </c>
      <c r="E41">
        <v>0</v>
      </c>
      <c r="F41">
        <v>0</v>
      </c>
      <c r="G41">
        <v>0</v>
      </c>
      <c r="H41">
        <v>0</v>
      </c>
      <c r="I41">
        <v>1</v>
      </c>
      <c r="J41">
        <v>4</v>
      </c>
    </row>
    <row r="42" spans="1:10" x14ac:dyDescent="0.3">
      <c r="A42" t="s">
        <v>213</v>
      </c>
      <c r="B42" t="s">
        <v>246</v>
      </c>
      <c r="C42" t="s">
        <v>247</v>
      </c>
      <c r="D42">
        <v>7</v>
      </c>
      <c r="E42">
        <v>2</v>
      </c>
      <c r="F42">
        <v>8</v>
      </c>
      <c r="G42">
        <v>1</v>
      </c>
      <c r="H42">
        <v>0</v>
      </c>
      <c r="I42">
        <v>2</v>
      </c>
      <c r="J42">
        <v>20</v>
      </c>
    </row>
    <row r="43" spans="1:10" x14ac:dyDescent="0.3">
      <c r="A43" t="s">
        <v>312</v>
      </c>
      <c r="B43" t="s">
        <v>246</v>
      </c>
      <c r="C43" t="s">
        <v>247</v>
      </c>
      <c r="D43">
        <v>7</v>
      </c>
      <c r="E43">
        <v>2</v>
      </c>
      <c r="F43">
        <v>7</v>
      </c>
      <c r="G43">
        <v>1</v>
      </c>
      <c r="H43">
        <v>0</v>
      </c>
      <c r="I43">
        <v>2</v>
      </c>
      <c r="J43">
        <v>19</v>
      </c>
    </row>
    <row r="44" spans="1:10" x14ac:dyDescent="0.3">
      <c r="A44" t="s">
        <v>318</v>
      </c>
      <c r="B44" t="s">
        <v>246</v>
      </c>
      <c r="C44" t="s">
        <v>247</v>
      </c>
      <c r="D44">
        <v>7</v>
      </c>
      <c r="E44">
        <v>2</v>
      </c>
      <c r="F44">
        <v>8</v>
      </c>
      <c r="G44">
        <v>1</v>
      </c>
      <c r="H44">
        <v>0</v>
      </c>
      <c r="I44">
        <v>2</v>
      </c>
      <c r="J44">
        <v>20</v>
      </c>
    </row>
    <row r="45" spans="1:10" x14ac:dyDescent="0.3">
      <c r="A45" t="s">
        <v>320</v>
      </c>
      <c r="B45" t="s">
        <v>246</v>
      </c>
      <c r="C45" t="s">
        <v>247</v>
      </c>
      <c r="D45">
        <v>7</v>
      </c>
      <c r="E45">
        <v>2</v>
      </c>
      <c r="F45">
        <v>2</v>
      </c>
      <c r="G45">
        <v>1</v>
      </c>
      <c r="H45">
        <v>0</v>
      </c>
      <c r="I45">
        <v>7</v>
      </c>
      <c r="J45">
        <v>19</v>
      </c>
    </row>
    <row r="46" spans="1:10" x14ac:dyDescent="0.3">
      <c r="A46" t="s">
        <v>325</v>
      </c>
      <c r="B46" t="s">
        <v>246</v>
      </c>
      <c r="C46" t="s">
        <v>247</v>
      </c>
      <c r="D46">
        <v>7</v>
      </c>
      <c r="E46">
        <v>2</v>
      </c>
      <c r="F46">
        <v>2</v>
      </c>
      <c r="G46">
        <v>1</v>
      </c>
      <c r="H46">
        <v>0</v>
      </c>
      <c r="I46">
        <v>7</v>
      </c>
      <c r="J46">
        <v>19</v>
      </c>
    </row>
    <row r="47" spans="1:10" x14ac:dyDescent="0.3">
      <c r="A47" t="s">
        <v>326</v>
      </c>
      <c r="B47" t="s">
        <v>246</v>
      </c>
      <c r="C47" t="s">
        <v>247</v>
      </c>
      <c r="D47">
        <v>7</v>
      </c>
      <c r="E47">
        <v>1</v>
      </c>
      <c r="F47">
        <v>2</v>
      </c>
      <c r="G47">
        <v>1</v>
      </c>
      <c r="H47">
        <v>0</v>
      </c>
      <c r="I47">
        <v>7</v>
      </c>
      <c r="J47">
        <v>18</v>
      </c>
    </row>
    <row r="48" spans="1:10" x14ac:dyDescent="0.3">
      <c r="A48" t="s">
        <v>328</v>
      </c>
      <c r="B48" t="s">
        <v>246</v>
      </c>
      <c r="C48" t="s">
        <v>247</v>
      </c>
      <c r="D48">
        <v>14</v>
      </c>
      <c r="E48">
        <v>2</v>
      </c>
      <c r="F48">
        <v>4</v>
      </c>
      <c r="G48">
        <v>2</v>
      </c>
      <c r="H48">
        <v>0</v>
      </c>
      <c r="I48">
        <v>12</v>
      </c>
      <c r="J48">
        <v>34</v>
      </c>
    </row>
    <row r="49" spans="1:10" x14ac:dyDescent="0.3">
      <c r="A49" t="s">
        <v>412</v>
      </c>
      <c r="B49" t="s">
        <v>246</v>
      </c>
      <c r="C49" t="s">
        <v>247</v>
      </c>
      <c r="D49">
        <v>7</v>
      </c>
      <c r="E49">
        <v>1</v>
      </c>
      <c r="F49">
        <v>1</v>
      </c>
      <c r="G49">
        <v>1</v>
      </c>
      <c r="H49">
        <v>0</v>
      </c>
      <c r="I49">
        <v>6</v>
      </c>
      <c r="J49">
        <v>16</v>
      </c>
    </row>
    <row r="50" spans="1:10" x14ac:dyDescent="0.3">
      <c r="A50" t="s">
        <v>213</v>
      </c>
      <c r="B50" t="s">
        <v>248</v>
      </c>
      <c r="C50" t="s">
        <v>249</v>
      </c>
      <c r="D50">
        <v>9</v>
      </c>
      <c r="E50">
        <v>1</v>
      </c>
      <c r="F50">
        <v>1</v>
      </c>
      <c r="G50">
        <v>0</v>
      </c>
      <c r="H50">
        <v>0</v>
      </c>
      <c r="I50">
        <v>0</v>
      </c>
      <c r="J50">
        <v>11</v>
      </c>
    </row>
    <row r="51" spans="1:10" x14ac:dyDescent="0.3">
      <c r="A51" t="s">
        <v>312</v>
      </c>
      <c r="B51" t="s">
        <v>248</v>
      </c>
      <c r="C51" t="s">
        <v>249</v>
      </c>
      <c r="D51">
        <v>9</v>
      </c>
      <c r="E51">
        <v>1</v>
      </c>
      <c r="F51">
        <v>1</v>
      </c>
      <c r="G51">
        <v>0</v>
      </c>
      <c r="H51">
        <v>0</v>
      </c>
      <c r="I51">
        <v>0</v>
      </c>
      <c r="J51">
        <v>11</v>
      </c>
    </row>
    <row r="52" spans="1:10" x14ac:dyDescent="0.3">
      <c r="A52" t="s">
        <v>318</v>
      </c>
      <c r="B52" t="s">
        <v>248</v>
      </c>
      <c r="C52" t="s">
        <v>249</v>
      </c>
      <c r="D52">
        <v>10</v>
      </c>
      <c r="E52">
        <v>1</v>
      </c>
      <c r="F52">
        <v>1</v>
      </c>
      <c r="G52">
        <v>0</v>
      </c>
      <c r="H52">
        <v>0</v>
      </c>
      <c r="I52">
        <v>0</v>
      </c>
      <c r="J52">
        <v>12</v>
      </c>
    </row>
    <row r="53" spans="1:10" x14ac:dyDescent="0.3">
      <c r="A53" t="s">
        <v>320</v>
      </c>
      <c r="B53" t="s">
        <v>248</v>
      </c>
      <c r="C53" t="s">
        <v>249</v>
      </c>
      <c r="D53">
        <v>9</v>
      </c>
      <c r="E53">
        <v>1</v>
      </c>
      <c r="F53">
        <v>1</v>
      </c>
      <c r="G53">
        <v>0</v>
      </c>
      <c r="H53">
        <v>0</v>
      </c>
      <c r="I53">
        <v>0</v>
      </c>
      <c r="J53">
        <v>11</v>
      </c>
    </row>
    <row r="54" spans="1:10" x14ac:dyDescent="0.3">
      <c r="A54" t="s">
        <v>325</v>
      </c>
      <c r="B54" t="s">
        <v>248</v>
      </c>
      <c r="C54" t="s">
        <v>249</v>
      </c>
      <c r="D54">
        <v>9</v>
      </c>
      <c r="E54">
        <v>1</v>
      </c>
      <c r="F54">
        <v>1</v>
      </c>
      <c r="G54">
        <v>0</v>
      </c>
      <c r="H54">
        <v>0</v>
      </c>
      <c r="I54">
        <v>0</v>
      </c>
      <c r="J54">
        <v>11</v>
      </c>
    </row>
    <row r="55" spans="1:10" x14ac:dyDescent="0.3">
      <c r="A55" t="s">
        <v>326</v>
      </c>
      <c r="B55" t="s">
        <v>248</v>
      </c>
      <c r="C55" t="s">
        <v>249</v>
      </c>
      <c r="D55">
        <v>9</v>
      </c>
      <c r="E55">
        <v>1</v>
      </c>
      <c r="F55">
        <v>1</v>
      </c>
      <c r="G55">
        <v>0</v>
      </c>
      <c r="H55">
        <v>0</v>
      </c>
      <c r="I55">
        <v>0</v>
      </c>
      <c r="J55">
        <v>11</v>
      </c>
    </row>
    <row r="56" spans="1:10" x14ac:dyDescent="0.3">
      <c r="A56" t="s">
        <v>328</v>
      </c>
      <c r="B56" t="s">
        <v>248</v>
      </c>
      <c r="C56" t="s">
        <v>249</v>
      </c>
      <c r="D56">
        <v>18</v>
      </c>
      <c r="E56">
        <v>2</v>
      </c>
      <c r="F56">
        <v>2</v>
      </c>
      <c r="G56">
        <v>0</v>
      </c>
      <c r="H56">
        <v>0</v>
      </c>
      <c r="I56">
        <v>0</v>
      </c>
      <c r="J56">
        <v>22</v>
      </c>
    </row>
    <row r="57" spans="1:10" x14ac:dyDescent="0.3">
      <c r="A57" t="s">
        <v>412</v>
      </c>
      <c r="B57" t="s">
        <v>248</v>
      </c>
      <c r="C57" t="s">
        <v>249</v>
      </c>
      <c r="D57">
        <v>10</v>
      </c>
      <c r="E57">
        <v>1</v>
      </c>
      <c r="F57">
        <v>1</v>
      </c>
      <c r="G57">
        <v>0</v>
      </c>
      <c r="H57">
        <v>0</v>
      </c>
      <c r="I57">
        <v>0</v>
      </c>
      <c r="J57">
        <v>12</v>
      </c>
    </row>
    <row r="58" spans="1:10" x14ac:dyDescent="0.3">
      <c r="A58" t="s">
        <v>213</v>
      </c>
      <c r="B58" t="s">
        <v>252</v>
      </c>
      <c r="C58" t="s">
        <v>253</v>
      </c>
      <c r="D58">
        <v>3</v>
      </c>
      <c r="E58">
        <v>0</v>
      </c>
      <c r="F58">
        <v>2</v>
      </c>
      <c r="G58">
        <v>0</v>
      </c>
      <c r="H58">
        <v>0</v>
      </c>
      <c r="I58">
        <v>0</v>
      </c>
      <c r="J58">
        <v>5</v>
      </c>
    </row>
    <row r="59" spans="1:10" x14ac:dyDescent="0.3">
      <c r="A59" t="s">
        <v>312</v>
      </c>
      <c r="B59" t="s">
        <v>252</v>
      </c>
      <c r="C59" t="s">
        <v>253</v>
      </c>
      <c r="D59">
        <v>3</v>
      </c>
      <c r="E59">
        <v>0</v>
      </c>
      <c r="F59">
        <v>2</v>
      </c>
      <c r="G59">
        <v>0</v>
      </c>
      <c r="H59">
        <v>0</v>
      </c>
      <c r="I59">
        <v>0</v>
      </c>
      <c r="J59">
        <v>5</v>
      </c>
    </row>
    <row r="60" spans="1:10" x14ac:dyDescent="0.3">
      <c r="A60" t="s">
        <v>318</v>
      </c>
      <c r="B60" t="s">
        <v>252</v>
      </c>
      <c r="C60" t="s">
        <v>253</v>
      </c>
      <c r="D60">
        <v>3</v>
      </c>
      <c r="E60">
        <v>0</v>
      </c>
      <c r="F60">
        <v>2</v>
      </c>
      <c r="G60">
        <v>0</v>
      </c>
      <c r="H60">
        <v>0</v>
      </c>
      <c r="I60">
        <v>0</v>
      </c>
      <c r="J60">
        <v>5</v>
      </c>
    </row>
    <row r="61" spans="1:10" x14ac:dyDescent="0.3">
      <c r="A61" t="s">
        <v>320</v>
      </c>
      <c r="B61" t="s">
        <v>252</v>
      </c>
      <c r="C61" t="s">
        <v>253</v>
      </c>
      <c r="D61">
        <v>3</v>
      </c>
      <c r="E61">
        <v>0</v>
      </c>
      <c r="F61">
        <v>2</v>
      </c>
      <c r="G61">
        <v>0</v>
      </c>
      <c r="H61">
        <v>0</v>
      </c>
      <c r="I61">
        <v>0</v>
      </c>
      <c r="J61">
        <v>5</v>
      </c>
    </row>
    <row r="62" spans="1:10" x14ac:dyDescent="0.3">
      <c r="A62" t="s">
        <v>325</v>
      </c>
      <c r="B62" t="s">
        <v>252</v>
      </c>
      <c r="C62" t="s">
        <v>253</v>
      </c>
      <c r="D62">
        <v>3</v>
      </c>
      <c r="E62">
        <v>0</v>
      </c>
      <c r="F62">
        <v>2</v>
      </c>
      <c r="G62">
        <v>0</v>
      </c>
      <c r="H62">
        <v>0</v>
      </c>
      <c r="I62">
        <v>0</v>
      </c>
      <c r="J62">
        <v>5</v>
      </c>
    </row>
    <row r="63" spans="1:10" x14ac:dyDescent="0.3">
      <c r="A63" t="s">
        <v>326</v>
      </c>
      <c r="B63" t="s">
        <v>252</v>
      </c>
      <c r="C63" t="s">
        <v>253</v>
      </c>
      <c r="D63">
        <v>3</v>
      </c>
      <c r="E63">
        <v>0</v>
      </c>
      <c r="F63">
        <v>2</v>
      </c>
      <c r="G63">
        <v>0</v>
      </c>
      <c r="H63">
        <v>0</v>
      </c>
      <c r="I63">
        <v>1</v>
      </c>
      <c r="J63">
        <v>6</v>
      </c>
    </row>
    <row r="64" spans="1:10" x14ac:dyDescent="0.3">
      <c r="A64" t="s">
        <v>328</v>
      </c>
      <c r="B64" t="s">
        <v>252</v>
      </c>
      <c r="C64" t="s">
        <v>253</v>
      </c>
      <c r="D64">
        <v>6</v>
      </c>
      <c r="E64">
        <v>0</v>
      </c>
      <c r="F64">
        <v>3</v>
      </c>
      <c r="G64">
        <v>0</v>
      </c>
      <c r="H64">
        <v>0</v>
      </c>
      <c r="I64">
        <v>2</v>
      </c>
      <c r="J64">
        <v>11</v>
      </c>
    </row>
    <row r="65" spans="1:10" x14ac:dyDescent="0.3">
      <c r="A65" t="s">
        <v>412</v>
      </c>
      <c r="B65" t="s">
        <v>252</v>
      </c>
      <c r="C65" t="s">
        <v>253</v>
      </c>
      <c r="D65">
        <v>3</v>
      </c>
      <c r="E65">
        <v>0</v>
      </c>
      <c r="F65">
        <v>1</v>
      </c>
      <c r="G65">
        <v>0</v>
      </c>
      <c r="H65">
        <v>0</v>
      </c>
      <c r="I65">
        <v>1</v>
      </c>
      <c r="J65">
        <v>5</v>
      </c>
    </row>
    <row r="66" spans="1:10" x14ac:dyDescent="0.3">
      <c r="A66" t="s">
        <v>213</v>
      </c>
      <c r="B66" t="s">
        <v>254</v>
      </c>
      <c r="C66" t="s">
        <v>255</v>
      </c>
      <c r="D66">
        <v>9</v>
      </c>
      <c r="E66">
        <v>0</v>
      </c>
      <c r="F66">
        <v>0</v>
      </c>
      <c r="G66">
        <v>0</v>
      </c>
      <c r="H66">
        <v>0</v>
      </c>
      <c r="I66">
        <v>0</v>
      </c>
      <c r="J66">
        <v>9</v>
      </c>
    </row>
    <row r="67" spans="1:10" x14ac:dyDescent="0.3">
      <c r="A67" t="s">
        <v>312</v>
      </c>
      <c r="B67" t="s">
        <v>254</v>
      </c>
      <c r="C67" t="s">
        <v>255</v>
      </c>
      <c r="D67">
        <v>9</v>
      </c>
      <c r="E67">
        <v>0</v>
      </c>
      <c r="F67">
        <v>0</v>
      </c>
      <c r="G67">
        <v>0</v>
      </c>
      <c r="H67">
        <v>0</v>
      </c>
      <c r="I67">
        <v>1</v>
      </c>
      <c r="J67">
        <v>10</v>
      </c>
    </row>
    <row r="68" spans="1:10" x14ac:dyDescent="0.3">
      <c r="A68" t="s">
        <v>318</v>
      </c>
      <c r="B68" t="s">
        <v>254</v>
      </c>
      <c r="C68" t="s">
        <v>255</v>
      </c>
      <c r="D68">
        <v>9</v>
      </c>
      <c r="E68">
        <v>0</v>
      </c>
      <c r="F68">
        <v>0</v>
      </c>
      <c r="G68">
        <v>0</v>
      </c>
      <c r="H68">
        <v>0</v>
      </c>
      <c r="I68">
        <v>1</v>
      </c>
      <c r="J68">
        <v>10</v>
      </c>
    </row>
    <row r="69" spans="1:10" x14ac:dyDescent="0.3">
      <c r="A69" t="s">
        <v>320</v>
      </c>
      <c r="B69" t="s">
        <v>254</v>
      </c>
      <c r="C69" t="s">
        <v>255</v>
      </c>
      <c r="D69">
        <v>8</v>
      </c>
      <c r="E69">
        <v>0</v>
      </c>
      <c r="F69">
        <v>0</v>
      </c>
      <c r="G69">
        <v>0</v>
      </c>
      <c r="H69">
        <v>0</v>
      </c>
      <c r="I69">
        <v>1</v>
      </c>
      <c r="J69">
        <v>9</v>
      </c>
    </row>
    <row r="70" spans="1:10" x14ac:dyDescent="0.3">
      <c r="A70" t="s">
        <v>325</v>
      </c>
      <c r="B70" t="s">
        <v>254</v>
      </c>
      <c r="C70" t="s">
        <v>255</v>
      </c>
      <c r="D70">
        <v>8</v>
      </c>
      <c r="E70">
        <v>0</v>
      </c>
      <c r="F70">
        <v>0</v>
      </c>
      <c r="G70">
        <v>0</v>
      </c>
      <c r="H70">
        <v>0</v>
      </c>
      <c r="I70">
        <v>0</v>
      </c>
      <c r="J70">
        <v>8</v>
      </c>
    </row>
    <row r="71" spans="1:10" x14ac:dyDescent="0.3">
      <c r="A71" t="s">
        <v>326</v>
      </c>
      <c r="B71" t="s">
        <v>254</v>
      </c>
      <c r="C71" t="s">
        <v>255</v>
      </c>
      <c r="D71">
        <v>8</v>
      </c>
      <c r="E71">
        <v>0</v>
      </c>
      <c r="F71">
        <v>0</v>
      </c>
      <c r="G71">
        <v>0</v>
      </c>
      <c r="H71">
        <v>0</v>
      </c>
      <c r="I71">
        <v>0</v>
      </c>
      <c r="J71">
        <v>8</v>
      </c>
    </row>
    <row r="72" spans="1:10" x14ac:dyDescent="0.3">
      <c r="A72" t="s">
        <v>328</v>
      </c>
      <c r="B72" t="s">
        <v>254</v>
      </c>
      <c r="C72" t="s">
        <v>255</v>
      </c>
      <c r="D72">
        <v>16</v>
      </c>
      <c r="E72">
        <v>0</v>
      </c>
      <c r="F72">
        <v>0</v>
      </c>
      <c r="G72">
        <v>0</v>
      </c>
      <c r="H72">
        <v>0</v>
      </c>
      <c r="I72">
        <v>2</v>
      </c>
      <c r="J72">
        <v>18</v>
      </c>
    </row>
    <row r="73" spans="1:10" x14ac:dyDescent="0.3">
      <c r="A73" t="s">
        <v>412</v>
      </c>
      <c r="B73" t="s">
        <v>254</v>
      </c>
      <c r="C73" t="s">
        <v>255</v>
      </c>
      <c r="D73">
        <v>8</v>
      </c>
      <c r="E73">
        <v>0</v>
      </c>
      <c r="F73">
        <v>0</v>
      </c>
      <c r="G73">
        <v>0</v>
      </c>
      <c r="H73">
        <v>0</v>
      </c>
      <c r="I73">
        <v>2</v>
      </c>
      <c r="J73">
        <v>10</v>
      </c>
    </row>
    <row r="74" spans="1:10" x14ac:dyDescent="0.3">
      <c r="A74" t="s">
        <v>213</v>
      </c>
      <c r="B74" t="s">
        <v>258</v>
      </c>
      <c r="C74" t="s">
        <v>259</v>
      </c>
      <c r="D74">
        <v>2</v>
      </c>
      <c r="E74">
        <v>0</v>
      </c>
      <c r="F74">
        <v>0</v>
      </c>
      <c r="G74">
        <v>0</v>
      </c>
      <c r="H74">
        <v>0</v>
      </c>
      <c r="I74">
        <v>0</v>
      </c>
      <c r="J74">
        <v>2</v>
      </c>
    </row>
    <row r="75" spans="1:10" x14ac:dyDescent="0.3">
      <c r="A75" t="s">
        <v>312</v>
      </c>
      <c r="B75" t="s">
        <v>258</v>
      </c>
      <c r="C75" t="s">
        <v>259</v>
      </c>
      <c r="D75">
        <v>2</v>
      </c>
      <c r="E75">
        <v>0</v>
      </c>
      <c r="F75">
        <v>0</v>
      </c>
      <c r="G75">
        <v>0</v>
      </c>
      <c r="H75">
        <v>0</v>
      </c>
      <c r="I75">
        <v>0</v>
      </c>
      <c r="J75">
        <v>2</v>
      </c>
    </row>
    <row r="76" spans="1:10" x14ac:dyDescent="0.3">
      <c r="A76" t="s">
        <v>318</v>
      </c>
      <c r="B76" t="s">
        <v>258</v>
      </c>
      <c r="C76" t="s">
        <v>259</v>
      </c>
      <c r="D76">
        <v>2</v>
      </c>
      <c r="E76">
        <v>0</v>
      </c>
      <c r="F76">
        <v>0</v>
      </c>
      <c r="G76">
        <v>0</v>
      </c>
      <c r="H76">
        <v>0</v>
      </c>
      <c r="I76">
        <v>0</v>
      </c>
      <c r="J76">
        <v>2</v>
      </c>
    </row>
    <row r="77" spans="1:10" x14ac:dyDescent="0.3">
      <c r="A77" t="s">
        <v>320</v>
      </c>
      <c r="B77" t="s">
        <v>258</v>
      </c>
      <c r="C77" t="s">
        <v>259</v>
      </c>
      <c r="D77">
        <v>2</v>
      </c>
      <c r="E77">
        <v>0</v>
      </c>
      <c r="F77">
        <v>0</v>
      </c>
      <c r="G77">
        <v>0</v>
      </c>
      <c r="H77">
        <v>0</v>
      </c>
      <c r="I77">
        <v>1</v>
      </c>
      <c r="J77">
        <v>3</v>
      </c>
    </row>
    <row r="78" spans="1:10" x14ac:dyDescent="0.3">
      <c r="A78" t="s">
        <v>325</v>
      </c>
      <c r="B78" t="s">
        <v>258</v>
      </c>
      <c r="C78" t="s">
        <v>259</v>
      </c>
      <c r="D78">
        <v>2</v>
      </c>
      <c r="E78">
        <v>0</v>
      </c>
      <c r="F78">
        <v>0</v>
      </c>
      <c r="G78">
        <v>0</v>
      </c>
      <c r="H78">
        <v>0</v>
      </c>
      <c r="I78">
        <v>0</v>
      </c>
      <c r="J78">
        <v>2</v>
      </c>
    </row>
    <row r="79" spans="1:10" x14ac:dyDescent="0.3">
      <c r="A79" t="s">
        <v>326</v>
      </c>
      <c r="B79" t="s">
        <v>258</v>
      </c>
      <c r="C79" t="s">
        <v>259</v>
      </c>
      <c r="D79">
        <v>2</v>
      </c>
      <c r="E79">
        <v>0</v>
      </c>
      <c r="F79">
        <v>0</v>
      </c>
      <c r="G79">
        <v>0</v>
      </c>
      <c r="H79">
        <v>0</v>
      </c>
      <c r="I79">
        <v>0</v>
      </c>
      <c r="J79">
        <v>2</v>
      </c>
    </row>
    <row r="80" spans="1:10" x14ac:dyDescent="0.3">
      <c r="A80" t="s">
        <v>328</v>
      </c>
      <c r="B80" t="s">
        <v>258</v>
      </c>
      <c r="C80" t="s">
        <v>259</v>
      </c>
      <c r="D80">
        <v>4</v>
      </c>
      <c r="E80">
        <v>0</v>
      </c>
      <c r="F80">
        <v>0</v>
      </c>
      <c r="G80">
        <v>0</v>
      </c>
      <c r="H80">
        <v>0</v>
      </c>
      <c r="I80">
        <v>0</v>
      </c>
      <c r="J80">
        <v>4</v>
      </c>
    </row>
    <row r="81" spans="1:10" x14ac:dyDescent="0.3">
      <c r="A81" t="s">
        <v>412</v>
      </c>
      <c r="B81" t="s">
        <v>258</v>
      </c>
      <c r="C81" t="s">
        <v>259</v>
      </c>
      <c r="D81">
        <v>2</v>
      </c>
      <c r="E81">
        <v>0</v>
      </c>
      <c r="F81">
        <v>0</v>
      </c>
      <c r="G81">
        <v>0</v>
      </c>
      <c r="H81">
        <v>0</v>
      </c>
      <c r="I81">
        <v>0</v>
      </c>
      <c r="J81">
        <v>2</v>
      </c>
    </row>
    <row r="82" spans="1:10" x14ac:dyDescent="0.3">
      <c r="A82" t="s">
        <v>213</v>
      </c>
      <c r="B82" t="s">
        <v>262</v>
      </c>
      <c r="C82" t="s">
        <v>263</v>
      </c>
      <c r="D82">
        <v>10</v>
      </c>
      <c r="E82">
        <v>1</v>
      </c>
      <c r="F82">
        <v>2</v>
      </c>
      <c r="G82">
        <v>0</v>
      </c>
      <c r="H82">
        <v>0</v>
      </c>
      <c r="I82">
        <v>4</v>
      </c>
      <c r="J82">
        <v>17</v>
      </c>
    </row>
    <row r="83" spans="1:10" x14ac:dyDescent="0.3">
      <c r="A83" t="s">
        <v>312</v>
      </c>
      <c r="B83" t="s">
        <v>262</v>
      </c>
      <c r="C83" t="s">
        <v>263</v>
      </c>
      <c r="D83">
        <v>9</v>
      </c>
      <c r="E83">
        <v>2</v>
      </c>
      <c r="F83">
        <v>2</v>
      </c>
      <c r="G83">
        <v>0</v>
      </c>
      <c r="H83">
        <v>0</v>
      </c>
      <c r="I83">
        <v>5</v>
      </c>
      <c r="J83">
        <v>18</v>
      </c>
    </row>
    <row r="84" spans="1:10" x14ac:dyDescent="0.3">
      <c r="A84" t="s">
        <v>318</v>
      </c>
      <c r="B84" t="s">
        <v>262</v>
      </c>
      <c r="C84" t="s">
        <v>263</v>
      </c>
      <c r="D84">
        <v>9</v>
      </c>
      <c r="E84">
        <v>1</v>
      </c>
      <c r="F84">
        <v>2</v>
      </c>
      <c r="G84">
        <v>0</v>
      </c>
      <c r="H84">
        <v>0</v>
      </c>
      <c r="I84">
        <v>4</v>
      </c>
      <c r="J84">
        <v>16</v>
      </c>
    </row>
    <row r="85" spans="1:10" x14ac:dyDescent="0.3">
      <c r="A85" t="s">
        <v>320</v>
      </c>
      <c r="B85" t="s">
        <v>262</v>
      </c>
      <c r="C85" t="s">
        <v>263</v>
      </c>
      <c r="D85">
        <v>9</v>
      </c>
      <c r="E85">
        <v>1</v>
      </c>
      <c r="F85">
        <v>1</v>
      </c>
      <c r="G85">
        <v>0</v>
      </c>
      <c r="H85">
        <v>0</v>
      </c>
      <c r="I85">
        <v>5</v>
      </c>
      <c r="J85">
        <v>16</v>
      </c>
    </row>
    <row r="86" spans="1:10" x14ac:dyDescent="0.3">
      <c r="A86" t="s">
        <v>325</v>
      </c>
      <c r="B86" t="s">
        <v>262</v>
      </c>
      <c r="C86" t="s">
        <v>263</v>
      </c>
      <c r="D86">
        <v>9</v>
      </c>
      <c r="E86">
        <v>1</v>
      </c>
      <c r="F86">
        <v>1</v>
      </c>
      <c r="G86">
        <v>0</v>
      </c>
      <c r="H86">
        <v>0</v>
      </c>
      <c r="I86">
        <v>5</v>
      </c>
      <c r="J86">
        <v>16</v>
      </c>
    </row>
    <row r="87" spans="1:10" x14ac:dyDescent="0.3">
      <c r="A87" t="s">
        <v>326</v>
      </c>
      <c r="B87" t="s">
        <v>262</v>
      </c>
      <c r="C87" t="s">
        <v>263</v>
      </c>
      <c r="D87">
        <v>9</v>
      </c>
      <c r="E87">
        <v>1</v>
      </c>
      <c r="F87">
        <v>1</v>
      </c>
      <c r="G87">
        <v>0</v>
      </c>
      <c r="H87">
        <v>0</v>
      </c>
      <c r="I87">
        <v>5</v>
      </c>
      <c r="J87">
        <v>16</v>
      </c>
    </row>
    <row r="88" spans="1:10" x14ac:dyDescent="0.3">
      <c r="A88" t="s">
        <v>328</v>
      </c>
      <c r="B88" t="s">
        <v>262</v>
      </c>
      <c r="C88" t="s">
        <v>263</v>
      </c>
      <c r="D88">
        <v>18</v>
      </c>
      <c r="E88">
        <v>2</v>
      </c>
      <c r="F88">
        <v>2</v>
      </c>
      <c r="G88">
        <v>0</v>
      </c>
      <c r="H88">
        <v>0</v>
      </c>
      <c r="I88">
        <v>9</v>
      </c>
      <c r="J88">
        <v>31</v>
      </c>
    </row>
    <row r="89" spans="1:10" x14ac:dyDescent="0.3">
      <c r="A89" t="s">
        <v>412</v>
      </c>
      <c r="B89" t="s">
        <v>262</v>
      </c>
      <c r="C89" t="s">
        <v>263</v>
      </c>
      <c r="D89">
        <v>9</v>
      </c>
      <c r="E89">
        <v>1</v>
      </c>
      <c r="F89">
        <v>1</v>
      </c>
      <c r="G89">
        <v>0</v>
      </c>
      <c r="H89">
        <v>0</v>
      </c>
      <c r="I89">
        <v>3</v>
      </c>
      <c r="J89">
        <v>14</v>
      </c>
    </row>
    <row r="90" spans="1:10" x14ac:dyDescent="0.3">
      <c r="A90" t="s">
        <v>213</v>
      </c>
      <c r="B90" t="s">
        <v>266</v>
      </c>
      <c r="C90" t="s">
        <v>267</v>
      </c>
      <c r="D90">
        <v>21</v>
      </c>
      <c r="E90">
        <v>2</v>
      </c>
      <c r="F90">
        <v>2</v>
      </c>
      <c r="G90">
        <v>1</v>
      </c>
      <c r="H90">
        <v>0</v>
      </c>
      <c r="I90">
        <v>5</v>
      </c>
      <c r="J90">
        <v>31</v>
      </c>
    </row>
    <row r="91" spans="1:10" x14ac:dyDescent="0.3">
      <c r="A91" t="s">
        <v>312</v>
      </c>
      <c r="B91" t="s">
        <v>266</v>
      </c>
      <c r="C91" t="s">
        <v>267</v>
      </c>
      <c r="D91">
        <v>19</v>
      </c>
      <c r="E91">
        <v>2</v>
      </c>
      <c r="F91">
        <v>2</v>
      </c>
      <c r="G91">
        <v>2</v>
      </c>
      <c r="H91">
        <v>0</v>
      </c>
      <c r="I91">
        <v>5</v>
      </c>
      <c r="J91">
        <v>30</v>
      </c>
    </row>
    <row r="92" spans="1:10" x14ac:dyDescent="0.3">
      <c r="A92" t="s">
        <v>318</v>
      </c>
      <c r="B92" t="s">
        <v>266</v>
      </c>
      <c r="C92" t="s">
        <v>267</v>
      </c>
      <c r="D92">
        <v>20</v>
      </c>
      <c r="E92">
        <v>2</v>
      </c>
      <c r="F92">
        <v>2</v>
      </c>
      <c r="G92">
        <v>2</v>
      </c>
      <c r="H92">
        <v>0</v>
      </c>
      <c r="I92">
        <v>4</v>
      </c>
      <c r="J92">
        <v>30</v>
      </c>
    </row>
    <row r="93" spans="1:10" x14ac:dyDescent="0.3">
      <c r="A93" t="s">
        <v>320</v>
      </c>
      <c r="B93" t="s">
        <v>266</v>
      </c>
      <c r="C93" t="s">
        <v>267</v>
      </c>
      <c r="D93">
        <v>21</v>
      </c>
      <c r="E93">
        <v>2</v>
      </c>
      <c r="F93">
        <v>0</v>
      </c>
      <c r="G93">
        <v>2</v>
      </c>
      <c r="H93">
        <v>0</v>
      </c>
      <c r="I93">
        <v>6</v>
      </c>
      <c r="J93">
        <v>31</v>
      </c>
    </row>
    <row r="94" spans="1:10" x14ac:dyDescent="0.3">
      <c r="A94" t="s">
        <v>325</v>
      </c>
      <c r="B94" t="s">
        <v>266</v>
      </c>
      <c r="C94" t="s">
        <v>267</v>
      </c>
      <c r="D94">
        <v>20</v>
      </c>
      <c r="E94">
        <v>2</v>
      </c>
      <c r="F94">
        <v>0</v>
      </c>
      <c r="G94">
        <v>2</v>
      </c>
      <c r="H94">
        <v>0</v>
      </c>
      <c r="I94">
        <v>6</v>
      </c>
      <c r="J94">
        <v>30</v>
      </c>
    </row>
    <row r="95" spans="1:10" x14ac:dyDescent="0.3">
      <c r="A95" t="s">
        <v>326</v>
      </c>
      <c r="B95" t="s">
        <v>266</v>
      </c>
      <c r="C95" t="s">
        <v>267</v>
      </c>
      <c r="D95">
        <v>18</v>
      </c>
      <c r="E95">
        <v>1</v>
      </c>
      <c r="F95">
        <v>0</v>
      </c>
      <c r="G95">
        <v>2</v>
      </c>
      <c r="H95">
        <v>0</v>
      </c>
      <c r="I95">
        <v>5</v>
      </c>
      <c r="J95">
        <v>26</v>
      </c>
    </row>
    <row r="96" spans="1:10" x14ac:dyDescent="0.3">
      <c r="A96" t="s">
        <v>328</v>
      </c>
      <c r="B96" t="s">
        <v>266</v>
      </c>
      <c r="C96" t="s">
        <v>267</v>
      </c>
      <c r="D96">
        <v>36</v>
      </c>
      <c r="E96">
        <v>2</v>
      </c>
      <c r="F96">
        <v>0</v>
      </c>
      <c r="G96">
        <v>4</v>
      </c>
      <c r="H96">
        <v>0</v>
      </c>
      <c r="I96">
        <v>7</v>
      </c>
      <c r="J96">
        <v>49</v>
      </c>
    </row>
    <row r="97" spans="1:10" x14ac:dyDescent="0.3">
      <c r="A97" t="s">
        <v>412</v>
      </c>
      <c r="B97" t="s">
        <v>266</v>
      </c>
      <c r="C97" t="s">
        <v>267</v>
      </c>
      <c r="D97">
        <v>18</v>
      </c>
      <c r="E97">
        <v>1</v>
      </c>
      <c r="F97">
        <v>0</v>
      </c>
      <c r="G97">
        <v>2</v>
      </c>
      <c r="H97">
        <v>0</v>
      </c>
      <c r="I97">
        <v>2</v>
      </c>
      <c r="J97">
        <v>23</v>
      </c>
    </row>
    <row r="98" spans="1:10" x14ac:dyDescent="0.3">
      <c r="A98" t="s">
        <v>213</v>
      </c>
      <c r="B98" t="s">
        <v>314</v>
      </c>
      <c r="C98" t="s">
        <v>270</v>
      </c>
      <c r="D98">
        <v>18</v>
      </c>
      <c r="E98">
        <v>4</v>
      </c>
      <c r="F98">
        <v>0</v>
      </c>
      <c r="G98">
        <v>3</v>
      </c>
      <c r="H98">
        <v>0</v>
      </c>
      <c r="I98">
        <v>3</v>
      </c>
      <c r="J98">
        <v>28</v>
      </c>
    </row>
    <row r="99" spans="1:10" x14ac:dyDescent="0.3">
      <c r="A99" t="s">
        <v>312</v>
      </c>
      <c r="B99" t="s">
        <v>314</v>
      </c>
      <c r="C99" t="s">
        <v>270</v>
      </c>
      <c r="D99">
        <v>19</v>
      </c>
      <c r="E99">
        <v>3</v>
      </c>
      <c r="F99">
        <v>0</v>
      </c>
      <c r="G99">
        <v>3</v>
      </c>
      <c r="H99">
        <v>0</v>
      </c>
      <c r="I99">
        <v>3</v>
      </c>
      <c r="J99">
        <v>28</v>
      </c>
    </row>
    <row r="100" spans="1:10" x14ac:dyDescent="0.3">
      <c r="A100" t="s">
        <v>318</v>
      </c>
      <c r="B100" t="s">
        <v>314</v>
      </c>
      <c r="C100" t="s">
        <v>270</v>
      </c>
      <c r="D100">
        <v>29</v>
      </c>
      <c r="E100">
        <v>3</v>
      </c>
      <c r="F100">
        <v>0</v>
      </c>
      <c r="G100">
        <v>3</v>
      </c>
      <c r="H100">
        <v>0</v>
      </c>
      <c r="I100">
        <v>4</v>
      </c>
      <c r="J100">
        <v>39</v>
      </c>
    </row>
    <row r="101" spans="1:10" x14ac:dyDescent="0.3">
      <c r="A101" t="s">
        <v>320</v>
      </c>
      <c r="B101" t="s">
        <v>314</v>
      </c>
      <c r="C101" t="s">
        <v>270</v>
      </c>
      <c r="D101">
        <v>19</v>
      </c>
      <c r="E101">
        <v>3</v>
      </c>
      <c r="F101">
        <v>0</v>
      </c>
      <c r="G101">
        <v>3</v>
      </c>
      <c r="H101">
        <v>0</v>
      </c>
      <c r="I101">
        <v>6</v>
      </c>
      <c r="J101">
        <v>31</v>
      </c>
    </row>
    <row r="102" spans="1:10" x14ac:dyDescent="0.3">
      <c r="A102" t="s">
        <v>325</v>
      </c>
      <c r="B102" t="s">
        <v>314</v>
      </c>
      <c r="C102" t="s">
        <v>270</v>
      </c>
      <c r="D102">
        <v>19</v>
      </c>
      <c r="E102">
        <v>3</v>
      </c>
      <c r="F102">
        <v>0</v>
      </c>
      <c r="G102">
        <v>3</v>
      </c>
      <c r="H102">
        <v>0</v>
      </c>
      <c r="I102">
        <v>6</v>
      </c>
      <c r="J102">
        <v>31</v>
      </c>
    </row>
    <row r="103" spans="1:10" x14ac:dyDescent="0.3">
      <c r="A103" t="s">
        <v>326</v>
      </c>
      <c r="B103" t="s">
        <v>314</v>
      </c>
      <c r="C103" t="s">
        <v>270</v>
      </c>
      <c r="D103">
        <v>17</v>
      </c>
      <c r="E103">
        <v>2</v>
      </c>
      <c r="F103">
        <v>0</v>
      </c>
      <c r="G103">
        <v>3</v>
      </c>
      <c r="H103">
        <v>0</v>
      </c>
      <c r="I103">
        <v>5</v>
      </c>
      <c r="J103">
        <v>27</v>
      </c>
    </row>
    <row r="104" spans="1:10" x14ac:dyDescent="0.3">
      <c r="A104" t="s">
        <v>328</v>
      </c>
      <c r="B104" t="s">
        <v>314</v>
      </c>
      <c r="C104" t="s">
        <v>270</v>
      </c>
      <c r="D104">
        <v>34</v>
      </c>
      <c r="E104">
        <v>4</v>
      </c>
      <c r="F104">
        <v>0</v>
      </c>
      <c r="G104">
        <v>6</v>
      </c>
      <c r="H104">
        <v>0</v>
      </c>
      <c r="I104">
        <v>10</v>
      </c>
      <c r="J104">
        <v>54</v>
      </c>
    </row>
    <row r="105" spans="1:10" x14ac:dyDescent="0.3">
      <c r="A105" t="s">
        <v>412</v>
      </c>
      <c r="B105" t="s">
        <v>314</v>
      </c>
      <c r="C105" t="s">
        <v>270</v>
      </c>
      <c r="D105">
        <v>17</v>
      </c>
      <c r="E105">
        <v>2</v>
      </c>
      <c r="F105">
        <v>0</v>
      </c>
      <c r="G105">
        <v>3</v>
      </c>
      <c r="H105">
        <v>0</v>
      </c>
      <c r="I105">
        <v>4</v>
      </c>
      <c r="J105">
        <v>26</v>
      </c>
    </row>
    <row r="106" spans="1:10" x14ac:dyDescent="0.3">
      <c r="A106" t="s">
        <v>213</v>
      </c>
      <c r="B106" t="s">
        <v>272</v>
      </c>
      <c r="C106" t="s">
        <v>273</v>
      </c>
      <c r="D106">
        <v>68</v>
      </c>
      <c r="E106">
        <v>1</v>
      </c>
      <c r="F106">
        <v>4</v>
      </c>
      <c r="G106">
        <v>2</v>
      </c>
      <c r="H106">
        <v>8</v>
      </c>
      <c r="I106">
        <v>5</v>
      </c>
      <c r="J106">
        <v>88</v>
      </c>
    </row>
    <row r="107" spans="1:10" x14ac:dyDescent="0.3">
      <c r="A107" t="s">
        <v>312</v>
      </c>
      <c r="B107" t="s">
        <v>272</v>
      </c>
      <c r="C107" t="s">
        <v>273</v>
      </c>
      <c r="D107">
        <v>65</v>
      </c>
      <c r="E107">
        <v>2</v>
      </c>
      <c r="F107">
        <v>3</v>
      </c>
      <c r="G107">
        <v>3</v>
      </c>
      <c r="H107">
        <v>8</v>
      </c>
      <c r="I107">
        <v>2</v>
      </c>
      <c r="J107">
        <v>83</v>
      </c>
    </row>
    <row r="108" spans="1:10" x14ac:dyDescent="0.3">
      <c r="A108" t="s">
        <v>318</v>
      </c>
      <c r="B108" t="s">
        <v>272</v>
      </c>
      <c r="C108" t="s">
        <v>273</v>
      </c>
      <c r="D108">
        <v>65</v>
      </c>
      <c r="E108">
        <v>1</v>
      </c>
      <c r="F108">
        <v>2</v>
      </c>
      <c r="G108">
        <v>3</v>
      </c>
      <c r="H108">
        <v>3</v>
      </c>
      <c r="I108">
        <v>2</v>
      </c>
      <c r="J108">
        <v>76</v>
      </c>
    </row>
    <row r="109" spans="1:10" x14ac:dyDescent="0.3">
      <c r="A109" t="s">
        <v>320</v>
      </c>
      <c r="B109" t="s">
        <v>272</v>
      </c>
      <c r="C109" t="s">
        <v>273</v>
      </c>
      <c r="D109">
        <v>65</v>
      </c>
      <c r="E109">
        <v>1</v>
      </c>
      <c r="F109">
        <v>1</v>
      </c>
      <c r="G109">
        <v>3</v>
      </c>
      <c r="H109">
        <v>2</v>
      </c>
      <c r="I109">
        <v>2</v>
      </c>
      <c r="J109">
        <v>74</v>
      </c>
    </row>
    <row r="110" spans="1:10" x14ac:dyDescent="0.3">
      <c r="A110" t="s">
        <v>325</v>
      </c>
      <c r="B110" t="s">
        <v>272</v>
      </c>
      <c r="C110" t="s">
        <v>273</v>
      </c>
      <c r="D110">
        <v>65</v>
      </c>
      <c r="E110">
        <v>1</v>
      </c>
      <c r="F110">
        <v>1</v>
      </c>
      <c r="G110">
        <v>3</v>
      </c>
      <c r="H110">
        <v>3</v>
      </c>
      <c r="I110">
        <v>2</v>
      </c>
      <c r="J110">
        <v>75</v>
      </c>
    </row>
    <row r="111" spans="1:10" x14ac:dyDescent="0.3">
      <c r="A111" t="s">
        <v>326</v>
      </c>
      <c r="B111" t="s">
        <v>272</v>
      </c>
      <c r="C111" t="s">
        <v>273</v>
      </c>
      <c r="D111">
        <v>64</v>
      </c>
      <c r="E111">
        <v>1</v>
      </c>
      <c r="F111">
        <v>2</v>
      </c>
      <c r="G111">
        <v>3</v>
      </c>
      <c r="H111">
        <v>6</v>
      </c>
      <c r="I111">
        <v>2</v>
      </c>
      <c r="J111">
        <v>78</v>
      </c>
    </row>
    <row r="112" spans="1:10" x14ac:dyDescent="0.3">
      <c r="A112" t="s">
        <v>328</v>
      </c>
      <c r="B112" t="s">
        <v>272</v>
      </c>
      <c r="C112" t="s">
        <v>273</v>
      </c>
      <c r="D112">
        <v>128</v>
      </c>
      <c r="E112">
        <v>2</v>
      </c>
      <c r="F112">
        <v>2</v>
      </c>
      <c r="G112">
        <v>6</v>
      </c>
      <c r="H112">
        <v>10</v>
      </c>
      <c r="I112">
        <v>12</v>
      </c>
      <c r="J112">
        <v>160</v>
      </c>
    </row>
    <row r="113" spans="1:10" x14ac:dyDescent="0.3">
      <c r="A113" t="s">
        <v>412</v>
      </c>
      <c r="B113" t="s">
        <v>272</v>
      </c>
      <c r="C113" t="s">
        <v>273</v>
      </c>
      <c r="D113">
        <v>63</v>
      </c>
      <c r="E113">
        <v>1</v>
      </c>
      <c r="F113">
        <v>1</v>
      </c>
      <c r="G113">
        <v>3</v>
      </c>
      <c r="H113">
        <v>5</v>
      </c>
      <c r="I113">
        <v>6</v>
      </c>
      <c r="J113">
        <v>79</v>
      </c>
    </row>
    <row r="114" spans="1:10" x14ac:dyDescent="0.3">
      <c r="A114" t="s">
        <v>213</v>
      </c>
      <c r="B114" t="s">
        <v>276</v>
      </c>
      <c r="C114" t="s">
        <v>277</v>
      </c>
      <c r="D114">
        <v>7</v>
      </c>
      <c r="E114">
        <v>1</v>
      </c>
      <c r="F114">
        <v>0</v>
      </c>
      <c r="G114">
        <v>0</v>
      </c>
      <c r="H114">
        <v>0</v>
      </c>
      <c r="I114">
        <v>0</v>
      </c>
      <c r="J114">
        <v>8</v>
      </c>
    </row>
    <row r="115" spans="1:10" x14ac:dyDescent="0.3">
      <c r="A115" t="s">
        <v>312</v>
      </c>
      <c r="B115" t="s">
        <v>276</v>
      </c>
      <c r="C115" t="s">
        <v>277</v>
      </c>
      <c r="D115">
        <v>6</v>
      </c>
      <c r="E115">
        <v>1</v>
      </c>
      <c r="F115">
        <v>0</v>
      </c>
      <c r="G115">
        <v>0</v>
      </c>
      <c r="H115">
        <v>0</v>
      </c>
      <c r="I115">
        <v>0</v>
      </c>
      <c r="J115">
        <v>7</v>
      </c>
    </row>
    <row r="116" spans="1:10" x14ac:dyDescent="0.3">
      <c r="A116" t="s">
        <v>318</v>
      </c>
      <c r="B116" t="s">
        <v>276</v>
      </c>
      <c r="C116" t="s">
        <v>277</v>
      </c>
      <c r="D116">
        <v>6</v>
      </c>
      <c r="E116">
        <v>1</v>
      </c>
      <c r="F116">
        <v>0</v>
      </c>
      <c r="G116">
        <v>0</v>
      </c>
      <c r="H116">
        <v>0</v>
      </c>
      <c r="I116">
        <v>0</v>
      </c>
      <c r="J116">
        <v>7</v>
      </c>
    </row>
    <row r="117" spans="1:10" x14ac:dyDescent="0.3">
      <c r="A117" t="s">
        <v>320</v>
      </c>
      <c r="B117" t="s">
        <v>276</v>
      </c>
      <c r="C117" t="s">
        <v>277</v>
      </c>
      <c r="D117">
        <v>6</v>
      </c>
      <c r="E117">
        <v>1</v>
      </c>
      <c r="F117">
        <v>0</v>
      </c>
      <c r="G117">
        <v>0</v>
      </c>
      <c r="H117">
        <v>0</v>
      </c>
      <c r="I117">
        <v>0</v>
      </c>
      <c r="J117">
        <v>7</v>
      </c>
    </row>
    <row r="118" spans="1:10" x14ac:dyDescent="0.3">
      <c r="A118" t="s">
        <v>325</v>
      </c>
      <c r="B118" t="s">
        <v>276</v>
      </c>
      <c r="C118" t="s">
        <v>277</v>
      </c>
      <c r="D118">
        <v>6</v>
      </c>
      <c r="E118">
        <v>1</v>
      </c>
      <c r="F118">
        <v>0</v>
      </c>
      <c r="G118">
        <v>0</v>
      </c>
      <c r="H118">
        <v>0</v>
      </c>
      <c r="I118">
        <v>0</v>
      </c>
      <c r="J118">
        <v>7</v>
      </c>
    </row>
    <row r="119" spans="1:10" x14ac:dyDescent="0.3">
      <c r="A119" t="s">
        <v>326</v>
      </c>
      <c r="B119" t="s">
        <v>276</v>
      </c>
      <c r="C119" t="s">
        <v>277</v>
      </c>
      <c r="D119">
        <v>6</v>
      </c>
      <c r="E119">
        <v>1</v>
      </c>
      <c r="F119">
        <v>0</v>
      </c>
      <c r="G119">
        <v>0</v>
      </c>
      <c r="H119">
        <v>0</v>
      </c>
      <c r="I119">
        <v>0</v>
      </c>
      <c r="J119">
        <v>7</v>
      </c>
    </row>
    <row r="120" spans="1:10" x14ac:dyDescent="0.3">
      <c r="A120" t="s">
        <v>328</v>
      </c>
      <c r="B120" t="s">
        <v>276</v>
      </c>
      <c r="C120" t="s">
        <v>277</v>
      </c>
      <c r="D120">
        <v>12</v>
      </c>
      <c r="E120">
        <v>2</v>
      </c>
      <c r="F120">
        <v>0</v>
      </c>
      <c r="G120">
        <v>0</v>
      </c>
      <c r="H120">
        <v>0</v>
      </c>
      <c r="I120">
        <v>0</v>
      </c>
      <c r="J120">
        <v>14</v>
      </c>
    </row>
    <row r="121" spans="1:10" x14ac:dyDescent="0.3">
      <c r="A121" t="s">
        <v>412</v>
      </c>
      <c r="B121" t="s">
        <v>276</v>
      </c>
      <c r="C121" t="s">
        <v>277</v>
      </c>
      <c r="D121">
        <v>6</v>
      </c>
      <c r="E121">
        <v>1</v>
      </c>
      <c r="F121">
        <v>0</v>
      </c>
      <c r="G121">
        <v>0</v>
      </c>
      <c r="H121">
        <v>0</v>
      </c>
      <c r="I121">
        <v>0</v>
      </c>
      <c r="J121">
        <v>7</v>
      </c>
    </row>
    <row r="122" spans="1:10" x14ac:dyDescent="0.3">
      <c r="A122" t="s">
        <v>213</v>
      </c>
      <c r="B122" t="s">
        <v>278</v>
      </c>
      <c r="C122" t="s">
        <v>279</v>
      </c>
      <c r="D122">
        <v>2</v>
      </c>
      <c r="E122">
        <v>0</v>
      </c>
      <c r="F122">
        <v>0</v>
      </c>
      <c r="G122">
        <v>0</v>
      </c>
      <c r="H122">
        <v>0</v>
      </c>
      <c r="I122">
        <v>1</v>
      </c>
      <c r="J122">
        <v>3</v>
      </c>
    </row>
    <row r="123" spans="1:10" x14ac:dyDescent="0.3">
      <c r="A123" t="s">
        <v>312</v>
      </c>
      <c r="B123" t="s">
        <v>278</v>
      </c>
      <c r="C123" t="s">
        <v>279</v>
      </c>
      <c r="D123">
        <v>2</v>
      </c>
      <c r="E123">
        <v>0</v>
      </c>
      <c r="F123">
        <v>0</v>
      </c>
      <c r="G123">
        <v>0</v>
      </c>
      <c r="H123">
        <v>0</v>
      </c>
      <c r="I123">
        <v>1</v>
      </c>
      <c r="J123">
        <v>3</v>
      </c>
    </row>
    <row r="124" spans="1:10" x14ac:dyDescent="0.3">
      <c r="A124" t="s">
        <v>318</v>
      </c>
      <c r="B124" t="s">
        <v>278</v>
      </c>
      <c r="C124" t="s">
        <v>279</v>
      </c>
      <c r="D124">
        <v>3</v>
      </c>
      <c r="E124">
        <v>0</v>
      </c>
      <c r="F124">
        <v>0</v>
      </c>
      <c r="G124">
        <v>0</v>
      </c>
      <c r="H124">
        <v>0</v>
      </c>
      <c r="I124">
        <v>1</v>
      </c>
      <c r="J124">
        <v>4</v>
      </c>
    </row>
    <row r="125" spans="1:10" x14ac:dyDescent="0.3">
      <c r="A125" t="s">
        <v>320</v>
      </c>
      <c r="B125" t="s">
        <v>278</v>
      </c>
      <c r="C125" t="s">
        <v>279</v>
      </c>
      <c r="D125">
        <v>2</v>
      </c>
      <c r="E125">
        <v>0</v>
      </c>
      <c r="F125">
        <v>0</v>
      </c>
      <c r="G125">
        <v>0</v>
      </c>
      <c r="H125">
        <v>0</v>
      </c>
      <c r="I125">
        <v>1</v>
      </c>
      <c r="J125">
        <v>3</v>
      </c>
    </row>
    <row r="126" spans="1:10" x14ac:dyDescent="0.3">
      <c r="A126" t="s">
        <v>325</v>
      </c>
      <c r="B126" t="s">
        <v>278</v>
      </c>
      <c r="C126" t="s">
        <v>279</v>
      </c>
      <c r="D126">
        <v>2</v>
      </c>
      <c r="E126">
        <v>0</v>
      </c>
      <c r="F126">
        <v>0</v>
      </c>
      <c r="G126">
        <v>0</v>
      </c>
      <c r="H126">
        <v>0</v>
      </c>
      <c r="I126">
        <v>1</v>
      </c>
      <c r="J126">
        <v>3</v>
      </c>
    </row>
    <row r="127" spans="1:10" x14ac:dyDescent="0.3">
      <c r="A127" t="s">
        <v>326</v>
      </c>
      <c r="B127" t="s">
        <v>278</v>
      </c>
      <c r="C127" t="s">
        <v>279</v>
      </c>
      <c r="D127">
        <v>2</v>
      </c>
      <c r="E127">
        <v>0</v>
      </c>
      <c r="F127">
        <v>0</v>
      </c>
      <c r="G127">
        <v>0</v>
      </c>
      <c r="H127">
        <v>0</v>
      </c>
      <c r="I127">
        <v>1</v>
      </c>
      <c r="J127">
        <v>3</v>
      </c>
    </row>
    <row r="128" spans="1:10" x14ac:dyDescent="0.3">
      <c r="A128" t="s">
        <v>328</v>
      </c>
      <c r="B128" t="s">
        <v>278</v>
      </c>
      <c r="C128" t="s">
        <v>279</v>
      </c>
      <c r="D128">
        <v>4</v>
      </c>
      <c r="E128">
        <v>0</v>
      </c>
      <c r="F128">
        <v>0</v>
      </c>
      <c r="G128">
        <v>0</v>
      </c>
      <c r="H128">
        <v>0</v>
      </c>
      <c r="I128">
        <v>2</v>
      </c>
      <c r="J128">
        <v>6</v>
      </c>
    </row>
    <row r="129" spans="1:10" x14ac:dyDescent="0.3">
      <c r="A129" t="s">
        <v>412</v>
      </c>
      <c r="B129" t="s">
        <v>278</v>
      </c>
      <c r="C129" t="s">
        <v>279</v>
      </c>
      <c r="D129">
        <v>2</v>
      </c>
      <c r="E129">
        <v>0</v>
      </c>
      <c r="F129">
        <v>0</v>
      </c>
      <c r="G129">
        <v>0</v>
      </c>
      <c r="H129">
        <v>0</v>
      </c>
      <c r="I129">
        <v>1</v>
      </c>
      <c r="J129">
        <v>3</v>
      </c>
    </row>
    <row r="130" spans="1:10" x14ac:dyDescent="0.3">
      <c r="A130" t="s">
        <v>213</v>
      </c>
      <c r="B130" t="s">
        <v>280</v>
      </c>
      <c r="C130" t="s">
        <v>281</v>
      </c>
      <c r="D130">
        <v>13</v>
      </c>
      <c r="E130">
        <v>0</v>
      </c>
      <c r="F130">
        <v>1</v>
      </c>
      <c r="G130">
        <v>0</v>
      </c>
      <c r="H130">
        <v>2</v>
      </c>
      <c r="I130">
        <v>3</v>
      </c>
      <c r="J130">
        <v>19</v>
      </c>
    </row>
    <row r="131" spans="1:10" x14ac:dyDescent="0.3">
      <c r="A131" t="s">
        <v>312</v>
      </c>
      <c r="B131" t="s">
        <v>280</v>
      </c>
      <c r="C131" t="s">
        <v>281</v>
      </c>
      <c r="D131">
        <v>13</v>
      </c>
      <c r="E131">
        <v>0</v>
      </c>
      <c r="F131">
        <v>1</v>
      </c>
      <c r="G131">
        <v>1</v>
      </c>
      <c r="H131">
        <v>2</v>
      </c>
      <c r="I131">
        <v>3</v>
      </c>
      <c r="J131">
        <v>20</v>
      </c>
    </row>
    <row r="132" spans="1:10" x14ac:dyDescent="0.3">
      <c r="A132" t="s">
        <v>318</v>
      </c>
      <c r="B132" t="s">
        <v>280</v>
      </c>
      <c r="C132" t="s">
        <v>281</v>
      </c>
      <c r="D132">
        <v>13</v>
      </c>
      <c r="E132">
        <v>0</v>
      </c>
      <c r="F132">
        <v>1</v>
      </c>
      <c r="G132">
        <v>1</v>
      </c>
      <c r="H132">
        <v>2</v>
      </c>
      <c r="I132">
        <v>4</v>
      </c>
      <c r="J132">
        <v>21</v>
      </c>
    </row>
    <row r="133" spans="1:10" x14ac:dyDescent="0.3">
      <c r="A133" t="s">
        <v>320</v>
      </c>
      <c r="B133" t="s">
        <v>280</v>
      </c>
      <c r="C133" t="s">
        <v>281</v>
      </c>
      <c r="D133">
        <v>13</v>
      </c>
      <c r="E133">
        <v>0</v>
      </c>
      <c r="F133">
        <v>1</v>
      </c>
      <c r="G133">
        <v>1</v>
      </c>
      <c r="H133">
        <v>2</v>
      </c>
      <c r="I133">
        <v>4</v>
      </c>
      <c r="J133">
        <v>21</v>
      </c>
    </row>
    <row r="134" spans="1:10" x14ac:dyDescent="0.3">
      <c r="A134" t="s">
        <v>325</v>
      </c>
      <c r="B134" t="s">
        <v>280</v>
      </c>
      <c r="C134" t="s">
        <v>281</v>
      </c>
      <c r="D134">
        <v>13</v>
      </c>
      <c r="E134">
        <v>0</v>
      </c>
      <c r="F134">
        <v>1</v>
      </c>
      <c r="G134">
        <v>1</v>
      </c>
      <c r="H134">
        <v>2</v>
      </c>
      <c r="I134">
        <v>4</v>
      </c>
      <c r="J134">
        <v>21</v>
      </c>
    </row>
    <row r="135" spans="1:10" x14ac:dyDescent="0.3">
      <c r="A135" t="s">
        <v>326</v>
      </c>
      <c r="B135" t="s">
        <v>280</v>
      </c>
      <c r="C135" t="s">
        <v>281</v>
      </c>
      <c r="D135">
        <v>13</v>
      </c>
      <c r="E135">
        <v>0</v>
      </c>
      <c r="F135">
        <v>1</v>
      </c>
      <c r="G135">
        <v>1</v>
      </c>
      <c r="H135">
        <v>2</v>
      </c>
      <c r="I135">
        <v>3</v>
      </c>
      <c r="J135">
        <v>20</v>
      </c>
    </row>
    <row r="136" spans="1:10" x14ac:dyDescent="0.3">
      <c r="A136" t="s">
        <v>328</v>
      </c>
      <c r="B136" t="s">
        <v>280</v>
      </c>
      <c r="C136" t="s">
        <v>281</v>
      </c>
      <c r="D136">
        <v>28</v>
      </c>
      <c r="E136">
        <v>0</v>
      </c>
      <c r="F136">
        <v>2</v>
      </c>
      <c r="G136">
        <v>2</v>
      </c>
      <c r="H136">
        <v>4</v>
      </c>
      <c r="I136">
        <v>10</v>
      </c>
      <c r="J136">
        <v>46</v>
      </c>
    </row>
    <row r="137" spans="1:10" x14ac:dyDescent="0.3">
      <c r="A137" t="s">
        <v>412</v>
      </c>
      <c r="B137" t="s">
        <v>280</v>
      </c>
      <c r="C137" t="s">
        <v>281</v>
      </c>
      <c r="D137">
        <v>13</v>
      </c>
      <c r="E137">
        <v>0</v>
      </c>
      <c r="F137">
        <v>1</v>
      </c>
      <c r="G137">
        <v>1</v>
      </c>
      <c r="H137">
        <v>2</v>
      </c>
      <c r="I137">
        <v>5</v>
      </c>
      <c r="J137">
        <v>22</v>
      </c>
    </row>
    <row r="138" spans="1:10" x14ac:dyDescent="0.3">
      <c r="A138" t="s">
        <v>213</v>
      </c>
      <c r="B138" t="s">
        <v>282</v>
      </c>
      <c r="C138" t="s">
        <v>283</v>
      </c>
      <c r="D138">
        <v>17</v>
      </c>
      <c r="E138">
        <v>0</v>
      </c>
      <c r="F138">
        <v>0</v>
      </c>
      <c r="G138">
        <v>0</v>
      </c>
      <c r="H138">
        <v>1</v>
      </c>
      <c r="I138">
        <v>0</v>
      </c>
      <c r="J138">
        <v>18</v>
      </c>
    </row>
    <row r="139" spans="1:10" x14ac:dyDescent="0.3">
      <c r="A139" t="s">
        <v>312</v>
      </c>
      <c r="B139" t="s">
        <v>282</v>
      </c>
      <c r="C139" t="s">
        <v>283</v>
      </c>
      <c r="D139">
        <v>16</v>
      </c>
      <c r="E139">
        <v>0</v>
      </c>
      <c r="F139">
        <v>0</v>
      </c>
      <c r="G139">
        <v>0</v>
      </c>
      <c r="H139">
        <v>1</v>
      </c>
      <c r="I139">
        <v>0</v>
      </c>
      <c r="J139">
        <v>17</v>
      </c>
    </row>
    <row r="140" spans="1:10" x14ac:dyDescent="0.3">
      <c r="A140" t="s">
        <v>318</v>
      </c>
      <c r="B140" t="s">
        <v>282</v>
      </c>
      <c r="C140" t="s">
        <v>283</v>
      </c>
      <c r="D140">
        <v>15</v>
      </c>
      <c r="E140">
        <v>0</v>
      </c>
      <c r="F140">
        <v>0</v>
      </c>
      <c r="G140">
        <v>0</v>
      </c>
      <c r="H140">
        <v>0</v>
      </c>
      <c r="I140">
        <v>0</v>
      </c>
      <c r="J140">
        <v>15</v>
      </c>
    </row>
    <row r="141" spans="1:10" x14ac:dyDescent="0.3">
      <c r="A141" t="s">
        <v>320</v>
      </c>
      <c r="B141" t="s">
        <v>282</v>
      </c>
      <c r="C141" t="s">
        <v>283</v>
      </c>
      <c r="D141">
        <v>16</v>
      </c>
      <c r="E141">
        <v>0</v>
      </c>
      <c r="F141">
        <v>0</v>
      </c>
      <c r="G141">
        <v>0</v>
      </c>
      <c r="H141">
        <v>0</v>
      </c>
      <c r="I141">
        <v>1</v>
      </c>
      <c r="J141">
        <v>17</v>
      </c>
    </row>
    <row r="142" spans="1:10" x14ac:dyDescent="0.3">
      <c r="A142" t="s">
        <v>325</v>
      </c>
      <c r="B142" t="s">
        <v>282</v>
      </c>
      <c r="C142" t="s">
        <v>283</v>
      </c>
      <c r="D142">
        <v>18</v>
      </c>
      <c r="E142">
        <v>0</v>
      </c>
      <c r="F142">
        <v>0</v>
      </c>
      <c r="G142">
        <v>0</v>
      </c>
      <c r="H142">
        <v>0</v>
      </c>
      <c r="I142">
        <v>1</v>
      </c>
      <c r="J142">
        <v>19</v>
      </c>
    </row>
    <row r="143" spans="1:10" x14ac:dyDescent="0.3">
      <c r="A143" t="s">
        <v>326</v>
      </c>
      <c r="B143" t="s">
        <v>282</v>
      </c>
      <c r="C143" t="s">
        <v>283</v>
      </c>
      <c r="D143">
        <v>16</v>
      </c>
      <c r="E143">
        <v>0</v>
      </c>
      <c r="F143">
        <v>0</v>
      </c>
      <c r="G143">
        <v>0</v>
      </c>
      <c r="H143">
        <v>0</v>
      </c>
      <c r="I143">
        <v>1</v>
      </c>
      <c r="J143">
        <v>17</v>
      </c>
    </row>
    <row r="144" spans="1:10" x14ac:dyDescent="0.3">
      <c r="A144" t="s">
        <v>328</v>
      </c>
      <c r="B144" t="s">
        <v>282</v>
      </c>
      <c r="C144" t="s">
        <v>283</v>
      </c>
      <c r="D144">
        <v>28</v>
      </c>
      <c r="E144">
        <v>0</v>
      </c>
      <c r="F144">
        <v>0</v>
      </c>
      <c r="G144">
        <v>0</v>
      </c>
      <c r="H144">
        <v>0</v>
      </c>
      <c r="I144">
        <v>6</v>
      </c>
      <c r="J144">
        <v>34</v>
      </c>
    </row>
    <row r="145" spans="1:10" x14ac:dyDescent="0.3">
      <c r="A145" t="s">
        <v>412</v>
      </c>
      <c r="B145" t="s">
        <v>282</v>
      </c>
      <c r="C145" t="s">
        <v>283</v>
      </c>
      <c r="D145">
        <v>16</v>
      </c>
      <c r="E145">
        <v>0</v>
      </c>
      <c r="F145">
        <v>0</v>
      </c>
      <c r="G145">
        <v>0</v>
      </c>
      <c r="H145">
        <v>0</v>
      </c>
      <c r="I145">
        <v>3</v>
      </c>
      <c r="J145">
        <v>19</v>
      </c>
    </row>
    <row r="146" spans="1:10" x14ac:dyDescent="0.3">
      <c r="A146" t="s">
        <v>213</v>
      </c>
      <c r="B146" t="s">
        <v>286</v>
      </c>
      <c r="C146" t="s">
        <v>287</v>
      </c>
      <c r="D146">
        <v>16</v>
      </c>
      <c r="E146">
        <v>0</v>
      </c>
      <c r="F146">
        <v>1</v>
      </c>
      <c r="G146">
        <v>0</v>
      </c>
      <c r="H146">
        <v>1</v>
      </c>
      <c r="I146">
        <v>2</v>
      </c>
      <c r="J146">
        <v>20</v>
      </c>
    </row>
    <row r="147" spans="1:10" x14ac:dyDescent="0.3">
      <c r="A147" t="s">
        <v>312</v>
      </c>
      <c r="B147" t="s">
        <v>286</v>
      </c>
      <c r="C147" t="s">
        <v>287</v>
      </c>
      <c r="D147">
        <v>16</v>
      </c>
      <c r="E147">
        <v>0</v>
      </c>
      <c r="F147">
        <v>1</v>
      </c>
      <c r="G147">
        <v>0</v>
      </c>
      <c r="H147">
        <v>1</v>
      </c>
      <c r="I147">
        <v>2</v>
      </c>
      <c r="J147">
        <v>20</v>
      </c>
    </row>
    <row r="148" spans="1:10" x14ac:dyDescent="0.3">
      <c r="A148" t="s">
        <v>318</v>
      </c>
      <c r="B148" t="s">
        <v>286</v>
      </c>
      <c r="C148" t="s">
        <v>287</v>
      </c>
      <c r="D148">
        <v>17</v>
      </c>
      <c r="E148">
        <v>0</v>
      </c>
      <c r="F148">
        <v>1</v>
      </c>
      <c r="G148">
        <v>0</v>
      </c>
      <c r="H148">
        <v>1</v>
      </c>
      <c r="I148">
        <v>2</v>
      </c>
      <c r="J148">
        <v>21</v>
      </c>
    </row>
    <row r="149" spans="1:10" x14ac:dyDescent="0.3">
      <c r="A149" t="s">
        <v>320</v>
      </c>
      <c r="B149" t="s">
        <v>286</v>
      </c>
      <c r="C149" t="s">
        <v>287</v>
      </c>
      <c r="D149">
        <v>16</v>
      </c>
      <c r="E149">
        <v>0</v>
      </c>
      <c r="F149">
        <v>1</v>
      </c>
      <c r="G149">
        <v>0</v>
      </c>
      <c r="H149">
        <v>1</v>
      </c>
      <c r="I149">
        <v>2</v>
      </c>
      <c r="J149">
        <v>20</v>
      </c>
    </row>
    <row r="150" spans="1:10" x14ac:dyDescent="0.3">
      <c r="A150" t="s">
        <v>325</v>
      </c>
      <c r="B150" t="s">
        <v>286</v>
      </c>
      <c r="C150" t="s">
        <v>287</v>
      </c>
      <c r="D150">
        <v>16</v>
      </c>
      <c r="E150">
        <v>0</v>
      </c>
      <c r="F150">
        <v>1</v>
      </c>
      <c r="G150">
        <v>0</v>
      </c>
      <c r="H150">
        <v>1</v>
      </c>
      <c r="I150">
        <v>2</v>
      </c>
      <c r="J150">
        <v>20</v>
      </c>
    </row>
    <row r="151" spans="1:10" x14ac:dyDescent="0.3">
      <c r="A151" t="s">
        <v>326</v>
      </c>
      <c r="B151" t="s">
        <v>286</v>
      </c>
      <c r="C151" t="s">
        <v>287</v>
      </c>
      <c r="D151">
        <v>16</v>
      </c>
      <c r="E151">
        <v>0</v>
      </c>
      <c r="F151">
        <v>0</v>
      </c>
      <c r="G151">
        <v>0</v>
      </c>
      <c r="H151">
        <v>1</v>
      </c>
      <c r="I151">
        <v>2</v>
      </c>
      <c r="J151">
        <v>19</v>
      </c>
    </row>
    <row r="152" spans="1:10" x14ac:dyDescent="0.3">
      <c r="A152" t="s">
        <v>328</v>
      </c>
      <c r="B152" t="s">
        <v>286</v>
      </c>
      <c r="C152" t="s">
        <v>287</v>
      </c>
      <c r="D152">
        <v>32</v>
      </c>
      <c r="E152">
        <v>0</v>
      </c>
      <c r="F152">
        <v>0</v>
      </c>
      <c r="G152">
        <v>0</v>
      </c>
      <c r="H152">
        <v>2</v>
      </c>
      <c r="I152">
        <v>8</v>
      </c>
      <c r="J152">
        <v>42</v>
      </c>
    </row>
    <row r="153" spans="1:10" x14ac:dyDescent="0.3">
      <c r="A153" t="s">
        <v>412</v>
      </c>
      <c r="B153" t="s">
        <v>286</v>
      </c>
      <c r="C153" t="s">
        <v>287</v>
      </c>
      <c r="D153">
        <v>15</v>
      </c>
      <c r="E153">
        <v>0</v>
      </c>
      <c r="F153">
        <v>0</v>
      </c>
      <c r="G153">
        <v>0</v>
      </c>
      <c r="H153">
        <v>2</v>
      </c>
      <c r="I153">
        <v>3</v>
      </c>
      <c r="J153">
        <v>20</v>
      </c>
    </row>
    <row r="154" spans="1:10" x14ac:dyDescent="0.3">
      <c r="A154" t="s">
        <v>213</v>
      </c>
      <c r="B154" t="s">
        <v>316</v>
      </c>
      <c r="C154" t="s">
        <v>289</v>
      </c>
      <c r="D154">
        <v>8</v>
      </c>
      <c r="E154">
        <v>2</v>
      </c>
      <c r="F154">
        <v>2</v>
      </c>
      <c r="G154">
        <v>1</v>
      </c>
      <c r="H154">
        <v>0</v>
      </c>
      <c r="I154">
        <v>2</v>
      </c>
      <c r="J154">
        <v>15</v>
      </c>
    </row>
    <row r="155" spans="1:10" x14ac:dyDescent="0.3">
      <c r="A155" t="s">
        <v>312</v>
      </c>
      <c r="B155" t="s">
        <v>316</v>
      </c>
      <c r="C155" t="s">
        <v>289</v>
      </c>
      <c r="D155">
        <v>8</v>
      </c>
      <c r="E155">
        <v>1</v>
      </c>
      <c r="F155">
        <v>2</v>
      </c>
      <c r="G155">
        <v>1</v>
      </c>
      <c r="H155">
        <v>0</v>
      </c>
      <c r="I155">
        <v>3</v>
      </c>
      <c r="J155">
        <v>15</v>
      </c>
    </row>
    <row r="156" spans="1:10" x14ac:dyDescent="0.3">
      <c r="A156" t="s">
        <v>318</v>
      </c>
      <c r="B156" t="s">
        <v>316</v>
      </c>
      <c r="C156" t="s">
        <v>289</v>
      </c>
      <c r="D156">
        <v>8</v>
      </c>
      <c r="E156">
        <v>2</v>
      </c>
      <c r="F156">
        <v>2</v>
      </c>
      <c r="G156">
        <v>1</v>
      </c>
      <c r="H156">
        <v>0</v>
      </c>
      <c r="I156">
        <v>3</v>
      </c>
      <c r="J156">
        <v>16</v>
      </c>
    </row>
    <row r="157" spans="1:10" x14ac:dyDescent="0.3">
      <c r="A157" t="s">
        <v>320</v>
      </c>
      <c r="B157" t="s">
        <v>316</v>
      </c>
      <c r="C157" t="s">
        <v>289</v>
      </c>
      <c r="D157">
        <v>9</v>
      </c>
      <c r="E157">
        <v>2</v>
      </c>
      <c r="F157">
        <v>2</v>
      </c>
      <c r="G157">
        <v>1</v>
      </c>
      <c r="H157">
        <v>0</v>
      </c>
      <c r="I157">
        <v>4</v>
      </c>
      <c r="J157">
        <v>18</v>
      </c>
    </row>
    <row r="158" spans="1:10" x14ac:dyDescent="0.3">
      <c r="A158" t="s">
        <v>325</v>
      </c>
      <c r="B158" t="s">
        <v>316</v>
      </c>
      <c r="C158" t="s">
        <v>289</v>
      </c>
      <c r="D158">
        <v>8</v>
      </c>
      <c r="E158">
        <v>2</v>
      </c>
      <c r="F158">
        <v>2</v>
      </c>
      <c r="G158">
        <v>1</v>
      </c>
      <c r="H158">
        <v>0</v>
      </c>
      <c r="I158">
        <v>4</v>
      </c>
      <c r="J158">
        <v>17</v>
      </c>
    </row>
    <row r="159" spans="1:10" x14ac:dyDescent="0.3">
      <c r="A159" t="s">
        <v>326</v>
      </c>
      <c r="B159" t="s">
        <v>316</v>
      </c>
      <c r="C159" t="s">
        <v>289</v>
      </c>
      <c r="D159">
        <v>9</v>
      </c>
      <c r="E159">
        <v>1</v>
      </c>
      <c r="F159">
        <v>1</v>
      </c>
      <c r="G159">
        <v>1</v>
      </c>
      <c r="H159">
        <v>0</v>
      </c>
      <c r="I159">
        <v>4</v>
      </c>
      <c r="J159">
        <v>16</v>
      </c>
    </row>
    <row r="160" spans="1:10" x14ac:dyDescent="0.3">
      <c r="A160" t="s">
        <v>328</v>
      </c>
      <c r="B160" t="s">
        <v>316</v>
      </c>
      <c r="C160" t="s">
        <v>289</v>
      </c>
      <c r="D160">
        <v>18</v>
      </c>
      <c r="E160">
        <v>2</v>
      </c>
      <c r="F160">
        <v>2</v>
      </c>
      <c r="G160">
        <v>2</v>
      </c>
      <c r="H160">
        <v>0</v>
      </c>
      <c r="I160">
        <v>8</v>
      </c>
      <c r="J160">
        <v>32</v>
      </c>
    </row>
    <row r="161" spans="1:10" x14ac:dyDescent="0.3">
      <c r="A161" t="s">
        <v>412</v>
      </c>
      <c r="B161" t="s">
        <v>316</v>
      </c>
      <c r="C161" t="s">
        <v>289</v>
      </c>
      <c r="D161">
        <v>10</v>
      </c>
      <c r="E161">
        <v>1</v>
      </c>
      <c r="F161">
        <v>1</v>
      </c>
      <c r="G161">
        <v>1</v>
      </c>
      <c r="H161">
        <v>0</v>
      </c>
      <c r="I161">
        <v>4</v>
      </c>
      <c r="J161">
        <v>17</v>
      </c>
    </row>
    <row r="162" spans="1:10" x14ac:dyDescent="0.3">
      <c r="A162" t="s">
        <v>213</v>
      </c>
      <c r="B162" t="s">
        <v>291</v>
      </c>
      <c r="C162" t="s">
        <v>292</v>
      </c>
      <c r="D162">
        <v>14</v>
      </c>
      <c r="E162">
        <v>0</v>
      </c>
      <c r="F162">
        <v>0</v>
      </c>
      <c r="G162">
        <v>0</v>
      </c>
      <c r="H162">
        <v>1</v>
      </c>
      <c r="I162">
        <v>0</v>
      </c>
      <c r="J162">
        <v>15</v>
      </c>
    </row>
    <row r="163" spans="1:10" x14ac:dyDescent="0.3">
      <c r="A163" t="s">
        <v>312</v>
      </c>
      <c r="B163" t="s">
        <v>291</v>
      </c>
      <c r="C163" t="s">
        <v>292</v>
      </c>
      <c r="D163">
        <v>16</v>
      </c>
      <c r="E163">
        <v>0</v>
      </c>
      <c r="F163">
        <v>0</v>
      </c>
      <c r="G163">
        <v>0</v>
      </c>
      <c r="H163">
        <v>1</v>
      </c>
      <c r="I163">
        <v>0</v>
      </c>
      <c r="J163">
        <v>17</v>
      </c>
    </row>
    <row r="164" spans="1:10" x14ac:dyDescent="0.3">
      <c r="A164" t="s">
        <v>318</v>
      </c>
      <c r="B164" t="s">
        <v>291</v>
      </c>
      <c r="C164" t="s">
        <v>292</v>
      </c>
      <c r="D164">
        <v>15</v>
      </c>
      <c r="E164">
        <v>0</v>
      </c>
      <c r="F164">
        <v>0</v>
      </c>
      <c r="G164">
        <v>0</v>
      </c>
      <c r="H164">
        <v>1</v>
      </c>
      <c r="I164">
        <v>0</v>
      </c>
      <c r="J164">
        <v>16</v>
      </c>
    </row>
    <row r="165" spans="1:10" x14ac:dyDescent="0.3">
      <c r="A165" t="s">
        <v>320</v>
      </c>
      <c r="B165" t="s">
        <v>291</v>
      </c>
      <c r="C165" t="s">
        <v>292</v>
      </c>
      <c r="D165">
        <v>15</v>
      </c>
      <c r="E165">
        <v>0</v>
      </c>
      <c r="F165">
        <v>0</v>
      </c>
      <c r="G165">
        <v>0</v>
      </c>
      <c r="H165">
        <v>2</v>
      </c>
      <c r="I165">
        <v>0</v>
      </c>
      <c r="J165">
        <v>17</v>
      </c>
    </row>
    <row r="166" spans="1:10" x14ac:dyDescent="0.3">
      <c r="A166" t="s">
        <v>325</v>
      </c>
      <c r="B166" t="s">
        <v>291</v>
      </c>
      <c r="C166" t="s">
        <v>292</v>
      </c>
      <c r="D166">
        <v>16</v>
      </c>
      <c r="E166">
        <v>0</v>
      </c>
      <c r="F166">
        <v>0</v>
      </c>
      <c r="G166">
        <v>0</v>
      </c>
      <c r="H166">
        <v>2</v>
      </c>
      <c r="I166">
        <v>0</v>
      </c>
      <c r="J166">
        <v>18</v>
      </c>
    </row>
    <row r="167" spans="1:10" x14ac:dyDescent="0.3">
      <c r="A167" t="s">
        <v>326</v>
      </c>
      <c r="B167" t="s">
        <v>291</v>
      </c>
      <c r="C167" t="s">
        <v>292</v>
      </c>
      <c r="D167">
        <v>14</v>
      </c>
      <c r="E167">
        <v>0</v>
      </c>
      <c r="F167">
        <v>0</v>
      </c>
      <c r="G167">
        <v>0</v>
      </c>
      <c r="H167">
        <v>3</v>
      </c>
      <c r="I167">
        <v>0</v>
      </c>
      <c r="J167">
        <v>17</v>
      </c>
    </row>
    <row r="168" spans="1:10" x14ac:dyDescent="0.3">
      <c r="A168" t="s">
        <v>328</v>
      </c>
      <c r="B168" t="s">
        <v>291</v>
      </c>
      <c r="C168" t="s">
        <v>292</v>
      </c>
      <c r="D168">
        <v>30</v>
      </c>
      <c r="E168">
        <v>0</v>
      </c>
      <c r="F168">
        <v>0</v>
      </c>
      <c r="G168">
        <v>0</v>
      </c>
      <c r="H168">
        <v>2</v>
      </c>
      <c r="I168">
        <v>0</v>
      </c>
      <c r="J168">
        <v>32</v>
      </c>
    </row>
    <row r="169" spans="1:10" x14ac:dyDescent="0.3">
      <c r="A169" t="s">
        <v>412</v>
      </c>
      <c r="B169" t="s">
        <v>291</v>
      </c>
      <c r="C169" t="s">
        <v>292</v>
      </c>
      <c r="D169">
        <v>13</v>
      </c>
      <c r="E169">
        <v>0</v>
      </c>
      <c r="F169">
        <v>0</v>
      </c>
      <c r="G169">
        <v>0</v>
      </c>
      <c r="H169">
        <v>1</v>
      </c>
      <c r="I169">
        <v>0</v>
      </c>
      <c r="J169">
        <v>14</v>
      </c>
    </row>
    <row r="170" spans="1:10" x14ac:dyDescent="0.3">
      <c r="A170" t="s">
        <v>213</v>
      </c>
      <c r="B170" t="s">
        <v>295</v>
      </c>
      <c r="C170" t="s">
        <v>296</v>
      </c>
      <c r="D170">
        <v>4</v>
      </c>
      <c r="E170">
        <v>2</v>
      </c>
      <c r="F170">
        <v>0</v>
      </c>
      <c r="G170">
        <v>0</v>
      </c>
      <c r="H170">
        <v>0</v>
      </c>
      <c r="I170">
        <v>4</v>
      </c>
      <c r="J170">
        <v>10</v>
      </c>
    </row>
    <row r="171" spans="1:10" x14ac:dyDescent="0.3">
      <c r="A171" t="s">
        <v>312</v>
      </c>
      <c r="B171" t="s">
        <v>295</v>
      </c>
      <c r="C171" t="s">
        <v>296</v>
      </c>
      <c r="D171">
        <v>4</v>
      </c>
      <c r="E171">
        <v>2</v>
      </c>
      <c r="F171">
        <v>0</v>
      </c>
      <c r="G171">
        <v>0</v>
      </c>
      <c r="H171">
        <v>0</v>
      </c>
      <c r="I171">
        <v>3</v>
      </c>
      <c r="J171">
        <v>9</v>
      </c>
    </row>
    <row r="172" spans="1:10" x14ac:dyDescent="0.3">
      <c r="A172" t="s">
        <v>318</v>
      </c>
      <c r="B172" t="s">
        <v>295</v>
      </c>
      <c r="C172" t="s">
        <v>296</v>
      </c>
      <c r="D172">
        <v>5</v>
      </c>
      <c r="E172">
        <v>2</v>
      </c>
      <c r="F172">
        <v>0</v>
      </c>
      <c r="G172">
        <v>0</v>
      </c>
      <c r="H172">
        <v>0</v>
      </c>
      <c r="I172">
        <v>3</v>
      </c>
      <c r="J172">
        <v>10</v>
      </c>
    </row>
    <row r="173" spans="1:10" x14ac:dyDescent="0.3">
      <c r="A173" t="s">
        <v>320</v>
      </c>
      <c r="B173" t="s">
        <v>295</v>
      </c>
      <c r="C173" t="s">
        <v>296</v>
      </c>
      <c r="D173">
        <v>4</v>
      </c>
      <c r="E173">
        <v>2</v>
      </c>
      <c r="F173">
        <v>0</v>
      </c>
      <c r="G173">
        <v>0</v>
      </c>
      <c r="H173">
        <v>0</v>
      </c>
      <c r="I173">
        <v>2</v>
      </c>
      <c r="J173">
        <v>8</v>
      </c>
    </row>
    <row r="174" spans="1:10" x14ac:dyDescent="0.3">
      <c r="A174" t="s">
        <v>325</v>
      </c>
      <c r="B174" t="s">
        <v>295</v>
      </c>
      <c r="C174" t="s">
        <v>296</v>
      </c>
      <c r="D174">
        <v>4</v>
      </c>
      <c r="E174">
        <v>2</v>
      </c>
      <c r="F174">
        <v>0</v>
      </c>
      <c r="G174">
        <v>0</v>
      </c>
      <c r="H174">
        <v>0</v>
      </c>
      <c r="I174">
        <v>3</v>
      </c>
      <c r="J174">
        <v>9</v>
      </c>
    </row>
    <row r="175" spans="1:10" x14ac:dyDescent="0.3">
      <c r="A175" t="s">
        <v>326</v>
      </c>
      <c r="B175" t="s">
        <v>295</v>
      </c>
      <c r="C175" t="s">
        <v>296</v>
      </c>
      <c r="D175">
        <v>5</v>
      </c>
      <c r="E175">
        <v>1</v>
      </c>
      <c r="F175">
        <v>0</v>
      </c>
      <c r="G175">
        <v>0</v>
      </c>
      <c r="H175">
        <v>0</v>
      </c>
      <c r="I175">
        <v>3</v>
      </c>
      <c r="J175">
        <v>9</v>
      </c>
    </row>
    <row r="176" spans="1:10" x14ac:dyDescent="0.3">
      <c r="A176" t="s">
        <v>328</v>
      </c>
      <c r="B176" t="s">
        <v>295</v>
      </c>
      <c r="C176" t="s">
        <v>296</v>
      </c>
      <c r="D176">
        <v>10</v>
      </c>
      <c r="E176">
        <v>2</v>
      </c>
      <c r="F176">
        <v>0</v>
      </c>
      <c r="G176">
        <v>0</v>
      </c>
      <c r="H176">
        <v>0</v>
      </c>
      <c r="I176">
        <v>7</v>
      </c>
      <c r="J176">
        <v>19</v>
      </c>
    </row>
    <row r="177" spans="1:10" x14ac:dyDescent="0.3">
      <c r="A177" t="s">
        <v>412</v>
      </c>
      <c r="B177" t="s">
        <v>295</v>
      </c>
      <c r="C177" t="s">
        <v>296</v>
      </c>
      <c r="D177">
        <v>5</v>
      </c>
      <c r="E177">
        <v>1</v>
      </c>
      <c r="F177">
        <v>0</v>
      </c>
      <c r="G177">
        <v>0</v>
      </c>
      <c r="H177">
        <v>0</v>
      </c>
      <c r="I177">
        <v>4</v>
      </c>
      <c r="J177">
        <v>10</v>
      </c>
    </row>
    <row r="178" spans="1:10" x14ac:dyDescent="0.3">
      <c r="A178" t="s">
        <v>213</v>
      </c>
      <c r="B178" t="s">
        <v>297</v>
      </c>
      <c r="C178" t="s">
        <v>298</v>
      </c>
      <c r="D178">
        <v>17</v>
      </c>
      <c r="E178">
        <v>0</v>
      </c>
      <c r="F178">
        <v>0</v>
      </c>
      <c r="G178">
        <v>2</v>
      </c>
      <c r="H178">
        <v>0</v>
      </c>
      <c r="I178">
        <v>1</v>
      </c>
      <c r="J178">
        <v>20</v>
      </c>
    </row>
    <row r="179" spans="1:10" x14ac:dyDescent="0.3">
      <c r="A179" t="s">
        <v>312</v>
      </c>
      <c r="B179" t="s">
        <v>297</v>
      </c>
      <c r="C179" t="s">
        <v>298</v>
      </c>
      <c r="D179">
        <v>17</v>
      </c>
      <c r="E179">
        <v>0</v>
      </c>
      <c r="F179">
        <v>0</v>
      </c>
      <c r="G179">
        <v>2</v>
      </c>
      <c r="H179">
        <v>0</v>
      </c>
      <c r="I179">
        <v>1</v>
      </c>
      <c r="J179">
        <v>20</v>
      </c>
    </row>
    <row r="180" spans="1:10" x14ac:dyDescent="0.3">
      <c r="A180" t="s">
        <v>318</v>
      </c>
      <c r="B180" t="s">
        <v>297</v>
      </c>
      <c r="C180" t="s">
        <v>298</v>
      </c>
      <c r="D180">
        <v>17</v>
      </c>
      <c r="E180">
        <v>0</v>
      </c>
      <c r="F180">
        <v>0</v>
      </c>
      <c r="G180">
        <v>2</v>
      </c>
      <c r="H180">
        <v>0</v>
      </c>
      <c r="I180">
        <v>1</v>
      </c>
      <c r="J180">
        <v>20</v>
      </c>
    </row>
    <row r="181" spans="1:10" x14ac:dyDescent="0.3">
      <c r="A181" t="s">
        <v>320</v>
      </c>
      <c r="B181" t="s">
        <v>297</v>
      </c>
      <c r="C181" t="s">
        <v>298</v>
      </c>
      <c r="D181">
        <v>19</v>
      </c>
      <c r="E181">
        <v>0</v>
      </c>
      <c r="F181">
        <v>0</v>
      </c>
      <c r="G181">
        <v>2</v>
      </c>
      <c r="H181">
        <v>0</v>
      </c>
      <c r="I181">
        <v>1</v>
      </c>
      <c r="J181">
        <v>22</v>
      </c>
    </row>
    <row r="182" spans="1:10" x14ac:dyDescent="0.3">
      <c r="A182" t="s">
        <v>325</v>
      </c>
      <c r="B182" t="s">
        <v>297</v>
      </c>
      <c r="C182" t="s">
        <v>298</v>
      </c>
      <c r="D182">
        <v>17</v>
      </c>
      <c r="E182">
        <v>0</v>
      </c>
      <c r="F182">
        <v>0</v>
      </c>
      <c r="G182">
        <v>2</v>
      </c>
      <c r="H182">
        <v>0</v>
      </c>
      <c r="I182">
        <v>2</v>
      </c>
      <c r="J182">
        <v>21</v>
      </c>
    </row>
    <row r="183" spans="1:10" x14ac:dyDescent="0.3">
      <c r="A183" t="s">
        <v>326</v>
      </c>
      <c r="B183" t="s">
        <v>297</v>
      </c>
      <c r="C183" t="s">
        <v>298</v>
      </c>
      <c r="D183">
        <v>18</v>
      </c>
      <c r="E183">
        <v>0</v>
      </c>
      <c r="F183">
        <v>0</v>
      </c>
      <c r="G183">
        <v>2</v>
      </c>
      <c r="H183">
        <v>0</v>
      </c>
      <c r="I183">
        <v>2</v>
      </c>
      <c r="J183">
        <v>22</v>
      </c>
    </row>
    <row r="184" spans="1:10" x14ac:dyDescent="0.3">
      <c r="A184" t="s">
        <v>328</v>
      </c>
      <c r="B184" t="s">
        <v>297</v>
      </c>
      <c r="C184" t="s">
        <v>298</v>
      </c>
      <c r="D184">
        <v>34</v>
      </c>
      <c r="E184">
        <v>0</v>
      </c>
      <c r="F184">
        <v>0</v>
      </c>
      <c r="G184">
        <v>4</v>
      </c>
      <c r="H184">
        <v>0</v>
      </c>
      <c r="I184">
        <v>4</v>
      </c>
      <c r="J184">
        <v>42</v>
      </c>
    </row>
    <row r="185" spans="1:10" x14ac:dyDescent="0.3">
      <c r="A185" t="s">
        <v>412</v>
      </c>
      <c r="B185" t="s">
        <v>297</v>
      </c>
      <c r="C185" t="s">
        <v>298</v>
      </c>
      <c r="D185">
        <v>17</v>
      </c>
      <c r="E185">
        <v>0</v>
      </c>
      <c r="F185">
        <v>0</v>
      </c>
      <c r="G185">
        <v>2</v>
      </c>
      <c r="H185">
        <v>0</v>
      </c>
      <c r="I185">
        <v>2</v>
      </c>
      <c r="J185">
        <v>21</v>
      </c>
    </row>
    <row r="186" spans="1:10" x14ac:dyDescent="0.3">
      <c r="A186" t="s">
        <v>213</v>
      </c>
      <c r="B186" t="s">
        <v>299</v>
      </c>
      <c r="C186" t="s">
        <v>300</v>
      </c>
      <c r="D186">
        <v>16</v>
      </c>
      <c r="E186">
        <v>0</v>
      </c>
      <c r="F186">
        <v>0</v>
      </c>
      <c r="G186">
        <v>0</v>
      </c>
      <c r="H186">
        <v>1</v>
      </c>
      <c r="I186">
        <v>1</v>
      </c>
      <c r="J186">
        <v>18</v>
      </c>
    </row>
    <row r="187" spans="1:10" x14ac:dyDescent="0.3">
      <c r="A187" t="s">
        <v>312</v>
      </c>
      <c r="B187" t="s">
        <v>299</v>
      </c>
      <c r="C187" t="s">
        <v>300</v>
      </c>
      <c r="D187">
        <v>14</v>
      </c>
      <c r="E187">
        <v>0</v>
      </c>
      <c r="F187">
        <v>0</v>
      </c>
      <c r="G187">
        <v>0</v>
      </c>
      <c r="H187">
        <v>1</v>
      </c>
      <c r="I187">
        <v>1</v>
      </c>
      <c r="J187">
        <v>16</v>
      </c>
    </row>
    <row r="188" spans="1:10" x14ac:dyDescent="0.3">
      <c r="A188" t="s">
        <v>318</v>
      </c>
      <c r="B188" t="s">
        <v>299</v>
      </c>
      <c r="C188" t="s">
        <v>300</v>
      </c>
      <c r="D188">
        <v>16</v>
      </c>
      <c r="E188">
        <v>0</v>
      </c>
      <c r="F188">
        <v>0</v>
      </c>
      <c r="G188">
        <v>0</v>
      </c>
      <c r="H188">
        <v>1</v>
      </c>
      <c r="I188">
        <v>1</v>
      </c>
      <c r="J188">
        <v>18</v>
      </c>
    </row>
    <row r="189" spans="1:10" x14ac:dyDescent="0.3">
      <c r="A189" t="s">
        <v>320</v>
      </c>
      <c r="B189" t="s">
        <v>299</v>
      </c>
      <c r="C189" t="s">
        <v>300</v>
      </c>
      <c r="D189">
        <v>15</v>
      </c>
      <c r="E189">
        <v>0</v>
      </c>
      <c r="F189">
        <v>0</v>
      </c>
      <c r="G189">
        <v>0</v>
      </c>
      <c r="H189">
        <v>1</v>
      </c>
      <c r="I189">
        <v>1</v>
      </c>
      <c r="J189">
        <v>17</v>
      </c>
    </row>
    <row r="190" spans="1:10" x14ac:dyDescent="0.3">
      <c r="A190" t="s">
        <v>325</v>
      </c>
      <c r="B190" t="s">
        <v>299</v>
      </c>
      <c r="C190" t="s">
        <v>300</v>
      </c>
      <c r="D190">
        <v>19</v>
      </c>
      <c r="E190">
        <v>0</v>
      </c>
      <c r="F190">
        <v>0</v>
      </c>
      <c r="G190">
        <v>0</v>
      </c>
      <c r="H190">
        <v>1</v>
      </c>
      <c r="I190">
        <v>1</v>
      </c>
      <c r="J190">
        <v>21</v>
      </c>
    </row>
    <row r="191" spans="1:10" x14ac:dyDescent="0.3">
      <c r="A191" t="s">
        <v>326</v>
      </c>
      <c r="B191" t="s">
        <v>299</v>
      </c>
      <c r="C191" t="s">
        <v>300</v>
      </c>
      <c r="D191">
        <v>16</v>
      </c>
      <c r="E191">
        <v>0</v>
      </c>
      <c r="F191">
        <v>0</v>
      </c>
      <c r="G191">
        <v>0</v>
      </c>
      <c r="H191">
        <v>1</v>
      </c>
      <c r="I191">
        <v>1</v>
      </c>
      <c r="J191">
        <v>18</v>
      </c>
    </row>
    <row r="192" spans="1:10" x14ac:dyDescent="0.3">
      <c r="A192" t="s">
        <v>328</v>
      </c>
      <c r="B192" t="s">
        <v>299</v>
      </c>
      <c r="C192" t="s">
        <v>300</v>
      </c>
      <c r="D192">
        <v>32</v>
      </c>
      <c r="E192">
        <v>0</v>
      </c>
      <c r="F192">
        <v>0</v>
      </c>
      <c r="G192">
        <v>0</v>
      </c>
      <c r="H192">
        <v>2</v>
      </c>
      <c r="I192">
        <v>2</v>
      </c>
      <c r="J192">
        <v>36</v>
      </c>
    </row>
    <row r="193" spans="1:10" x14ac:dyDescent="0.3">
      <c r="A193" t="s">
        <v>412</v>
      </c>
      <c r="B193" t="s">
        <v>299</v>
      </c>
      <c r="C193" t="s">
        <v>300</v>
      </c>
      <c r="D193">
        <v>16</v>
      </c>
      <c r="E193">
        <v>0</v>
      </c>
      <c r="F193">
        <v>0</v>
      </c>
      <c r="G193">
        <v>0</v>
      </c>
      <c r="H193">
        <v>1</v>
      </c>
      <c r="I193">
        <v>1</v>
      </c>
      <c r="J193">
        <v>18</v>
      </c>
    </row>
    <row r="194" spans="1:10" x14ac:dyDescent="0.3">
      <c r="A194" t="s">
        <v>213</v>
      </c>
      <c r="B194" t="s">
        <v>301</v>
      </c>
      <c r="C194" t="s">
        <v>302</v>
      </c>
      <c r="D194">
        <v>7</v>
      </c>
      <c r="E194">
        <v>1</v>
      </c>
      <c r="F194">
        <v>0</v>
      </c>
      <c r="G194">
        <v>1</v>
      </c>
      <c r="H194">
        <v>0</v>
      </c>
      <c r="I194">
        <v>0</v>
      </c>
      <c r="J194">
        <v>9</v>
      </c>
    </row>
    <row r="195" spans="1:10" x14ac:dyDescent="0.3">
      <c r="A195" t="s">
        <v>312</v>
      </c>
      <c r="B195" t="s">
        <v>301</v>
      </c>
      <c r="C195" t="s">
        <v>302</v>
      </c>
      <c r="D195">
        <v>7</v>
      </c>
      <c r="E195">
        <v>1</v>
      </c>
      <c r="F195">
        <v>0</v>
      </c>
      <c r="G195">
        <v>1</v>
      </c>
      <c r="H195">
        <v>0</v>
      </c>
      <c r="I195">
        <v>0</v>
      </c>
      <c r="J195">
        <v>9</v>
      </c>
    </row>
    <row r="196" spans="1:10" x14ac:dyDescent="0.3">
      <c r="A196" t="s">
        <v>318</v>
      </c>
      <c r="B196" t="s">
        <v>301</v>
      </c>
      <c r="C196" t="s">
        <v>302</v>
      </c>
      <c r="D196">
        <v>7</v>
      </c>
      <c r="E196">
        <v>1</v>
      </c>
      <c r="F196">
        <v>0</v>
      </c>
      <c r="G196">
        <v>1</v>
      </c>
      <c r="H196">
        <v>0</v>
      </c>
      <c r="I196">
        <v>0</v>
      </c>
      <c r="J196">
        <v>9</v>
      </c>
    </row>
    <row r="197" spans="1:10" x14ac:dyDescent="0.3">
      <c r="A197" t="s">
        <v>320</v>
      </c>
      <c r="B197" t="s">
        <v>301</v>
      </c>
      <c r="C197" t="s">
        <v>302</v>
      </c>
      <c r="D197">
        <v>7</v>
      </c>
      <c r="E197">
        <v>1</v>
      </c>
      <c r="F197">
        <v>0</v>
      </c>
      <c r="G197">
        <v>1</v>
      </c>
      <c r="H197">
        <v>0</v>
      </c>
      <c r="I197">
        <v>0</v>
      </c>
      <c r="J197">
        <v>9</v>
      </c>
    </row>
    <row r="198" spans="1:10" x14ac:dyDescent="0.3">
      <c r="A198" t="s">
        <v>325</v>
      </c>
      <c r="B198" t="s">
        <v>301</v>
      </c>
      <c r="C198" t="s">
        <v>302</v>
      </c>
      <c r="D198">
        <v>7</v>
      </c>
      <c r="E198">
        <v>1</v>
      </c>
      <c r="F198">
        <v>0</v>
      </c>
      <c r="G198">
        <v>1</v>
      </c>
      <c r="H198">
        <v>0</v>
      </c>
      <c r="I198">
        <v>0</v>
      </c>
      <c r="J198">
        <v>9</v>
      </c>
    </row>
    <row r="199" spans="1:10" x14ac:dyDescent="0.3">
      <c r="A199" t="s">
        <v>326</v>
      </c>
      <c r="B199" t="s">
        <v>301</v>
      </c>
      <c r="C199" t="s">
        <v>302</v>
      </c>
      <c r="D199">
        <v>8</v>
      </c>
      <c r="E199">
        <v>0</v>
      </c>
      <c r="F199">
        <v>0</v>
      </c>
      <c r="G199">
        <v>1</v>
      </c>
      <c r="H199">
        <v>0</v>
      </c>
      <c r="I199">
        <v>0</v>
      </c>
      <c r="J199">
        <v>9</v>
      </c>
    </row>
    <row r="200" spans="1:10" x14ac:dyDescent="0.3">
      <c r="A200" t="s">
        <v>328</v>
      </c>
      <c r="B200" t="s">
        <v>301</v>
      </c>
      <c r="C200" t="s">
        <v>302</v>
      </c>
      <c r="D200">
        <v>16</v>
      </c>
      <c r="E200">
        <v>0</v>
      </c>
      <c r="F200">
        <v>0</v>
      </c>
      <c r="G200">
        <v>2</v>
      </c>
      <c r="H200">
        <v>0</v>
      </c>
      <c r="I200">
        <v>0</v>
      </c>
      <c r="J200">
        <v>18</v>
      </c>
    </row>
    <row r="201" spans="1:10" x14ac:dyDescent="0.3">
      <c r="A201" t="s">
        <v>412</v>
      </c>
      <c r="B201" t="s">
        <v>301</v>
      </c>
      <c r="C201" t="s">
        <v>302</v>
      </c>
      <c r="D201">
        <v>8</v>
      </c>
      <c r="E201">
        <v>0</v>
      </c>
      <c r="F201">
        <v>0</v>
      </c>
      <c r="G201">
        <v>1</v>
      </c>
      <c r="H201">
        <v>0</v>
      </c>
      <c r="I201">
        <v>0</v>
      </c>
      <c r="J201">
        <v>9</v>
      </c>
    </row>
    <row r="202" spans="1:10" x14ac:dyDescent="0.3">
      <c r="A202" t="s">
        <v>213</v>
      </c>
      <c r="B202" t="s">
        <v>303</v>
      </c>
      <c r="C202" t="s">
        <v>304</v>
      </c>
      <c r="D202">
        <v>14</v>
      </c>
      <c r="E202">
        <v>1</v>
      </c>
      <c r="F202">
        <v>1</v>
      </c>
      <c r="G202">
        <v>2</v>
      </c>
      <c r="H202">
        <v>0</v>
      </c>
      <c r="I202">
        <v>6</v>
      </c>
      <c r="J202">
        <v>24</v>
      </c>
    </row>
    <row r="203" spans="1:10" x14ac:dyDescent="0.3">
      <c r="A203" t="s">
        <v>312</v>
      </c>
      <c r="B203" t="s">
        <v>303</v>
      </c>
      <c r="C203" t="s">
        <v>304</v>
      </c>
      <c r="D203">
        <v>14</v>
      </c>
      <c r="E203">
        <v>1</v>
      </c>
      <c r="F203">
        <v>1</v>
      </c>
      <c r="G203">
        <v>2</v>
      </c>
      <c r="H203">
        <v>0</v>
      </c>
      <c r="I203">
        <v>5</v>
      </c>
      <c r="J203">
        <v>23</v>
      </c>
    </row>
    <row r="204" spans="1:10" x14ac:dyDescent="0.3">
      <c r="A204" t="s">
        <v>318</v>
      </c>
      <c r="B204" t="s">
        <v>303</v>
      </c>
      <c r="C204" t="s">
        <v>304</v>
      </c>
      <c r="D204">
        <v>15</v>
      </c>
      <c r="E204">
        <v>1</v>
      </c>
      <c r="F204">
        <v>1</v>
      </c>
      <c r="G204">
        <v>2</v>
      </c>
      <c r="H204">
        <v>0</v>
      </c>
      <c r="I204">
        <v>5</v>
      </c>
      <c r="J204">
        <v>24</v>
      </c>
    </row>
    <row r="205" spans="1:10" x14ac:dyDescent="0.3">
      <c r="A205" t="s">
        <v>320</v>
      </c>
      <c r="B205" t="s">
        <v>303</v>
      </c>
      <c r="C205" t="s">
        <v>304</v>
      </c>
      <c r="D205">
        <v>14</v>
      </c>
      <c r="E205">
        <v>1</v>
      </c>
      <c r="F205">
        <v>1</v>
      </c>
      <c r="G205">
        <v>2</v>
      </c>
      <c r="H205">
        <v>0</v>
      </c>
      <c r="I205">
        <v>6</v>
      </c>
      <c r="J205">
        <v>24</v>
      </c>
    </row>
    <row r="206" spans="1:10" x14ac:dyDescent="0.3">
      <c r="A206" t="s">
        <v>325</v>
      </c>
      <c r="B206" t="s">
        <v>303</v>
      </c>
      <c r="C206" t="s">
        <v>304</v>
      </c>
      <c r="D206">
        <v>15</v>
      </c>
      <c r="E206">
        <v>1</v>
      </c>
      <c r="F206">
        <v>1</v>
      </c>
      <c r="G206">
        <v>2</v>
      </c>
      <c r="H206">
        <v>0</v>
      </c>
      <c r="I206">
        <v>5</v>
      </c>
      <c r="J206">
        <v>24</v>
      </c>
    </row>
    <row r="207" spans="1:10" x14ac:dyDescent="0.3">
      <c r="A207" t="s">
        <v>326</v>
      </c>
      <c r="B207" t="s">
        <v>303</v>
      </c>
      <c r="C207" t="s">
        <v>304</v>
      </c>
      <c r="D207">
        <v>15</v>
      </c>
      <c r="E207">
        <v>0</v>
      </c>
      <c r="F207">
        <v>1</v>
      </c>
      <c r="G207">
        <v>2</v>
      </c>
      <c r="H207">
        <v>0</v>
      </c>
      <c r="I207">
        <v>5</v>
      </c>
      <c r="J207">
        <v>23</v>
      </c>
    </row>
    <row r="208" spans="1:10" x14ac:dyDescent="0.3">
      <c r="A208" t="s">
        <v>328</v>
      </c>
      <c r="B208" t="s">
        <v>303</v>
      </c>
      <c r="C208" t="s">
        <v>304</v>
      </c>
      <c r="D208">
        <v>30</v>
      </c>
      <c r="E208">
        <v>0</v>
      </c>
      <c r="F208">
        <v>2</v>
      </c>
      <c r="G208">
        <v>4</v>
      </c>
      <c r="H208">
        <v>0</v>
      </c>
      <c r="I208">
        <v>9</v>
      </c>
      <c r="J208">
        <v>45</v>
      </c>
    </row>
    <row r="209" spans="1:10" x14ac:dyDescent="0.3">
      <c r="A209" t="s">
        <v>412</v>
      </c>
      <c r="B209" t="s">
        <v>303</v>
      </c>
      <c r="C209" t="s">
        <v>304</v>
      </c>
      <c r="D209">
        <v>15</v>
      </c>
      <c r="E209">
        <v>0</v>
      </c>
      <c r="F209">
        <v>1</v>
      </c>
      <c r="G209">
        <v>2</v>
      </c>
      <c r="H209">
        <v>0</v>
      </c>
      <c r="I209">
        <v>3</v>
      </c>
      <c r="J209">
        <v>21</v>
      </c>
    </row>
    <row r="210" spans="1:10" x14ac:dyDescent="0.3">
      <c r="A210" t="s">
        <v>213</v>
      </c>
      <c r="B210" t="s">
        <v>306</v>
      </c>
      <c r="C210" t="s">
        <v>307</v>
      </c>
      <c r="D210">
        <v>9</v>
      </c>
      <c r="E210">
        <v>0</v>
      </c>
      <c r="F210">
        <v>0</v>
      </c>
      <c r="G210">
        <v>1</v>
      </c>
      <c r="H210">
        <v>2</v>
      </c>
      <c r="I210">
        <v>3</v>
      </c>
      <c r="J210">
        <v>15</v>
      </c>
    </row>
    <row r="211" spans="1:10" x14ac:dyDescent="0.3">
      <c r="A211" t="s">
        <v>312</v>
      </c>
      <c r="B211" t="s">
        <v>306</v>
      </c>
      <c r="C211" t="s">
        <v>307</v>
      </c>
      <c r="D211">
        <v>9</v>
      </c>
      <c r="E211">
        <v>0</v>
      </c>
      <c r="F211">
        <v>0</v>
      </c>
      <c r="G211">
        <v>2</v>
      </c>
      <c r="H211">
        <v>2</v>
      </c>
      <c r="I211">
        <v>3</v>
      </c>
      <c r="J211">
        <v>16</v>
      </c>
    </row>
    <row r="212" spans="1:10" x14ac:dyDescent="0.3">
      <c r="A212" t="s">
        <v>318</v>
      </c>
      <c r="B212" t="s">
        <v>306</v>
      </c>
      <c r="C212" t="s">
        <v>307</v>
      </c>
      <c r="D212">
        <v>9</v>
      </c>
      <c r="E212">
        <v>0</v>
      </c>
      <c r="F212">
        <v>0</v>
      </c>
      <c r="G212">
        <v>1</v>
      </c>
      <c r="H212">
        <v>2</v>
      </c>
      <c r="I212">
        <v>3</v>
      </c>
      <c r="J212">
        <v>15</v>
      </c>
    </row>
    <row r="213" spans="1:10" x14ac:dyDescent="0.3">
      <c r="A213" t="s">
        <v>320</v>
      </c>
      <c r="B213" t="s">
        <v>306</v>
      </c>
      <c r="C213" t="s">
        <v>307</v>
      </c>
      <c r="D213">
        <v>9</v>
      </c>
      <c r="E213">
        <v>0</v>
      </c>
      <c r="F213">
        <v>0</v>
      </c>
      <c r="G213">
        <v>1</v>
      </c>
      <c r="H213">
        <v>2</v>
      </c>
      <c r="I213">
        <v>3</v>
      </c>
      <c r="J213">
        <v>15</v>
      </c>
    </row>
    <row r="214" spans="1:10" x14ac:dyDescent="0.3">
      <c r="A214" t="s">
        <v>325</v>
      </c>
      <c r="B214" t="s">
        <v>306</v>
      </c>
      <c r="C214" t="s">
        <v>307</v>
      </c>
      <c r="D214">
        <v>9</v>
      </c>
      <c r="E214">
        <v>0</v>
      </c>
      <c r="F214">
        <v>0</v>
      </c>
      <c r="G214">
        <v>1</v>
      </c>
      <c r="H214">
        <v>2</v>
      </c>
      <c r="I214">
        <v>3</v>
      </c>
      <c r="J214">
        <v>15</v>
      </c>
    </row>
    <row r="215" spans="1:10" x14ac:dyDescent="0.3">
      <c r="A215" t="s">
        <v>326</v>
      </c>
      <c r="B215" t="s">
        <v>306</v>
      </c>
      <c r="C215" t="s">
        <v>307</v>
      </c>
      <c r="D215">
        <v>9</v>
      </c>
      <c r="E215">
        <v>0</v>
      </c>
      <c r="F215">
        <v>0</v>
      </c>
      <c r="G215">
        <v>1</v>
      </c>
      <c r="H215">
        <v>2</v>
      </c>
      <c r="I215">
        <v>4</v>
      </c>
      <c r="J215">
        <v>16</v>
      </c>
    </row>
    <row r="216" spans="1:10" x14ac:dyDescent="0.3">
      <c r="A216" t="s">
        <v>328</v>
      </c>
      <c r="B216" t="s">
        <v>306</v>
      </c>
      <c r="C216" t="s">
        <v>307</v>
      </c>
      <c r="D216">
        <v>18</v>
      </c>
      <c r="E216">
        <v>0</v>
      </c>
      <c r="F216">
        <v>0</v>
      </c>
      <c r="G216">
        <v>2</v>
      </c>
      <c r="H216">
        <v>2</v>
      </c>
      <c r="I216">
        <v>7</v>
      </c>
      <c r="J216">
        <v>29</v>
      </c>
    </row>
    <row r="217" spans="1:10" x14ac:dyDescent="0.3">
      <c r="A217" t="s">
        <v>412</v>
      </c>
      <c r="B217" t="s">
        <v>306</v>
      </c>
      <c r="C217" t="s">
        <v>307</v>
      </c>
      <c r="D217">
        <v>9</v>
      </c>
      <c r="E217">
        <v>0</v>
      </c>
      <c r="F217">
        <v>0</v>
      </c>
      <c r="G217">
        <v>1</v>
      </c>
      <c r="H217">
        <v>1</v>
      </c>
      <c r="I217">
        <v>4</v>
      </c>
      <c r="J217">
        <v>15</v>
      </c>
    </row>
    <row r="218" spans="1:10" x14ac:dyDescent="0.3">
      <c r="A218" t="s">
        <v>213</v>
      </c>
      <c r="B218" t="s">
        <v>308</v>
      </c>
      <c r="C218" t="s">
        <v>309</v>
      </c>
      <c r="D218">
        <v>4</v>
      </c>
      <c r="E218">
        <v>1</v>
      </c>
      <c r="F218">
        <v>1</v>
      </c>
      <c r="G218">
        <v>0</v>
      </c>
      <c r="H218">
        <v>0</v>
      </c>
      <c r="I218">
        <v>1</v>
      </c>
      <c r="J218">
        <v>7</v>
      </c>
    </row>
    <row r="219" spans="1:10" x14ac:dyDescent="0.3">
      <c r="A219" t="s">
        <v>312</v>
      </c>
      <c r="B219" t="s">
        <v>308</v>
      </c>
      <c r="C219" t="s">
        <v>309</v>
      </c>
      <c r="D219">
        <v>4</v>
      </c>
      <c r="E219">
        <v>1</v>
      </c>
      <c r="F219">
        <v>1</v>
      </c>
      <c r="G219">
        <v>0</v>
      </c>
      <c r="H219">
        <v>0</v>
      </c>
      <c r="I219">
        <v>1</v>
      </c>
      <c r="J219">
        <v>7</v>
      </c>
    </row>
    <row r="220" spans="1:10" x14ac:dyDescent="0.3">
      <c r="A220" t="s">
        <v>318</v>
      </c>
      <c r="B220" t="s">
        <v>308</v>
      </c>
      <c r="C220" t="s">
        <v>309</v>
      </c>
      <c r="D220">
        <v>4</v>
      </c>
      <c r="E220">
        <v>1</v>
      </c>
      <c r="F220">
        <v>1</v>
      </c>
      <c r="G220">
        <v>0</v>
      </c>
      <c r="H220">
        <v>0</v>
      </c>
      <c r="I220">
        <v>1</v>
      </c>
      <c r="J220">
        <v>7</v>
      </c>
    </row>
    <row r="221" spans="1:10" x14ac:dyDescent="0.3">
      <c r="A221" t="s">
        <v>320</v>
      </c>
      <c r="B221" t="s">
        <v>308</v>
      </c>
      <c r="C221" t="s">
        <v>309</v>
      </c>
      <c r="D221">
        <v>4</v>
      </c>
      <c r="E221">
        <v>1</v>
      </c>
      <c r="F221">
        <v>1</v>
      </c>
      <c r="G221">
        <v>0</v>
      </c>
      <c r="H221">
        <v>0</v>
      </c>
      <c r="I221">
        <v>1</v>
      </c>
      <c r="J221">
        <v>7</v>
      </c>
    </row>
    <row r="222" spans="1:10" x14ac:dyDescent="0.3">
      <c r="A222" t="s">
        <v>325</v>
      </c>
      <c r="B222" t="s">
        <v>308</v>
      </c>
      <c r="C222" t="s">
        <v>309</v>
      </c>
      <c r="D222">
        <v>4</v>
      </c>
      <c r="E222">
        <v>1</v>
      </c>
      <c r="F222">
        <v>1</v>
      </c>
      <c r="G222">
        <v>0</v>
      </c>
      <c r="H222">
        <v>0</v>
      </c>
      <c r="I222">
        <v>1</v>
      </c>
      <c r="J222">
        <v>7</v>
      </c>
    </row>
    <row r="223" spans="1:10" x14ac:dyDescent="0.3">
      <c r="A223" t="s">
        <v>326</v>
      </c>
      <c r="B223" t="s">
        <v>308</v>
      </c>
      <c r="C223" t="s">
        <v>309</v>
      </c>
      <c r="D223">
        <v>5</v>
      </c>
      <c r="E223">
        <v>0</v>
      </c>
      <c r="F223">
        <v>1</v>
      </c>
      <c r="G223">
        <v>0</v>
      </c>
      <c r="H223">
        <v>0</v>
      </c>
      <c r="I223">
        <v>1</v>
      </c>
      <c r="J223">
        <v>7</v>
      </c>
    </row>
    <row r="224" spans="1:10" x14ac:dyDescent="0.3">
      <c r="A224" t="s">
        <v>328</v>
      </c>
      <c r="B224" t="s">
        <v>308</v>
      </c>
      <c r="C224" t="s">
        <v>309</v>
      </c>
      <c r="D224">
        <v>10</v>
      </c>
      <c r="E224">
        <v>0</v>
      </c>
      <c r="F224">
        <v>2</v>
      </c>
      <c r="G224">
        <v>0</v>
      </c>
      <c r="H224">
        <v>0</v>
      </c>
      <c r="I224">
        <v>6</v>
      </c>
      <c r="J224">
        <v>18</v>
      </c>
    </row>
    <row r="225" spans="1:10" x14ac:dyDescent="0.3">
      <c r="A225" t="s">
        <v>412</v>
      </c>
      <c r="B225" t="s">
        <v>308</v>
      </c>
      <c r="C225" t="s">
        <v>309</v>
      </c>
      <c r="D225">
        <v>5</v>
      </c>
      <c r="E225">
        <v>0</v>
      </c>
      <c r="F225">
        <v>1</v>
      </c>
      <c r="G225">
        <v>0</v>
      </c>
      <c r="H225">
        <v>0</v>
      </c>
      <c r="I225">
        <v>3</v>
      </c>
      <c r="J225">
        <v>9</v>
      </c>
    </row>
    <row r="226" spans="1:10" x14ac:dyDescent="0.3">
      <c r="A226" t="s">
        <v>213</v>
      </c>
      <c r="B226" t="s">
        <v>310</v>
      </c>
      <c r="C226" t="s">
        <v>311</v>
      </c>
      <c r="D226">
        <v>8</v>
      </c>
      <c r="E226">
        <v>0</v>
      </c>
      <c r="F226">
        <v>1</v>
      </c>
      <c r="G226">
        <v>2</v>
      </c>
      <c r="H226">
        <v>0</v>
      </c>
      <c r="I226">
        <v>1</v>
      </c>
      <c r="J226">
        <v>12</v>
      </c>
    </row>
    <row r="227" spans="1:10" x14ac:dyDescent="0.3">
      <c r="A227" t="s">
        <v>312</v>
      </c>
      <c r="B227" t="s">
        <v>310</v>
      </c>
      <c r="C227" t="s">
        <v>311</v>
      </c>
      <c r="D227">
        <v>8</v>
      </c>
      <c r="E227">
        <v>0</v>
      </c>
      <c r="F227">
        <v>0</v>
      </c>
      <c r="G227">
        <v>1</v>
      </c>
      <c r="H227">
        <v>0</v>
      </c>
      <c r="I227">
        <v>1</v>
      </c>
      <c r="J227">
        <v>10</v>
      </c>
    </row>
    <row r="228" spans="1:10" x14ac:dyDescent="0.3">
      <c r="A228" t="s">
        <v>318</v>
      </c>
      <c r="B228" t="s">
        <v>310</v>
      </c>
      <c r="C228" t="s">
        <v>311</v>
      </c>
      <c r="D228">
        <v>9</v>
      </c>
      <c r="E228">
        <v>0</v>
      </c>
      <c r="F228">
        <v>0</v>
      </c>
      <c r="G228">
        <v>1</v>
      </c>
      <c r="H228">
        <v>0</v>
      </c>
      <c r="I228">
        <v>1</v>
      </c>
      <c r="J228">
        <v>11</v>
      </c>
    </row>
    <row r="229" spans="1:10" x14ac:dyDescent="0.3">
      <c r="A229" t="s">
        <v>320</v>
      </c>
      <c r="B229" t="s">
        <v>310</v>
      </c>
      <c r="C229" t="s">
        <v>311</v>
      </c>
      <c r="D229">
        <v>8</v>
      </c>
      <c r="E229">
        <v>0</v>
      </c>
      <c r="F229">
        <v>0</v>
      </c>
      <c r="G229">
        <v>1</v>
      </c>
      <c r="H229">
        <v>0</v>
      </c>
      <c r="I229">
        <v>1</v>
      </c>
      <c r="J229">
        <v>10</v>
      </c>
    </row>
    <row r="230" spans="1:10" x14ac:dyDescent="0.3">
      <c r="A230" t="s">
        <v>325</v>
      </c>
      <c r="B230" t="s">
        <v>310</v>
      </c>
      <c r="C230" t="s">
        <v>311</v>
      </c>
      <c r="D230">
        <v>8</v>
      </c>
      <c r="E230">
        <v>0</v>
      </c>
      <c r="F230">
        <v>0</v>
      </c>
      <c r="G230">
        <v>1</v>
      </c>
      <c r="H230">
        <v>0</v>
      </c>
      <c r="I230">
        <v>1</v>
      </c>
      <c r="J230">
        <v>10</v>
      </c>
    </row>
    <row r="231" spans="1:10" x14ac:dyDescent="0.3">
      <c r="A231" t="s">
        <v>326</v>
      </c>
      <c r="B231" t="s">
        <v>310</v>
      </c>
      <c r="C231" t="s">
        <v>311</v>
      </c>
      <c r="D231">
        <v>8</v>
      </c>
      <c r="E231">
        <v>0</v>
      </c>
      <c r="F231">
        <v>0</v>
      </c>
      <c r="G231">
        <v>1</v>
      </c>
      <c r="H231">
        <v>0</v>
      </c>
      <c r="I231">
        <v>1</v>
      </c>
      <c r="J231">
        <v>10</v>
      </c>
    </row>
    <row r="232" spans="1:10" x14ac:dyDescent="0.3">
      <c r="A232" t="s">
        <v>328</v>
      </c>
      <c r="B232" t="s">
        <v>310</v>
      </c>
      <c r="C232" t="s">
        <v>311</v>
      </c>
      <c r="D232">
        <v>16</v>
      </c>
      <c r="E232">
        <v>0</v>
      </c>
      <c r="F232">
        <v>0</v>
      </c>
      <c r="G232">
        <v>2</v>
      </c>
      <c r="H232">
        <v>0</v>
      </c>
      <c r="I232">
        <v>2</v>
      </c>
      <c r="J232">
        <v>20</v>
      </c>
    </row>
    <row r="233" spans="1:10" x14ac:dyDescent="0.3">
      <c r="A233" t="s">
        <v>412</v>
      </c>
      <c r="B233" t="s">
        <v>310</v>
      </c>
      <c r="C233" t="s">
        <v>311</v>
      </c>
      <c r="D233">
        <v>8</v>
      </c>
      <c r="E233">
        <v>0</v>
      </c>
      <c r="F233">
        <v>0</v>
      </c>
      <c r="G233">
        <v>1</v>
      </c>
      <c r="H233">
        <v>0</v>
      </c>
      <c r="I233">
        <v>2</v>
      </c>
      <c r="J233">
        <v>11</v>
      </c>
    </row>
  </sheetData>
  <pageMargins left="0.7" right="0.7" top="0.75" bottom="0.75" header="0.3" footer="0.3"/>
  <tableParts count="1">
    <tablePart r:id="rId1"/>
  </tableParts>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24">
    <tabColor rgb="FFD9B3FF"/>
    <pageSetUpPr fitToPage="1"/>
  </sheetPr>
  <dimension ref="A1:N46"/>
  <sheetViews>
    <sheetView showGridLines="0" workbookViewId="0">
      <pane ySplit="2" topLeftCell="A8" activePane="bottomLeft" state="frozen"/>
      <selection pane="bottomLeft" sqref="A1:I1"/>
    </sheetView>
  </sheetViews>
  <sheetFormatPr defaultRowHeight="14.4" x14ac:dyDescent="0.3"/>
  <cols>
    <col min="1" max="1" width="17.6640625" customWidth="1"/>
    <col min="2" max="2" width="28.6640625" customWidth="1"/>
    <col min="3" max="9" width="14.5546875" customWidth="1"/>
  </cols>
  <sheetData>
    <row r="1" spans="1:9" ht="15.6" x14ac:dyDescent="0.3">
      <c r="A1" s="1030" t="s">
        <v>482</v>
      </c>
      <c r="B1" s="1030"/>
      <c r="C1" s="1030"/>
      <c r="D1" s="1030"/>
      <c r="E1" s="1030"/>
      <c r="F1" s="1030"/>
      <c r="G1" s="1030"/>
      <c r="H1" s="1030"/>
      <c r="I1" s="1030"/>
    </row>
    <row r="2" spans="1:9" ht="17.399999999999999" x14ac:dyDescent="0.3">
      <c r="A2" s="498" t="s">
        <v>202</v>
      </c>
      <c r="B2" s="1"/>
      <c r="C2" s="1"/>
      <c r="D2" s="1"/>
      <c r="E2" s="1"/>
      <c r="F2" s="1"/>
      <c r="G2" s="1"/>
      <c r="H2" s="1"/>
      <c r="I2" s="1"/>
    </row>
    <row r="3" spans="1:9" ht="17.399999999999999" x14ac:dyDescent="0.3">
      <c r="A3" s="1"/>
      <c r="B3" s="1"/>
      <c r="C3" s="1"/>
      <c r="D3" s="1"/>
      <c r="E3" s="1"/>
      <c r="F3" s="1"/>
      <c r="G3" s="1"/>
      <c r="H3" s="1"/>
      <c r="I3" s="1"/>
    </row>
    <row r="4" spans="1:9" ht="15.6" x14ac:dyDescent="0.3">
      <c r="A4" s="438" t="s">
        <v>497</v>
      </c>
      <c r="B4" s="438"/>
      <c r="C4" s="438"/>
      <c r="D4" s="438"/>
      <c r="E4" s="438"/>
      <c r="F4" s="438"/>
      <c r="G4" s="438"/>
      <c r="H4" s="438"/>
      <c r="I4" s="438"/>
    </row>
    <row r="5" spans="1:9" x14ac:dyDescent="0.3">
      <c r="A5" t="s">
        <v>203</v>
      </c>
      <c r="B5" t="s">
        <v>52</v>
      </c>
    </row>
    <row r="6" spans="1:9" x14ac:dyDescent="0.3">
      <c r="A6" t="s">
        <v>204</v>
      </c>
      <c r="B6" t="s">
        <v>205</v>
      </c>
    </row>
    <row r="7" spans="1:9" x14ac:dyDescent="0.3">
      <c r="A7" t="s">
        <v>206</v>
      </c>
      <c r="B7" t="s">
        <v>207</v>
      </c>
      <c r="D7" s="312"/>
    </row>
    <row r="9" spans="1:9" ht="45" customHeight="1" x14ac:dyDescent="0.3">
      <c r="A9" s="42" t="s">
        <v>209</v>
      </c>
      <c r="B9" s="42" t="s">
        <v>347</v>
      </c>
      <c r="C9" s="203" t="s">
        <v>469</v>
      </c>
      <c r="D9" s="203" t="s">
        <v>470</v>
      </c>
      <c r="E9" s="203" t="s">
        <v>498</v>
      </c>
      <c r="F9" s="203" t="s">
        <v>474</v>
      </c>
      <c r="G9" s="203" t="s">
        <v>499</v>
      </c>
      <c r="H9" s="203" t="s">
        <v>500</v>
      </c>
      <c r="I9" s="203" t="s">
        <v>501</v>
      </c>
    </row>
    <row r="10" spans="1:9" ht="21" customHeight="1" x14ac:dyDescent="0.3">
      <c r="A10" s="390" t="s">
        <v>214</v>
      </c>
      <c r="B10" s="45" t="s">
        <v>215</v>
      </c>
      <c r="C10" s="204">
        <f>AppliancesLAPivot!B4</f>
        <v>7</v>
      </c>
      <c r="D10" s="204">
        <f>AppliancesLAPivot!C4</f>
        <v>1</v>
      </c>
      <c r="E10" s="204">
        <f>AppliancesLAPivot!D4</f>
        <v>2</v>
      </c>
      <c r="F10" s="204">
        <f>AppliancesLAPivot!E4</f>
        <v>0</v>
      </c>
      <c r="G10" s="204">
        <f>AppliancesLAPivot!F4</f>
        <v>4</v>
      </c>
      <c r="H10" s="204">
        <f>AppliancesLAPivot!G4</f>
        <v>3</v>
      </c>
      <c r="I10" s="205">
        <f>AppliancesLAPivot!H4</f>
        <v>17</v>
      </c>
    </row>
    <row r="11" spans="1:9" x14ac:dyDescent="0.3">
      <c r="A11" s="89" t="s">
        <v>219</v>
      </c>
      <c r="B11" s="48" t="s">
        <v>220</v>
      </c>
      <c r="C11" s="204">
        <f>AppliancesLAPivot!B5</f>
        <v>31</v>
      </c>
      <c r="D11" s="204">
        <f>AppliancesLAPivot!C5</f>
        <v>0</v>
      </c>
      <c r="E11" s="204">
        <f>AppliancesLAPivot!D5</f>
        <v>0</v>
      </c>
      <c r="F11" s="204">
        <f>AppliancesLAPivot!E5</f>
        <v>0</v>
      </c>
      <c r="G11" s="204">
        <f>AppliancesLAPivot!F5</f>
        <v>6</v>
      </c>
      <c r="H11" s="204">
        <f>AppliancesLAPivot!G5</f>
        <v>1</v>
      </c>
      <c r="I11" s="205">
        <f>AppliancesLAPivot!H5</f>
        <v>38</v>
      </c>
    </row>
    <row r="12" spans="1:9" x14ac:dyDescent="0.3">
      <c r="A12" s="89" t="s">
        <v>223</v>
      </c>
      <c r="B12" s="48" t="s">
        <v>224</v>
      </c>
      <c r="C12" s="204">
        <f>AppliancesLAPivot!B6</f>
        <v>11</v>
      </c>
      <c r="D12" s="204">
        <f>AppliancesLAPivot!C6</f>
        <v>0</v>
      </c>
      <c r="E12" s="204">
        <f>AppliancesLAPivot!D6</f>
        <v>0</v>
      </c>
      <c r="F12" s="204">
        <f>AppliancesLAPivot!E6</f>
        <v>0</v>
      </c>
      <c r="G12" s="204">
        <f>AppliancesLAPivot!F6</f>
        <v>1</v>
      </c>
      <c r="H12" s="204">
        <f>AppliancesLAPivot!G6</f>
        <v>1</v>
      </c>
      <c r="I12" s="205">
        <f>AppliancesLAPivot!H6</f>
        <v>13</v>
      </c>
    </row>
    <row r="13" spans="1:9" x14ac:dyDescent="0.3">
      <c r="A13" s="89" t="s">
        <v>227</v>
      </c>
      <c r="B13" s="48" t="s">
        <v>228</v>
      </c>
      <c r="C13" s="204">
        <f>AppliancesLAPivot!B7</f>
        <v>3</v>
      </c>
      <c r="D13" s="204">
        <f>AppliancesLAPivot!C7</f>
        <v>0</v>
      </c>
      <c r="E13" s="204">
        <f>AppliancesLAPivot!D7</f>
        <v>0</v>
      </c>
      <c r="F13" s="204">
        <f>AppliancesLAPivot!E7</f>
        <v>0</v>
      </c>
      <c r="G13" s="204">
        <f>AppliancesLAPivot!F7</f>
        <v>1</v>
      </c>
      <c r="H13" s="204">
        <f>AppliancesLAPivot!G7</f>
        <v>0</v>
      </c>
      <c r="I13" s="205">
        <f>AppliancesLAPivot!H7</f>
        <v>4</v>
      </c>
    </row>
    <row r="14" spans="1:9" x14ac:dyDescent="0.3">
      <c r="A14" s="89" t="s">
        <v>233</v>
      </c>
      <c r="B14" s="48" t="s">
        <v>234</v>
      </c>
      <c r="C14" s="204">
        <f>AppliancesLAPivot!B8</f>
        <v>7</v>
      </c>
      <c r="D14" s="204">
        <f>AppliancesLAPivot!C8</f>
        <v>1</v>
      </c>
      <c r="E14" s="204">
        <f>AppliancesLAPivot!D8</f>
        <v>1</v>
      </c>
      <c r="F14" s="204">
        <f>AppliancesLAPivot!E8</f>
        <v>0</v>
      </c>
      <c r="G14" s="204">
        <f>AppliancesLAPivot!F8</f>
        <v>6</v>
      </c>
      <c r="H14" s="204">
        <f>AppliancesLAPivot!G8</f>
        <v>1</v>
      </c>
      <c r="I14" s="205">
        <f>AppliancesLAPivot!H8</f>
        <v>16</v>
      </c>
    </row>
    <row r="15" spans="1:9" x14ac:dyDescent="0.3">
      <c r="A15" s="89" t="s">
        <v>239</v>
      </c>
      <c r="B15" s="48" t="s">
        <v>240</v>
      </c>
      <c r="C15" s="204">
        <f>AppliancesLAPivot!B9</f>
        <v>10</v>
      </c>
      <c r="D15" s="204">
        <f>AppliancesLAPivot!C9</f>
        <v>1</v>
      </c>
      <c r="E15" s="204">
        <f>AppliancesLAPivot!D9</f>
        <v>0</v>
      </c>
      <c r="F15" s="204">
        <f>AppliancesLAPivot!E9</f>
        <v>0</v>
      </c>
      <c r="G15" s="204">
        <f>AppliancesLAPivot!F9</f>
        <v>0</v>
      </c>
      <c r="H15" s="204">
        <f>AppliancesLAPivot!G9</f>
        <v>1</v>
      </c>
      <c r="I15" s="205">
        <f>AppliancesLAPivot!H9</f>
        <v>12</v>
      </c>
    </row>
    <row r="16" spans="1:9" x14ac:dyDescent="0.3">
      <c r="A16" s="89" t="s">
        <v>243</v>
      </c>
      <c r="B16" s="48" t="s">
        <v>244</v>
      </c>
      <c r="C16" s="204">
        <f>AppliancesLAPivot!B10</f>
        <v>3</v>
      </c>
      <c r="D16" s="204">
        <f>AppliancesLAPivot!C10</f>
        <v>0</v>
      </c>
      <c r="E16" s="204">
        <f>AppliancesLAPivot!D10</f>
        <v>0</v>
      </c>
      <c r="F16" s="204">
        <f>AppliancesLAPivot!E10</f>
        <v>0</v>
      </c>
      <c r="G16" s="204">
        <f>AppliancesLAPivot!F10</f>
        <v>1</v>
      </c>
      <c r="H16" s="204">
        <f>AppliancesLAPivot!G10</f>
        <v>1</v>
      </c>
      <c r="I16" s="205">
        <f>AppliancesLAPivot!H10</f>
        <v>5</v>
      </c>
    </row>
    <row r="17" spans="1:9" x14ac:dyDescent="0.3">
      <c r="A17" s="89" t="s">
        <v>246</v>
      </c>
      <c r="B17" s="48" t="s">
        <v>247</v>
      </c>
      <c r="C17" s="204">
        <f>AppliancesLAPivot!B11</f>
        <v>8</v>
      </c>
      <c r="D17" s="204">
        <f>AppliancesLAPivot!C11</f>
        <v>0</v>
      </c>
      <c r="E17" s="204">
        <f>AppliancesLAPivot!D11</f>
        <v>0</v>
      </c>
      <c r="F17" s="204">
        <f>AppliancesLAPivot!E11</f>
        <v>0</v>
      </c>
      <c r="G17" s="204">
        <f>AppliancesLAPivot!F11</f>
        <v>2</v>
      </c>
      <c r="H17" s="204">
        <f>AppliancesLAPivot!G11</f>
        <v>0</v>
      </c>
      <c r="I17" s="205">
        <f>AppliancesLAPivot!H11</f>
        <v>10</v>
      </c>
    </row>
    <row r="18" spans="1:9" x14ac:dyDescent="0.3">
      <c r="A18" s="89" t="s">
        <v>248</v>
      </c>
      <c r="B18" s="48" t="s">
        <v>249</v>
      </c>
      <c r="C18" s="204">
        <f>AppliancesLAPivot!B12</f>
        <v>2</v>
      </c>
      <c r="D18" s="204">
        <f>AppliancesLAPivot!C12</f>
        <v>0</v>
      </c>
      <c r="E18" s="204">
        <f>AppliancesLAPivot!D12</f>
        <v>0</v>
      </c>
      <c r="F18" s="204">
        <f>AppliancesLAPivot!E12</f>
        <v>0</v>
      </c>
      <c r="G18" s="204">
        <f>AppliancesLAPivot!F12</f>
        <v>0</v>
      </c>
      <c r="H18" s="204">
        <f>AppliancesLAPivot!G12</f>
        <v>0</v>
      </c>
      <c r="I18" s="205">
        <f>AppliancesLAPivot!H12</f>
        <v>2</v>
      </c>
    </row>
    <row r="19" spans="1:9" x14ac:dyDescent="0.3">
      <c r="A19" s="89" t="s">
        <v>252</v>
      </c>
      <c r="B19" s="48" t="s">
        <v>253</v>
      </c>
      <c r="C19" s="204">
        <f>AppliancesLAPivot!B13</f>
        <v>9</v>
      </c>
      <c r="D19" s="204">
        <f>AppliancesLAPivot!C13</f>
        <v>1</v>
      </c>
      <c r="E19" s="204">
        <f>AppliancesLAPivot!D13</f>
        <v>0</v>
      </c>
      <c r="F19" s="204">
        <f>AppliancesLAPivot!E13</f>
        <v>0</v>
      </c>
      <c r="G19" s="204">
        <f>AppliancesLAPivot!F13</f>
        <v>3</v>
      </c>
      <c r="H19" s="204">
        <f>AppliancesLAPivot!G13</f>
        <v>1</v>
      </c>
      <c r="I19" s="205">
        <f>AppliancesLAPivot!H13</f>
        <v>14</v>
      </c>
    </row>
    <row r="20" spans="1:9" x14ac:dyDescent="0.3">
      <c r="A20" s="89" t="s">
        <v>254</v>
      </c>
      <c r="B20" s="48" t="s">
        <v>255</v>
      </c>
      <c r="C20" s="204">
        <f>AppliancesLAPivot!B14</f>
        <v>18</v>
      </c>
      <c r="D20" s="204">
        <f>AppliancesLAPivot!C14</f>
        <v>1</v>
      </c>
      <c r="E20" s="204">
        <f>AppliancesLAPivot!D14</f>
        <v>2</v>
      </c>
      <c r="F20" s="204">
        <f>AppliancesLAPivot!E14</f>
        <v>0</v>
      </c>
      <c r="G20" s="204">
        <f>AppliancesLAPivot!F14</f>
        <v>2</v>
      </c>
      <c r="H20" s="204">
        <f>AppliancesLAPivot!G14</f>
        <v>0</v>
      </c>
      <c r="I20" s="205">
        <f>AppliancesLAPivot!H14</f>
        <v>23</v>
      </c>
    </row>
    <row r="21" spans="1:9" x14ac:dyDescent="0.3">
      <c r="A21" s="89" t="s">
        <v>258</v>
      </c>
      <c r="B21" s="48" t="s">
        <v>259</v>
      </c>
      <c r="C21" s="204">
        <f>AppliancesLAPivot!B15</f>
        <v>17</v>
      </c>
      <c r="D21" s="204">
        <f>AppliancesLAPivot!C15</f>
        <v>2</v>
      </c>
      <c r="E21" s="204">
        <f>AppliancesLAPivot!D15</f>
        <v>3</v>
      </c>
      <c r="F21" s="204">
        <f>AppliancesLAPivot!E15</f>
        <v>0</v>
      </c>
      <c r="G21" s="204">
        <f>AppliancesLAPivot!F15</f>
        <v>4</v>
      </c>
      <c r="H21" s="204">
        <f>AppliancesLAPivot!G15</f>
        <v>0</v>
      </c>
      <c r="I21" s="205">
        <f>AppliancesLAPivot!H15</f>
        <v>26</v>
      </c>
    </row>
    <row r="22" spans="1:9" x14ac:dyDescent="0.3">
      <c r="A22" s="89" t="s">
        <v>262</v>
      </c>
      <c r="B22" s="48" t="s">
        <v>263</v>
      </c>
      <c r="C22" s="204">
        <f>AppliancesLAPivot!B16</f>
        <v>63</v>
      </c>
      <c r="D22" s="204">
        <f>AppliancesLAPivot!C16</f>
        <v>1</v>
      </c>
      <c r="E22" s="204">
        <f>AppliancesLAPivot!D16</f>
        <v>3</v>
      </c>
      <c r="F22" s="204">
        <f>AppliancesLAPivot!E16</f>
        <v>5</v>
      </c>
      <c r="G22" s="204">
        <f>AppliancesLAPivot!F16</f>
        <v>6</v>
      </c>
      <c r="H22" s="204">
        <f>AppliancesLAPivot!G16</f>
        <v>1</v>
      </c>
      <c r="I22" s="205">
        <f>AppliancesLAPivot!H16</f>
        <v>79</v>
      </c>
    </row>
    <row r="23" spans="1:9" x14ac:dyDescent="0.3">
      <c r="A23" s="89" t="s">
        <v>266</v>
      </c>
      <c r="B23" s="48" t="s">
        <v>267</v>
      </c>
      <c r="C23" s="204">
        <f>AppliancesLAPivot!B17</f>
        <v>6</v>
      </c>
      <c r="D23" s="204">
        <f>AppliancesLAPivot!C17</f>
        <v>1</v>
      </c>
      <c r="E23" s="204">
        <f>AppliancesLAPivot!D17</f>
        <v>0</v>
      </c>
      <c r="F23" s="204">
        <f>AppliancesLAPivot!E17</f>
        <v>0</v>
      </c>
      <c r="G23" s="204">
        <f>AppliancesLAPivot!F17</f>
        <v>0</v>
      </c>
      <c r="H23" s="204">
        <f>AppliancesLAPivot!G17</f>
        <v>0</v>
      </c>
      <c r="I23" s="205">
        <f>AppliancesLAPivot!H17</f>
        <v>7</v>
      </c>
    </row>
    <row r="24" spans="1:9" x14ac:dyDescent="0.3">
      <c r="A24" s="89" t="str">
        <f>IF(D7 = "2019-20","S12000049","S12000046")</f>
        <v>S12000046</v>
      </c>
      <c r="B24" s="48" t="s">
        <v>270</v>
      </c>
      <c r="C24" s="204">
        <f>AppliancesLAPivot!B18</f>
        <v>2</v>
      </c>
      <c r="D24" s="204">
        <f>AppliancesLAPivot!C18</f>
        <v>0</v>
      </c>
      <c r="E24" s="204">
        <f>AppliancesLAPivot!D18</f>
        <v>0</v>
      </c>
      <c r="F24" s="204">
        <f>AppliancesLAPivot!E18</f>
        <v>0</v>
      </c>
      <c r="G24" s="204">
        <f>AppliancesLAPivot!F18</f>
        <v>1</v>
      </c>
      <c r="H24" s="204">
        <f>AppliancesLAPivot!G18</f>
        <v>0</v>
      </c>
      <c r="I24" s="205">
        <f>AppliancesLAPivot!H18</f>
        <v>3</v>
      </c>
    </row>
    <row r="25" spans="1:9" x14ac:dyDescent="0.3">
      <c r="A25" s="89" t="s">
        <v>272</v>
      </c>
      <c r="B25" s="48" t="s">
        <v>273</v>
      </c>
      <c r="C25" s="204">
        <f>AppliancesLAPivot!B19</f>
        <v>13</v>
      </c>
      <c r="D25" s="204">
        <f>AppliancesLAPivot!C19</f>
        <v>0</v>
      </c>
      <c r="E25" s="204">
        <f>AppliancesLAPivot!D19</f>
        <v>1</v>
      </c>
      <c r="F25" s="204">
        <f>AppliancesLAPivot!E19</f>
        <v>2</v>
      </c>
      <c r="G25" s="204">
        <f>AppliancesLAPivot!F19</f>
        <v>5</v>
      </c>
      <c r="H25" s="204">
        <f>AppliancesLAPivot!G19</f>
        <v>1</v>
      </c>
      <c r="I25" s="205">
        <f>AppliancesLAPivot!H19</f>
        <v>22</v>
      </c>
    </row>
    <row r="26" spans="1:9" x14ac:dyDescent="0.3">
      <c r="A26" s="89" t="s">
        <v>276</v>
      </c>
      <c r="B26" s="48" t="s">
        <v>277</v>
      </c>
      <c r="C26" s="204">
        <f>AppliancesLAPivot!B20</f>
        <v>16</v>
      </c>
      <c r="D26" s="204">
        <f>AppliancesLAPivot!C20</f>
        <v>0</v>
      </c>
      <c r="E26" s="204">
        <f>AppliancesLAPivot!D20</f>
        <v>0</v>
      </c>
      <c r="F26" s="204">
        <f>AppliancesLAPivot!E20</f>
        <v>0</v>
      </c>
      <c r="G26" s="204">
        <f>AppliancesLAPivot!F20</f>
        <v>3</v>
      </c>
      <c r="H26" s="204">
        <f>AppliancesLAPivot!G20</f>
        <v>0</v>
      </c>
      <c r="I26" s="205">
        <f>AppliancesLAPivot!H20</f>
        <v>19</v>
      </c>
    </row>
    <row r="27" spans="1:9" x14ac:dyDescent="0.3">
      <c r="A27" s="89" t="s">
        <v>278</v>
      </c>
      <c r="B27" s="48" t="s">
        <v>279</v>
      </c>
      <c r="C27" s="204">
        <f>AppliancesLAPivot!B21</f>
        <v>15</v>
      </c>
      <c r="D27" s="204">
        <f>AppliancesLAPivot!C21</f>
        <v>0</v>
      </c>
      <c r="E27" s="204">
        <f>AppliancesLAPivot!D21</f>
        <v>0</v>
      </c>
      <c r="F27" s="204">
        <f>AppliancesLAPivot!E21</f>
        <v>2</v>
      </c>
      <c r="G27" s="204">
        <f>AppliancesLAPivot!F21</f>
        <v>3</v>
      </c>
      <c r="H27" s="204">
        <f>AppliancesLAPivot!G21</f>
        <v>0</v>
      </c>
      <c r="I27" s="205">
        <f>AppliancesLAPivot!H21</f>
        <v>20</v>
      </c>
    </row>
    <row r="28" spans="1:9" x14ac:dyDescent="0.3">
      <c r="A28" s="89" t="s">
        <v>280</v>
      </c>
      <c r="B28" s="48" t="s">
        <v>281</v>
      </c>
      <c r="C28" s="204">
        <f>AppliancesLAPivot!B22</f>
        <v>10</v>
      </c>
      <c r="D28" s="204">
        <f>AppliancesLAPivot!C22</f>
        <v>1</v>
      </c>
      <c r="E28" s="204">
        <f>AppliancesLAPivot!D22</f>
        <v>1</v>
      </c>
      <c r="F28" s="204">
        <f>AppliancesLAPivot!E22</f>
        <v>0</v>
      </c>
      <c r="G28" s="204">
        <f>AppliancesLAPivot!F22</f>
        <v>4</v>
      </c>
      <c r="H28" s="204">
        <f>AppliancesLAPivot!G22</f>
        <v>1</v>
      </c>
      <c r="I28" s="205">
        <f>AppliancesLAPivot!H22</f>
        <v>17</v>
      </c>
    </row>
    <row r="29" spans="1:9" x14ac:dyDescent="0.3">
      <c r="A29" s="89" t="s">
        <v>282</v>
      </c>
      <c r="B29" s="48" t="s">
        <v>283</v>
      </c>
      <c r="C29" s="204">
        <f>AppliancesLAPivot!B23</f>
        <v>13</v>
      </c>
      <c r="D29" s="204">
        <f>AppliancesLAPivot!C23</f>
        <v>0</v>
      </c>
      <c r="E29" s="204">
        <f>AppliancesLAPivot!D23</f>
        <v>0</v>
      </c>
      <c r="F29" s="204">
        <f>AppliancesLAPivot!E23</f>
        <v>1</v>
      </c>
      <c r="G29" s="204">
        <f>AppliancesLAPivot!F23</f>
        <v>0</v>
      </c>
      <c r="H29" s="204">
        <f>AppliancesLAPivot!G23</f>
        <v>0</v>
      </c>
      <c r="I29" s="205">
        <f>AppliancesLAPivot!H23</f>
        <v>14</v>
      </c>
    </row>
    <row r="30" spans="1:9" x14ac:dyDescent="0.3">
      <c r="A30" s="89" t="s">
        <v>286</v>
      </c>
      <c r="B30" s="48" t="s">
        <v>287</v>
      </c>
      <c r="C30" s="204">
        <f>AppliancesLAPivot!B24</f>
        <v>5</v>
      </c>
      <c r="D30" s="204">
        <f>AppliancesLAPivot!C24</f>
        <v>1</v>
      </c>
      <c r="E30" s="204">
        <f>AppliancesLAPivot!D24</f>
        <v>0</v>
      </c>
      <c r="F30" s="204">
        <f>AppliancesLAPivot!E24</f>
        <v>0</v>
      </c>
      <c r="G30" s="204">
        <f>AppliancesLAPivot!F24</f>
        <v>4</v>
      </c>
      <c r="H30" s="204">
        <f>AppliancesLAPivot!G24</f>
        <v>0</v>
      </c>
      <c r="I30" s="205">
        <f>AppliancesLAPivot!H24</f>
        <v>10</v>
      </c>
    </row>
    <row r="31" spans="1:9" x14ac:dyDescent="0.3">
      <c r="A31" s="89" t="str">
        <f>IF(D7="2019-20","S12000050","S12000044")</f>
        <v>S12000044</v>
      </c>
      <c r="B31" s="48" t="s">
        <v>289</v>
      </c>
      <c r="C31" s="204">
        <f>AppliancesLAPivot!B25</f>
        <v>17</v>
      </c>
      <c r="D31" s="204">
        <f>AppliancesLAPivot!C25</f>
        <v>0</v>
      </c>
      <c r="E31" s="204">
        <f>AppliancesLAPivot!D25</f>
        <v>2</v>
      </c>
      <c r="F31" s="204">
        <f>AppliancesLAPivot!E25</f>
        <v>0</v>
      </c>
      <c r="G31" s="204">
        <f>AppliancesLAPivot!F25</f>
        <v>2</v>
      </c>
      <c r="H31" s="204">
        <f>AppliancesLAPivot!G25</f>
        <v>0</v>
      </c>
      <c r="I31" s="205">
        <f>AppliancesLAPivot!H25</f>
        <v>21</v>
      </c>
    </row>
    <row r="32" spans="1:9" x14ac:dyDescent="0.3">
      <c r="A32" s="89" t="s">
        <v>291</v>
      </c>
      <c r="B32" s="48" t="s">
        <v>292</v>
      </c>
      <c r="C32" s="204">
        <f>AppliancesLAPivot!B26</f>
        <v>16</v>
      </c>
      <c r="D32" s="204">
        <f>AppliancesLAPivot!C26</f>
        <v>0</v>
      </c>
      <c r="E32" s="204">
        <f>AppliancesLAPivot!D26</f>
        <v>0</v>
      </c>
      <c r="F32" s="204">
        <f>AppliancesLAPivot!E26</f>
        <v>1</v>
      </c>
      <c r="G32" s="204">
        <f>AppliancesLAPivot!F26</f>
        <v>1</v>
      </c>
      <c r="H32" s="204">
        <f>AppliancesLAPivot!G26</f>
        <v>0</v>
      </c>
      <c r="I32" s="205">
        <f>AppliancesLAPivot!H26</f>
        <v>18</v>
      </c>
    </row>
    <row r="33" spans="1:14" x14ac:dyDescent="0.3">
      <c r="A33" s="89" t="s">
        <v>293</v>
      </c>
      <c r="B33" s="48" t="s">
        <v>294</v>
      </c>
      <c r="C33" s="204">
        <f>AppliancesLAPivot!B27</f>
        <v>8</v>
      </c>
      <c r="D33" s="204">
        <f>AppliancesLAPivot!C27</f>
        <v>0</v>
      </c>
      <c r="E33" s="204">
        <f>AppliancesLAPivot!D27</f>
        <v>1</v>
      </c>
      <c r="F33" s="204">
        <f>AppliancesLAPivot!E27</f>
        <v>0</v>
      </c>
      <c r="G33" s="204">
        <f>AppliancesLAPivot!F27</f>
        <v>0</v>
      </c>
      <c r="H33" s="204">
        <f>AppliancesLAPivot!G27</f>
        <v>0</v>
      </c>
      <c r="I33" s="205">
        <f>AppliancesLAPivot!H27</f>
        <v>9</v>
      </c>
    </row>
    <row r="34" spans="1:14" x14ac:dyDescent="0.3">
      <c r="A34" s="89" t="s">
        <v>295</v>
      </c>
      <c r="B34" s="48" t="s">
        <v>296</v>
      </c>
      <c r="C34" s="204">
        <f>AppliancesLAPivot!B28</f>
        <v>15</v>
      </c>
      <c r="D34" s="204">
        <f>AppliancesLAPivot!C28</f>
        <v>0</v>
      </c>
      <c r="E34" s="204">
        <f>AppliancesLAPivot!D28</f>
        <v>2</v>
      </c>
      <c r="F34" s="204">
        <f>AppliancesLAPivot!E28</f>
        <v>0</v>
      </c>
      <c r="G34" s="204">
        <f>AppliancesLAPivot!F28</f>
        <v>3</v>
      </c>
      <c r="H34" s="204">
        <f>AppliancesLAPivot!G28</f>
        <v>1</v>
      </c>
      <c r="I34" s="205">
        <f>AppliancesLAPivot!H28</f>
        <v>21</v>
      </c>
    </row>
    <row r="35" spans="1:14" x14ac:dyDescent="0.3">
      <c r="A35" s="89" t="s">
        <v>297</v>
      </c>
      <c r="B35" s="48" t="s">
        <v>298</v>
      </c>
      <c r="C35" s="204">
        <f>AppliancesLAPivot!B29</f>
        <v>9</v>
      </c>
      <c r="D35" s="204">
        <f>AppliancesLAPivot!C29</f>
        <v>0</v>
      </c>
      <c r="E35" s="204">
        <f>AppliancesLAPivot!D29</f>
        <v>1</v>
      </c>
      <c r="F35" s="204">
        <f>AppliancesLAPivot!E29</f>
        <v>1</v>
      </c>
      <c r="G35" s="204">
        <f>AppliancesLAPivot!F29</f>
        <v>4</v>
      </c>
      <c r="H35" s="204">
        <f>AppliancesLAPivot!G29</f>
        <v>0</v>
      </c>
      <c r="I35" s="205">
        <f>AppliancesLAPivot!H29</f>
        <v>15</v>
      </c>
    </row>
    <row r="36" spans="1:14" x14ac:dyDescent="0.3">
      <c r="A36" s="89" t="s">
        <v>299</v>
      </c>
      <c r="B36" s="48" t="s">
        <v>300</v>
      </c>
      <c r="C36" s="204">
        <f>AppliancesLAPivot!B30</f>
        <v>5</v>
      </c>
      <c r="D36" s="204">
        <f>AppliancesLAPivot!C30</f>
        <v>0</v>
      </c>
      <c r="E36" s="204">
        <f>AppliancesLAPivot!D30</f>
        <v>0</v>
      </c>
      <c r="F36" s="204">
        <f>AppliancesLAPivot!E30</f>
        <v>0</v>
      </c>
      <c r="G36" s="204">
        <f>AppliancesLAPivot!F30</f>
        <v>3</v>
      </c>
      <c r="H36" s="204">
        <f>AppliancesLAPivot!G30</f>
        <v>1</v>
      </c>
      <c r="I36" s="205">
        <f>AppliancesLAPivot!H30</f>
        <v>9</v>
      </c>
    </row>
    <row r="37" spans="1:14" x14ac:dyDescent="0.3">
      <c r="A37" s="89" t="s">
        <v>301</v>
      </c>
      <c r="B37" s="48" t="s">
        <v>302</v>
      </c>
      <c r="C37" s="204">
        <f>AppliancesLAPivot!B31</f>
        <v>8</v>
      </c>
      <c r="D37" s="204">
        <f>AppliancesLAPivot!C31</f>
        <v>0</v>
      </c>
      <c r="E37" s="204">
        <f>AppliancesLAPivot!D31</f>
        <v>1</v>
      </c>
      <c r="F37" s="204">
        <f>AppliancesLAPivot!E31</f>
        <v>0</v>
      </c>
      <c r="G37" s="204">
        <f>AppliancesLAPivot!F31</f>
        <v>2</v>
      </c>
      <c r="H37" s="204">
        <f>AppliancesLAPivot!G31</f>
        <v>0</v>
      </c>
      <c r="I37" s="205">
        <f>AppliancesLAPivot!H31</f>
        <v>11</v>
      </c>
    </row>
    <row r="38" spans="1:14" x14ac:dyDescent="0.3">
      <c r="A38" s="89" t="s">
        <v>303</v>
      </c>
      <c r="B38" s="48" t="s">
        <v>304</v>
      </c>
      <c r="C38" s="204">
        <f>AppliancesLAPivot!B32</f>
        <v>73</v>
      </c>
      <c r="D38" s="204">
        <f>AppliancesLAPivot!C32</f>
        <v>5</v>
      </c>
      <c r="E38" s="204">
        <f>AppliancesLAPivot!D32</f>
        <v>8</v>
      </c>
      <c r="F38" s="204">
        <f>AppliancesLAPivot!E32</f>
        <v>22</v>
      </c>
      <c r="G38" s="204">
        <f>AppliancesLAPivot!F32</f>
        <v>11</v>
      </c>
      <c r="H38" s="204">
        <f>AppliancesLAPivot!G32</f>
        <v>3</v>
      </c>
      <c r="I38" s="205">
        <f>AppliancesLAPivot!H32</f>
        <v>122</v>
      </c>
    </row>
    <row r="39" spans="1:14" x14ac:dyDescent="0.3">
      <c r="A39" s="89" t="s">
        <v>306</v>
      </c>
      <c r="B39" s="48" t="s">
        <v>307</v>
      </c>
      <c r="C39" s="204">
        <f>AppliancesLAPivot!B33</f>
        <v>420</v>
      </c>
      <c r="D39" s="204">
        <f>AppliancesLAPivot!C33</f>
        <v>16</v>
      </c>
      <c r="E39" s="204">
        <f>AppliancesLAPivot!D33</f>
        <v>28</v>
      </c>
      <c r="F39" s="204">
        <f>AppliancesLAPivot!E33</f>
        <v>34</v>
      </c>
      <c r="G39" s="204">
        <f>AppliancesLAPivot!F33</f>
        <v>82</v>
      </c>
      <c r="H39" s="204">
        <f>AppliancesLAPivot!G33</f>
        <v>17</v>
      </c>
      <c r="I39" s="205">
        <f>AppliancesLAPivot!H33</f>
        <v>597</v>
      </c>
    </row>
    <row r="40" spans="1:14" x14ac:dyDescent="0.3">
      <c r="A40" s="89" t="s">
        <v>308</v>
      </c>
      <c r="B40" s="48" t="s">
        <v>309</v>
      </c>
      <c r="C40" s="204">
        <f>AppliancesLAPivot!B34</f>
        <v>0</v>
      </c>
      <c r="D40" s="204">
        <f>AppliancesLAPivot!C34</f>
        <v>0</v>
      </c>
      <c r="E40" s="204">
        <f>AppliancesLAPivot!D34</f>
        <v>0</v>
      </c>
      <c r="F40" s="204">
        <f>AppliancesLAPivot!E34</f>
        <v>0</v>
      </c>
      <c r="G40" s="204">
        <f>AppliancesLAPivot!F34</f>
        <v>0</v>
      </c>
      <c r="H40" s="204">
        <f>AppliancesLAPivot!G34</f>
        <v>0</v>
      </c>
      <c r="I40" s="205">
        <f>AppliancesLAPivot!H34</f>
        <v>0</v>
      </c>
    </row>
    <row r="41" spans="1:14" x14ac:dyDescent="0.3">
      <c r="A41" s="89" t="s">
        <v>310</v>
      </c>
      <c r="B41" s="48" t="s">
        <v>311</v>
      </c>
      <c r="C41" s="204">
        <f>AppliancesLAPivot!B35</f>
        <v>0</v>
      </c>
      <c r="D41" s="204">
        <f>AppliancesLAPivot!C35</f>
        <v>0</v>
      </c>
      <c r="E41" s="204">
        <f>AppliancesLAPivot!D35</f>
        <v>0</v>
      </c>
      <c r="F41" s="204">
        <f>AppliancesLAPivot!E35</f>
        <v>0</v>
      </c>
      <c r="G41" s="204">
        <f>AppliancesLAPivot!F35</f>
        <v>0</v>
      </c>
      <c r="H41" s="204">
        <f>AppliancesLAPivot!G35</f>
        <v>0</v>
      </c>
      <c r="I41" s="205">
        <f>AppliancesLAPivot!H35</f>
        <v>0</v>
      </c>
    </row>
    <row r="42" spans="1:14" ht="24.75" customHeight="1" thickBot="1" x14ac:dyDescent="0.35">
      <c r="A42" s="206"/>
      <c r="B42" s="206" t="s">
        <v>502</v>
      </c>
      <c r="C42" s="324">
        <f t="shared" ref="C42:H42" si="0">SUM(C10:C41)</f>
        <v>840</v>
      </c>
      <c r="D42" s="324">
        <f t="shared" si="0"/>
        <v>32</v>
      </c>
      <c r="E42" s="324">
        <f t="shared" si="0"/>
        <v>56</v>
      </c>
      <c r="F42" s="324">
        <f t="shared" si="0"/>
        <v>68</v>
      </c>
      <c r="G42" s="324">
        <f t="shared" si="0"/>
        <v>164</v>
      </c>
      <c r="H42" s="324">
        <f t="shared" si="0"/>
        <v>34</v>
      </c>
      <c r="I42" s="324">
        <f>SUM(I10:I41)</f>
        <v>1194</v>
      </c>
    </row>
    <row r="43" spans="1:14" x14ac:dyDescent="0.3">
      <c r="B43" s="6"/>
      <c r="C43" s="207"/>
      <c r="D43" s="207"/>
      <c r="E43" s="207"/>
      <c r="F43" s="207"/>
      <c r="G43" s="207"/>
      <c r="H43" s="207"/>
      <c r="I43" s="85"/>
    </row>
    <row r="44" spans="1:14" x14ac:dyDescent="0.3">
      <c r="A44" s="312" t="s">
        <v>329</v>
      </c>
      <c r="I44" s="131"/>
    </row>
    <row r="45" spans="1:14" ht="30.75" customHeight="1" x14ac:dyDescent="0.3">
      <c r="A45" s="1029" t="s">
        <v>503</v>
      </c>
      <c r="B45" s="1029"/>
      <c r="C45" s="1029"/>
      <c r="D45" s="1029"/>
      <c r="E45" s="1029"/>
      <c r="F45" s="1029"/>
      <c r="G45" s="1029"/>
      <c r="H45" s="1029"/>
      <c r="I45" s="1029"/>
      <c r="J45" s="459"/>
      <c r="K45" s="459"/>
      <c r="L45" s="459"/>
      <c r="M45" s="459"/>
      <c r="N45" s="459"/>
    </row>
    <row r="46" spans="1:14" x14ac:dyDescent="0.3">
      <c r="A46" t="s">
        <v>504</v>
      </c>
    </row>
  </sheetData>
  <sheetProtection algorithmName="SHA-512" hashValue="eqnOaYpnJ/ZOxEXm5y85QiUmwvAnPK6Dxy+Llv9fTIeYy1x8+gBqnZTVqL/RAlDUxAViJNR0dEcYKDQyaCImgg==" saltValue="Sb4MJLUEfEPZ6GvelLR+6Q==" spinCount="100000" sheet="1" scenarios="1" formatCells="0" sort="0" autoFilter="0" pivotTables="0"/>
  <mergeCells count="2">
    <mergeCell ref="A1:I1"/>
    <mergeCell ref="A45:I45"/>
  </mergeCells>
  <hyperlinks>
    <hyperlink ref="A2" location="'Table of Contents'!A1" display="Back to Table of Contents" xr:uid="{00000000-0004-0000-1800-000000000000}"/>
  </hyperlinks>
  <pageMargins left="0.70866141732283472" right="0.70866141732283472" top="0.74803149606299213" bottom="0.74803149606299213" header="0.31496062992125984" footer="0.31496062992125984"/>
  <pageSetup paperSize="9" scale="68" fitToHeight="0" orientation="portrait" r:id="rId1"/>
  <colBreaks count="1" manualBreakCount="1">
    <brk id="7" max="1048575" man="1"/>
  </colBreaks>
  <drawing r:id="rId2"/>
  <extLst>
    <ext xmlns:x14="http://schemas.microsoft.com/office/spreadsheetml/2009/9/main" uri="{A8765BA9-456A-4dab-B4F3-ACF838C121DE}">
      <x14:slicerList>
        <x14:slicer r:id="rId3"/>
      </x14:slicerList>
    </ext>
  </extLst>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082C9B3-8AB9-4608-9723-3D96134EF9F3}">
  <dimension ref="A1:G38"/>
  <sheetViews>
    <sheetView workbookViewId="0">
      <selection activeCell="C12" sqref="C12"/>
    </sheetView>
  </sheetViews>
  <sheetFormatPr defaultRowHeight="14.4" x14ac:dyDescent="0.3"/>
  <cols>
    <col min="1" max="1" width="12.77734375" bestFit="1" customWidth="1"/>
    <col min="2" max="2" width="28.88671875" bestFit="1" customWidth="1"/>
    <col min="3" max="3" width="26.77734375" bestFit="1" customWidth="1"/>
    <col min="4" max="4" width="18.5546875" bestFit="1" customWidth="1"/>
    <col min="5" max="5" width="13.88671875" bestFit="1" customWidth="1"/>
    <col min="6" max="6" width="14.33203125" bestFit="1" customWidth="1"/>
    <col min="7" max="7" width="16.21875" bestFit="1" customWidth="1"/>
  </cols>
  <sheetData>
    <row r="1" spans="1:7" x14ac:dyDescent="0.3">
      <c r="A1" s="386" t="s">
        <v>350</v>
      </c>
      <c r="B1" t="s">
        <v>505</v>
      </c>
      <c r="C1" t="s">
        <v>506</v>
      </c>
      <c r="D1" t="s">
        <v>507</v>
      </c>
      <c r="E1" t="s">
        <v>508</v>
      </c>
      <c r="F1" t="s">
        <v>509</v>
      </c>
      <c r="G1" t="s">
        <v>355</v>
      </c>
    </row>
    <row r="2" spans="1:7" x14ac:dyDescent="0.3">
      <c r="A2" s="387" t="s">
        <v>510</v>
      </c>
      <c r="B2">
        <v>4206</v>
      </c>
      <c r="C2">
        <v>3066</v>
      </c>
      <c r="E2">
        <v>233</v>
      </c>
      <c r="F2">
        <v>1114</v>
      </c>
      <c r="G2">
        <v>437</v>
      </c>
    </row>
    <row r="3" spans="1:7" x14ac:dyDescent="0.3">
      <c r="A3" s="387" t="s">
        <v>362</v>
      </c>
      <c r="B3">
        <v>4159</v>
      </c>
      <c r="C3">
        <v>3052</v>
      </c>
      <c r="E3">
        <v>234</v>
      </c>
      <c r="F3">
        <v>1136</v>
      </c>
      <c r="G3">
        <v>459</v>
      </c>
    </row>
    <row r="4" spans="1:7" x14ac:dyDescent="0.3">
      <c r="A4" s="387" t="s">
        <v>363</v>
      </c>
      <c r="B4">
        <v>4151</v>
      </c>
      <c r="C4">
        <v>3076</v>
      </c>
      <c r="E4">
        <v>234</v>
      </c>
      <c r="F4">
        <v>1086</v>
      </c>
      <c r="G4">
        <v>417</v>
      </c>
    </row>
    <row r="5" spans="1:7" x14ac:dyDescent="0.3">
      <c r="A5" s="387" t="s">
        <v>364</v>
      </c>
      <c r="B5">
        <v>4001</v>
      </c>
      <c r="C5">
        <v>2940</v>
      </c>
      <c r="E5">
        <v>223</v>
      </c>
      <c r="F5">
        <v>961</v>
      </c>
      <c r="G5">
        <v>359</v>
      </c>
    </row>
    <row r="6" spans="1:7" x14ac:dyDescent="0.3">
      <c r="A6" s="387" t="s">
        <v>365</v>
      </c>
      <c r="B6">
        <v>3856</v>
      </c>
      <c r="C6">
        <v>2950</v>
      </c>
      <c r="E6">
        <v>230</v>
      </c>
      <c r="F6">
        <v>867</v>
      </c>
      <c r="G6">
        <v>382</v>
      </c>
    </row>
    <row r="7" spans="1:7" x14ac:dyDescent="0.3">
      <c r="A7" s="387" t="s">
        <v>366</v>
      </c>
      <c r="B7">
        <v>3690</v>
      </c>
      <c r="C7">
        <v>2870</v>
      </c>
      <c r="E7">
        <v>203</v>
      </c>
      <c r="F7">
        <v>828</v>
      </c>
      <c r="G7">
        <v>342</v>
      </c>
    </row>
    <row r="8" spans="1:7" x14ac:dyDescent="0.3">
      <c r="A8" s="387" t="s">
        <v>341</v>
      </c>
      <c r="B8">
        <v>3645</v>
      </c>
      <c r="C8">
        <v>2870</v>
      </c>
      <c r="E8">
        <v>165</v>
      </c>
      <c r="F8">
        <v>838</v>
      </c>
      <c r="G8">
        <v>320</v>
      </c>
    </row>
    <row r="9" spans="1:7" x14ac:dyDescent="0.3">
      <c r="A9" s="387" t="s">
        <v>342</v>
      </c>
      <c r="B9">
        <v>3546</v>
      </c>
      <c r="C9">
        <v>2863</v>
      </c>
      <c r="E9">
        <v>189</v>
      </c>
      <c r="F9">
        <v>846</v>
      </c>
      <c r="G9">
        <v>336</v>
      </c>
    </row>
    <row r="10" spans="1:7" x14ac:dyDescent="0.3">
      <c r="A10" s="387" t="s">
        <v>213</v>
      </c>
      <c r="B10">
        <v>3637</v>
      </c>
      <c r="C10">
        <v>2935</v>
      </c>
      <c r="D10">
        <v>18</v>
      </c>
      <c r="E10">
        <v>207</v>
      </c>
      <c r="F10">
        <v>792</v>
      </c>
      <c r="G10">
        <v>321</v>
      </c>
    </row>
    <row r="11" spans="1:7" x14ac:dyDescent="0.3">
      <c r="A11" s="387" t="s">
        <v>312</v>
      </c>
      <c r="B11">
        <v>3636</v>
      </c>
      <c r="C11">
        <v>2937</v>
      </c>
      <c r="D11">
        <v>36</v>
      </c>
      <c r="E11">
        <v>188</v>
      </c>
      <c r="F11">
        <v>817</v>
      </c>
      <c r="G11">
        <v>315</v>
      </c>
    </row>
    <row r="12" spans="1:7" x14ac:dyDescent="0.3">
      <c r="A12" s="387" t="s">
        <v>318</v>
      </c>
      <c r="B12">
        <v>3581</v>
      </c>
      <c r="C12">
        <v>2872</v>
      </c>
      <c r="D12">
        <v>54</v>
      </c>
      <c r="E12">
        <v>182</v>
      </c>
      <c r="F12">
        <v>835</v>
      </c>
      <c r="G12">
        <v>303</v>
      </c>
    </row>
    <row r="13" spans="1:7" x14ac:dyDescent="0.3">
      <c r="A13" s="387" t="s">
        <v>320</v>
      </c>
      <c r="B13">
        <v>3530</v>
      </c>
      <c r="C13">
        <v>2758</v>
      </c>
      <c r="D13">
        <v>53</v>
      </c>
      <c r="E13">
        <v>174</v>
      </c>
      <c r="F13">
        <v>920</v>
      </c>
      <c r="G13">
        <v>277</v>
      </c>
    </row>
    <row r="14" spans="1:7" x14ac:dyDescent="0.3">
      <c r="A14" s="387" t="s">
        <v>325</v>
      </c>
      <c r="B14">
        <v>3490</v>
      </c>
      <c r="C14">
        <v>2735</v>
      </c>
      <c r="D14">
        <v>55</v>
      </c>
      <c r="E14">
        <v>172</v>
      </c>
      <c r="F14">
        <v>901</v>
      </c>
      <c r="G14">
        <v>266</v>
      </c>
    </row>
    <row r="15" spans="1:7" x14ac:dyDescent="0.3">
      <c r="A15" s="387" t="s">
        <v>326</v>
      </c>
      <c r="B15">
        <v>3422</v>
      </c>
      <c r="C15">
        <v>2708</v>
      </c>
      <c r="D15">
        <v>55</v>
      </c>
      <c r="E15">
        <v>171</v>
      </c>
      <c r="F15">
        <v>887</v>
      </c>
      <c r="G15">
        <v>269</v>
      </c>
    </row>
    <row r="16" spans="1:7" x14ac:dyDescent="0.3">
      <c r="A16" s="387" t="s">
        <v>328</v>
      </c>
      <c r="B16">
        <v>3430</v>
      </c>
      <c r="C16">
        <v>2705</v>
      </c>
      <c r="D16">
        <v>60</v>
      </c>
      <c r="E16">
        <v>171</v>
      </c>
      <c r="F16">
        <v>917</v>
      </c>
      <c r="G16">
        <v>273</v>
      </c>
    </row>
    <row r="17" spans="1:7" x14ac:dyDescent="0.3">
      <c r="A17" s="387" t="s">
        <v>412</v>
      </c>
      <c r="B17">
        <v>3431</v>
      </c>
      <c r="C17">
        <v>2747</v>
      </c>
      <c r="D17">
        <v>60</v>
      </c>
      <c r="E17">
        <v>177</v>
      </c>
      <c r="F17">
        <v>922</v>
      </c>
      <c r="G17">
        <v>252</v>
      </c>
    </row>
    <row r="18" spans="1:7" x14ac:dyDescent="0.3">
      <c r="A18" s="387" t="s">
        <v>357</v>
      </c>
      <c r="B18">
        <v>59411</v>
      </c>
      <c r="C18">
        <v>46084</v>
      </c>
      <c r="D18">
        <v>391</v>
      </c>
      <c r="E18">
        <v>3153</v>
      </c>
      <c r="F18">
        <v>14667</v>
      </c>
      <c r="G18">
        <v>5328</v>
      </c>
    </row>
    <row r="22" spans="1:7" x14ac:dyDescent="0.3">
      <c r="A22" s="386" t="s">
        <v>350</v>
      </c>
      <c r="B22" t="s">
        <v>505</v>
      </c>
      <c r="C22" t="s">
        <v>506</v>
      </c>
      <c r="D22" t="s">
        <v>507</v>
      </c>
      <c r="E22" t="s">
        <v>508</v>
      </c>
      <c r="F22" t="s">
        <v>509</v>
      </c>
    </row>
    <row r="23" spans="1:7" x14ac:dyDescent="0.3">
      <c r="A23" s="387" t="s">
        <v>362</v>
      </c>
      <c r="B23">
        <v>4159</v>
      </c>
      <c r="C23">
        <v>2813</v>
      </c>
      <c r="E23">
        <v>225</v>
      </c>
      <c r="F23">
        <v>961</v>
      </c>
    </row>
    <row r="24" spans="1:7" x14ac:dyDescent="0.3">
      <c r="A24" s="387" t="s">
        <v>363</v>
      </c>
      <c r="B24">
        <v>4151</v>
      </c>
      <c r="C24">
        <v>2787</v>
      </c>
      <c r="E24">
        <v>224</v>
      </c>
      <c r="F24">
        <v>927</v>
      </c>
    </row>
    <row r="25" spans="1:7" x14ac:dyDescent="0.3">
      <c r="A25" s="387" t="s">
        <v>364</v>
      </c>
      <c r="B25">
        <v>4001</v>
      </c>
      <c r="C25">
        <v>2665</v>
      </c>
      <c r="E25">
        <v>213</v>
      </c>
      <c r="F25">
        <v>811</v>
      </c>
    </row>
    <row r="26" spans="1:7" x14ac:dyDescent="0.3">
      <c r="A26" s="387" t="s">
        <v>365</v>
      </c>
      <c r="B26">
        <v>3856</v>
      </c>
      <c r="C26">
        <v>2669</v>
      </c>
      <c r="E26">
        <v>221</v>
      </c>
      <c r="F26">
        <v>744</v>
      </c>
    </row>
    <row r="27" spans="1:7" x14ac:dyDescent="0.3">
      <c r="A27" s="387" t="s">
        <v>366</v>
      </c>
      <c r="B27">
        <v>3690</v>
      </c>
      <c r="C27">
        <v>2527</v>
      </c>
      <c r="E27">
        <v>195</v>
      </c>
      <c r="F27">
        <v>719</v>
      </c>
    </row>
    <row r="28" spans="1:7" x14ac:dyDescent="0.3">
      <c r="A28" s="387" t="s">
        <v>341</v>
      </c>
      <c r="B28">
        <v>3644</v>
      </c>
      <c r="C28">
        <v>2546</v>
      </c>
      <c r="E28">
        <v>160</v>
      </c>
      <c r="F28">
        <v>745</v>
      </c>
    </row>
    <row r="29" spans="1:7" x14ac:dyDescent="0.3">
      <c r="A29" s="387" t="s">
        <v>342</v>
      </c>
      <c r="B29">
        <v>3544</v>
      </c>
      <c r="C29">
        <v>2545</v>
      </c>
      <c r="E29">
        <v>184</v>
      </c>
      <c r="F29">
        <v>759</v>
      </c>
    </row>
    <row r="30" spans="1:7" x14ac:dyDescent="0.3">
      <c r="A30" s="387" t="s">
        <v>213</v>
      </c>
      <c r="B30">
        <v>3635.9300000000003</v>
      </c>
      <c r="C30">
        <v>2583.98</v>
      </c>
      <c r="D30">
        <v>18</v>
      </c>
      <c r="E30">
        <v>202.32999999999998</v>
      </c>
      <c r="F30">
        <v>745.56000000000006</v>
      </c>
    </row>
    <row r="31" spans="1:7" x14ac:dyDescent="0.3">
      <c r="A31" s="387" t="s">
        <v>312</v>
      </c>
      <c r="B31">
        <v>3633.93</v>
      </c>
      <c r="C31">
        <v>2551.73</v>
      </c>
      <c r="D31">
        <v>36</v>
      </c>
      <c r="E31">
        <v>183.82999999999998</v>
      </c>
      <c r="F31">
        <v>764.4</v>
      </c>
    </row>
    <row r="32" spans="1:7" x14ac:dyDescent="0.3">
      <c r="A32" s="387" t="s">
        <v>318</v>
      </c>
      <c r="B32">
        <v>3578.43</v>
      </c>
      <c r="C32">
        <v>2482.48</v>
      </c>
      <c r="D32">
        <v>54</v>
      </c>
      <c r="E32">
        <v>176.06</v>
      </c>
      <c r="F32">
        <v>786.29</v>
      </c>
    </row>
    <row r="33" spans="1:6" x14ac:dyDescent="0.3">
      <c r="A33" s="387" t="s">
        <v>320</v>
      </c>
      <c r="B33">
        <v>3528.43</v>
      </c>
      <c r="C33">
        <v>2375.48</v>
      </c>
      <c r="D33">
        <v>53</v>
      </c>
      <c r="E33">
        <v>170.46</v>
      </c>
      <c r="F33">
        <v>862.45999999999992</v>
      </c>
    </row>
    <row r="34" spans="1:6" x14ac:dyDescent="0.3">
      <c r="A34" s="387" t="s">
        <v>325</v>
      </c>
      <c r="B34">
        <v>3487.43</v>
      </c>
      <c r="C34">
        <v>2333.12</v>
      </c>
      <c r="D34">
        <v>55</v>
      </c>
      <c r="E34">
        <v>168.06</v>
      </c>
      <c r="F34">
        <v>850.35</v>
      </c>
    </row>
    <row r="35" spans="1:6" x14ac:dyDescent="0.3">
      <c r="A35" s="387" t="s">
        <v>326</v>
      </c>
      <c r="B35">
        <v>3419.08</v>
      </c>
      <c r="C35">
        <v>2289.77</v>
      </c>
      <c r="D35">
        <v>55</v>
      </c>
      <c r="E35">
        <v>166.21</v>
      </c>
      <c r="F35">
        <v>829.4</v>
      </c>
    </row>
    <row r="36" spans="1:6" x14ac:dyDescent="0.3">
      <c r="A36" s="387" t="s">
        <v>328</v>
      </c>
      <c r="B36">
        <v>3427.08</v>
      </c>
      <c r="C36">
        <v>2293.9200000000005</v>
      </c>
      <c r="D36">
        <v>57</v>
      </c>
      <c r="E36">
        <v>167.69</v>
      </c>
      <c r="F36">
        <v>853.58999999999992</v>
      </c>
    </row>
    <row r="37" spans="1:6" x14ac:dyDescent="0.3">
      <c r="A37" s="387" t="s">
        <v>412</v>
      </c>
      <c r="B37">
        <v>3427.39</v>
      </c>
      <c r="C37">
        <v>2287.2800000000016</v>
      </c>
      <c r="D37">
        <v>58</v>
      </c>
      <c r="E37">
        <v>171.70000000000002</v>
      </c>
      <c r="F37">
        <v>852.00999999999988</v>
      </c>
    </row>
    <row r="38" spans="1:6" x14ac:dyDescent="0.3">
      <c r="A38" s="387" t="s">
        <v>357</v>
      </c>
      <c r="B38">
        <v>55182.700000000004</v>
      </c>
      <c r="C38">
        <v>37749.759999999995</v>
      </c>
      <c r="D38">
        <v>386</v>
      </c>
      <c r="E38">
        <v>2828.3399999999997</v>
      </c>
      <c r="F38">
        <v>12210.06</v>
      </c>
    </row>
  </sheetData>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A9B89D-7BB5-447F-AEBE-B751AAD93DC9}">
  <dimension ref="A1:G41"/>
  <sheetViews>
    <sheetView workbookViewId="0">
      <selection activeCell="D12" sqref="D12"/>
    </sheetView>
  </sheetViews>
  <sheetFormatPr defaultRowHeight="14.4" x14ac:dyDescent="0.3"/>
  <cols>
    <col min="1" max="1" width="7.77734375" bestFit="1" customWidth="1"/>
    <col min="2" max="2" width="24.44140625" bestFit="1" customWidth="1"/>
    <col min="3" max="3" width="22.33203125" bestFit="1" customWidth="1"/>
    <col min="4" max="4" width="14.109375" bestFit="1" customWidth="1"/>
    <col min="5" max="5" width="9.5546875" bestFit="1" customWidth="1"/>
    <col min="6" max="6" width="10" bestFit="1" customWidth="1"/>
    <col min="7" max="7" width="11.88671875" bestFit="1" customWidth="1"/>
  </cols>
  <sheetData>
    <row r="1" spans="1:7" x14ac:dyDescent="0.3">
      <c r="A1" t="s">
        <v>208</v>
      </c>
      <c r="B1" t="s">
        <v>511</v>
      </c>
      <c r="C1" t="s">
        <v>361</v>
      </c>
      <c r="D1" t="s">
        <v>512</v>
      </c>
      <c r="E1" t="s">
        <v>513</v>
      </c>
      <c r="F1" t="s">
        <v>514</v>
      </c>
      <c r="G1" t="s">
        <v>339</v>
      </c>
    </row>
    <row r="2" spans="1:7" x14ac:dyDescent="0.3">
      <c r="A2" t="s">
        <v>510</v>
      </c>
      <c r="B2">
        <v>4206</v>
      </c>
      <c r="C2">
        <v>3066</v>
      </c>
      <c r="E2">
        <v>233</v>
      </c>
      <c r="F2">
        <v>1114</v>
      </c>
      <c r="G2">
        <v>437</v>
      </c>
    </row>
    <row r="3" spans="1:7" x14ac:dyDescent="0.3">
      <c r="A3" t="s">
        <v>362</v>
      </c>
      <c r="B3">
        <v>4159</v>
      </c>
      <c r="C3">
        <v>3052</v>
      </c>
      <c r="E3">
        <v>234</v>
      </c>
      <c r="F3">
        <v>1136</v>
      </c>
      <c r="G3">
        <v>459</v>
      </c>
    </row>
    <row r="4" spans="1:7" x14ac:dyDescent="0.3">
      <c r="A4" t="s">
        <v>363</v>
      </c>
      <c r="B4">
        <v>4151</v>
      </c>
      <c r="C4">
        <v>3076</v>
      </c>
      <c r="E4">
        <v>234</v>
      </c>
      <c r="F4">
        <v>1086</v>
      </c>
      <c r="G4">
        <v>417</v>
      </c>
    </row>
    <row r="5" spans="1:7" x14ac:dyDescent="0.3">
      <c r="A5" t="s">
        <v>364</v>
      </c>
      <c r="B5">
        <v>4001</v>
      </c>
      <c r="C5">
        <v>2940</v>
      </c>
      <c r="E5">
        <v>223</v>
      </c>
      <c r="F5">
        <v>961</v>
      </c>
      <c r="G5">
        <v>359</v>
      </c>
    </row>
    <row r="6" spans="1:7" x14ac:dyDescent="0.3">
      <c r="A6" t="s">
        <v>365</v>
      </c>
      <c r="B6">
        <v>3856</v>
      </c>
      <c r="C6">
        <v>2950</v>
      </c>
      <c r="E6">
        <v>230</v>
      </c>
      <c r="F6">
        <v>867</v>
      </c>
      <c r="G6">
        <v>382</v>
      </c>
    </row>
    <row r="7" spans="1:7" x14ac:dyDescent="0.3">
      <c r="A7" t="s">
        <v>366</v>
      </c>
      <c r="B7">
        <v>3690</v>
      </c>
      <c r="C7">
        <v>2870</v>
      </c>
      <c r="E7">
        <v>203</v>
      </c>
      <c r="F7">
        <v>828</v>
      </c>
      <c r="G7">
        <v>342</v>
      </c>
    </row>
    <row r="8" spans="1:7" x14ac:dyDescent="0.3">
      <c r="A8" t="s">
        <v>341</v>
      </c>
      <c r="B8">
        <v>3645</v>
      </c>
      <c r="C8">
        <v>2870</v>
      </c>
      <c r="E8">
        <v>165</v>
      </c>
      <c r="F8">
        <v>838</v>
      </c>
      <c r="G8">
        <v>320</v>
      </c>
    </row>
    <row r="9" spans="1:7" x14ac:dyDescent="0.3">
      <c r="A9" t="s">
        <v>342</v>
      </c>
      <c r="B9">
        <v>3546</v>
      </c>
      <c r="C9">
        <v>2863</v>
      </c>
      <c r="E9">
        <v>189</v>
      </c>
      <c r="F9">
        <v>846</v>
      </c>
      <c r="G9">
        <v>336</v>
      </c>
    </row>
    <row r="10" spans="1:7" x14ac:dyDescent="0.3">
      <c r="A10" t="s">
        <v>213</v>
      </c>
      <c r="B10">
        <v>3637</v>
      </c>
      <c r="C10">
        <v>2935</v>
      </c>
      <c r="D10">
        <v>18</v>
      </c>
      <c r="E10">
        <v>207</v>
      </c>
      <c r="F10">
        <v>792</v>
      </c>
      <c r="G10">
        <v>321</v>
      </c>
    </row>
    <row r="11" spans="1:7" x14ac:dyDescent="0.3">
      <c r="A11" t="s">
        <v>312</v>
      </c>
      <c r="B11">
        <v>3636</v>
      </c>
      <c r="C11">
        <v>2937</v>
      </c>
      <c r="D11">
        <v>36</v>
      </c>
      <c r="E11">
        <v>188</v>
      </c>
      <c r="F11">
        <v>817</v>
      </c>
      <c r="G11">
        <v>315</v>
      </c>
    </row>
    <row r="12" spans="1:7" x14ac:dyDescent="0.3">
      <c r="A12" t="s">
        <v>318</v>
      </c>
      <c r="B12">
        <v>3581</v>
      </c>
      <c r="C12">
        <v>2872</v>
      </c>
      <c r="D12">
        <v>54</v>
      </c>
      <c r="E12">
        <v>182</v>
      </c>
      <c r="F12">
        <v>835</v>
      </c>
      <c r="G12">
        <v>303</v>
      </c>
    </row>
    <row r="13" spans="1:7" x14ac:dyDescent="0.3">
      <c r="A13" t="s">
        <v>320</v>
      </c>
      <c r="B13">
        <v>3530</v>
      </c>
      <c r="C13">
        <v>2758</v>
      </c>
      <c r="D13">
        <v>53</v>
      </c>
      <c r="E13">
        <v>174</v>
      </c>
      <c r="F13">
        <v>920</v>
      </c>
      <c r="G13">
        <v>277</v>
      </c>
    </row>
    <row r="14" spans="1:7" x14ac:dyDescent="0.3">
      <c r="A14" t="s">
        <v>325</v>
      </c>
      <c r="B14">
        <v>3490</v>
      </c>
      <c r="C14">
        <v>2735</v>
      </c>
      <c r="D14">
        <v>55</v>
      </c>
      <c r="E14">
        <v>172</v>
      </c>
      <c r="F14">
        <v>901</v>
      </c>
      <c r="G14">
        <v>266</v>
      </c>
    </row>
    <row r="15" spans="1:7" x14ac:dyDescent="0.3">
      <c r="A15" t="s">
        <v>326</v>
      </c>
      <c r="B15">
        <v>3422</v>
      </c>
      <c r="C15">
        <v>2708</v>
      </c>
      <c r="D15">
        <v>55</v>
      </c>
      <c r="E15">
        <v>171</v>
      </c>
      <c r="F15">
        <v>887</v>
      </c>
      <c r="G15">
        <v>269</v>
      </c>
    </row>
    <row r="16" spans="1:7" x14ac:dyDescent="0.3">
      <c r="A16" t="s">
        <v>328</v>
      </c>
      <c r="B16">
        <v>3430</v>
      </c>
      <c r="C16">
        <v>2705</v>
      </c>
      <c r="D16">
        <v>60</v>
      </c>
      <c r="E16">
        <v>171</v>
      </c>
      <c r="F16">
        <v>917</v>
      </c>
      <c r="G16">
        <v>273</v>
      </c>
    </row>
    <row r="17" spans="1:7" x14ac:dyDescent="0.3">
      <c r="A17" t="s">
        <v>412</v>
      </c>
      <c r="B17">
        <v>3431</v>
      </c>
      <c r="C17">
        <v>2747</v>
      </c>
      <c r="D17">
        <v>60</v>
      </c>
      <c r="E17">
        <v>177</v>
      </c>
      <c r="F17">
        <v>922</v>
      </c>
      <c r="G17">
        <v>252</v>
      </c>
    </row>
    <row r="26" spans="1:7" x14ac:dyDescent="0.3">
      <c r="A26" t="s">
        <v>208</v>
      </c>
      <c r="B26" t="s">
        <v>511</v>
      </c>
      <c r="C26" t="s">
        <v>361</v>
      </c>
      <c r="D26" t="s">
        <v>512</v>
      </c>
      <c r="E26" t="s">
        <v>513</v>
      </c>
      <c r="F26" t="s">
        <v>514</v>
      </c>
    </row>
    <row r="27" spans="1:7" x14ac:dyDescent="0.3">
      <c r="A27" t="s">
        <v>362</v>
      </c>
      <c r="B27">
        <v>4159</v>
      </c>
      <c r="C27">
        <v>2813</v>
      </c>
      <c r="E27">
        <v>225</v>
      </c>
      <c r="F27">
        <v>961</v>
      </c>
    </row>
    <row r="28" spans="1:7" x14ac:dyDescent="0.3">
      <c r="A28" t="s">
        <v>363</v>
      </c>
      <c r="B28">
        <v>4151</v>
      </c>
      <c r="C28">
        <v>2787</v>
      </c>
      <c r="E28">
        <v>224</v>
      </c>
      <c r="F28">
        <v>927</v>
      </c>
    </row>
    <row r="29" spans="1:7" x14ac:dyDescent="0.3">
      <c r="A29" t="s">
        <v>364</v>
      </c>
      <c r="B29">
        <v>4001</v>
      </c>
      <c r="C29">
        <v>2665</v>
      </c>
      <c r="E29">
        <v>213</v>
      </c>
      <c r="F29">
        <v>811</v>
      </c>
    </row>
    <row r="30" spans="1:7" x14ac:dyDescent="0.3">
      <c r="A30" t="s">
        <v>365</v>
      </c>
      <c r="B30">
        <v>3856</v>
      </c>
      <c r="C30">
        <v>2669</v>
      </c>
      <c r="E30">
        <v>221</v>
      </c>
      <c r="F30">
        <v>744</v>
      </c>
    </row>
    <row r="31" spans="1:7" x14ac:dyDescent="0.3">
      <c r="A31" t="s">
        <v>366</v>
      </c>
      <c r="B31">
        <v>3690</v>
      </c>
      <c r="C31">
        <v>2527</v>
      </c>
      <c r="E31">
        <v>195</v>
      </c>
      <c r="F31">
        <v>719</v>
      </c>
    </row>
    <row r="32" spans="1:7" x14ac:dyDescent="0.3">
      <c r="A32" t="s">
        <v>341</v>
      </c>
      <c r="B32">
        <v>3644</v>
      </c>
      <c r="C32">
        <v>2546</v>
      </c>
      <c r="E32">
        <v>160</v>
      </c>
      <c r="F32">
        <v>745</v>
      </c>
    </row>
    <row r="33" spans="1:6" x14ac:dyDescent="0.3">
      <c r="A33" t="s">
        <v>342</v>
      </c>
      <c r="B33">
        <v>3544</v>
      </c>
      <c r="C33">
        <v>2545</v>
      </c>
      <c r="E33">
        <v>184</v>
      </c>
      <c r="F33">
        <v>759</v>
      </c>
    </row>
    <row r="34" spans="1:6" x14ac:dyDescent="0.3">
      <c r="A34" t="s">
        <v>213</v>
      </c>
      <c r="B34">
        <v>3635.9300000000003</v>
      </c>
      <c r="C34">
        <v>2583.98</v>
      </c>
      <c r="D34">
        <v>18</v>
      </c>
      <c r="E34">
        <v>202.32999999999998</v>
      </c>
      <c r="F34">
        <v>745.56000000000006</v>
      </c>
    </row>
    <row r="35" spans="1:6" x14ac:dyDescent="0.3">
      <c r="A35" t="s">
        <v>312</v>
      </c>
      <c r="B35">
        <v>3633.93</v>
      </c>
      <c r="C35">
        <v>2551.73</v>
      </c>
      <c r="D35">
        <v>36</v>
      </c>
      <c r="E35">
        <v>183.82999999999998</v>
      </c>
      <c r="F35">
        <v>764.4</v>
      </c>
    </row>
    <row r="36" spans="1:6" x14ac:dyDescent="0.3">
      <c r="A36" t="s">
        <v>318</v>
      </c>
      <c r="B36">
        <v>3578.43</v>
      </c>
      <c r="C36">
        <v>2482.48</v>
      </c>
      <c r="D36">
        <v>54</v>
      </c>
      <c r="E36">
        <v>176.06</v>
      </c>
      <c r="F36">
        <v>786.29</v>
      </c>
    </row>
    <row r="37" spans="1:6" x14ac:dyDescent="0.3">
      <c r="A37" t="s">
        <v>320</v>
      </c>
      <c r="B37">
        <v>3528.43</v>
      </c>
      <c r="C37">
        <v>2375.48</v>
      </c>
      <c r="D37">
        <v>53</v>
      </c>
      <c r="E37">
        <v>170.46</v>
      </c>
      <c r="F37">
        <v>862.45999999999992</v>
      </c>
    </row>
    <row r="38" spans="1:6" x14ac:dyDescent="0.3">
      <c r="A38" t="s">
        <v>325</v>
      </c>
      <c r="B38">
        <v>3487.43</v>
      </c>
      <c r="C38">
        <v>2333.12</v>
      </c>
      <c r="D38">
        <v>55</v>
      </c>
      <c r="E38">
        <v>168.06</v>
      </c>
      <c r="F38">
        <v>850.35</v>
      </c>
    </row>
    <row r="39" spans="1:6" x14ac:dyDescent="0.3">
      <c r="A39" t="s">
        <v>326</v>
      </c>
      <c r="B39">
        <v>3419.08</v>
      </c>
      <c r="C39">
        <v>2289.77</v>
      </c>
      <c r="D39">
        <v>55</v>
      </c>
      <c r="E39">
        <v>166.21</v>
      </c>
      <c r="F39">
        <v>829.4</v>
      </c>
    </row>
    <row r="40" spans="1:6" x14ac:dyDescent="0.3">
      <c r="A40" t="s">
        <v>328</v>
      </c>
      <c r="B40">
        <v>3427.08</v>
      </c>
      <c r="C40">
        <v>2293.9200000000005</v>
      </c>
      <c r="D40">
        <v>57</v>
      </c>
      <c r="E40">
        <v>167.69</v>
      </c>
      <c r="F40">
        <v>853.58999999999992</v>
      </c>
    </row>
    <row r="41" spans="1:6" x14ac:dyDescent="0.3">
      <c r="A41" t="s">
        <v>412</v>
      </c>
      <c r="B41">
        <v>3427.39</v>
      </c>
      <c r="C41">
        <v>2287.2800000000016</v>
      </c>
      <c r="D41">
        <v>58</v>
      </c>
      <c r="E41">
        <v>171.70000000000002</v>
      </c>
      <c r="F41">
        <v>852.00999999999988</v>
      </c>
    </row>
  </sheetData>
  <pageMargins left="0.7" right="0.7" top="0.75" bottom="0.75" header="0.3" footer="0.3"/>
  <tableParts count="2">
    <tablePart r:id="rId1"/>
    <tablePart r:id="rId2"/>
  </tableParts>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21E82C2-0A98-4681-920E-617F40820058}">
  <sheetPr>
    <tabColor theme="9" tint="0.39997558519241921"/>
  </sheetPr>
  <dimension ref="A1:J27"/>
  <sheetViews>
    <sheetView workbookViewId="0">
      <selection activeCell="B18" sqref="B11:B18"/>
    </sheetView>
  </sheetViews>
  <sheetFormatPr defaultRowHeight="14.4" x14ac:dyDescent="0.3"/>
  <cols>
    <col min="1" max="1" width="16.5546875" customWidth="1"/>
    <col min="2" max="2" width="41.21875" customWidth="1"/>
    <col min="3" max="3" width="7.6640625" bestFit="1" customWidth="1"/>
    <col min="4" max="4" width="19.109375" customWidth="1"/>
    <col min="5" max="5" width="69.5546875" customWidth="1"/>
    <col min="6" max="6" width="21.33203125" customWidth="1"/>
    <col min="7" max="7" width="69.33203125" customWidth="1"/>
  </cols>
  <sheetData>
    <row r="1" spans="1:10" ht="15.6" x14ac:dyDescent="0.3">
      <c r="A1" s="1030" t="s">
        <v>515</v>
      </c>
      <c r="B1" s="1030"/>
      <c r="C1" s="1030"/>
      <c r="D1" s="1030"/>
      <c r="E1" s="1030"/>
      <c r="F1" s="1030"/>
      <c r="G1" s="1030"/>
      <c r="H1" s="1030"/>
      <c r="I1" s="1030"/>
      <c r="J1" s="1030"/>
    </row>
    <row r="2" spans="1:10" ht="17.399999999999999" x14ac:dyDescent="0.3">
      <c r="A2" s="498" t="s">
        <v>202</v>
      </c>
      <c r="B2" s="1"/>
      <c r="C2" s="1"/>
      <c r="D2" s="1"/>
      <c r="E2" s="1"/>
      <c r="F2" s="1"/>
      <c r="G2" s="1"/>
      <c r="H2" s="1"/>
      <c r="I2" s="1"/>
      <c r="J2" s="1"/>
    </row>
    <row r="3" spans="1:10" ht="17.399999999999999" x14ac:dyDescent="0.3">
      <c r="A3" s="1"/>
      <c r="B3" s="1"/>
      <c r="C3" s="1"/>
      <c r="D3" s="1"/>
      <c r="E3" s="1"/>
      <c r="F3" s="1"/>
      <c r="G3" s="1"/>
      <c r="H3" s="1"/>
      <c r="I3" s="1"/>
      <c r="J3" s="1"/>
    </row>
    <row r="4" spans="1:10" ht="15.6" x14ac:dyDescent="0.3">
      <c r="A4" s="438" t="s">
        <v>516</v>
      </c>
      <c r="B4" s="438"/>
      <c r="C4" s="438"/>
      <c r="D4" s="438"/>
      <c r="E4" s="438"/>
      <c r="F4" s="438"/>
      <c r="G4" s="438"/>
      <c r="H4" s="438"/>
      <c r="I4" s="438"/>
      <c r="J4" s="438"/>
    </row>
    <row r="5" spans="1:10" x14ac:dyDescent="0.3">
      <c r="A5" t="s">
        <v>203</v>
      </c>
      <c r="B5" t="s">
        <v>1293</v>
      </c>
    </row>
    <row r="6" spans="1:10" x14ac:dyDescent="0.3">
      <c r="A6" t="s">
        <v>204</v>
      </c>
      <c r="B6" t="s">
        <v>205</v>
      </c>
    </row>
    <row r="7" spans="1:10" x14ac:dyDescent="0.3">
      <c r="A7" t="s">
        <v>206</v>
      </c>
      <c r="B7" t="s">
        <v>207</v>
      </c>
    </row>
    <row r="9" spans="1:10" x14ac:dyDescent="0.3">
      <c r="A9" s="1039" t="s">
        <v>1294</v>
      </c>
      <c r="B9" s="1039"/>
      <c r="D9" s="1039" t="s">
        <v>1295</v>
      </c>
      <c r="E9" s="1039"/>
    </row>
    <row r="10" spans="1:10" x14ac:dyDescent="0.3">
      <c r="A10" t="s">
        <v>806</v>
      </c>
      <c r="B10" t="s">
        <v>55</v>
      </c>
      <c r="D10" t="s">
        <v>806</v>
      </c>
      <c r="E10" t="s">
        <v>55</v>
      </c>
    </row>
    <row r="11" spans="1:10" x14ac:dyDescent="0.3">
      <c r="A11" s="370" t="s">
        <v>213</v>
      </c>
      <c r="B11" s="370">
        <v>7420</v>
      </c>
      <c r="D11" s="370" t="s">
        <v>213</v>
      </c>
      <c r="E11" s="370">
        <v>6468</v>
      </c>
    </row>
    <row r="12" spans="1:10" x14ac:dyDescent="0.3">
      <c r="A12" s="370" t="s">
        <v>312</v>
      </c>
      <c r="B12" s="370">
        <v>7381</v>
      </c>
      <c r="D12" s="370" t="s">
        <v>312</v>
      </c>
      <c r="E12" s="370">
        <v>6421</v>
      </c>
    </row>
    <row r="13" spans="1:10" x14ac:dyDescent="0.3">
      <c r="A13" s="370" t="s">
        <v>318</v>
      </c>
      <c r="B13" s="370">
        <v>7259</v>
      </c>
      <c r="D13" s="370" t="s">
        <v>318</v>
      </c>
      <c r="E13" s="370">
        <v>6285</v>
      </c>
    </row>
    <row r="14" spans="1:10" x14ac:dyDescent="0.3">
      <c r="A14" s="370" t="s">
        <v>320</v>
      </c>
      <c r="B14" s="370">
        <v>7153</v>
      </c>
      <c r="D14" s="370" t="s">
        <v>320</v>
      </c>
      <c r="E14" s="370">
        <v>6112</v>
      </c>
    </row>
    <row r="15" spans="1:10" x14ac:dyDescent="0.3">
      <c r="A15" s="370" t="s">
        <v>325</v>
      </c>
      <c r="B15" s="370">
        <v>7016</v>
      </c>
      <c r="D15" s="370" t="s">
        <v>325</v>
      </c>
      <c r="E15" s="370">
        <v>5987</v>
      </c>
    </row>
    <row r="16" spans="1:10" x14ac:dyDescent="0.3">
      <c r="A16" s="370" t="s">
        <v>326</v>
      </c>
      <c r="B16" s="370">
        <v>6933</v>
      </c>
      <c r="D16" s="370" t="s">
        <v>326</v>
      </c>
      <c r="E16" s="370">
        <v>5916</v>
      </c>
    </row>
    <row r="17" spans="1:10" x14ac:dyDescent="0.3">
      <c r="A17" s="370" t="s">
        <v>328</v>
      </c>
      <c r="B17" s="370">
        <v>6924</v>
      </c>
      <c r="D17" s="370" t="s">
        <v>328</v>
      </c>
      <c r="E17" s="370">
        <v>5886</v>
      </c>
    </row>
    <row r="18" spans="1:10" x14ac:dyDescent="0.3">
      <c r="A18" s="370" t="s">
        <v>412</v>
      </c>
      <c r="B18" s="370">
        <v>6922</v>
      </c>
      <c r="D18" s="370" t="s">
        <v>412</v>
      </c>
      <c r="E18" s="370">
        <v>5871</v>
      </c>
    </row>
    <row r="21" spans="1:10" ht="40.200000000000003" x14ac:dyDescent="0.3">
      <c r="A21" s="649" t="str">
        <f>"One Year Change " &amp; A17 &amp; " to " &amp; A18</f>
        <v>One Year Change 2024-25 to 2025-26</v>
      </c>
      <c r="B21" s="649"/>
      <c r="D21" s="649" t="str">
        <f>"One Year Change " &amp; D17 &amp; " to " &amp; D18</f>
        <v>One Year Change 2024-25 to 2025-26</v>
      </c>
      <c r="E21" s="268"/>
      <c r="F21" s="268"/>
      <c r="G21" s="268"/>
      <c r="H21" s="268"/>
      <c r="I21" s="267"/>
      <c r="J21" s="268"/>
    </row>
    <row r="22" spans="1:10" x14ac:dyDescent="0.3">
      <c r="A22" s="8" t="s">
        <v>346</v>
      </c>
      <c r="B22" s="9">
        <f>B18-B17</f>
        <v>-2</v>
      </c>
      <c r="D22" s="8" t="s">
        <v>346</v>
      </c>
      <c r="E22" s="9">
        <f>E18-E17</f>
        <v>-15</v>
      </c>
    </row>
    <row r="23" spans="1:10" ht="15" thickBot="1" x14ac:dyDescent="0.35">
      <c r="A23" s="10" t="s">
        <v>94</v>
      </c>
      <c r="B23" s="269">
        <f>B22/B18</f>
        <v>-2.8893383415197921E-4</v>
      </c>
      <c r="D23" s="10" t="s">
        <v>94</v>
      </c>
      <c r="E23" s="269">
        <f>E22/E18</f>
        <v>-2.5549310168625446E-3</v>
      </c>
    </row>
    <row r="24" spans="1:10" x14ac:dyDescent="0.3">
      <c r="A24" s="12"/>
      <c r="B24" s="13"/>
      <c r="D24" s="12"/>
      <c r="E24" s="13"/>
    </row>
    <row r="25" spans="1:10" ht="40.200000000000003" x14ac:dyDescent="0.3">
      <c r="A25" s="649" t="str">
        <f>"Five Year Change " &amp; A14 &amp; " to " &amp; A18</f>
        <v>Five Year Change 2021-22 to 2025-26</v>
      </c>
      <c r="B25" s="649"/>
      <c r="D25" s="649" t="str">
        <f>"Five Year Change " &amp; D14 &amp; " to " &amp; D18</f>
        <v>Five Year Change 2021-22 to 2025-26</v>
      </c>
      <c r="E25" s="268"/>
    </row>
    <row r="26" spans="1:10" x14ac:dyDescent="0.3">
      <c r="A26" s="8" t="s">
        <v>346</v>
      </c>
      <c r="B26" s="9">
        <f>B18-B13</f>
        <v>-337</v>
      </c>
      <c r="D26" s="8" t="s">
        <v>346</v>
      </c>
      <c r="E26" s="9">
        <f>E18-E13</f>
        <v>-414</v>
      </c>
    </row>
    <row r="27" spans="1:10" ht="15" thickBot="1" x14ac:dyDescent="0.35">
      <c r="A27" s="10" t="s">
        <v>94</v>
      </c>
      <c r="B27" s="269">
        <f t="shared" ref="B27" si="0">B26/B12</f>
        <v>-4.5657769949871294E-2</v>
      </c>
      <c r="D27" s="10" t="s">
        <v>94</v>
      </c>
      <c r="E27" s="269">
        <f>E26/E12</f>
        <v>-6.4475938327363341E-2</v>
      </c>
    </row>
  </sheetData>
  <sheetProtection algorithmName="SHA-512" hashValue="n2T1pSYQ8trHUULCWj00T3yYYdiwt/qkAwg29cbrJL50HtsldjWEpd89Ob/TvAiofvGV8quG5+m8XNS7963lqA==" saltValue="Mzptp11ct7pj/VVyNgHS1w==" spinCount="100000" sheet="1" objects="1" scenarios="1"/>
  <mergeCells count="3">
    <mergeCell ref="A9:B9"/>
    <mergeCell ref="D9:E9"/>
    <mergeCell ref="A1:J1"/>
  </mergeCells>
  <phoneticPr fontId="53" type="noConversion"/>
  <hyperlinks>
    <hyperlink ref="A2" location="'Table of Contents'!A1" display="Back to Table of Contents" xr:uid="{F2DF1D13-07A5-4DC8-BE5E-810DC0CB9198}"/>
  </hyperlinks>
  <pageMargins left="0.7" right="0.7" top="0.75" bottom="0.75" header="0.3" footer="0.3"/>
  <pageSetup paperSize="9" orientation="portrait" r:id="rId1"/>
  <tableParts count="2">
    <tablePart r:id="rId2"/>
    <tablePart r:id="rId3"/>
  </tableParts>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C10195-8724-4DAE-A433-8A2BDC654C10}">
  <sheetPr>
    <tabColor theme="9" tint="0.39997558519241921"/>
  </sheetPr>
  <dimension ref="A1:E10"/>
  <sheetViews>
    <sheetView workbookViewId="0">
      <selection activeCell="C5" sqref="C5"/>
    </sheetView>
  </sheetViews>
  <sheetFormatPr defaultRowHeight="14.4" x14ac:dyDescent="0.3"/>
  <cols>
    <col min="1" max="1" width="12.33203125" bestFit="1" customWidth="1"/>
    <col min="2" max="2" width="24.5546875" bestFit="1" customWidth="1"/>
    <col min="3" max="3" width="30.33203125" bestFit="1" customWidth="1"/>
    <col min="4" max="4" width="18" bestFit="1" customWidth="1"/>
    <col min="5" max="5" width="14.21875" bestFit="1" customWidth="1"/>
  </cols>
  <sheetData>
    <row r="1" spans="1:5" x14ac:dyDescent="0.3">
      <c r="A1" s="386" t="s">
        <v>350</v>
      </c>
      <c r="B1" t="s">
        <v>527</v>
      </c>
      <c r="C1" t="s">
        <v>528</v>
      </c>
      <c r="D1" t="s">
        <v>529</v>
      </c>
      <c r="E1" t="s">
        <v>530</v>
      </c>
    </row>
    <row r="2" spans="1:5" x14ac:dyDescent="0.3">
      <c r="A2" s="387" t="s">
        <v>213</v>
      </c>
      <c r="B2">
        <v>2955</v>
      </c>
      <c r="C2">
        <v>264</v>
      </c>
      <c r="D2">
        <v>358</v>
      </c>
      <c r="E2">
        <v>60</v>
      </c>
    </row>
    <row r="3" spans="1:5" x14ac:dyDescent="0.3">
      <c r="A3" s="387" t="s">
        <v>312</v>
      </c>
      <c r="B3">
        <v>2966</v>
      </c>
      <c r="C3">
        <v>270</v>
      </c>
      <c r="D3">
        <v>351</v>
      </c>
      <c r="E3">
        <v>49</v>
      </c>
    </row>
    <row r="4" spans="1:5" x14ac:dyDescent="0.3">
      <c r="A4" s="387" t="s">
        <v>318</v>
      </c>
      <c r="B4">
        <v>2903</v>
      </c>
      <c r="C4">
        <v>271</v>
      </c>
      <c r="D4">
        <v>348</v>
      </c>
      <c r="E4">
        <v>59</v>
      </c>
    </row>
    <row r="5" spans="1:5" x14ac:dyDescent="0.3">
      <c r="A5" s="387" t="s">
        <v>320</v>
      </c>
      <c r="B5">
        <v>2843</v>
      </c>
      <c r="C5">
        <v>273</v>
      </c>
      <c r="D5">
        <v>349</v>
      </c>
      <c r="E5">
        <v>65</v>
      </c>
    </row>
    <row r="6" spans="1:5" x14ac:dyDescent="0.3">
      <c r="A6" s="387" t="s">
        <v>325</v>
      </c>
      <c r="B6">
        <v>2798</v>
      </c>
      <c r="C6">
        <v>262</v>
      </c>
      <c r="D6">
        <v>327</v>
      </c>
      <c r="E6">
        <v>103</v>
      </c>
    </row>
    <row r="7" spans="1:5" x14ac:dyDescent="0.3">
      <c r="A7" s="387" t="s">
        <v>326</v>
      </c>
      <c r="B7">
        <v>2823</v>
      </c>
      <c r="C7">
        <v>263</v>
      </c>
      <c r="D7">
        <v>335</v>
      </c>
      <c r="E7">
        <v>1</v>
      </c>
    </row>
    <row r="8" spans="1:5" x14ac:dyDescent="0.3">
      <c r="A8" s="387" t="s">
        <v>328</v>
      </c>
      <c r="B8">
        <v>2762</v>
      </c>
      <c r="C8">
        <v>267</v>
      </c>
      <c r="D8">
        <v>332</v>
      </c>
      <c r="E8">
        <v>69</v>
      </c>
    </row>
    <row r="9" spans="1:5" x14ac:dyDescent="0.3">
      <c r="A9" s="387" t="s">
        <v>412</v>
      </c>
      <c r="B9">
        <v>2744</v>
      </c>
      <c r="C9">
        <v>266</v>
      </c>
      <c r="D9">
        <v>349</v>
      </c>
      <c r="E9">
        <v>72</v>
      </c>
    </row>
    <row r="10" spans="1:5" x14ac:dyDescent="0.3">
      <c r="A10" s="387" t="s">
        <v>357</v>
      </c>
      <c r="B10">
        <v>22794</v>
      </c>
      <c r="C10">
        <v>2136</v>
      </c>
      <c r="D10">
        <v>2749</v>
      </c>
      <c r="E10">
        <v>478</v>
      </c>
    </row>
  </sheetData>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A593DEE-9770-4150-8E6F-38F9CE18A545}">
  <sheetPr>
    <tabColor theme="9" tint="0.39997558519241921"/>
  </sheetPr>
  <dimension ref="A1:E9"/>
  <sheetViews>
    <sheetView workbookViewId="0">
      <selection activeCell="D4" sqref="D4"/>
    </sheetView>
  </sheetViews>
  <sheetFormatPr defaultRowHeight="14.4" x14ac:dyDescent="0.3"/>
  <cols>
    <col min="1" max="1" width="7.44140625" bestFit="1" customWidth="1"/>
    <col min="2" max="2" width="20.44140625" bestFit="1" customWidth="1"/>
    <col min="3" max="3" width="26.21875" bestFit="1" customWidth="1"/>
    <col min="4" max="4" width="13.77734375" bestFit="1" customWidth="1"/>
    <col min="5" max="5" width="10.21875" bestFit="1" customWidth="1"/>
  </cols>
  <sheetData>
    <row r="1" spans="1:5" x14ac:dyDescent="0.3">
      <c r="A1" t="s">
        <v>208</v>
      </c>
      <c r="B1" t="s">
        <v>531</v>
      </c>
      <c r="C1" t="s">
        <v>532</v>
      </c>
      <c r="D1" t="s">
        <v>533</v>
      </c>
      <c r="E1" t="s">
        <v>534</v>
      </c>
    </row>
    <row r="2" spans="1:5" x14ac:dyDescent="0.3">
      <c r="A2" t="s">
        <v>213</v>
      </c>
      <c r="B2">
        <v>2955</v>
      </c>
      <c r="C2">
        <v>264</v>
      </c>
      <c r="D2">
        <v>358</v>
      </c>
      <c r="E2">
        <v>60</v>
      </c>
    </row>
    <row r="3" spans="1:5" x14ac:dyDescent="0.3">
      <c r="A3" t="s">
        <v>312</v>
      </c>
      <c r="B3">
        <v>2966</v>
      </c>
      <c r="C3">
        <v>270</v>
      </c>
      <c r="D3">
        <v>351</v>
      </c>
      <c r="E3">
        <v>49</v>
      </c>
    </row>
    <row r="4" spans="1:5" x14ac:dyDescent="0.3">
      <c r="A4" t="s">
        <v>318</v>
      </c>
      <c r="B4">
        <v>2903</v>
      </c>
      <c r="C4">
        <v>271</v>
      </c>
      <c r="D4">
        <v>348</v>
      </c>
      <c r="E4">
        <v>59</v>
      </c>
    </row>
    <row r="5" spans="1:5" x14ac:dyDescent="0.3">
      <c r="A5" t="s">
        <v>320</v>
      </c>
      <c r="B5">
        <v>2843</v>
      </c>
      <c r="C5">
        <v>273</v>
      </c>
      <c r="D5">
        <v>349</v>
      </c>
      <c r="E5">
        <v>65</v>
      </c>
    </row>
    <row r="6" spans="1:5" x14ac:dyDescent="0.3">
      <c r="A6" t="s">
        <v>325</v>
      </c>
      <c r="B6">
        <v>2798</v>
      </c>
      <c r="C6">
        <v>262</v>
      </c>
      <c r="D6">
        <v>327</v>
      </c>
      <c r="E6">
        <v>103</v>
      </c>
    </row>
    <row r="7" spans="1:5" x14ac:dyDescent="0.3">
      <c r="A7" t="s">
        <v>326</v>
      </c>
      <c r="B7">
        <v>2823</v>
      </c>
      <c r="C7">
        <v>263</v>
      </c>
      <c r="D7">
        <v>335</v>
      </c>
      <c r="E7">
        <v>1</v>
      </c>
    </row>
    <row r="8" spans="1:5" x14ac:dyDescent="0.3">
      <c r="A8" t="s">
        <v>328</v>
      </c>
      <c r="B8">
        <v>2762</v>
      </c>
      <c r="C8">
        <v>267</v>
      </c>
      <c r="D8">
        <v>332</v>
      </c>
      <c r="E8">
        <v>69</v>
      </c>
    </row>
    <row r="9" spans="1:5" x14ac:dyDescent="0.3">
      <c r="A9" t="s">
        <v>412</v>
      </c>
      <c r="B9">
        <v>2744</v>
      </c>
      <c r="C9">
        <v>266</v>
      </c>
      <c r="D9">
        <v>349</v>
      </c>
      <c r="E9">
        <v>72</v>
      </c>
    </row>
  </sheetData>
  <pageMargins left="0.7" right="0.7" top="0.75" bottom="0.75" header="0.3" footer="0.3"/>
  <tableParts count="1">
    <tablePart r:id="rId1"/>
  </tableParts>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tabColor theme="9" tint="0.39997558519241921"/>
  </sheetPr>
  <dimension ref="A1:AQ20"/>
  <sheetViews>
    <sheetView showGridLines="0" workbookViewId="0">
      <pane ySplit="2" topLeftCell="A3" activePane="bottomLeft" state="frozen"/>
      <selection pane="bottomLeft" sqref="A1:F1"/>
    </sheetView>
  </sheetViews>
  <sheetFormatPr defaultRowHeight="14.4" x14ac:dyDescent="0.3"/>
  <cols>
    <col min="1" max="1" width="19.44140625" customWidth="1"/>
    <col min="2" max="2" width="22.109375" customWidth="1"/>
    <col min="3" max="3" width="27.44140625" customWidth="1"/>
    <col min="4" max="4" width="14.109375" customWidth="1"/>
    <col min="5" max="5" width="11.88671875" customWidth="1"/>
    <col min="6" max="6" width="14.5546875" customWidth="1"/>
  </cols>
  <sheetData>
    <row r="1" spans="1:43" ht="15.6" x14ac:dyDescent="0.3">
      <c r="A1" s="1030" t="s">
        <v>515</v>
      </c>
      <c r="B1" s="1030"/>
      <c r="C1" s="1030"/>
      <c r="D1" s="1030"/>
      <c r="E1" s="1030"/>
      <c r="F1" s="1030"/>
    </row>
    <row r="2" spans="1:43" ht="17.399999999999999" x14ac:dyDescent="0.3">
      <c r="A2" s="498" t="s">
        <v>202</v>
      </c>
      <c r="B2" s="1"/>
      <c r="C2" s="1"/>
      <c r="D2" s="1"/>
      <c r="E2" s="1"/>
      <c r="F2" s="1"/>
    </row>
    <row r="3" spans="1:43" ht="17.399999999999999" x14ac:dyDescent="0.3">
      <c r="A3" s="1"/>
      <c r="B3" s="1"/>
      <c r="C3" s="1"/>
      <c r="D3" s="1"/>
      <c r="E3" s="1"/>
      <c r="F3" s="1"/>
    </row>
    <row r="4" spans="1:43" ht="15.6" x14ac:dyDescent="0.3">
      <c r="A4" s="438" t="s">
        <v>1297</v>
      </c>
      <c r="B4" s="438"/>
      <c r="C4" s="438"/>
      <c r="D4" s="438"/>
      <c r="E4" s="438"/>
      <c r="F4" s="438"/>
    </row>
    <row r="5" spans="1:43" x14ac:dyDescent="0.3">
      <c r="A5" t="s">
        <v>203</v>
      </c>
      <c r="B5" t="s">
        <v>61</v>
      </c>
    </row>
    <row r="6" spans="1:43" x14ac:dyDescent="0.3">
      <c r="A6" t="s">
        <v>204</v>
      </c>
      <c r="B6" t="s">
        <v>205</v>
      </c>
    </row>
    <row r="7" spans="1:43" x14ac:dyDescent="0.3">
      <c r="A7" t="s">
        <v>206</v>
      </c>
      <c r="B7" t="s">
        <v>207</v>
      </c>
    </row>
    <row r="9" spans="1:43" x14ac:dyDescent="0.3">
      <c r="A9" s="525" t="s">
        <v>208</v>
      </c>
      <c r="B9" s="647" t="s">
        <v>531</v>
      </c>
      <c r="C9" s="647" t="s">
        <v>532</v>
      </c>
      <c r="D9" s="647" t="s">
        <v>535</v>
      </c>
      <c r="E9" s="647" t="s">
        <v>534</v>
      </c>
      <c r="F9" s="3" t="s">
        <v>519</v>
      </c>
    </row>
    <row r="10" spans="1:43" x14ac:dyDescent="0.3">
      <c r="A10" s="312" t="s">
        <v>213</v>
      </c>
      <c r="B10" s="601">
        <f>GETPIVOTDATA("Sum of Operational Crewing",DutySystemPivot!$A$1,"Year",A10)</f>
        <v>2955</v>
      </c>
      <c r="C10" s="601">
        <f>GETPIVOTDATA("Sum of Incident Command Officers",DutySystemPivot!$A$1,"Year",A10)</f>
        <v>264</v>
      </c>
      <c r="D10" s="601">
        <f>GETPIVOTDATA("Sum of Office Duties",DutySystemPivot!$A$1,"Year",A10)</f>
        <v>358</v>
      </c>
      <c r="E10" s="601">
        <f>GETPIVOTDATA("Sum of Trainees",DutySystemPivot!$A$1,"Year",A10)</f>
        <v>60</v>
      </c>
      <c r="F10" s="265">
        <f>SUM(B10:E10)</f>
        <v>3637</v>
      </c>
    </row>
    <row r="11" spans="1:43" x14ac:dyDescent="0.3">
      <c r="A11" s="312" t="s">
        <v>312</v>
      </c>
      <c r="B11" s="601">
        <f>GETPIVOTDATA("Sum of Operational Crewing",DutySystemPivot!$A$1,"Year",A11)</f>
        <v>2966</v>
      </c>
      <c r="C11" s="601">
        <f>GETPIVOTDATA("Sum of Incident Command Officers",DutySystemPivot!$A$1,"Year",A11)</f>
        <v>270</v>
      </c>
      <c r="D11" s="601">
        <f>GETPIVOTDATA("Sum of Office Duties",DutySystemPivot!$A$1,"Year",A11)</f>
        <v>351</v>
      </c>
      <c r="E11" s="601">
        <f>GETPIVOTDATA("Sum of Trainees",DutySystemPivot!$A$1,"Year",A11)</f>
        <v>49</v>
      </c>
      <c r="F11" s="265">
        <f t="shared" ref="F11:F15" si="0">SUM(B11:E11)</f>
        <v>3636</v>
      </c>
    </row>
    <row r="12" spans="1:43" x14ac:dyDescent="0.3">
      <c r="A12" s="312" t="s">
        <v>318</v>
      </c>
      <c r="B12" s="601">
        <f>GETPIVOTDATA("Sum of Operational Crewing",DutySystemPivot!$A$1,"Year",A12)</f>
        <v>2903</v>
      </c>
      <c r="C12" s="601">
        <f>GETPIVOTDATA("Sum of Incident Command Officers",DutySystemPivot!$A$1,"Year",A12)</f>
        <v>271</v>
      </c>
      <c r="D12" s="601">
        <f>GETPIVOTDATA("Sum of Office Duties",DutySystemPivot!$A$1,"Year",A12)</f>
        <v>348</v>
      </c>
      <c r="E12" s="601">
        <f>GETPIVOTDATA("Sum of Trainees",DutySystemPivot!$A$1,"Year",A12)</f>
        <v>59</v>
      </c>
      <c r="F12" s="265">
        <f t="shared" si="0"/>
        <v>3581</v>
      </c>
    </row>
    <row r="13" spans="1:43" s="300" customFormat="1" x14ac:dyDescent="0.3">
      <c r="A13" s="312" t="s">
        <v>320</v>
      </c>
      <c r="B13" s="601">
        <f>GETPIVOTDATA("Sum of Operational Crewing",DutySystemPivot!$A$1,"Year",A13)</f>
        <v>2843</v>
      </c>
      <c r="C13" s="601">
        <f>GETPIVOTDATA("Sum of Incident Command Officers",DutySystemPivot!$A$1,"Year",A13)</f>
        <v>273</v>
      </c>
      <c r="D13" s="601">
        <f>GETPIVOTDATA("Sum of Office Duties",DutySystemPivot!$A$1,"Year",A13)</f>
        <v>349</v>
      </c>
      <c r="E13" s="601">
        <f>GETPIVOTDATA("Sum of Trainees",DutySystemPivot!$A$1,"Year",A13)</f>
        <v>65</v>
      </c>
      <c r="F13" s="265">
        <f t="shared" si="0"/>
        <v>3530</v>
      </c>
      <c r="G13"/>
      <c r="H13"/>
      <c r="I13"/>
      <c r="J13"/>
      <c r="K13"/>
      <c r="L13"/>
      <c r="M13"/>
      <c r="N13"/>
      <c r="O13"/>
      <c r="P13"/>
      <c r="Q13"/>
      <c r="R13"/>
      <c r="S13"/>
      <c r="T13"/>
      <c r="U13"/>
      <c r="V13"/>
      <c r="W13"/>
      <c r="X13"/>
      <c r="Y13"/>
      <c r="Z13"/>
      <c r="AA13"/>
      <c r="AB13"/>
      <c r="AC13"/>
      <c r="AD13"/>
      <c r="AE13"/>
      <c r="AF13"/>
      <c r="AG13"/>
      <c r="AH13"/>
      <c r="AI13"/>
      <c r="AJ13"/>
      <c r="AK13"/>
      <c r="AL13"/>
      <c r="AM13"/>
      <c r="AN13"/>
      <c r="AO13"/>
      <c r="AP13"/>
      <c r="AQ13"/>
    </row>
    <row r="14" spans="1:43" x14ac:dyDescent="0.3">
      <c r="A14" s="312" t="s">
        <v>325</v>
      </c>
      <c r="B14" s="601">
        <f>GETPIVOTDATA("Sum of Operational Crewing",DutySystemPivot!$A$1,"Year",A14)</f>
        <v>2798</v>
      </c>
      <c r="C14" s="601">
        <f>GETPIVOTDATA("Sum of Incident Command Officers",DutySystemPivot!$A$1,"Year",A14)</f>
        <v>262</v>
      </c>
      <c r="D14" s="601">
        <f>GETPIVOTDATA("Sum of Office Duties",DutySystemPivot!$A$1,"Year",A14)</f>
        <v>327</v>
      </c>
      <c r="E14" s="601">
        <f>GETPIVOTDATA("Sum of Trainees",DutySystemPivot!$A$1,"Year",A14)</f>
        <v>103</v>
      </c>
      <c r="F14" s="265">
        <f t="shared" si="0"/>
        <v>3490</v>
      </c>
    </row>
    <row r="15" spans="1:43" x14ac:dyDescent="0.3">
      <c r="A15" s="312" t="s">
        <v>326</v>
      </c>
      <c r="B15" s="601">
        <f>GETPIVOTDATA("Sum of Operational Crewing",DutySystemPivot!$A$1,"Year",A15)</f>
        <v>2823</v>
      </c>
      <c r="C15" s="601">
        <f>GETPIVOTDATA("Sum of Incident Command Officers",DutySystemPivot!$A$1,"Year",A15)</f>
        <v>263</v>
      </c>
      <c r="D15" s="601">
        <f>GETPIVOTDATA("Sum of Office Duties",DutySystemPivot!$A$1,"Year",A15)</f>
        <v>335</v>
      </c>
      <c r="E15" s="601">
        <f>GETPIVOTDATA("Sum of Trainees",DutySystemPivot!$A$1,"Year",A15)</f>
        <v>1</v>
      </c>
      <c r="F15" s="265">
        <f t="shared" si="0"/>
        <v>3422</v>
      </c>
    </row>
    <row r="16" spans="1:43" x14ac:dyDescent="0.3">
      <c r="A16" s="312" t="s">
        <v>328</v>
      </c>
      <c r="B16" s="601">
        <f>GETPIVOTDATA("Sum of Operational Crewing",DutySystemPivot!$A$1,"Year",A16)</f>
        <v>2762</v>
      </c>
      <c r="C16" s="601">
        <f>GETPIVOTDATA("Sum of Incident Command Officers",DutySystemPivot!$A$1,"Year",A16)</f>
        <v>267</v>
      </c>
      <c r="D16" s="601">
        <f>GETPIVOTDATA("Sum of Office Duties",DutySystemPivot!$A$1,"Year",A16)</f>
        <v>332</v>
      </c>
      <c r="E16" s="601">
        <f>GETPIVOTDATA("Sum of Trainees",DutySystemPivot!$A$1,"Year",A16)</f>
        <v>69</v>
      </c>
      <c r="F16" s="265">
        <f t="shared" ref="F16" si="1">SUM(B16:E16)</f>
        <v>3430</v>
      </c>
    </row>
    <row r="17" spans="1:6" ht="15" thickBot="1" x14ac:dyDescent="0.35">
      <c r="A17" s="524" t="s">
        <v>412</v>
      </c>
      <c r="B17" s="606">
        <f>GETPIVOTDATA("Sum of Operational Crewing",DutySystemPivot!$A$1,"Year",A17)</f>
        <v>2744</v>
      </c>
      <c r="C17" s="606">
        <f>GETPIVOTDATA("Sum of Incident Command Officers",DutySystemPivot!$A$1,"Year",A17)</f>
        <v>266</v>
      </c>
      <c r="D17" s="606">
        <f>GETPIVOTDATA("Sum of Office Duties",DutySystemPivot!$A$1,"Year",A17)</f>
        <v>349</v>
      </c>
      <c r="E17" s="606">
        <f>GETPIVOTDATA("Sum of Trainees",DutySystemPivot!$A$1,"Year",A17)</f>
        <v>72</v>
      </c>
      <c r="F17" s="1006">
        <f>SUM(B17:E17)</f>
        <v>3431</v>
      </c>
    </row>
    <row r="18" spans="1:6" ht="21" customHeight="1" x14ac:dyDescent="0.3">
      <c r="A18" s="312"/>
      <c r="B18" s="601"/>
      <c r="C18" s="601"/>
      <c r="D18" s="601"/>
      <c r="E18" s="601"/>
      <c r="F18" s="1007"/>
    </row>
    <row r="19" spans="1:6" x14ac:dyDescent="0.3">
      <c r="A19" s="312" t="s">
        <v>329</v>
      </c>
      <c r="F19" s="414"/>
    </row>
    <row r="20" spans="1:6" ht="60.6" customHeight="1" x14ac:dyDescent="0.3">
      <c r="A20" s="1029" t="s">
        <v>536</v>
      </c>
      <c r="B20" s="1029"/>
      <c r="C20" s="1029"/>
      <c r="D20" s="1029"/>
      <c r="E20" s="1029"/>
    </row>
  </sheetData>
  <sheetProtection algorithmName="SHA-512" hashValue="/oxfLAZ8VOJOE5PW28sIhodDnKbiCT2GGilxhOiVqbqO56keXADS9csqRfI8ISz2tIKtLsGVAVco39LSNbuE1w==" saltValue="jSvyrthbMIl+keBiWoR3GQ==" spinCount="100000" sheet="1" scenarios="1" formatCells="0" sort="0" autoFilter="0" pivotTables="0"/>
  <mergeCells count="2">
    <mergeCell ref="A1:F1"/>
    <mergeCell ref="A20:E20"/>
  </mergeCells>
  <phoneticPr fontId="53" type="noConversion"/>
  <hyperlinks>
    <hyperlink ref="A2" location="'Table of Contents'!A1" display="Back to Table of Contents" xr:uid="{00000000-0004-0000-1A00-000000000000}"/>
  </hyperlinks>
  <pageMargins left="0.7" right="0.7" top="0.75" bottom="0.75" header="0.3" footer="0.3"/>
  <pageSetup paperSize="9" orientation="portrait" r:id="rId1"/>
  <tableParts count="1">
    <tablePart r:id="rId2"/>
  </tableParts>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tabColor theme="9" tint="0.39997558519241921"/>
  </sheetPr>
  <dimension ref="A1:E61"/>
  <sheetViews>
    <sheetView workbookViewId="0">
      <selection activeCell="A15" sqref="A15"/>
    </sheetView>
  </sheetViews>
  <sheetFormatPr defaultRowHeight="14.4" x14ac:dyDescent="0.3"/>
  <cols>
    <col min="1" max="1" width="60.44140625" bestFit="1" customWidth="1"/>
    <col min="2" max="2" width="25.6640625" bestFit="1" customWidth="1"/>
    <col min="3" max="3" width="31.5546875" bestFit="1" customWidth="1"/>
    <col min="4" max="4" width="18.88671875" bestFit="1" customWidth="1"/>
    <col min="5" max="5" width="14.88671875" bestFit="1" customWidth="1"/>
  </cols>
  <sheetData>
    <row r="1" spans="1:5" x14ac:dyDescent="0.3">
      <c r="A1" s="386" t="s">
        <v>208</v>
      </c>
      <c r="B1" t="s">
        <v>412</v>
      </c>
    </row>
    <row r="3" spans="1:5" x14ac:dyDescent="0.3">
      <c r="A3" s="386" t="s">
        <v>350</v>
      </c>
      <c r="B3" t="s">
        <v>527</v>
      </c>
      <c r="C3" t="s">
        <v>528</v>
      </c>
      <c r="D3" t="s">
        <v>529</v>
      </c>
      <c r="E3" t="s">
        <v>530</v>
      </c>
    </row>
    <row r="4" spans="1:5" x14ac:dyDescent="0.3">
      <c r="A4" s="387" t="s">
        <v>537</v>
      </c>
    </row>
    <row r="5" spans="1:5" x14ac:dyDescent="0.3">
      <c r="A5" s="388" t="s">
        <v>215</v>
      </c>
      <c r="B5">
        <v>104</v>
      </c>
      <c r="C5">
        <v>0</v>
      </c>
      <c r="D5">
        <v>5</v>
      </c>
      <c r="E5">
        <v>0</v>
      </c>
    </row>
    <row r="6" spans="1:5" x14ac:dyDescent="0.3">
      <c r="A6" s="388" t="s">
        <v>220</v>
      </c>
      <c r="B6">
        <v>27</v>
      </c>
      <c r="C6">
        <v>0</v>
      </c>
      <c r="D6">
        <v>15</v>
      </c>
      <c r="E6">
        <v>0</v>
      </c>
    </row>
    <row r="7" spans="1:5" x14ac:dyDescent="0.3">
      <c r="A7" s="388" t="s">
        <v>224</v>
      </c>
      <c r="B7">
        <v>25</v>
      </c>
      <c r="C7">
        <v>1</v>
      </c>
      <c r="D7">
        <v>0</v>
      </c>
      <c r="E7">
        <v>0</v>
      </c>
    </row>
    <row r="8" spans="1:5" x14ac:dyDescent="0.3">
      <c r="A8" s="388" t="s">
        <v>228</v>
      </c>
      <c r="B8">
        <v>51</v>
      </c>
      <c r="C8">
        <v>0</v>
      </c>
      <c r="D8">
        <v>1</v>
      </c>
      <c r="E8">
        <v>0</v>
      </c>
    </row>
    <row r="9" spans="1:5" x14ac:dyDescent="0.3">
      <c r="A9" s="388" t="s">
        <v>240</v>
      </c>
      <c r="B9">
        <v>26</v>
      </c>
      <c r="C9">
        <v>0</v>
      </c>
      <c r="D9">
        <v>1</v>
      </c>
      <c r="E9">
        <v>0</v>
      </c>
    </row>
    <row r="10" spans="1:5" x14ac:dyDescent="0.3">
      <c r="A10" s="388" t="s">
        <v>538</v>
      </c>
      <c r="B10">
        <v>49</v>
      </c>
      <c r="C10">
        <v>0</v>
      </c>
      <c r="D10">
        <v>15</v>
      </c>
      <c r="E10">
        <v>0</v>
      </c>
    </row>
    <row r="11" spans="1:5" x14ac:dyDescent="0.3">
      <c r="A11" s="388" t="s">
        <v>247</v>
      </c>
      <c r="B11">
        <v>157</v>
      </c>
      <c r="C11">
        <v>1</v>
      </c>
      <c r="D11">
        <v>0</v>
      </c>
      <c r="E11">
        <v>0</v>
      </c>
    </row>
    <row r="12" spans="1:5" x14ac:dyDescent="0.3">
      <c r="A12" s="388" t="s">
        <v>249</v>
      </c>
      <c r="B12">
        <v>53</v>
      </c>
      <c r="C12">
        <v>0</v>
      </c>
      <c r="D12">
        <v>0</v>
      </c>
      <c r="E12">
        <v>0</v>
      </c>
    </row>
    <row r="13" spans="1:5" x14ac:dyDescent="0.3">
      <c r="A13" s="388" t="s">
        <v>253</v>
      </c>
      <c r="B13">
        <v>81</v>
      </c>
      <c r="C13">
        <v>0</v>
      </c>
      <c r="D13">
        <v>0</v>
      </c>
      <c r="E13">
        <v>0</v>
      </c>
    </row>
    <row r="14" spans="1:5" x14ac:dyDescent="0.3">
      <c r="A14" s="388" t="s">
        <v>255</v>
      </c>
      <c r="B14">
        <v>25</v>
      </c>
      <c r="C14">
        <v>0</v>
      </c>
      <c r="D14">
        <v>0</v>
      </c>
      <c r="E14">
        <v>0</v>
      </c>
    </row>
    <row r="15" spans="1:5" x14ac:dyDescent="0.3">
      <c r="A15" s="388" t="s">
        <v>259</v>
      </c>
      <c r="B15">
        <v>50</v>
      </c>
      <c r="C15">
        <v>0</v>
      </c>
      <c r="D15">
        <v>0</v>
      </c>
      <c r="E15">
        <v>0</v>
      </c>
    </row>
    <row r="16" spans="1:5" x14ac:dyDescent="0.3">
      <c r="A16" s="388" t="s">
        <v>236</v>
      </c>
      <c r="B16">
        <v>285</v>
      </c>
      <c r="C16">
        <v>0</v>
      </c>
      <c r="D16">
        <v>18</v>
      </c>
      <c r="E16">
        <v>0</v>
      </c>
    </row>
    <row r="17" spans="1:5" x14ac:dyDescent="0.3">
      <c r="A17" s="388" t="s">
        <v>263</v>
      </c>
      <c r="B17">
        <v>84</v>
      </c>
      <c r="C17">
        <v>0</v>
      </c>
      <c r="D17">
        <v>0</v>
      </c>
      <c r="E17">
        <v>0</v>
      </c>
    </row>
    <row r="18" spans="1:5" x14ac:dyDescent="0.3">
      <c r="A18" s="388" t="s">
        <v>267</v>
      </c>
      <c r="B18">
        <v>203</v>
      </c>
      <c r="C18">
        <v>0</v>
      </c>
      <c r="D18">
        <v>1</v>
      </c>
      <c r="E18">
        <v>0</v>
      </c>
    </row>
    <row r="19" spans="1:5" x14ac:dyDescent="0.3">
      <c r="A19" s="388" t="s">
        <v>270</v>
      </c>
      <c r="B19">
        <v>442</v>
      </c>
      <c r="C19">
        <v>0</v>
      </c>
      <c r="D19">
        <v>10</v>
      </c>
      <c r="E19">
        <v>0</v>
      </c>
    </row>
    <row r="20" spans="1:5" x14ac:dyDescent="0.3">
      <c r="A20" s="388" t="s">
        <v>275</v>
      </c>
      <c r="B20">
        <v>70</v>
      </c>
      <c r="C20">
        <v>0</v>
      </c>
      <c r="D20">
        <v>13</v>
      </c>
      <c r="E20">
        <v>0</v>
      </c>
    </row>
    <row r="21" spans="1:5" x14ac:dyDescent="0.3">
      <c r="A21" s="388" t="s">
        <v>277</v>
      </c>
      <c r="B21">
        <v>66</v>
      </c>
      <c r="C21">
        <v>0</v>
      </c>
      <c r="D21">
        <v>0</v>
      </c>
      <c r="E21">
        <v>0</v>
      </c>
    </row>
    <row r="22" spans="1:5" x14ac:dyDescent="0.3">
      <c r="A22" s="388" t="s">
        <v>279</v>
      </c>
      <c r="B22">
        <v>28</v>
      </c>
      <c r="C22">
        <v>0</v>
      </c>
      <c r="D22">
        <v>3</v>
      </c>
      <c r="E22">
        <v>0</v>
      </c>
    </row>
    <row r="23" spans="1:5" x14ac:dyDescent="0.3">
      <c r="A23" s="388" t="s">
        <v>281</v>
      </c>
      <c r="B23">
        <v>28</v>
      </c>
      <c r="C23">
        <v>0</v>
      </c>
      <c r="D23">
        <v>1</v>
      </c>
      <c r="E23">
        <v>0</v>
      </c>
    </row>
    <row r="24" spans="1:5" x14ac:dyDescent="0.3">
      <c r="A24" s="388" t="s">
        <v>283</v>
      </c>
      <c r="B24">
        <v>0</v>
      </c>
      <c r="C24">
        <v>0</v>
      </c>
      <c r="D24">
        <v>3</v>
      </c>
      <c r="E24">
        <v>0</v>
      </c>
    </row>
    <row r="25" spans="1:5" x14ac:dyDescent="0.3">
      <c r="A25" s="388" t="s">
        <v>287</v>
      </c>
      <c r="B25">
        <v>76</v>
      </c>
      <c r="C25">
        <v>0</v>
      </c>
      <c r="D25">
        <v>0</v>
      </c>
      <c r="E25">
        <v>0</v>
      </c>
    </row>
    <row r="26" spans="1:5" x14ac:dyDescent="0.3">
      <c r="A26" s="388" t="s">
        <v>289</v>
      </c>
      <c r="B26">
        <v>170</v>
      </c>
      <c r="C26">
        <v>0</v>
      </c>
      <c r="D26">
        <v>0</v>
      </c>
      <c r="E26">
        <v>0</v>
      </c>
    </row>
    <row r="27" spans="1:5" x14ac:dyDescent="0.3">
      <c r="A27" s="388" t="s">
        <v>292</v>
      </c>
      <c r="B27">
        <v>0</v>
      </c>
      <c r="C27">
        <v>0</v>
      </c>
      <c r="D27">
        <v>1</v>
      </c>
      <c r="E27">
        <v>0</v>
      </c>
    </row>
    <row r="28" spans="1:5" x14ac:dyDescent="0.3">
      <c r="A28" s="388" t="s">
        <v>294</v>
      </c>
      <c r="B28">
        <v>56</v>
      </c>
      <c r="C28">
        <v>1</v>
      </c>
      <c r="D28">
        <v>13</v>
      </c>
      <c r="E28">
        <v>0</v>
      </c>
    </row>
    <row r="29" spans="1:5" x14ac:dyDescent="0.3">
      <c r="A29" s="388" t="s">
        <v>296</v>
      </c>
      <c r="B29">
        <v>101</v>
      </c>
      <c r="C29">
        <v>0</v>
      </c>
      <c r="D29">
        <v>0</v>
      </c>
      <c r="E29">
        <v>0</v>
      </c>
    </row>
    <row r="30" spans="1:5" x14ac:dyDescent="0.3">
      <c r="A30" s="388" t="s">
        <v>298</v>
      </c>
      <c r="B30">
        <v>56</v>
      </c>
      <c r="C30">
        <v>0</v>
      </c>
      <c r="D30">
        <v>2</v>
      </c>
      <c r="E30">
        <v>0</v>
      </c>
    </row>
    <row r="31" spans="1:5" x14ac:dyDescent="0.3">
      <c r="A31" s="388" t="s">
        <v>302</v>
      </c>
      <c r="B31">
        <v>49</v>
      </c>
      <c r="C31">
        <v>0</v>
      </c>
      <c r="D31">
        <v>2</v>
      </c>
      <c r="E31">
        <v>0</v>
      </c>
    </row>
    <row r="32" spans="1:5" x14ac:dyDescent="0.3">
      <c r="A32" s="388" t="s">
        <v>304</v>
      </c>
      <c r="B32">
        <v>149</v>
      </c>
      <c r="C32">
        <v>1</v>
      </c>
      <c r="D32">
        <v>0</v>
      </c>
      <c r="E32">
        <v>0</v>
      </c>
    </row>
    <row r="33" spans="1:5" x14ac:dyDescent="0.3">
      <c r="A33" s="388" t="s">
        <v>307</v>
      </c>
      <c r="B33">
        <v>48</v>
      </c>
      <c r="C33">
        <v>0</v>
      </c>
      <c r="D33">
        <v>1</v>
      </c>
      <c r="E33">
        <v>0</v>
      </c>
    </row>
    <row r="34" spans="1:5" x14ac:dyDescent="0.3">
      <c r="A34" s="388" t="s">
        <v>309</v>
      </c>
      <c r="B34">
        <v>76</v>
      </c>
      <c r="C34">
        <v>0</v>
      </c>
      <c r="D34">
        <v>1</v>
      </c>
      <c r="E34">
        <v>0</v>
      </c>
    </row>
    <row r="35" spans="1:5" x14ac:dyDescent="0.3">
      <c r="A35" s="388" t="s">
        <v>311</v>
      </c>
      <c r="B35">
        <v>61</v>
      </c>
      <c r="C35">
        <v>0</v>
      </c>
      <c r="D35">
        <v>4</v>
      </c>
      <c r="E35">
        <v>0</v>
      </c>
    </row>
    <row r="36" spans="1:5" x14ac:dyDescent="0.3">
      <c r="A36" s="387" t="s">
        <v>539</v>
      </c>
      <c r="B36">
        <v>2696</v>
      </c>
      <c r="C36">
        <v>4</v>
      </c>
      <c r="D36">
        <v>110</v>
      </c>
      <c r="E36">
        <v>0</v>
      </c>
    </row>
    <row r="37" spans="1:5" x14ac:dyDescent="0.3">
      <c r="A37" s="387" t="s">
        <v>540</v>
      </c>
    </row>
    <row r="38" spans="1:5" x14ac:dyDescent="0.3">
      <c r="A38" s="388" t="s">
        <v>322</v>
      </c>
      <c r="B38">
        <v>48</v>
      </c>
      <c r="C38">
        <v>16</v>
      </c>
      <c r="D38">
        <v>9</v>
      </c>
      <c r="E38">
        <v>0</v>
      </c>
    </row>
    <row r="39" spans="1:5" x14ac:dyDescent="0.3">
      <c r="A39" s="388" t="s">
        <v>230</v>
      </c>
      <c r="B39">
        <v>0</v>
      </c>
      <c r="C39">
        <v>14</v>
      </c>
      <c r="D39">
        <v>10</v>
      </c>
      <c r="E39">
        <v>0</v>
      </c>
    </row>
    <row r="40" spans="1:5" x14ac:dyDescent="0.3">
      <c r="A40" s="388" t="s">
        <v>244</v>
      </c>
      <c r="B40">
        <v>0</v>
      </c>
      <c r="C40">
        <v>10</v>
      </c>
      <c r="D40">
        <v>1</v>
      </c>
      <c r="E40">
        <v>0</v>
      </c>
    </row>
    <row r="41" spans="1:5" x14ac:dyDescent="0.3">
      <c r="A41" s="388" t="s">
        <v>226</v>
      </c>
      <c r="B41">
        <v>0</v>
      </c>
      <c r="C41">
        <v>11</v>
      </c>
      <c r="D41">
        <v>11</v>
      </c>
      <c r="E41">
        <v>0</v>
      </c>
    </row>
    <row r="42" spans="1:5" x14ac:dyDescent="0.3">
      <c r="A42" s="388" t="s">
        <v>251</v>
      </c>
      <c r="B42">
        <v>0</v>
      </c>
      <c r="C42">
        <v>13</v>
      </c>
      <c r="D42">
        <v>12</v>
      </c>
      <c r="E42">
        <v>0</v>
      </c>
    </row>
    <row r="43" spans="1:5" x14ac:dyDescent="0.3">
      <c r="A43" s="388" t="s">
        <v>257</v>
      </c>
      <c r="B43">
        <v>0</v>
      </c>
      <c r="C43">
        <v>10</v>
      </c>
      <c r="D43">
        <v>16</v>
      </c>
      <c r="E43">
        <v>0</v>
      </c>
    </row>
    <row r="44" spans="1:5" x14ac:dyDescent="0.3">
      <c r="A44" s="388" t="s">
        <v>261</v>
      </c>
      <c r="B44">
        <v>0</v>
      </c>
      <c r="C44">
        <v>9</v>
      </c>
      <c r="D44">
        <v>9</v>
      </c>
      <c r="E44">
        <v>0</v>
      </c>
    </row>
    <row r="45" spans="1:5" x14ac:dyDescent="0.3">
      <c r="A45" s="388" t="s">
        <v>236</v>
      </c>
      <c r="B45">
        <v>0</v>
      </c>
      <c r="C45">
        <v>16</v>
      </c>
      <c r="D45">
        <v>15</v>
      </c>
      <c r="E45">
        <v>0</v>
      </c>
    </row>
    <row r="46" spans="1:5" x14ac:dyDescent="0.3">
      <c r="A46" s="388" t="s">
        <v>265</v>
      </c>
      <c r="B46">
        <v>0</v>
      </c>
      <c r="C46">
        <v>9</v>
      </c>
      <c r="D46">
        <v>10</v>
      </c>
      <c r="E46">
        <v>0</v>
      </c>
    </row>
    <row r="47" spans="1:5" x14ac:dyDescent="0.3">
      <c r="A47" s="388" t="s">
        <v>270</v>
      </c>
      <c r="B47">
        <v>0</v>
      </c>
      <c r="C47">
        <v>14</v>
      </c>
      <c r="D47">
        <v>16</v>
      </c>
      <c r="E47">
        <v>0</v>
      </c>
    </row>
    <row r="48" spans="1:5" x14ac:dyDescent="0.3">
      <c r="A48" s="388" t="s">
        <v>275</v>
      </c>
      <c r="B48">
        <v>0</v>
      </c>
      <c r="C48">
        <v>18</v>
      </c>
      <c r="D48">
        <v>6</v>
      </c>
      <c r="E48">
        <v>0</v>
      </c>
    </row>
    <row r="49" spans="1:5" x14ac:dyDescent="0.3">
      <c r="A49" s="388" t="s">
        <v>324</v>
      </c>
      <c r="B49">
        <v>0</v>
      </c>
      <c r="C49">
        <v>11</v>
      </c>
      <c r="D49">
        <v>9</v>
      </c>
      <c r="E49">
        <v>0</v>
      </c>
    </row>
    <row r="50" spans="1:5" x14ac:dyDescent="0.3">
      <c r="A50" s="388" t="s">
        <v>313</v>
      </c>
      <c r="B50">
        <v>0</v>
      </c>
      <c r="C50">
        <v>14</v>
      </c>
      <c r="D50">
        <v>18</v>
      </c>
      <c r="E50">
        <v>0</v>
      </c>
    </row>
    <row r="51" spans="1:5" x14ac:dyDescent="0.3">
      <c r="A51" s="388" t="s">
        <v>285</v>
      </c>
      <c r="B51">
        <v>0</v>
      </c>
      <c r="C51">
        <v>10</v>
      </c>
      <c r="D51">
        <v>0</v>
      </c>
      <c r="E51">
        <v>0</v>
      </c>
    </row>
    <row r="52" spans="1:5" x14ac:dyDescent="0.3">
      <c r="A52" s="387" t="s">
        <v>541</v>
      </c>
      <c r="B52">
        <v>48</v>
      </c>
      <c r="C52">
        <v>175</v>
      </c>
      <c r="D52">
        <v>142</v>
      </c>
      <c r="E52">
        <v>0</v>
      </c>
    </row>
    <row r="53" spans="1:5" x14ac:dyDescent="0.3">
      <c r="A53" s="387" t="s">
        <v>542</v>
      </c>
    </row>
    <row r="54" spans="1:5" x14ac:dyDescent="0.3">
      <c r="A54" s="388" t="s">
        <v>238</v>
      </c>
      <c r="B54">
        <v>0</v>
      </c>
      <c r="C54">
        <v>10</v>
      </c>
      <c r="D54">
        <v>6</v>
      </c>
      <c r="E54">
        <v>24</v>
      </c>
    </row>
    <row r="55" spans="1:5" x14ac:dyDescent="0.3">
      <c r="A55" s="388" t="s">
        <v>218</v>
      </c>
      <c r="B55">
        <v>0</v>
      </c>
      <c r="C55">
        <v>9</v>
      </c>
      <c r="D55">
        <v>6</v>
      </c>
      <c r="E55">
        <v>12</v>
      </c>
    </row>
    <row r="56" spans="1:5" x14ac:dyDescent="0.3">
      <c r="A56" s="388" t="s">
        <v>232</v>
      </c>
      <c r="B56">
        <v>0</v>
      </c>
      <c r="C56">
        <v>11</v>
      </c>
      <c r="D56">
        <v>47</v>
      </c>
      <c r="E56">
        <v>36</v>
      </c>
    </row>
    <row r="57" spans="1:5" x14ac:dyDescent="0.3">
      <c r="A57" s="387" t="s">
        <v>543</v>
      </c>
      <c r="B57">
        <v>0</v>
      </c>
      <c r="C57">
        <v>30</v>
      </c>
      <c r="D57">
        <v>59</v>
      </c>
      <c r="E57">
        <v>72</v>
      </c>
    </row>
    <row r="58" spans="1:5" x14ac:dyDescent="0.3">
      <c r="A58" s="387" t="s">
        <v>544</v>
      </c>
    </row>
    <row r="59" spans="1:5" x14ac:dyDescent="0.3">
      <c r="A59" s="388" t="s">
        <v>545</v>
      </c>
      <c r="B59">
        <v>0</v>
      </c>
      <c r="C59">
        <v>57</v>
      </c>
      <c r="D59">
        <v>38</v>
      </c>
      <c r="E59">
        <v>0</v>
      </c>
    </row>
    <row r="60" spans="1:5" x14ac:dyDescent="0.3">
      <c r="A60" s="387" t="s">
        <v>546</v>
      </c>
      <c r="B60">
        <v>0</v>
      </c>
      <c r="C60">
        <v>57</v>
      </c>
      <c r="D60">
        <v>38</v>
      </c>
      <c r="E60">
        <v>0</v>
      </c>
    </row>
    <row r="61" spans="1:5" x14ac:dyDescent="0.3">
      <c r="A61" s="387" t="s">
        <v>357</v>
      </c>
      <c r="B61">
        <v>2744</v>
      </c>
      <c r="C61">
        <v>266</v>
      </c>
      <c r="D61">
        <v>349</v>
      </c>
      <c r="E61">
        <v>72</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tabColor theme="9" tint="0.39997558519241921"/>
  </sheetPr>
  <dimension ref="A1:H415"/>
  <sheetViews>
    <sheetView workbookViewId="0">
      <selection activeCell="C12" sqref="C12"/>
    </sheetView>
  </sheetViews>
  <sheetFormatPr defaultRowHeight="14.4" x14ac:dyDescent="0.3"/>
  <cols>
    <col min="1" max="1" width="7.44140625" bestFit="1" customWidth="1"/>
    <col min="2" max="2" width="15.5546875" bestFit="1" customWidth="1"/>
    <col min="3" max="3" width="54.33203125" bestFit="1" customWidth="1"/>
    <col min="4" max="4" width="9.77734375" bestFit="1" customWidth="1"/>
    <col min="5" max="5" width="20.44140625" bestFit="1" customWidth="1"/>
    <col min="6" max="6" width="26.21875" bestFit="1" customWidth="1"/>
    <col min="7" max="7" width="13.77734375" bestFit="1" customWidth="1"/>
    <col min="8" max="8" width="10.21875" bestFit="1" customWidth="1"/>
  </cols>
  <sheetData>
    <row r="1" spans="1:8" x14ac:dyDescent="0.3">
      <c r="A1" t="s">
        <v>208</v>
      </c>
      <c r="B1" t="s">
        <v>547</v>
      </c>
      <c r="C1" t="s">
        <v>548</v>
      </c>
      <c r="D1" t="s">
        <v>25</v>
      </c>
      <c r="E1" t="s">
        <v>531</v>
      </c>
      <c r="F1" t="s">
        <v>532</v>
      </c>
      <c r="G1" t="s">
        <v>533</v>
      </c>
      <c r="H1" t="s">
        <v>534</v>
      </c>
    </row>
    <row r="2" spans="1:8" x14ac:dyDescent="0.3">
      <c r="A2" t="s">
        <v>213</v>
      </c>
      <c r="B2" t="s">
        <v>537</v>
      </c>
      <c r="C2" t="s">
        <v>215</v>
      </c>
      <c r="D2" t="s">
        <v>214</v>
      </c>
      <c r="E2">
        <v>154</v>
      </c>
      <c r="F2">
        <v>0</v>
      </c>
      <c r="G2">
        <v>0</v>
      </c>
      <c r="H2">
        <v>0</v>
      </c>
    </row>
    <row r="3" spans="1:8" x14ac:dyDescent="0.3">
      <c r="A3" t="s">
        <v>213</v>
      </c>
      <c r="B3" t="s">
        <v>537</v>
      </c>
      <c r="C3" t="s">
        <v>228</v>
      </c>
      <c r="D3" t="s">
        <v>227</v>
      </c>
      <c r="E3">
        <v>54</v>
      </c>
      <c r="F3">
        <v>0</v>
      </c>
      <c r="G3">
        <v>0</v>
      </c>
      <c r="H3">
        <v>0</v>
      </c>
    </row>
    <row r="4" spans="1:8" x14ac:dyDescent="0.3">
      <c r="A4" t="s">
        <v>213</v>
      </c>
      <c r="B4" t="s">
        <v>537</v>
      </c>
      <c r="C4" t="s">
        <v>267</v>
      </c>
      <c r="D4" t="s">
        <v>237</v>
      </c>
      <c r="E4">
        <v>274</v>
      </c>
      <c r="F4">
        <v>0</v>
      </c>
      <c r="G4">
        <v>0</v>
      </c>
      <c r="H4">
        <v>0</v>
      </c>
    </row>
    <row r="5" spans="1:8" x14ac:dyDescent="0.3">
      <c r="A5" t="s">
        <v>213</v>
      </c>
      <c r="B5" t="s">
        <v>537</v>
      </c>
      <c r="C5" t="s">
        <v>281</v>
      </c>
      <c r="D5" t="s">
        <v>280</v>
      </c>
      <c r="E5">
        <v>30</v>
      </c>
      <c r="F5">
        <v>0</v>
      </c>
      <c r="G5">
        <v>0</v>
      </c>
      <c r="H5">
        <v>0</v>
      </c>
    </row>
    <row r="6" spans="1:8" x14ac:dyDescent="0.3">
      <c r="A6" t="s">
        <v>213</v>
      </c>
      <c r="B6" t="s">
        <v>537</v>
      </c>
      <c r="C6" t="s">
        <v>302</v>
      </c>
      <c r="D6" t="s">
        <v>301</v>
      </c>
      <c r="E6">
        <v>50</v>
      </c>
      <c r="F6">
        <v>0</v>
      </c>
      <c r="G6">
        <v>0</v>
      </c>
      <c r="H6">
        <v>0</v>
      </c>
    </row>
    <row r="7" spans="1:8" x14ac:dyDescent="0.3">
      <c r="A7" t="s">
        <v>213</v>
      </c>
      <c r="B7" t="s">
        <v>540</v>
      </c>
      <c r="C7" t="s">
        <v>222</v>
      </c>
      <c r="D7" t="s">
        <v>221</v>
      </c>
      <c r="E7">
        <v>0</v>
      </c>
      <c r="F7">
        <v>11</v>
      </c>
      <c r="G7">
        <v>14</v>
      </c>
      <c r="H7">
        <v>0</v>
      </c>
    </row>
    <row r="8" spans="1:8" x14ac:dyDescent="0.3">
      <c r="A8" t="s">
        <v>213</v>
      </c>
      <c r="B8" t="s">
        <v>540</v>
      </c>
      <c r="C8" t="s">
        <v>244</v>
      </c>
      <c r="D8" t="s">
        <v>245</v>
      </c>
      <c r="E8">
        <v>0</v>
      </c>
      <c r="F8">
        <v>9</v>
      </c>
      <c r="G8">
        <v>13</v>
      </c>
      <c r="H8">
        <v>0</v>
      </c>
    </row>
    <row r="9" spans="1:8" x14ac:dyDescent="0.3">
      <c r="A9" t="s">
        <v>213</v>
      </c>
      <c r="B9" t="s">
        <v>540</v>
      </c>
      <c r="C9" t="s">
        <v>251</v>
      </c>
      <c r="D9" t="s">
        <v>250</v>
      </c>
      <c r="E9">
        <v>0</v>
      </c>
      <c r="F9">
        <v>13</v>
      </c>
      <c r="G9">
        <v>12</v>
      </c>
      <c r="H9">
        <v>0</v>
      </c>
    </row>
    <row r="10" spans="1:8" x14ac:dyDescent="0.3">
      <c r="A10" t="s">
        <v>213</v>
      </c>
      <c r="B10" t="s">
        <v>540</v>
      </c>
      <c r="C10" t="s">
        <v>265</v>
      </c>
      <c r="D10" t="s">
        <v>237</v>
      </c>
      <c r="E10">
        <v>0</v>
      </c>
      <c r="F10">
        <v>9</v>
      </c>
      <c r="G10">
        <v>11</v>
      </c>
      <c r="H10">
        <v>0</v>
      </c>
    </row>
    <row r="11" spans="1:8" x14ac:dyDescent="0.3">
      <c r="A11" t="s">
        <v>213</v>
      </c>
      <c r="B11" t="s">
        <v>540</v>
      </c>
      <c r="C11" t="s">
        <v>270</v>
      </c>
      <c r="D11" t="s">
        <v>271</v>
      </c>
      <c r="E11">
        <v>0</v>
      </c>
      <c r="F11">
        <v>14</v>
      </c>
      <c r="G11">
        <v>11</v>
      </c>
      <c r="H11">
        <v>0</v>
      </c>
    </row>
    <row r="12" spans="1:8" x14ac:dyDescent="0.3">
      <c r="A12" t="s">
        <v>213</v>
      </c>
      <c r="B12" t="s">
        <v>542</v>
      </c>
      <c r="C12" t="s">
        <v>238</v>
      </c>
      <c r="D12" t="s">
        <v>237</v>
      </c>
      <c r="E12">
        <v>0</v>
      </c>
      <c r="F12">
        <v>11</v>
      </c>
      <c r="G12">
        <v>26</v>
      </c>
      <c r="H12">
        <v>0</v>
      </c>
    </row>
    <row r="13" spans="1:8" x14ac:dyDescent="0.3">
      <c r="A13" t="s">
        <v>312</v>
      </c>
      <c r="B13" t="s">
        <v>537</v>
      </c>
      <c r="C13" t="s">
        <v>228</v>
      </c>
      <c r="D13" t="s">
        <v>231</v>
      </c>
      <c r="E13">
        <v>53</v>
      </c>
      <c r="F13">
        <v>0</v>
      </c>
      <c r="G13">
        <v>0</v>
      </c>
      <c r="H13">
        <v>0</v>
      </c>
    </row>
    <row r="14" spans="1:8" x14ac:dyDescent="0.3">
      <c r="A14" t="s">
        <v>312</v>
      </c>
      <c r="B14" t="s">
        <v>537</v>
      </c>
      <c r="C14" t="s">
        <v>236</v>
      </c>
      <c r="D14" t="s">
        <v>237</v>
      </c>
      <c r="E14">
        <v>306</v>
      </c>
      <c r="F14">
        <v>0</v>
      </c>
      <c r="G14">
        <v>0</v>
      </c>
      <c r="H14">
        <v>0</v>
      </c>
    </row>
    <row r="15" spans="1:8" x14ac:dyDescent="0.3">
      <c r="A15" t="s">
        <v>312</v>
      </c>
      <c r="B15" t="s">
        <v>537</v>
      </c>
      <c r="C15" t="s">
        <v>270</v>
      </c>
      <c r="D15" t="s">
        <v>231</v>
      </c>
      <c r="E15">
        <v>517</v>
      </c>
      <c r="F15">
        <v>0</v>
      </c>
      <c r="G15">
        <v>0</v>
      </c>
      <c r="H15">
        <v>0</v>
      </c>
    </row>
    <row r="16" spans="1:8" x14ac:dyDescent="0.3">
      <c r="A16" t="s">
        <v>312</v>
      </c>
      <c r="B16" t="s">
        <v>537</v>
      </c>
      <c r="C16" t="s">
        <v>279</v>
      </c>
      <c r="D16" t="s">
        <v>237</v>
      </c>
      <c r="E16">
        <v>26</v>
      </c>
      <c r="F16">
        <v>0</v>
      </c>
      <c r="G16">
        <v>0</v>
      </c>
      <c r="H16">
        <v>0</v>
      </c>
    </row>
    <row r="17" spans="1:8" x14ac:dyDescent="0.3">
      <c r="A17" t="s">
        <v>312</v>
      </c>
      <c r="B17" t="s">
        <v>537</v>
      </c>
      <c r="C17" t="s">
        <v>281</v>
      </c>
      <c r="D17" t="s">
        <v>217</v>
      </c>
      <c r="E17">
        <v>30</v>
      </c>
      <c r="F17">
        <v>0</v>
      </c>
      <c r="G17">
        <v>0</v>
      </c>
      <c r="H17">
        <v>0</v>
      </c>
    </row>
    <row r="18" spans="1:8" x14ac:dyDescent="0.3">
      <c r="A18" t="s">
        <v>312</v>
      </c>
      <c r="B18" t="s">
        <v>537</v>
      </c>
      <c r="C18" t="s">
        <v>304</v>
      </c>
      <c r="D18" t="s">
        <v>231</v>
      </c>
      <c r="E18">
        <v>168</v>
      </c>
      <c r="F18">
        <v>0</v>
      </c>
      <c r="G18">
        <v>0</v>
      </c>
      <c r="H18">
        <v>0</v>
      </c>
    </row>
    <row r="19" spans="1:8" x14ac:dyDescent="0.3">
      <c r="A19" t="s">
        <v>312</v>
      </c>
      <c r="B19" t="s">
        <v>540</v>
      </c>
      <c r="C19" t="s">
        <v>261</v>
      </c>
      <c r="D19" t="s">
        <v>231</v>
      </c>
      <c r="E19">
        <v>0</v>
      </c>
      <c r="F19">
        <v>9</v>
      </c>
      <c r="G19">
        <v>4</v>
      </c>
      <c r="H19">
        <v>0</v>
      </c>
    </row>
    <row r="20" spans="1:8" x14ac:dyDescent="0.3">
      <c r="A20" t="s">
        <v>312</v>
      </c>
      <c r="B20" t="s">
        <v>540</v>
      </c>
      <c r="C20" t="s">
        <v>304</v>
      </c>
      <c r="D20" t="s">
        <v>231</v>
      </c>
      <c r="E20">
        <v>0</v>
      </c>
      <c r="F20">
        <v>9</v>
      </c>
      <c r="G20">
        <v>7</v>
      </c>
      <c r="H20">
        <v>0</v>
      </c>
    </row>
    <row r="21" spans="1:8" x14ac:dyDescent="0.3">
      <c r="A21" t="s">
        <v>312</v>
      </c>
      <c r="B21" t="s">
        <v>540</v>
      </c>
      <c r="C21" t="s">
        <v>285</v>
      </c>
      <c r="D21" t="s">
        <v>217</v>
      </c>
      <c r="E21">
        <v>0</v>
      </c>
      <c r="F21">
        <v>9</v>
      </c>
      <c r="G21">
        <v>5</v>
      </c>
      <c r="H21">
        <v>0</v>
      </c>
    </row>
    <row r="22" spans="1:8" x14ac:dyDescent="0.3">
      <c r="A22" t="s">
        <v>318</v>
      </c>
      <c r="B22" t="s">
        <v>537</v>
      </c>
      <c r="C22" t="s">
        <v>215</v>
      </c>
      <c r="D22" t="s">
        <v>217</v>
      </c>
      <c r="E22">
        <v>149</v>
      </c>
      <c r="F22">
        <v>0</v>
      </c>
      <c r="G22">
        <v>0</v>
      </c>
      <c r="H22">
        <v>0</v>
      </c>
    </row>
    <row r="23" spans="1:8" x14ac:dyDescent="0.3">
      <c r="A23" t="s">
        <v>318</v>
      </c>
      <c r="B23" t="s">
        <v>537</v>
      </c>
      <c r="C23" t="s">
        <v>224</v>
      </c>
      <c r="D23" t="s">
        <v>217</v>
      </c>
      <c r="E23">
        <v>27</v>
      </c>
      <c r="F23">
        <v>0</v>
      </c>
      <c r="G23">
        <v>0</v>
      </c>
      <c r="H23">
        <v>0</v>
      </c>
    </row>
    <row r="24" spans="1:8" x14ac:dyDescent="0.3">
      <c r="A24" t="s">
        <v>318</v>
      </c>
      <c r="B24" t="s">
        <v>537</v>
      </c>
      <c r="C24" t="s">
        <v>302</v>
      </c>
      <c r="D24" t="s">
        <v>231</v>
      </c>
      <c r="E24">
        <v>51</v>
      </c>
      <c r="F24">
        <v>0</v>
      </c>
      <c r="G24">
        <v>0</v>
      </c>
      <c r="H24">
        <v>0</v>
      </c>
    </row>
    <row r="25" spans="1:8" x14ac:dyDescent="0.3">
      <c r="A25" t="s">
        <v>318</v>
      </c>
      <c r="B25" t="s">
        <v>537</v>
      </c>
      <c r="C25" t="s">
        <v>307</v>
      </c>
      <c r="D25" t="s">
        <v>237</v>
      </c>
      <c r="E25">
        <v>52</v>
      </c>
      <c r="F25">
        <v>0</v>
      </c>
      <c r="G25">
        <v>0</v>
      </c>
      <c r="H25">
        <v>0</v>
      </c>
    </row>
    <row r="26" spans="1:8" x14ac:dyDescent="0.3">
      <c r="A26" t="s">
        <v>318</v>
      </c>
      <c r="B26" t="s">
        <v>540</v>
      </c>
      <c r="C26" t="s">
        <v>215</v>
      </c>
      <c r="D26" t="s">
        <v>217</v>
      </c>
      <c r="E26">
        <v>0</v>
      </c>
      <c r="F26">
        <v>6</v>
      </c>
      <c r="G26">
        <v>6</v>
      </c>
      <c r="H26">
        <v>0</v>
      </c>
    </row>
    <row r="27" spans="1:8" x14ac:dyDescent="0.3">
      <c r="A27" t="s">
        <v>318</v>
      </c>
      <c r="B27" t="s">
        <v>540</v>
      </c>
      <c r="C27" t="s">
        <v>222</v>
      </c>
      <c r="D27" t="s">
        <v>217</v>
      </c>
      <c r="E27">
        <v>0</v>
      </c>
      <c r="F27">
        <v>13</v>
      </c>
      <c r="G27">
        <v>13</v>
      </c>
      <c r="H27">
        <v>0</v>
      </c>
    </row>
    <row r="28" spans="1:8" x14ac:dyDescent="0.3">
      <c r="A28" t="s">
        <v>318</v>
      </c>
      <c r="B28" t="s">
        <v>540</v>
      </c>
      <c r="C28" t="s">
        <v>236</v>
      </c>
      <c r="D28" t="s">
        <v>237</v>
      </c>
      <c r="E28">
        <v>0</v>
      </c>
      <c r="F28">
        <v>11</v>
      </c>
      <c r="G28">
        <v>17</v>
      </c>
      <c r="H28">
        <v>0</v>
      </c>
    </row>
    <row r="29" spans="1:8" x14ac:dyDescent="0.3">
      <c r="A29" t="s">
        <v>318</v>
      </c>
      <c r="B29" t="s">
        <v>540</v>
      </c>
      <c r="C29" t="s">
        <v>313</v>
      </c>
      <c r="E29">
        <v>0</v>
      </c>
      <c r="F29">
        <v>12</v>
      </c>
      <c r="G29">
        <v>10</v>
      </c>
      <c r="H29">
        <v>0</v>
      </c>
    </row>
    <row r="30" spans="1:8" x14ac:dyDescent="0.3">
      <c r="A30" t="s">
        <v>318</v>
      </c>
      <c r="B30" t="s">
        <v>542</v>
      </c>
      <c r="C30" t="s">
        <v>218</v>
      </c>
      <c r="D30" t="s">
        <v>217</v>
      </c>
      <c r="E30">
        <v>0</v>
      </c>
      <c r="F30">
        <v>10</v>
      </c>
      <c r="G30">
        <v>32</v>
      </c>
      <c r="H30">
        <v>13</v>
      </c>
    </row>
    <row r="31" spans="1:8" x14ac:dyDescent="0.3">
      <c r="A31" t="s">
        <v>320</v>
      </c>
      <c r="B31" t="s">
        <v>537</v>
      </c>
      <c r="C31" t="s">
        <v>263</v>
      </c>
      <c r="D31" t="s">
        <v>237</v>
      </c>
      <c r="E31">
        <v>87</v>
      </c>
      <c r="F31">
        <v>0</v>
      </c>
      <c r="G31">
        <v>0</v>
      </c>
      <c r="H31">
        <v>0</v>
      </c>
    </row>
    <row r="32" spans="1:8" x14ac:dyDescent="0.3">
      <c r="A32" t="s">
        <v>320</v>
      </c>
      <c r="B32" t="s">
        <v>537</v>
      </c>
      <c r="C32" t="s">
        <v>298</v>
      </c>
      <c r="D32" t="s">
        <v>237</v>
      </c>
      <c r="E32">
        <v>53</v>
      </c>
      <c r="F32">
        <v>0</v>
      </c>
      <c r="G32">
        <v>0</v>
      </c>
      <c r="H32">
        <v>0</v>
      </c>
    </row>
    <row r="33" spans="1:8" x14ac:dyDescent="0.3">
      <c r="A33" t="s">
        <v>320</v>
      </c>
      <c r="B33" t="s">
        <v>540</v>
      </c>
      <c r="C33" t="s">
        <v>322</v>
      </c>
      <c r="E33">
        <v>0</v>
      </c>
      <c r="F33">
        <v>17</v>
      </c>
      <c r="G33">
        <v>19</v>
      </c>
      <c r="H33">
        <v>0</v>
      </c>
    </row>
    <row r="34" spans="1:8" x14ac:dyDescent="0.3">
      <c r="A34" t="s">
        <v>320</v>
      </c>
      <c r="B34" t="s">
        <v>540</v>
      </c>
      <c r="C34" t="s">
        <v>285</v>
      </c>
      <c r="E34">
        <v>0</v>
      </c>
      <c r="F34">
        <v>12</v>
      </c>
      <c r="G34">
        <v>5</v>
      </c>
      <c r="H34">
        <v>0</v>
      </c>
    </row>
    <row r="35" spans="1:8" x14ac:dyDescent="0.3">
      <c r="A35" t="s">
        <v>325</v>
      </c>
      <c r="B35" t="s">
        <v>537</v>
      </c>
      <c r="C35" t="s">
        <v>309</v>
      </c>
      <c r="E35">
        <v>68</v>
      </c>
      <c r="F35">
        <v>0</v>
      </c>
      <c r="G35">
        <v>0</v>
      </c>
      <c r="H35">
        <v>0</v>
      </c>
    </row>
    <row r="36" spans="1:8" x14ac:dyDescent="0.3">
      <c r="A36" t="s">
        <v>325</v>
      </c>
      <c r="B36" t="s">
        <v>537</v>
      </c>
      <c r="C36" t="s">
        <v>311</v>
      </c>
      <c r="D36" t="s">
        <v>237</v>
      </c>
      <c r="E36">
        <v>57</v>
      </c>
      <c r="F36">
        <v>0</v>
      </c>
      <c r="G36">
        <v>0</v>
      </c>
      <c r="H36">
        <v>0</v>
      </c>
    </row>
    <row r="37" spans="1:8" x14ac:dyDescent="0.3">
      <c r="A37" t="s">
        <v>325</v>
      </c>
      <c r="B37" t="s">
        <v>540</v>
      </c>
      <c r="C37" t="s">
        <v>257</v>
      </c>
      <c r="E37">
        <v>0</v>
      </c>
      <c r="F37">
        <v>11</v>
      </c>
      <c r="G37">
        <v>16</v>
      </c>
      <c r="H37">
        <v>0</v>
      </c>
    </row>
    <row r="38" spans="1:8" x14ac:dyDescent="0.3">
      <c r="A38" t="s">
        <v>325</v>
      </c>
      <c r="B38" t="s">
        <v>540</v>
      </c>
      <c r="C38" t="s">
        <v>313</v>
      </c>
      <c r="D38" t="s">
        <v>237</v>
      </c>
      <c r="E38">
        <v>0</v>
      </c>
      <c r="F38">
        <v>2</v>
      </c>
      <c r="G38">
        <v>3</v>
      </c>
      <c r="H38">
        <v>0</v>
      </c>
    </row>
    <row r="39" spans="1:8" x14ac:dyDescent="0.3">
      <c r="A39" t="s">
        <v>325</v>
      </c>
      <c r="B39" t="s">
        <v>544</v>
      </c>
      <c r="C39" t="s">
        <v>545</v>
      </c>
      <c r="D39" t="s">
        <v>549</v>
      </c>
      <c r="E39">
        <v>0</v>
      </c>
      <c r="F39">
        <v>52</v>
      </c>
      <c r="G39">
        <v>17</v>
      </c>
      <c r="H39">
        <v>0</v>
      </c>
    </row>
    <row r="40" spans="1:8" x14ac:dyDescent="0.3">
      <c r="A40" t="s">
        <v>326</v>
      </c>
      <c r="B40" t="s">
        <v>537</v>
      </c>
      <c r="C40" t="s">
        <v>228</v>
      </c>
      <c r="E40">
        <v>54</v>
      </c>
      <c r="F40">
        <v>0</v>
      </c>
      <c r="G40">
        <v>1</v>
      </c>
      <c r="H40">
        <v>0</v>
      </c>
    </row>
    <row r="41" spans="1:8" x14ac:dyDescent="0.3">
      <c r="A41" t="s">
        <v>326</v>
      </c>
      <c r="B41" t="s">
        <v>537</v>
      </c>
      <c r="C41" t="s">
        <v>538</v>
      </c>
      <c r="E41">
        <v>53</v>
      </c>
      <c r="F41">
        <v>0</v>
      </c>
      <c r="G41">
        <v>0</v>
      </c>
      <c r="H41">
        <v>0</v>
      </c>
    </row>
    <row r="42" spans="1:8" x14ac:dyDescent="0.3">
      <c r="A42" t="s">
        <v>326</v>
      </c>
      <c r="B42" t="s">
        <v>537</v>
      </c>
      <c r="C42" t="s">
        <v>253</v>
      </c>
      <c r="E42">
        <v>76</v>
      </c>
      <c r="F42">
        <v>0</v>
      </c>
      <c r="G42">
        <v>0</v>
      </c>
      <c r="H42">
        <v>0</v>
      </c>
    </row>
    <row r="43" spans="1:8" x14ac:dyDescent="0.3">
      <c r="A43" t="s">
        <v>326</v>
      </c>
      <c r="B43" t="s">
        <v>537</v>
      </c>
      <c r="C43" t="s">
        <v>259</v>
      </c>
      <c r="E43">
        <v>53</v>
      </c>
      <c r="F43">
        <v>0</v>
      </c>
      <c r="G43">
        <v>0</v>
      </c>
      <c r="H43">
        <v>0</v>
      </c>
    </row>
    <row r="44" spans="1:8" x14ac:dyDescent="0.3">
      <c r="A44" t="s">
        <v>326</v>
      </c>
      <c r="B44" t="s">
        <v>537</v>
      </c>
      <c r="C44" t="s">
        <v>275</v>
      </c>
      <c r="E44">
        <v>72</v>
      </c>
      <c r="F44">
        <v>0</v>
      </c>
      <c r="G44">
        <v>8</v>
      </c>
      <c r="H44">
        <v>0</v>
      </c>
    </row>
    <row r="45" spans="1:8" x14ac:dyDescent="0.3">
      <c r="A45" t="s">
        <v>326</v>
      </c>
      <c r="B45" t="s">
        <v>537</v>
      </c>
      <c r="C45" t="s">
        <v>283</v>
      </c>
      <c r="E45">
        <v>0</v>
      </c>
      <c r="F45">
        <v>0</v>
      </c>
      <c r="G45">
        <v>3</v>
      </c>
      <c r="H45">
        <v>0</v>
      </c>
    </row>
    <row r="46" spans="1:8" x14ac:dyDescent="0.3">
      <c r="A46" t="s">
        <v>326</v>
      </c>
      <c r="B46" t="s">
        <v>537</v>
      </c>
      <c r="C46" t="s">
        <v>287</v>
      </c>
      <c r="E46">
        <v>85</v>
      </c>
      <c r="F46">
        <v>0</v>
      </c>
      <c r="G46">
        <v>0</v>
      </c>
      <c r="H46">
        <v>0</v>
      </c>
    </row>
    <row r="47" spans="1:8" x14ac:dyDescent="0.3">
      <c r="A47" t="s">
        <v>326</v>
      </c>
      <c r="B47" t="s">
        <v>537</v>
      </c>
      <c r="C47" t="s">
        <v>294</v>
      </c>
      <c r="E47">
        <v>65</v>
      </c>
      <c r="F47">
        <v>0</v>
      </c>
      <c r="G47">
        <v>1</v>
      </c>
      <c r="H47">
        <v>0</v>
      </c>
    </row>
    <row r="48" spans="1:8" x14ac:dyDescent="0.3">
      <c r="A48" t="s">
        <v>326</v>
      </c>
      <c r="B48" t="s">
        <v>537</v>
      </c>
      <c r="C48" t="s">
        <v>302</v>
      </c>
      <c r="E48">
        <v>51</v>
      </c>
      <c r="F48">
        <v>0</v>
      </c>
      <c r="G48">
        <v>1</v>
      </c>
      <c r="H48">
        <v>0</v>
      </c>
    </row>
    <row r="49" spans="1:8" x14ac:dyDescent="0.3">
      <c r="A49" t="s">
        <v>326</v>
      </c>
      <c r="B49" t="s">
        <v>537</v>
      </c>
      <c r="C49" t="s">
        <v>307</v>
      </c>
      <c r="D49" t="s">
        <v>237</v>
      </c>
      <c r="E49">
        <v>49</v>
      </c>
      <c r="F49">
        <v>0</v>
      </c>
      <c r="G49">
        <v>0</v>
      </c>
      <c r="H49">
        <v>0</v>
      </c>
    </row>
    <row r="50" spans="1:8" x14ac:dyDescent="0.3">
      <c r="A50" t="s">
        <v>326</v>
      </c>
      <c r="B50" t="s">
        <v>540</v>
      </c>
      <c r="C50" t="s">
        <v>236</v>
      </c>
      <c r="E50">
        <v>0</v>
      </c>
      <c r="F50">
        <v>11</v>
      </c>
      <c r="G50">
        <v>16</v>
      </c>
      <c r="H50">
        <v>0</v>
      </c>
    </row>
    <row r="51" spans="1:8" x14ac:dyDescent="0.3">
      <c r="A51" t="s">
        <v>326</v>
      </c>
      <c r="B51" t="s">
        <v>540</v>
      </c>
      <c r="C51" t="s">
        <v>244</v>
      </c>
      <c r="E51">
        <v>0</v>
      </c>
      <c r="F51">
        <v>8</v>
      </c>
      <c r="G51">
        <v>14</v>
      </c>
      <c r="H51">
        <v>0</v>
      </c>
    </row>
    <row r="52" spans="1:8" x14ac:dyDescent="0.3">
      <c r="A52" t="s">
        <v>326</v>
      </c>
      <c r="B52" t="s">
        <v>540</v>
      </c>
      <c r="C52" t="s">
        <v>275</v>
      </c>
      <c r="E52">
        <v>0</v>
      </c>
      <c r="F52">
        <v>17</v>
      </c>
      <c r="G52">
        <v>6</v>
      </c>
      <c r="H52">
        <v>0</v>
      </c>
    </row>
    <row r="53" spans="1:8" x14ac:dyDescent="0.3">
      <c r="A53" t="s">
        <v>326</v>
      </c>
      <c r="B53" t="s">
        <v>540</v>
      </c>
      <c r="C53" t="s">
        <v>324</v>
      </c>
      <c r="E53">
        <v>0</v>
      </c>
      <c r="F53">
        <v>14</v>
      </c>
      <c r="G53">
        <v>13</v>
      </c>
      <c r="H53">
        <v>0</v>
      </c>
    </row>
    <row r="54" spans="1:8" x14ac:dyDescent="0.3">
      <c r="A54" t="s">
        <v>326</v>
      </c>
      <c r="B54" t="s">
        <v>540</v>
      </c>
      <c r="C54" t="s">
        <v>257</v>
      </c>
      <c r="E54">
        <v>0</v>
      </c>
      <c r="F54">
        <v>10</v>
      </c>
      <c r="G54">
        <v>16</v>
      </c>
      <c r="H54">
        <v>0</v>
      </c>
    </row>
    <row r="55" spans="1:8" x14ac:dyDescent="0.3">
      <c r="A55" t="s">
        <v>326</v>
      </c>
      <c r="B55" t="s">
        <v>540</v>
      </c>
      <c r="C55" t="s">
        <v>313</v>
      </c>
      <c r="E55">
        <v>0</v>
      </c>
      <c r="F55">
        <v>12</v>
      </c>
      <c r="G55">
        <v>17</v>
      </c>
      <c r="H55">
        <v>0</v>
      </c>
    </row>
    <row r="56" spans="1:8" x14ac:dyDescent="0.3">
      <c r="A56" t="s">
        <v>328</v>
      </c>
      <c r="B56" t="s">
        <v>537</v>
      </c>
      <c r="C56" t="s">
        <v>228</v>
      </c>
      <c r="E56">
        <v>52</v>
      </c>
      <c r="F56">
        <v>0</v>
      </c>
      <c r="G56">
        <v>1</v>
      </c>
      <c r="H56">
        <v>0</v>
      </c>
    </row>
    <row r="57" spans="1:8" x14ac:dyDescent="0.3">
      <c r="A57" t="s">
        <v>328</v>
      </c>
      <c r="B57" t="s">
        <v>537</v>
      </c>
      <c r="C57" t="s">
        <v>247</v>
      </c>
      <c r="E57">
        <v>162</v>
      </c>
      <c r="F57">
        <v>0</v>
      </c>
      <c r="G57">
        <v>0</v>
      </c>
      <c r="H57">
        <v>0</v>
      </c>
    </row>
    <row r="58" spans="1:8" x14ac:dyDescent="0.3">
      <c r="A58" t="s">
        <v>328</v>
      </c>
      <c r="B58" t="s">
        <v>537</v>
      </c>
      <c r="C58" t="s">
        <v>253</v>
      </c>
      <c r="E58">
        <v>75</v>
      </c>
      <c r="F58">
        <v>0</v>
      </c>
      <c r="G58">
        <v>0</v>
      </c>
      <c r="H58">
        <v>0</v>
      </c>
    </row>
    <row r="59" spans="1:8" x14ac:dyDescent="0.3">
      <c r="A59" t="s">
        <v>328</v>
      </c>
      <c r="B59" t="s">
        <v>537</v>
      </c>
      <c r="C59" t="s">
        <v>255</v>
      </c>
      <c r="D59" t="s">
        <v>237</v>
      </c>
      <c r="E59">
        <v>26</v>
      </c>
      <c r="F59">
        <v>0</v>
      </c>
      <c r="G59">
        <v>0</v>
      </c>
      <c r="H59">
        <v>0</v>
      </c>
    </row>
    <row r="60" spans="1:8" x14ac:dyDescent="0.3">
      <c r="A60" t="s">
        <v>328</v>
      </c>
      <c r="B60" t="s">
        <v>537</v>
      </c>
      <c r="C60" t="s">
        <v>259</v>
      </c>
      <c r="E60">
        <v>52</v>
      </c>
      <c r="F60">
        <v>0</v>
      </c>
      <c r="G60">
        <v>0</v>
      </c>
      <c r="H60">
        <v>0</v>
      </c>
    </row>
    <row r="61" spans="1:8" x14ac:dyDescent="0.3">
      <c r="A61" t="s">
        <v>328</v>
      </c>
      <c r="B61" t="s">
        <v>537</v>
      </c>
      <c r="C61" t="s">
        <v>275</v>
      </c>
      <c r="E61">
        <v>70</v>
      </c>
      <c r="F61">
        <v>0</v>
      </c>
      <c r="G61">
        <v>3</v>
      </c>
      <c r="H61">
        <v>0</v>
      </c>
    </row>
    <row r="62" spans="1:8" x14ac:dyDescent="0.3">
      <c r="A62" t="s">
        <v>328</v>
      </c>
      <c r="B62" t="s">
        <v>537</v>
      </c>
      <c r="C62" t="s">
        <v>279</v>
      </c>
      <c r="E62">
        <v>1</v>
      </c>
      <c r="F62">
        <v>0</v>
      </c>
      <c r="G62">
        <v>0</v>
      </c>
      <c r="H62">
        <v>0</v>
      </c>
    </row>
    <row r="63" spans="1:8" x14ac:dyDescent="0.3">
      <c r="A63" t="s">
        <v>328</v>
      </c>
      <c r="B63" t="s">
        <v>537</v>
      </c>
      <c r="C63" t="s">
        <v>294</v>
      </c>
      <c r="E63">
        <v>59</v>
      </c>
      <c r="F63">
        <v>0</v>
      </c>
      <c r="G63">
        <v>0</v>
      </c>
      <c r="H63">
        <v>0</v>
      </c>
    </row>
    <row r="64" spans="1:8" x14ac:dyDescent="0.3">
      <c r="A64" t="s">
        <v>328</v>
      </c>
      <c r="B64" t="s">
        <v>537</v>
      </c>
      <c r="C64" t="s">
        <v>302</v>
      </c>
      <c r="E64">
        <v>52</v>
      </c>
      <c r="F64">
        <v>0</v>
      </c>
      <c r="G64">
        <v>1</v>
      </c>
      <c r="H64">
        <v>0</v>
      </c>
    </row>
    <row r="65" spans="1:8" x14ac:dyDescent="0.3">
      <c r="A65" t="s">
        <v>328</v>
      </c>
      <c r="B65" t="s">
        <v>537</v>
      </c>
      <c r="C65" t="s">
        <v>307</v>
      </c>
      <c r="D65" t="s">
        <v>237</v>
      </c>
      <c r="E65">
        <v>47</v>
      </c>
      <c r="F65">
        <v>0</v>
      </c>
      <c r="G65">
        <v>0</v>
      </c>
      <c r="H65">
        <v>0</v>
      </c>
    </row>
    <row r="66" spans="1:8" x14ac:dyDescent="0.3">
      <c r="A66" t="s">
        <v>328</v>
      </c>
      <c r="B66" t="s">
        <v>540</v>
      </c>
      <c r="C66" t="s">
        <v>244</v>
      </c>
      <c r="E66">
        <v>0</v>
      </c>
      <c r="F66">
        <v>8</v>
      </c>
      <c r="G66">
        <v>7</v>
      </c>
      <c r="H66">
        <v>0</v>
      </c>
    </row>
    <row r="67" spans="1:8" x14ac:dyDescent="0.3">
      <c r="A67" t="s">
        <v>328</v>
      </c>
      <c r="B67" t="s">
        <v>540</v>
      </c>
      <c r="C67" t="s">
        <v>275</v>
      </c>
      <c r="E67">
        <v>0</v>
      </c>
      <c r="F67">
        <v>19</v>
      </c>
      <c r="G67">
        <v>6</v>
      </c>
      <c r="H67">
        <v>0</v>
      </c>
    </row>
    <row r="68" spans="1:8" x14ac:dyDescent="0.3">
      <c r="A68" t="s">
        <v>328</v>
      </c>
      <c r="B68" t="s">
        <v>540</v>
      </c>
      <c r="C68" t="s">
        <v>257</v>
      </c>
      <c r="E68">
        <v>0</v>
      </c>
      <c r="F68">
        <v>10</v>
      </c>
      <c r="G68">
        <v>10</v>
      </c>
      <c r="H68">
        <v>0</v>
      </c>
    </row>
    <row r="69" spans="1:8" x14ac:dyDescent="0.3">
      <c r="A69" t="s">
        <v>328</v>
      </c>
      <c r="B69" t="s">
        <v>540</v>
      </c>
      <c r="C69" t="s">
        <v>313</v>
      </c>
      <c r="E69">
        <v>0</v>
      </c>
      <c r="F69">
        <v>13</v>
      </c>
      <c r="G69">
        <v>11</v>
      </c>
      <c r="H69">
        <v>0</v>
      </c>
    </row>
    <row r="70" spans="1:8" x14ac:dyDescent="0.3">
      <c r="A70" t="s">
        <v>412</v>
      </c>
      <c r="B70" t="s">
        <v>537</v>
      </c>
      <c r="C70" t="s">
        <v>220</v>
      </c>
      <c r="E70">
        <v>27</v>
      </c>
      <c r="F70">
        <v>0</v>
      </c>
      <c r="G70">
        <v>15</v>
      </c>
      <c r="H70">
        <v>0</v>
      </c>
    </row>
    <row r="71" spans="1:8" x14ac:dyDescent="0.3">
      <c r="A71" t="s">
        <v>412</v>
      </c>
      <c r="B71" t="s">
        <v>537</v>
      </c>
      <c r="C71" t="s">
        <v>249</v>
      </c>
      <c r="E71">
        <v>53</v>
      </c>
      <c r="F71">
        <v>0</v>
      </c>
      <c r="G71">
        <v>0</v>
      </c>
      <c r="H71">
        <v>0</v>
      </c>
    </row>
    <row r="72" spans="1:8" x14ac:dyDescent="0.3">
      <c r="A72" t="s">
        <v>412</v>
      </c>
      <c r="B72" t="s">
        <v>537</v>
      </c>
      <c r="C72" t="s">
        <v>309</v>
      </c>
      <c r="E72">
        <v>76</v>
      </c>
      <c r="F72">
        <v>0</v>
      </c>
      <c r="G72">
        <v>1</v>
      </c>
      <c r="H72">
        <v>0</v>
      </c>
    </row>
    <row r="73" spans="1:8" x14ac:dyDescent="0.3">
      <c r="A73" t="s">
        <v>412</v>
      </c>
      <c r="B73" t="s">
        <v>542</v>
      </c>
      <c r="C73" t="s">
        <v>238</v>
      </c>
      <c r="D73" t="s">
        <v>237</v>
      </c>
      <c r="E73">
        <v>0</v>
      </c>
      <c r="F73">
        <v>10</v>
      </c>
      <c r="G73">
        <v>6</v>
      </c>
      <c r="H73">
        <v>24</v>
      </c>
    </row>
    <row r="74" spans="1:8" x14ac:dyDescent="0.3">
      <c r="A74" t="s">
        <v>412</v>
      </c>
      <c r="B74" t="s">
        <v>542</v>
      </c>
      <c r="C74" t="s">
        <v>218</v>
      </c>
      <c r="E74">
        <v>0</v>
      </c>
      <c r="F74">
        <v>9</v>
      </c>
      <c r="G74">
        <v>6</v>
      </c>
      <c r="H74">
        <v>12</v>
      </c>
    </row>
    <row r="75" spans="1:8" x14ac:dyDescent="0.3">
      <c r="A75" t="s">
        <v>412</v>
      </c>
      <c r="B75" t="s">
        <v>542</v>
      </c>
      <c r="C75" t="s">
        <v>232</v>
      </c>
      <c r="E75">
        <v>0</v>
      </c>
      <c r="F75">
        <v>11</v>
      </c>
      <c r="G75">
        <v>47</v>
      </c>
      <c r="H75">
        <v>36</v>
      </c>
    </row>
    <row r="76" spans="1:8" x14ac:dyDescent="0.3">
      <c r="A76" t="s">
        <v>412</v>
      </c>
      <c r="B76" t="s">
        <v>544</v>
      </c>
      <c r="C76" t="s">
        <v>545</v>
      </c>
      <c r="D76" t="s">
        <v>549</v>
      </c>
      <c r="E76">
        <v>0</v>
      </c>
      <c r="F76">
        <v>57</v>
      </c>
      <c r="G76">
        <v>38</v>
      </c>
      <c r="H76">
        <v>0</v>
      </c>
    </row>
    <row r="77" spans="1:8" x14ac:dyDescent="0.3">
      <c r="A77" t="s">
        <v>213</v>
      </c>
      <c r="B77" t="s">
        <v>537</v>
      </c>
      <c r="C77" t="s">
        <v>220</v>
      </c>
      <c r="D77" t="s">
        <v>219</v>
      </c>
      <c r="E77">
        <v>30</v>
      </c>
      <c r="F77">
        <v>0</v>
      </c>
      <c r="G77">
        <v>0</v>
      </c>
      <c r="H77">
        <v>0</v>
      </c>
    </row>
    <row r="78" spans="1:8" x14ac:dyDescent="0.3">
      <c r="A78" t="s">
        <v>213</v>
      </c>
      <c r="B78" t="s">
        <v>537</v>
      </c>
      <c r="C78" t="s">
        <v>249</v>
      </c>
      <c r="D78" t="s">
        <v>248</v>
      </c>
      <c r="E78">
        <v>47</v>
      </c>
      <c r="F78">
        <v>0</v>
      </c>
      <c r="G78">
        <v>0</v>
      </c>
      <c r="H78">
        <v>0</v>
      </c>
    </row>
    <row r="79" spans="1:8" x14ac:dyDescent="0.3">
      <c r="A79" t="s">
        <v>213</v>
      </c>
      <c r="B79" t="s">
        <v>537</v>
      </c>
      <c r="C79" t="s">
        <v>259</v>
      </c>
      <c r="D79" t="s">
        <v>258</v>
      </c>
      <c r="E79">
        <v>52</v>
      </c>
      <c r="F79">
        <v>0</v>
      </c>
      <c r="G79">
        <v>0</v>
      </c>
      <c r="H79">
        <v>0</v>
      </c>
    </row>
    <row r="80" spans="1:8" x14ac:dyDescent="0.3">
      <c r="A80" t="s">
        <v>213</v>
      </c>
      <c r="B80" t="s">
        <v>537</v>
      </c>
      <c r="C80" t="s">
        <v>287</v>
      </c>
      <c r="D80" t="s">
        <v>286</v>
      </c>
      <c r="E80">
        <v>76</v>
      </c>
      <c r="F80">
        <v>0</v>
      </c>
      <c r="G80">
        <v>0</v>
      </c>
      <c r="H80">
        <v>0</v>
      </c>
    </row>
    <row r="81" spans="1:8" x14ac:dyDescent="0.3">
      <c r="A81" t="s">
        <v>213</v>
      </c>
      <c r="B81" t="s">
        <v>537</v>
      </c>
      <c r="C81" t="s">
        <v>307</v>
      </c>
      <c r="D81" t="s">
        <v>237</v>
      </c>
      <c r="E81">
        <v>49</v>
      </c>
      <c r="F81">
        <v>0</v>
      </c>
      <c r="G81">
        <v>0</v>
      </c>
      <c r="H81">
        <v>0</v>
      </c>
    </row>
    <row r="82" spans="1:8" x14ac:dyDescent="0.3">
      <c r="A82" t="s">
        <v>213</v>
      </c>
      <c r="B82" t="s">
        <v>540</v>
      </c>
      <c r="C82" t="s">
        <v>261</v>
      </c>
      <c r="D82" t="s">
        <v>260</v>
      </c>
      <c r="E82">
        <v>0</v>
      </c>
      <c r="F82">
        <v>9</v>
      </c>
      <c r="G82">
        <v>5</v>
      </c>
      <c r="H82">
        <v>0</v>
      </c>
    </row>
    <row r="83" spans="1:8" x14ac:dyDescent="0.3">
      <c r="A83" t="s">
        <v>213</v>
      </c>
      <c r="B83" t="s">
        <v>542</v>
      </c>
      <c r="C83" t="s">
        <v>218</v>
      </c>
      <c r="D83" t="s">
        <v>217</v>
      </c>
      <c r="E83">
        <v>0</v>
      </c>
      <c r="F83">
        <v>12</v>
      </c>
      <c r="G83">
        <v>18</v>
      </c>
      <c r="H83">
        <v>0</v>
      </c>
    </row>
    <row r="84" spans="1:8" x14ac:dyDescent="0.3">
      <c r="A84" t="s">
        <v>213</v>
      </c>
      <c r="B84" t="s">
        <v>542</v>
      </c>
      <c r="C84" t="s">
        <v>232</v>
      </c>
      <c r="D84" t="s">
        <v>231</v>
      </c>
      <c r="E84">
        <v>0</v>
      </c>
      <c r="F84">
        <v>18</v>
      </c>
      <c r="G84">
        <v>61</v>
      </c>
      <c r="H84">
        <v>0</v>
      </c>
    </row>
    <row r="85" spans="1:8" x14ac:dyDescent="0.3">
      <c r="A85" t="s">
        <v>213</v>
      </c>
      <c r="B85" t="s">
        <v>544</v>
      </c>
      <c r="C85" t="s">
        <v>545</v>
      </c>
      <c r="D85" t="s">
        <v>549</v>
      </c>
      <c r="E85">
        <v>0</v>
      </c>
      <c r="F85">
        <v>43</v>
      </c>
      <c r="G85">
        <v>46</v>
      </c>
      <c r="H85">
        <v>60</v>
      </c>
    </row>
    <row r="86" spans="1:8" x14ac:dyDescent="0.3">
      <c r="A86" t="s">
        <v>312</v>
      </c>
      <c r="B86" t="s">
        <v>537</v>
      </c>
      <c r="C86" t="s">
        <v>240</v>
      </c>
      <c r="D86" t="s">
        <v>237</v>
      </c>
      <c r="E86">
        <v>25</v>
      </c>
      <c r="F86">
        <v>0</v>
      </c>
      <c r="G86">
        <v>0</v>
      </c>
      <c r="H86">
        <v>0</v>
      </c>
    </row>
    <row r="87" spans="1:8" x14ac:dyDescent="0.3">
      <c r="A87" t="s">
        <v>312</v>
      </c>
      <c r="B87" t="s">
        <v>540</v>
      </c>
      <c r="C87" t="s">
        <v>244</v>
      </c>
      <c r="D87" t="s">
        <v>231</v>
      </c>
      <c r="E87">
        <v>0</v>
      </c>
      <c r="F87">
        <v>9</v>
      </c>
      <c r="G87">
        <v>13</v>
      </c>
      <c r="H87">
        <v>0</v>
      </c>
    </row>
    <row r="88" spans="1:8" x14ac:dyDescent="0.3">
      <c r="A88" t="s">
        <v>312</v>
      </c>
      <c r="B88" t="s">
        <v>540</v>
      </c>
      <c r="C88" t="s">
        <v>251</v>
      </c>
      <c r="D88" t="s">
        <v>231</v>
      </c>
      <c r="E88">
        <v>0</v>
      </c>
      <c r="F88">
        <v>14</v>
      </c>
      <c r="G88">
        <v>14</v>
      </c>
      <c r="H88">
        <v>0</v>
      </c>
    </row>
    <row r="89" spans="1:8" x14ac:dyDescent="0.3">
      <c r="A89" t="s">
        <v>312</v>
      </c>
      <c r="B89" t="s">
        <v>542</v>
      </c>
      <c r="C89" t="s">
        <v>238</v>
      </c>
      <c r="D89" t="s">
        <v>237</v>
      </c>
      <c r="E89">
        <v>0</v>
      </c>
      <c r="F89">
        <v>13</v>
      </c>
      <c r="G89">
        <v>39</v>
      </c>
      <c r="H89">
        <v>0</v>
      </c>
    </row>
    <row r="90" spans="1:8" x14ac:dyDescent="0.3">
      <c r="A90" t="s">
        <v>318</v>
      </c>
      <c r="B90" t="s">
        <v>537</v>
      </c>
      <c r="C90" t="s">
        <v>263</v>
      </c>
      <c r="D90" t="s">
        <v>237</v>
      </c>
      <c r="E90">
        <v>88</v>
      </c>
      <c r="F90">
        <v>0</v>
      </c>
      <c r="G90">
        <v>0</v>
      </c>
      <c r="H90">
        <v>0</v>
      </c>
    </row>
    <row r="91" spans="1:8" x14ac:dyDescent="0.3">
      <c r="A91" t="s">
        <v>318</v>
      </c>
      <c r="B91" t="s">
        <v>537</v>
      </c>
      <c r="C91" t="s">
        <v>267</v>
      </c>
      <c r="D91" t="s">
        <v>237</v>
      </c>
      <c r="E91">
        <v>254</v>
      </c>
      <c r="F91">
        <v>0</v>
      </c>
      <c r="G91">
        <v>0</v>
      </c>
      <c r="H91">
        <v>0</v>
      </c>
    </row>
    <row r="92" spans="1:8" x14ac:dyDescent="0.3">
      <c r="A92" t="s">
        <v>318</v>
      </c>
      <c r="B92" t="s">
        <v>537</v>
      </c>
      <c r="C92" t="s">
        <v>294</v>
      </c>
      <c r="D92" t="s">
        <v>217</v>
      </c>
      <c r="E92">
        <v>63</v>
      </c>
      <c r="F92">
        <v>0</v>
      </c>
      <c r="G92">
        <v>0</v>
      </c>
      <c r="H92">
        <v>0</v>
      </c>
    </row>
    <row r="93" spans="1:8" x14ac:dyDescent="0.3">
      <c r="A93" t="s">
        <v>318</v>
      </c>
      <c r="B93" t="s">
        <v>540</v>
      </c>
      <c r="C93" t="s">
        <v>261</v>
      </c>
      <c r="D93" t="s">
        <v>231</v>
      </c>
      <c r="E93">
        <v>0</v>
      </c>
      <c r="F93">
        <v>10</v>
      </c>
      <c r="G93">
        <v>7</v>
      </c>
      <c r="H93">
        <v>0</v>
      </c>
    </row>
    <row r="94" spans="1:8" x14ac:dyDescent="0.3">
      <c r="A94" t="s">
        <v>320</v>
      </c>
      <c r="B94" t="s">
        <v>537</v>
      </c>
      <c r="C94" t="s">
        <v>224</v>
      </c>
      <c r="E94">
        <v>26</v>
      </c>
      <c r="F94">
        <v>0</v>
      </c>
      <c r="G94">
        <v>0</v>
      </c>
      <c r="H94">
        <v>0</v>
      </c>
    </row>
    <row r="95" spans="1:8" x14ac:dyDescent="0.3">
      <c r="A95" t="s">
        <v>320</v>
      </c>
      <c r="B95" t="s">
        <v>537</v>
      </c>
      <c r="C95" t="s">
        <v>228</v>
      </c>
      <c r="E95">
        <v>46</v>
      </c>
      <c r="F95">
        <v>0</v>
      </c>
      <c r="G95">
        <v>0</v>
      </c>
      <c r="H95">
        <v>0</v>
      </c>
    </row>
    <row r="96" spans="1:8" x14ac:dyDescent="0.3">
      <c r="A96" t="s">
        <v>320</v>
      </c>
      <c r="B96" t="s">
        <v>537</v>
      </c>
      <c r="C96" t="s">
        <v>279</v>
      </c>
      <c r="D96" t="s">
        <v>237</v>
      </c>
      <c r="E96">
        <v>26</v>
      </c>
      <c r="F96">
        <v>0</v>
      </c>
      <c r="G96">
        <v>0</v>
      </c>
      <c r="H96">
        <v>0</v>
      </c>
    </row>
    <row r="97" spans="1:8" x14ac:dyDescent="0.3">
      <c r="A97" t="s">
        <v>320</v>
      </c>
      <c r="B97" t="s">
        <v>537</v>
      </c>
      <c r="C97" t="s">
        <v>287</v>
      </c>
      <c r="E97">
        <v>74</v>
      </c>
      <c r="F97">
        <v>0</v>
      </c>
      <c r="G97">
        <v>0</v>
      </c>
      <c r="H97">
        <v>0</v>
      </c>
    </row>
    <row r="98" spans="1:8" x14ac:dyDescent="0.3">
      <c r="A98" t="s">
        <v>320</v>
      </c>
      <c r="B98" t="s">
        <v>540</v>
      </c>
      <c r="C98" t="s">
        <v>270</v>
      </c>
      <c r="E98">
        <v>0</v>
      </c>
      <c r="F98">
        <v>14</v>
      </c>
      <c r="G98">
        <v>9</v>
      </c>
      <c r="H98">
        <v>0</v>
      </c>
    </row>
    <row r="99" spans="1:8" x14ac:dyDescent="0.3">
      <c r="A99" t="s">
        <v>320</v>
      </c>
      <c r="B99" t="s">
        <v>542</v>
      </c>
      <c r="C99" t="s">
        <v>218</v>
      </c>
      <c r="E99">
        <v>0</v>
      </c>
      <c r="F99">
        <v>11</v>
      </c>
      <c r="G99">
        <v>27</v>
      </c>
      <c r="H99">
        <v>10</v>
      </c>
    </row>
    <row r="100" spans="1:8" x14ac:dyDescent="0.3">
      <c r="A100" t="s">
        <v>325</v>
      </c>
      <c r="B100" t="s">
        <v>537</v>
      </c>
      <c r="C100" t="s">
        <v>220</v>
      </c>
      <c r="E100">
        <v>28</v>
      </c>
      <c r="F100">
        <v>0</v>
      </c>
      <c r="G100">
        <v>0</v>
      </c>
      <c r="H100">
        <v>0</v>
      </c>
    </row>
    <row r="101" spans="1:8" x14ac:dyDescent="0.3">
      <c r="A101" t="s">
        <v>325</v>
      </c>
      <c r="B101" t="s">
        <v>537</v>
      </c>
      <c r="C101" t="s">
        <v>236</v>
      </c>
      <c r="D101" t="s">
        <v>237</v>
      </c>
      <c r="E101">
        <v>283</v>
      </c>
      <c r="F101">
        <v>0</v>
      </c>
      <c r="G101">
        <v>0</v>
      </c>
      <c r="H101">
        <v>0</v>
      </c>
    </row>
    <row r="102" spans="1:8" x14ac:dyDescent="0.3">
      <c r="A102" t="s">
        <v>325</v>
      </c>
      <c r="B102" t="s">
        <v>537</v>
      </c>
      <c r="C102" t="s">
        <v>249</v>
      </c>
      <c r="E102">
        <v>46</v>
      </c>
      <c r="F102">
        <v>0</v>
      </c>
      <c r="G102">
        <v>1</v>
      </c>
      <c r="H102">
        <v>0</v>
      </c>
    </row>
    <row r="103" spans="1:8" x14ac:dyDescent="0.3">
      <c r="A103" t="s">
        <v>325</v>
      </c>
      <c r="B103" t="s">
        <v>537</v>
      </c>
      <c r="C103" t="s">
        <v>281</v>
      </c>
      <c r="E103">
        <v>29</v>
      </c>
      <c r="F103">
        <v>0</v>
      </c>
      <c r="G103">
        <v>0</v>
      </c>
      <c r="H103">
        <v>0</v>
      </c>
    </row>
    <row r="104" spans="1:8" x14ac:dyDescent="0.3">
      <c r="A104" t="s">
        <v>325</v>
      </c>
      <c r="B104" t="s">
        <v>537</v>
      </c>
      <c r="C104" t="s">
        <v>289</v>
      </c>
      <c r="E104">
        <v>158</v>
      </c>
      <c r="F104">
        <v>0</v>
      </c>
      <c r="G104">
        <v>1</v>
      </c>
      <c r="H104">
        <v>0</v>
      </c>
    </row>
    <row r="105" spans="1:8" x14ac:dyDescent="0.3">
      <c r="A105" t="s">
        <v>325</v>
      </c>
      <c r="B105" t="s">
        <v>537</v>
      </c>
      <c r="C105" t="s">
        <v>298</v>
      </c>
      <c r="D105" t="s">
        <v>237</v>
      </c>
      <c r="E105">
        <v>56</v>
      </c>
      <c r="F105">
        <v>0</v>
      </c>
      <c r="G105">
        <v>0</v>
      </c>
      <c r="H105">
        <v>0</v>
      </c>
    </row>
    <row r="106" spans="1:8" x14ac:dyDescent="0.3">
      <c r="A106" t="s">
        <v>325</v>
      </c>
      <c r="B106" t="s">
        <v>540</v>
      </c>
      <c r="C106" t="s">
        <v>230</v>
      </c>
      <c r="E106">
        <v>0</v>
      </c>
      <c r="F106">
        <v>15</v>
      </c>
      <c r="G106">
        <v>15</v>
      </c>
      <c r="H106">
        <v>0</v>
      </c>
    </row>
    <row r="107" spans="1:8" x14ac:dyDescent="0.3">
      <c r="A107" t="s">
        <v>325</v>
      </c>
      <c r="B107" t="s">
        <v>540</v>
      </c>
      <c r="C107" t="s">
        <v>244</v>
      </c>
      <c r="E107">
        <v>0</v>
      </c>
      <c r="F107">
        <v>9</v>
      </c>
      <c r="G107">
        <v>9</v>
      </c>
      <c r="H107">
        <v>0</v>
      </c>
    </row>
    <row r="108" spans="1:8" x14ac:dyDescent="0.3">
      <c r="A108" t="s">
        <v>325</v>
      </c>
      <c r="B108" t="s">
        <v>540</v>
      </c>
      <c r="C108" t="s">
        <v>251</v>
      </c>
      <c r="E108">
        <v>0</v>
      </c>
      <c r="F108">
        <v>15</v>
      </c>
      <c r="G108">
        <v>11</v>
      </c>
      <c r="H108">
        <v>0</v>
      </c>
    </row>
    <row r="109" spans="1:8" x14ac:dyDescent="0.3">
      <c r="A109" t="s">
        <v>325</v>
      </c>
      <c r="B109" t="s">
        <v>542</v>
      </c>
      <c r="C109" t="s">
        <v>238</v>
      </c>
      <c r="D109" t="s">
        <v>237</v>
      </c>
      <c r="E109">
        <v>0</v>
      </c>
      <c r="F109">
        <v>8</v>
      </c>
      <c r="G109">
        <v>29</v>
      </c>
      <c r="H109">
        <v>30</v>
      </c>
    </row>
    <row r="110" spans="1:8" x14ac:dyDescent="0.3">
      <c r="A110" t="s">
        <v>326</v>
      </c>
      <c r="B110" t="s">
        <v>537</v>
      </c>
      <c r="C110" t="s">
        <v>224</v>
      </c>
      <c r="E110">
        <v>27</v>
      </c>
      <c r="F110">
        <v>0</v>
      </c>
      <c r="G110">
        <v>0</v>
      </c>
      <c r="H110">
        <v>0</v>
      </c>
    </row>
    <row r="111" spans="1:8" x14ac:dyDescent="0.3">
      <c r="A111" t="s">
        <v>326</v>
      </c>
      <c r="B111" t="s">
        <v>537</v>
      </c>
      <c r="C111" t="s">
        <v>263</v>
      </c>
      <c r="D111" t="s">
        <v>237</v>
      </c>
      <c r="E111">
        <v>91</v>
      </c>
      <c r="F111">
        <v>0</v>
      </c>
      <c r="G111">
        <v>0</v>
      </c>
      <c r="H111">
        <v>0</v>
      </c>
    </row>
    <row r="112" spans="1:8" x14ac:dyDescent="0.3">
      <c r="A112" t="s">
        <v>326</v>
      </c>
      <c r="B112" t="s">
        <v>537</v>
      </c>
      <c r="C112" t="s">
        <v>267</v>
      </c>
      <c r="D112" t="s">
        <v>237</v>
      </c>
      <c r="E112">
        <v>214</v>
      </c>
      <c r="F112">
        <v>0</v>
      </c>
      <c r="G112">
        <v>2</v>
      </c>
      <c r="H112">
        <v>0</v>
      </c>
    </row>
    <row r="113" spans="1:8" x14ac:dyDescent="0.3">
      <c r="A113" t="s">
        <v>326</v>
      </c>
      <c r="B113" t="s">
        <v>537</v>
      </c>
      <c r="C113" t="s">
        <v>300</v>
      </c>
      <c r="E113">
        <v>0</v>
      </c>
      <c r="F113">
        <v>0</v>
      </c>
      <c r="G113">
        <v>1</v>
      </c>
      <c r="H113">
        <v>0</v>
      </c>
    </row>
    <row r="114" spans="1:8" x14ac:dyDescent="0.3">
      <c r="A114" t="s">
        <v>328</v>
      </c>
      <c r="B114" t="s">
        <v>540</v>
      </c>
      <c r="C114" t="s">
        <v>236</v>
      </c>
      <c r="E114">
        <v>0</v>
      </c>
      <c r="F114">
        <v>10</v>
      </c>
      <c r="G114">
        <v>15</v>
      </c>
      <c r="H114">
        <v>0</v>
      </c>
    </row>
    <row r="115" spans="1:8" x14ac:dyDescent="0.3">
      <c r="A115" t="s">
        <v>412</v>
      </c>
      <c r="B115" t="s">
        <v>537</v>
      </c>
      <c r="C115" t="s">
        <v>281</v>
      </c>
      <c r="E115">
        <v>28</v>
      </c>
      <c r="F115">
        <v>0</v>
      </c>
      <c r="G115">
        <v>1</v>
      </c>
      <c r="H115">
        <v>0</v>
      </c>
    </row>
    <row r="116" spans="1:8" x14ac:dyDescent="0.3">
      <c r="A116" t="s">
        <v>412</v>
      </c>
      <c r="B116" t="s">
        <v>537</v>
      </c>
      <c r="C116" t="s">
        <v>307</v>
      </c>
      <c r="D116" t="s">
        <v>237</v>
      </c>
      <c r="E116">
        <v>48</v>
      </c>
      <c r="F116">
        <v>0</v>
      </c>
      <c r="G116">
        <v>1</v>
      </c>
      <c r="H116">
        <v>0</v>
      </c>
    </row>
    <row r="117" spans="1:8" x14ac:dyDescent="0.3">
      <c r="A117" t="s">
        <v>412</v>
      </c>
      <c r="B117" t="s">
        <v>540</v>
      </c>
      <c r="C117" t="s">
        <v>244</v>
      </c>
      <c r="E117">
        <v>0</v>
      </c>
      <c r="F117">
        <v>10</v>
      </c>
      <c r="G117">
        <v>1</v>
      </c>
      <c r="H117">
        <v>0</v>
      </c>
    </row>
    <row r="118" spans="1:8" x14ac:dyDescent="0.3">
      <c r="A118" t="s">
        <v>412</v>
      </c>
      <c r="B118" t="s">
        <v>540</v>
      </c>
      <c r="C118" t="s">
        <v>251</v>
      </c>
      <c r="E118">
        <v>0</v>
      </c>
      <c r="F118">
        <v>13</v>
      </c>
      <c r="G118">
        <v>12</v>
      </c>
      <c r="H118">
        <v>0</v>
      </c>
    </row>
    <row r="119" spans="1:8" x14ac:dyDescent="0.3">
      <c r="A119" t="s">
        <v>412</v>
      </c>
      <c r="B119" t="s">
        <v>540</v>
      </c>
      <c r="C119" t="s">
        <v>313</v>
      </c>
      <c r="D119" t="s">
        <v>237</v>
      </c>
      <c r="E119">
        <v>0</v>
      </c>
      <c r="F119">
        <v>1</v>
      </c>
      <c r="G119">
        <v>0</v>
      </c>
      <c r="H119">
        <v>0</v>
      </c>
    </row>
    <row r="120" spans="1:8" x14ac:dyDescent="0.3">
      <c r="A120" t="s">
        <v>213</v>
      </c>
      <c r="B120" t="s">
        <v>537</v>
      </c>
      <c r="C120" t="s">
        <v>277</v>
      </c>
      <c r="D120" t="s">
        <v>276</v>
      </c>
      <c r="E120">
        <v>72</v>
      </c>
      <c r="F120">
        <v>0</v>
      </c>
      <c r="G120">
        <v>0</v>
      </c>
      <c r="H120">
        <v>0</v>
      </c>
    </row>
    <row r="121" spans="1:8" x14ac:dyDescent="0.3">
      <c r="A121" t="s">
        <v>213</v>
      </c>
      <c r="B121" t="s">
        <v>537</v>
      </c>
      <c r="C121" t="s">
        <v>289</v>
      </c>
      <c r="D121" t="s">
        <v>288</v>
      </c>
      <c r="E121">
        <v>166</v>
      </c>
      <c r="F121">
        <v>0</v>
      </c>
      <c r="G121">
        <v>0</v>
      </c>
      <c r="H121">
        <v>0</v>
      </c>
    </row>
    <row r="122" spans="1:8" x14ac:dyDescent="0.3">
      <c r="A122" t="s">
        <v>213</v>
      </c>
      <c r="B122" t="s">
        <v>537</v>
      </c>
      <c r="C122" t="s">
        <v>294</v>
      </c>
      <c r="D122" t="s">
        <v>496</v>
      </c>
      <c r="E122">
        <v>69</v>
      </c>
      <c r="F122">
        <v>0</v>
      </c>
      <c r="G122">
        <v>0</v>
      </c>
      <c r="H122">
        <v>0</v>
      </c>
    </row>
    <row r="123" spans="1:8" x14ac:dyDescent="0.3">
      <c r="A123" t="s">
        <v>312</v>
      </c>
      <c r="B123" t="s">
        <v>537</v>
      </c>
      <c r="C123" t="s">
        <v>267</v>
      </c>
      <c r="D123" t="s">
        <v>237</v>
      </c>
      <c r="E123">
        <v>269</v>
      </c>
      <c r="F123">
        <v>0</v>
      </c>
      <c r="G123">
        <v>0</v>
      </c>
      <c r="H123">
        <v>0</v>
      </c>
    </row>
    <row r="124" spans="1:8" x14ac:dyDescent="0.3">
      <c r="A124" t="s">
        <v>318</v>
      </c>
      <c r="B124" t="s">
        <v>537</v>
      </c>
      <c r="C124" t="s">
        <v>289</v>
      </c>
      <c r="D124" t="s">
        <v>231</v>
      </c>
      <c r="E124">
        <v>160</v>
      </c>
      <c r="F124">
        <v>0</v>
      </c>
      <c r="G124">
        <v>0</v>
      </c>
      <c r="H124">
        <v>0</v>
      </c>
    </row>
    <row r="125" spans="1:8" x14ac:dyDescent="0.3">
      <c r="A125" t="s">
        <v>318</v>
      </c>
      <c r="B125" t="s">
        <v>540</v>
      </c>
      <c r="C125" t="s">
        <v>230</v>
      </c>
      <c r="D125" t="s">
        <v>231</v>
      </c>
      <c r="E125">
        <v>0</v>
      </c>
      <c r="F125">
        <v>11</v>
      </c>
      <c r="G125">
        <v>15</v>
      </c>
      <c r="H125">
        <v>0</v>
      </c>
    </row>
    <row r="126" spans="1:8" x14ac:dyDescent="0.3">
      <c r="A126" t="s">
        <v>318</v>
      </c>
      <c r="B126" t="s">
        <v>540</v>
      </c>
      <c r="C126" t="s">
        <v>265</v>
      </c>
      <c r="D126" t="s">
        <v>237</v>
      </c>
      <c r="E126">
        <v>0</v>
      </c>
      <c r="F126">
        <v>8</v>
      </c>
      <c r="G126">
        <v>11</v>
      </c>
      <c r="H126">
        <v>0</v>
      </c>
    </row>
    <row r="127" spans="1:8" x14ac:dyDescent="0.3">
      <c r="A127" t="s">
        <v>318</v>
      </c>
      <c r="B127" t="s">
        <v>540</v>
      </c>
      <c r="C127" t="s">
        <v>289</v>
      </c>
      <c r="D127" t="s">
        <v>231</v>
      </c>
      <c r="E127">
        <v>0</v>
      </c>
      <c r="F127">
        <v>8</v>
      </c>
      <c r="G127">
        <v>7</v>
      </c>
      <c r="H127">
        <v>0</v>
      </c>
    </row>
    <row r="128" spans="1:8" x14ac:dyDescent="0.3">
      <c r="A128" t="s">
        <v>320</v>
      </c>
      <c r="B128" t="s">
        <v>537</v>
      </c>
      <c r="C128" t="s">
        <v>215</v>
      </c>
      <c r="E128">
        <v>154</v>
      </c>
      <c r="F128">
        <v>0</v>
      </c>
      <c r="G128">
        <v>0</v>
      </c>
      <c r="H128">
        <v>0</v>
      </c>
    </row>
    <row r="129" spans="1:8" x14ac:dyDescent="0.3">
      <c r="A129" t="s">
        <v>320</v>
      </c>
      <c r="B129" t="s">
        <v>537</v>
      </c>
      <c r="C129" t="s">
        <v>281</v>
      </c>
      <c r="E129">
        <v>30</v>
      </c>
      <c r="F129">
        <v>0</v>
      </c>
      <c r="G129">
        <v>0</v>
      </c>
      <c r="H129">
        <v>0</v>
      </c>
    </row>
    <row r="130" spans="1:8" x14ac:dyDescent="0.3">
      <c r="A130" t="s">
        <v>320</v>
      </c>
      <c r="B130" t="s">
        <v>540</v>
      </c>
      <c r="C130" t="s">
        <v>230</v>
      </c>
      <c r="E130">
        <v>0</v>
      </c>
      <c r="F130">
        <v>13</v>
      </c>
      <c r="G130">
        <v>15</v>
      </c>
      <c r="H130">
        <v>0</v>
      </c>
    </row>
    <row r="131" spans="1:8" x14ac:dyDescent="0.3">
      <c r="A131" t="s">
        <v>320</v>
      </c>
      <c r="B131" t="s">
        <v>540</v>
      </c>
      <c r="C131" t="s">
        <v>251</v>
      </c>
      <c r="E131">
        <v>0</v>
      </c>
      <c r="F131">
        <v>15</v>
      </c>
      <c r="G131">
        <v>12</v>
      </c>
      <c r="H131">
        <v>0</v>
      </c>
    </row>
    <row r="132" spans="1:8" x14ac:dyDescent="0.3">
      <c r="A132" t="s">
        <v>320</v>
      </c>
      <c r="B132" t="s">
        <v>540</v>
      </c>
      <c r="C132" t="s">
        <v>265</v>
      </c>
      <c r="D132" t="s">
        <v>237</v>
      </c>
      <c r="E132">
        <v>0</v>
      </c>
      <c r="F132">
        <v>0</v>
      </c>
      <c r="G132">
        <v>2</v>
      </c>
      <c r="H132">
        <v>0</v>
      </c>
    </row>
    <row r="133" spans="1:8" x14ac:dyDescent="0.3">
      <c r="A133" t="s">
        <v>325</v>
      </c>
      <c r="B133" t="s">
        <v>537</v>
      </c>
      <c r="C133" t="s">
        <v>224</v>
      </c>
      <c r="E133">
        <v>24</v>
      </c>
      <c r="F133">
        <v>0</v>
      </c>
      <c r="G133">
        <v>0</v>
      </c>
      <c r="H133">
        <v>0</v>
      </c>
    </row>
    <row r="134" spans="1:8" x14ac:dyDescent="0.3">
      <c r="A134" t="s">
        <v>325</v>
      </c>
      <c r="B134" t="s">
        <v>537</v>
      </c>
      <c r="C134" t="s">
        <v>228</v>
      </c>
      <c r="E134">
        <v>50</v>
      </c>
      <c r="F134">
        <v>0</v>
      </c>
      <c r="G134">
        <v>0</v>
      </c>
      <c r="H134">
        <v>0</v>
      </c>
    </row>
    <row r="135" spans="1:8" x14ac:dyDescent="0.3">
      <c r="A135" t="s">
        <v>325</v>
      </c>
      <c r="B135" t="s">
        <v>537</v>
      </c>
      <c r="C135" t="s">
        <v>538</v>
      </c>
      <c r="E135">
        <v>51</v>
      </c>
      <c r="F135">
        <v>0</v>
      </c>
      <c r="G135">
        <v>0</v>
      </c>
      <c r="H135">
        <v>0</v>
      </c>
    </row>
    <row r="136" spans="1:8" x14ac:dyDescent="0.3">
      <c r="A136" t="s">
        <v>325</v>
      </c>
      <c r="B136" t="s">
        <v>537</v>
      </c>
      <c r="C136" t="s">
        <v>253</v>
      </c>
      <c r="E136">
        <v>71</v>
      </c>
      <c r="F136">
        <v>0</v>
      </c>
      <c r="G136">
        <v>0</v>
      </c>
      <c r="H136">
        <v>0</v>
      </c>
    </row>
    <row r="137" spans="1:8" x14ac:dyDescent="0.3">
      <c r="A137" t="s">
        <v>325</v>
      </c>
      <c r="B137" t="s">
        <v>537</v>
      </c>
      <c r="C137" t="s">
        <v>255</v>
      </c>
      <c r="D137" t="s">
        <v>237</v>
      </c>
      <c r="E137">
        <v>24</v>
      </c>
      <c r="F137">
        <v>0</v>
      </c>
      <c r="G137">
        <v>0</v>
      </c>
      <c r="H137">
        <v>0</v>
      </c>
    </row>
    <row r="138" spans="1:8" x14ac:dyDescent="0.3">
      <c r="A138" t="s">
        <v>325</v>
      </c>
      <c r="B138" t="s">
        <v>537</v>
      </c>
      <c r="C138" t="s">
        <v>270</v>
      </c>
      <c r="E138">
        <v>481</v>
      </c>
      <c r="F138">
        <v>0</v>
      </c>
      <c r="G138">
        <v>10</v>
      </c>
      <c r="H138">
        <v>0</v>
      </c>
    </row>
    <row r="139" spans="1:8" x14ac:dyDescent="0.3">
      <c r="A139" t="s">
        <v>325</v>
      </c>
      <c r="B139" t="s">
        <v>537</v>
      </c>
      <c r="C139" t="s">
        <v>287</v>
      </c>
      <c r="E139">
        <v>75</v>
      </c>
      <c r="F139">
        <v>0</v>
      </c>
      <c r="G139">
        <v>0</v>
      </c>
      <c r="H139">
        <v>0</v>
      </c>
    </row>
    <row r="140" spans="1:8" x14ac:dyDescent="0.3">
      <c r="A140" t="s">
        <v>325</v>
      </c>
      <c r="B140" t="s">
        <v>540</v>
      </c>
      <c r="C140" t="s">
        <v>270</v>
      </c>
      <c r="E140">
        <v>0</v>
      </c>
      <c r="F140">
        <v>14</v>
      </c>
      <c r="G140">
        <v>9</v>
      </c>
      <c r="H140">
        <v>0</v>
      </c>
    </row>
    <row r="141" spans="1:8" x14ac:dyDescent="0.3">
      <c r="A141" t="s">
        <v>325</v>
      </c>
      <c r="B141" t="s">
        <v>542</v>
      </c>
      <c r="C141" t="s">
        <v>218</v>
      </c>
      <c r="E141">
        <v>0</v>
      </c>
      <c r="F141">
        <v>11</v>
      </c>
      <c r="G141">
        <v>34</v>
      </c>
      <c r="H141">
        <v>25</v>
      </c>
    </row>
    <row r="142" spans="1:8" x14ac:dyDescent="0.3">
      <c r="A142" t="s">
        <v>326</v>
      </c>
      <c r="B142" t="s">
        <v>537</v>
      </c>
      <c r="C142" t="s">
        <v>220</v>
      </c>
      <c r="E142">
        <v>28</v>
      </c>
      <c r="F142">
        <v>0</v>
      </c>
      <c r="G142">
        <v>0</v>
      </c>
      <c r="H142">
        <v>0</v>
      </c>
    </row>
    <row r="143" spans="1:8" x14ac:dyDescent="0.3">
      <c r="A143" t="s">
        <v>326</v>
      </c>
      <c r="B143" t="s">
        <v>537</v>
      </c>
      <c r="C143" t="s">
        <v>249</v>
      </c>
      <c r="E143">
        <v>47</v>
      </c>
      <c r="F143">
        <v>0</v>
      </c>
      <c r="G143">
        <v>1</v>
      </c>
      <c r="H143">
        <v>0</v>
      </c>
    </row>
    <row r="144" spans="1:8" x14ac:dyDescent="0.3">
      <c r="A144" t="s">
        <v>326</v>
      </c>
      <c r="B144" t="s">
        <v>537</v>
      </c>
      <c r="C144" t="s">
        <v>289</v>
      </c>
      <c r="E144">
        <v>167</v>
      </c>
      <c r="F144">
        <v>0</v>
      </c>
      <c r="G144">
        <v>2</v>
      </c>
      <c r="H144">
        <v>0</v>
      </c>
    </row>
    <row r="145" spans="1:8" x14ac:dyDescent="0.3">
      <c r="A145" t="s">
        <v>326</v>
      </c>
      <c r="B145" t="s">
        <v>537</v>
      </c>
      <c r="C145" t="s">
        <v>296</v>
      </c>
      <c r="E145">
        <v>102</v>
      </c>
      <c r="F145">
        <v>0</v>
      </c>
      <c r="G145">
        <v>0</v>
      </c>
      <c r="H145">
        <v>0</v>
      </c>
    </row>
    <row r="146" spans="1:8" x14ac:dyDescent="0.3">
      <c r="A146" t="s">
        <v>326</v>
      </c>
      <c r="B146" t="s">
        <v>537</v>
      </c>
      <c r="C146" t="s">
        <v>309</v>
      </c>
      <c r="E146">
        <v>75</v>
      </c>
      <c r="F146">
        <v>0</v>
      </c>
      <c r="G146">
        <v>0</v>
      </c>
      <c r="H146">
        <v>0</v>
      </c>
    </row>
    <row r="147" spans="1:8" x14ac:dyDescent="0.3">
      <c r="A147" t="s">
        <v>326</v>
      </c>
      <c r="B147" t="s">
        <v>542</v>
      </c>
      <c r="C147" t="s">
        <v>238</v>
      </c>
      <c r="D147" t="s">
        <v>237</v>
      </c>
      <c r="E147">
        <v>0</v>
      </c>
      <c r="F147">
        <v>8</v>
      </c>
      <c r="G147">
        <v>21</v>
      </c>
      <c r="H147">
        <v>0</v>
      </c>
    </row>
    <row r="148" spans="1:8" x14ac:dyDescent="0.3">
      <c r="A148" t="s">
        <v>328</v>
      </c>
      <c r="B148" t="s">
        <v>537</v>
      </c>
      <c r="C148" t="s">
        <v>220</v>
      </c>
      <c r="E148">
        <v>31</v>
      </c>
      <c r="F148">
        <v>0</v>
      </c>
      <c r="G148">
        <v>0</v>
      </c>
      <c r="H148">
        <v>0</v>
      </c>
    </row>
    <row r="149" spans="1:8" x14ac:dyDescent="0.3">
      <c r="A149" t="s">
        <v>328</v>
      </c>
      <c r="B149" t="s">
        <v>537</v>
      </c>
      <c r="C149" t="s">
        <v>277</v>
      </c>
      <c r="E149">
        <v>64</v>
      </c>
      <c r="F149">
        <v>0</v>
      </c>
      <c r="G149">
        <v>0</v>
      </c>
      <c r="H149">
        <v>0</v>
      </c>
    </row>
    <row r="150" spans="1:8" x14ac:dyDescent="0.3">
      <c r="A150" t="s">
        <v>328</v>
      </c>
      <c r="B150" t="s">
        <v>537</v>
      </c>
      <c r="C150" t="s">
        <v>289</v>
      </c>
      <c r="E150">
        <v>163</v>
      </c>
      <c r="F150">
        <v>0</v>
      </c>
      <c r="G150">
        <v>0</v>
      </c>
      <c r="H150">
        <v>0</v>
      </c>
    </row>
    <row r="151" spans="1:8" x14ac:dyDescent="0.3">
      <c r="A151" t="s">
        <v>328</v>
      </c>
      <c r="B151" t="s">
        <v>537</v>
      </c>
      <c r="C151" t="s">
        <v>296</v>
      </c>
      <c r="E151">
        <v>102</v>
      </c>
      <c r="F151">
        <v>0</v>
      </c>
      <c r="G151">
        <v>0</v>
      </c>
      <c r="H151">
        <v>0</v>
      </c>
    </row>
    <row r="152" spans="1:8" x14ac:dyDescent="0.3">
      <c r="A152" t="s">
        <v>328</v>
      </c>
      <c r="B152" t="s">
        <v>537</v>
      </c>
      <c r="C152" t="s">
        <v>309</v>
      </c>
      <c r="E152">
        <v>75</v>
      </c>
      <c r="F152">
        <v>0</v>
      </c>
      <c r="G152">
        <v>0</v>
      </c>
      <c r="H152">
        <v>0</v>
      </c>
    </row>
    <row r="153" spans="1:8" x14ac:dyDescent="0.3">
      <c r="A153" t="s">
        <v>328</v>
      </c>
      <c r="B153" t="s">
        <v>540</v>
      </c>
      <c r="C153" t="s">
        <v>244</v>
      </c>
      <c r="E153">
        <v>0</v>
      </c>
      <c r="F153">
        <v>1</v>
      </c>
      <c r="G153">
        <v>0</v>
      </c>
      <c r="H153">
        <v>0</v>
      </c>
    </row>
    <row r="154" spans="1:8" x14ac:dyDescent="0.3">
      <c r="A154" t="s">
        <v>328</v>
      </c>
      <c r="B154" t="s">
        <v>540</v>
      </c>
      <c r="C154" t="s">
        <v>226</v>
      </c>
      <c r="E154">
        <v>0</v>
      </c>
      <c r="F154">
        <v>13</v>
      </c>
      <c r="G154">
        <v>12</v>
      </c>
      <c r="H154">
        <v>0</v>
      </c>
    </row>
    <row r="155" spans="1:8" x14ac:dyDescent="0.3">
      <c r="A155" t="s">
        <v>328</v>
      </c>
      <c r="B155" t="s">
        <v>540</v>
      </c>
      <c r="C155" t="s">
        <v>313</v>
      </c>
      <c r="D155" t="s">
        <v>237</v>
      </c>
      <c r="E155">
        <v>0</v>
      </c>
      <c r="F155">
        <v>2</v>
      </c>
      <c r="G155">
        <v>0</v>
      </c>
      <c r="H155">
        <v>0</v>
      </c>
    </row>
    <row r="156" spans="1:8" x14ac:dyDescent="0.3">
      <c r="A156" t="s">
        <v>328</v>
      </c>
      <c r="B156" t="s">
        <v>542</v>
      </c>
      <c r="C156" t="s">
        <v>238</v>
      </c>
      <c r="D156" t="s">
        <v>237</v>
      </c>
      <c r="E156">
        <v>0</v>
      </c>
      <c r="F156">
        <v>11</v>
      </c>
      <c r="G156">
        <v>46</v>
      </c>
      <c r="H156">
        <v>16</v>
      </c>
    </row>
    <row r="157" spans="1:8" x14ac:dyDescent="0.3">
      <c r="A157" t="s">
        <v>412</v>
      </c>
      <c r="B157" t="s">
        <v>537</v>
      </c>
      <c r="C157" t="s">
        <v>224</v>
      </c>
      <c r="E157">
        <v>25</v>
      </c>
      <c r="F157">
        <v>1</v>
      </c>
      <c r="G157">
        <v>0</v>
      </c>
      <c r="H157">
        <v>0</v>
      </c>
    </row>
    <row r="158" spans="1:8" x14ac:dyDescent="0.3">
      <c r="A158" t="s">
        <v>412</v>
      </c>
      <c r="B158" t="s">
        <v>537</v>
      </c>
      <c r="C158" t="s">
        <v>228</v>
      </c>
      <c r="E158">
        <v>51</v>
      </c>
      <c r="F158">
        <v>0</v>
      </c>
      <c r="G158">
        <v>1</v>
      </c>
      <c r="H158">
        <v>0</v>
      </c>
    </row>
    <row r="159" spans="1:8" x14ac:dyDescent="0.3">
      <c r="A159" t="s">
        <v>412</v>
      </c>
      <c r="B159" t="s">
        <v>537</v>
      </c>
      <c r="C159" t="s">
        <v>538</v>
      </c>
      <c r="E159">
        <v>49</v>
      </c>
      <c r="F159">
        <v>0</v>
      </c>
      <c r="G159">
        <v>15</v>
      </c>
      <c r="H159">
        <v>0</v>
      </c>
    </row>
    <row r="160" spans="1:8" x14ac:dyDescent="0.3">
      <c r="A160" t="s">
        <v>412</v>
      </c>
      <c r="B160" t="s">
        <v>537</v>
      </c>
      <c r="C160" t="s">
        <v>253</v>
      </c>
      <c r="E160">
        <v>81</v>
      </c>
      <c r="F160">
        <v>0</v>
      </c>
      <c r="G160">
        <v>0</v>
      </c>
      <c r="H160">
        <v>0</v>
      </c>
    </row>
    <row r="161" spans="1:8" x14ac:dyDescent="0.3">
      <c r="A161" t="s">
        <v>412</v>
      </c>
      <c r="B161" t="s">
        <v>537</v>
      </c>
      <c r="C161" t="s">
        <v>287</v>
      </c>
      <c r="E161">
        <v>76</v>
      </c>
      <c r="F161">
        <v>0</v>
      </c>
      <c r="G161">
        <v>0</v>
      </c>
      <c r="H161">
        <v>0</v>
      </c>
    </row>
    <row r="162" spans="1:8" x14ac:dyDescent="0.3">
      <c r="A162" t="s">
        <v>412</v>
      </c>
      <c r="B162" t="s">
        <v>537</v>
      </c>
      <c r="C162" t="s">
        <v>311</v>
      </c>
      <c r="D162" t="s">
        <v>237</v>
      </c>
      <c r="E162">
        <v>61</v>
      </c>
      <c r="F162">
        <v>0</v>
      </c>
      <c r="G162">
        <v>4</v>
      </c>
      <c r="H162">
        <v>0</v>
      </c>
    </row>
    <row r="163" spans="1:8" x14ac:dyDescent="0.3">
      <c r="A163" t="s">
        <v>412</v>
      </c>
      <c r="B163" t="s">
        <v>540</v>
      </c>
      <c r="C163" t="s">
        <v>236</v>
      </c>
      <c r="E163">
        <v>0</v>
      </c>
      <c r="F163">
        <v>16</v>
      </c>
      <c r="G163">
        <v>15</v>
      </c>
      <c r="H163">
        <v>0</v>
      </c>
    </row>
    <row r="164" spans="1:8" x14ac:dyDescent="0.3">
      <c r="A164" t="s">
        <v>412</v>
      </c>
      <c r="B164" t="s">
        <v>540</v>
      </c>
      <c r="C164" t="s">
        <v>270</v>
      </c>
      <c r="E164">
        <v>0</v>
      </c>
      <c r="F164">
        <v>14</v>
      </c>
      <c r="G164">
        <v>16</v>
      </c>
      <c r="H164">
        <v>0</v>
      </c>
    </row>
    <row r="165" spans="1:8" x14ac:dyDescent="0.3">
      <c r="A165" t="s">
        <v>412</v>
      </c>
      <c r="B165" t="s">
        <v>540</v>
      </c>
      <c r="C165" t="s">
        <v>313</v>
      </c>
      <c r="E165">
        <v>0</v>
      </c>
      <c r="F165">
        <v>13</v>
      </c>
      <c r="G165">
        <v>18</v>
      </c>
      <c r="H165">
        <v>0</v>
      </c>
    </row>
    <row r="166" spans="1:8" x14ac:dyDescent="0.3">
      <c r="A166" t="s">
        <v>213</v>
      </c>
      <c r="B166" t="s">
        <v>537</v>
      </c>
      <c r="C166" t="s">
        <v>247</v>
      </c>
      <c r="D166" t="s">
        <v>246</v>
      </c>
      <c r="E166">
        <v>177</v>
      </c>
      <c r="F166">
        <v>0</v>
      </c>
      <c r="G166">
        <v>0</v>
      </c>
      <c r="H166">
        <v>0</v>
      </c>
    </row>
    <row r="167" spans="1:8" x14ac:dyDescent="0.3">
      <c r="A167" t="s">
        <v>213</v>
      </c>
      <c r="B167" t="s">
        <v>537</v>
      </c>
      <c r="C167" t="s">
        <v>253</v>
      </c>
      <c r="D167" t="s">
        <v>252</v>
      </c>
      <c r="E167">
        <v>78</v>
      </c>
      <c r="F167">
        <v>0</v>
      </c>
      <c r="G167">
        <v>0</v>
      </c>
      <c r="H167">
        <v>0</v>
      </c>
    </row>
    <row r="168" spans="1:8" x14ac:dyDescent="0.3">
      <c r="A168" t="s">
        <v>213</v>
      </c>
      <c r="B168" t="s">
        <v>537</v>
      </c>
      <c r="C168" t="s">
        <v>263</v>
      </c>
      <c r="D168" t="s">
        <v>237</v>
      </c>
      <c r="E168">
        <v>88</v>
      </c>
      <c r="F168">
        <v>0</v>
      </c>
      <c r="G168">
        <v>0</v>
      </c>
      <c r="H168">
        <v>0</v>
      </c>
    </row>
    <row r="169" spans="1:8" x14ac:dyDescent="0.3">
      <c r="A169" t="s">
        <v>213</v>
      </c>
      <c r="B169" t="s">
        <v>540</v>
      </c>
      <c r="C169" t="s">
        <v>275</v>
      </c>
      <c r="D169" t="s">
        <v>274</v>
      </c>
      <c r="E169">
        <v>0</v>
      </c>
      <c r="F169">
        <v>19</v>
      </c>
      <c r="G169">
        <v>26</v>
      </c>
      <c r="H169">
        <v>0</v>
      </c>
    </row>
    <row r="170" spans="1:8" x14ac:dyDescent="0.3">
      <c r="A170" t="s">
        <v>312</v>
      </c>
      <c r="B170" t="s">
        <v>537</v>
      </c>
      <c r="C170" t="s">
        <v>253</v>
      </c>
      <c r="D170" t="s">
        <v>231</v>
      </c>
      <c r="E170">
        <v>79</v>
      </c>
      <c r="F170">
        <v>0</v>
      </c>
      <c r="G170">
        <v>0</v>
      </c>
      <c r="H170">
        <v>0</v>
      </c>
    </row>
    <row r="171" spans="1:8" x14ac:dyDescent="0.3">
      <c r="A171" t="s">
        <v>312</v>
      </c>
      <c r="B171" t="s">
        <v>537</v>
      </c>
      <c r="C171" t="s">
        <v>255</v>
      </c>
      <c r="D171" t="s">
        <v>237</v>
      </c>
      <c r="E171">
        <v>25</v>
      </c>
      <c r="F171">
        <v>0</v>
      </c>
      <c r="G171">
        <v>0</v>
      </c>
      <c r="H171">
        <v>0</v>
      </c>
    </row>
    <row r="172" spans="1:8" x14ac:dyDescent="0.3">
      <c r="A172" t="s">
        <v>312</v>
      </c>
      <c r="B172" t="s">
        <v>537</v>
      </c>
      <c r="C172" t="s">
        <v>259</v>
      </c>
      <c r="D172" t="s">
        <v>231</v>
      </c>
      <c r="E172">
        <v>50</v>
      </c>
      <c r="F172">
        <v>0</v>
      </c>
      <c r="G172">
        <v>0</v>
      </c>
      <c r="H172">
        <v>0</v>
      </c>
    </row>
    <row r="173" spans="1:8" x14ac:dyDescent="0.3">
      <c r="A173" t="s">
        <v>312</v>
      </c>
      <c r="B173" t="s">
        <v>537</v>
      </c>
      <c r="C173" t="s">
        <v>298</v>
      </c>
      <c r="D173" t="s">
        <v>237</v>
      </c>
      <c r="E173">
        <v>53</v>
      </c>
      <c r="F173">
        <v>0</v>
      </c>
      <c r="G173">
        <v>0</v>
      </c>
      <c r="H173">
        <v>0</v>
      </c>
    </row>
    <row r="174" spans="1:8" x14ac:dyDescent="0.3">
      <c r="A174" t="s">
        <v>312</v>
      </c>
      <c r="B174" t="s">
        <v>537</v>
      </c>
      <c r="C174" t="s">
        <v>302</v>
      </c>
      <c r="D174" t="s">
        <v>231</v>
      </c>
      <c r="E174">
        <v>50</v>
      </c>
      <c r="F174">
        <v>0</v>
      </c>
      <c r="G174">
        <v>0</v>
      </c>
      <c r="H174">
        <v>0</v>
      </c>
    </row>
    <row r="175" spans="1:8" x14ac:dyDescent="0.3">
      <c r="A175" t="s">
        <v>312</v>
      </c>
      <c r="B175" t="s">
        <v>540</v>
      </c>
      <c r="C175" t="s">
        <v>222</v>
      </c>
      <c r="D175" t="s">
        <v>217</v>
      </c>
      <c r="E175">
        <v>0</v>
      </c>
      <c r="F175">
        <v>13</v>
      </c>
      <c r="G175">
        <v>12</v>
      </c>
      <c r="H175">
        <v>0</v>
      </c>
    </row>
    <row r="176" spans="1:8" x14ac:dyDescent="0.3">
      <c r="A176" t="s">
        <v>312</v>
      </c>
      <c r="B176" t="s">
        <v>540</v>
      </c>
      <c r="C176" t="s">
        <v>257</v>
      </c>
      <c r="D176" t="s">
        <v>237</v>
      </c>
      <c r="E176">
        <v>0</v>
      </c>
      <c r="F176">
        <v>11</v>
      </c>
      <c r="G176">
        <v>18</v>
      </c>
      <c r="H176">
        <v>0</v>
      </c>
    </row>
    <row r="177" spans="1:8" x14ac:dyDescent="0.3">
      <c r="A177" t="s">
        <v>312</v>
      </c>
      <c r="B177" t="s">
        <v>540</v>
      </c>
      <c r="C177" t="s">
        <v>275</v>
      </c>
      <c r="D177" t="s">
        <v>217</v>
      </c>
      <c r="E177">
        <v>0</v>
      </c>
      <c r="F177">
        <v>18</v>
      </c>
      <c r="G177">
        <v>20</v>
      </c>
      <c r="H177">
        <v>0</v>
      </c>
    </row>
    <row r="178" spans="1:8" x14ac:dyDescent="0.3">
      <c r="A178" t="s">
        <v>312</v>
      </c>
      <c r="B178" t="s">
        <v>540</v>
      </c>
      <c r="C178" t="s">
        <v>313</v>
      </c>
      <c r="E178">
        <v>0</v>
      </c>
      <c r="F178">
        <v>8</v>
      </c>
      <c r="G178">
        <v>11</v>
      </c>
      <c r="H178">
        <v>0</v>
      </c>
    </row>
    <row r="179" spans="1:8" x14ac:dyDescent="0.3">
      <c r="A179" t="s">
        <v>318</v>
      </c>
      <c r="B179" t="s">
        <v>537</v>
      </c>
      <c r="C179" t="s">
        <v>228</v>
      </c>
      <c r="D179" t="s">
        <v>231</v>
      </c>
      <c r="E179">
        <v>52</v>
      </c>
      <c r="F179">
        <v>0</v>
      </c>
      <c r="G179">
        <v>0</v>
      </c>
      <c r="H179">
        <v>0</v>
      </c>
    </row>
    <row r="180" spans="1:8" x14ac:dyDescent="0.3">
      <c r="A180" t="s">
        <v>318</v>
      </c>
      <c r="B180" t="s">
        <v>537</v>
      </c>
      <c r="C180" t="s">
        <v>247</v>
      </c>
      <c r="D180" t="s">
        <v>217</v>
      </c>
      <c r="E180">
        <v>182</v>
      </c>
      <c r="F180">
        <v>0</v>
      </c>
      <c r="G180">
        <v>0</v>
      </c>
      <c r="H180">
        <v>0</v>
      </c>
    </row>
    <row r="181" spans="1:8" x14ac:dyDescent="0.3">
      <c r="A181" t="s">
        <v>318</v>
      </c>
      <c r="B181" t="s">
        <v>537</v>
      </c>
      <c r="C181" t="s">
        <v>249</v>
      </c>
      <c r="D181" t="s">
        <v>231</v>
      </c>
      <c r="E181">
        <v>47</v>
      </c>
      <c r="F181">
        <v>0</v>
      </c>
      <c r="G181">
        <v>0</v>
      </c>
      <c r="H181">
        <v>0</v>
      </c>
    </row>
    <row r="182" spans="1:8" x14ac:dyDescent="0.3">
      <c r="A182" t="s">
        <v>318</v>
      </c>
      <c r="B182" t="s">
        <v>537</v>
      </c>
      <c r="C182" t="s">
        <v>270</v>
      </c>
      <c r="D182" t="s">
        <v>231</v>
      </c>
      <c r="E182">
        <v>499</v>
      </c>
      <c r="F182">
        <v>0</v>
      </c>
      <c r="G182">
        <v>0</v>
      </c>
      <c r="H182">
        <v>0</v>
      </c>
    </row>
    <row r="183" spans="1:8" x14ac:dyDescent="0.3">
      <c r="A183" t="s">
        <v>318</v>
      </c>
      <c r="B183" t="s">
        <v>537</v>
      </c>
      <c r="C183" t="s">
        <v>309</v>
      </c>
      <c r="D183" t="s">
        <v>231</v>
      </c>
      <c r="E183">
        <v>73</v>
      </c>
      <c r="F183">
        <v>0</v>
      </c>
      <c r="G183">
        <v>0</v>
      </c>
      <c r="H183">
        <v>0</v>
      </c>
    </row>
    <row r="184" spans="1:8" x14ac:dyDescent="0.3">
      <c r="A184" t="s">
        <v>318</v>
      </c>
      <c r="B184" t="s">
        <v>540</v>
      </c>
      <c r="C184" t="s">
        <v>226</v>
      </c>
      <c r="D184" t="s">
        <v>217</v>
      </c>
      <c r="E184">
        <v>0</v>
      </c>
      <c r="F184">
        <v>13</v>
      </c>
      <c r="G184">
        <v>15</v>
      </c>
      <c r="H184">
        <v>0</v>
      </c>
    </row>
    <row r="185" spans="1:8" x14ac:dyDescent="0.3">
      <c r="A185" t="s">
        <v>318</v>
      </c>
      <c r="B185" t="s">
        <v>540</v>
      </c>
      <c r="C185" t="s">
        <v>285</v>
      </c>
      <c r="D185" t="s">
        <v>217</v>
      </c>
      <c r="E185">
        <v>0</v>
      </c>
      <c r="F185">
        <v>11</v>
      </c>
      <c r="G185">
        <v>4</v>
      </c>
      <c r="H185">
        <v>0</v>
      </c>
    </row>
    <row r="186" spans="1:8" x14ac:dyDescent="0.3">
      <c r="A186" t="s">
        <v>318</v>
      </c>
      <c r="B186" t="s">
        <v>544</v>
      </c>
      <c r="C186" t="s">
        <v>545</v>
      </c>
      <c r="D186" t="s">
        <v>549</v>
      </c>
      <c r="E186">
        <v>0</v>
      </c>
      <c r="F186">
        <v>59</v>
      </c>
      <c r="G186">
        <v>24</v>
      </c>
      <c r="H186">
        <v>1</v>
      </c>
    </row>
    <row r="187" spans="1:8" x14ac:dyDescent="0.3">
      <c r="A187" t="s">
        <v>320</v>
      </c>
      <c r="B187" t="s">
        <v>537</v>
      </c>
      <c r="C187" t="s">
        <v>240</v>
      </c>
      <c r="D187" t="s">
        <v>237</v>
      </c>
      <c r="E187">
        <v>24</v>
      </c>
      <c r="F187">
        <v>0</v>
      </c>
      <c r="G187">
        <v>0</v>
      </c>
      <c r="H187">
        <v>0</v>
      </c>
    </row>
    <row r="188" spans="1:8" x14ac:dyDescent="0.3">
      <c r="A188" t="s">
        <v>320</v>
      </c>
      <c r="B188" t="s">
        <v>537</v>
      </c>
      <c r="C188" t="s">
        <v>277</v>
      </c>
      <c r="E188">
        <v>68</v>
      </c>
      <c r="F188">
        <v>0</v>
      </c>
      <c r="G188">
        <v>0</v>
      </c>
      <c r="H188">
        <v>0</v>
      </c>
    </row>
    <row r="189" spans="1:8" x14ac:dyDescent="0.3">
      <c r="A189" t="s">
        <v>320</v>
      </c>
      <c r="B189" t="s">
        <v>537</v>
      </c>
      <c r="C189" t="s">
        <v>304</v>
      </c>
      <c r="E189">
        <v>155</v>
      </c>
      <c r="F189">
        <v>0</v>
      </c>
      <c r="G189">
        <v>0</v>
      </c>
      <c r="H189">
        <v>0</v>
      </c>
    </row>
    <row r="190" spans="1:8" x14ac:dyDescent="0.3">
      <c r="A190" t="s">
        <v>320</v>
      </c>
      <c r="B190" t="s">
        <v>537</v>
      </c>
      <c r="C190" t="s">
        <v>311</v>
      </c>
      <c r="D190" t="s">
        <v>237</v>
      </c>
      <c r="E190">
        <v>58</v>
      </c>
      <c r="F190">
        <v>0</v>
      </c>
      <c r="G190">
        <v>0</v>
      </c>
      <c r="H190">
        <v>0</v>
      </c>
    </row>
    <row r="191" spans="1:8" x14ac:dyDescent="0.3">
      <c r="A191" t="s">
        <v>320</v>
      </c>
      <c r="B191" t="s">
        <v>540</v>
      </c>
      <c r="C191" t="s">
        <v>226</v>
      </c>
      <c r="E191">
        <v>0</v>
      </c>
      <c r="F191">
        <v>13</v>
      </c>
      <c r="G191">
        <v>18</v>
      </c>
      <c r="H191">
        <v>0</v>
      </c>
    </row>
    <row r="192" spans="1:8" x14ac:dyDescent="0.3">
      <c r="A192" t="s">
        <v>320</v>
      </c>
      <c r="B192" t="s">
        <v>542</v>
      </c>
      <c r="C192" t="s">
        <v>232</v>
      </c>
      <c r="E192">
        <v>0</v>
      </c>
      <c r="F192">
        <v>14</v>
      </c>
      <c r="G192">
        <v>59</v>
      </c>
      <c r="H192">
        <v>34</v>
      </c>
    </row>
    <row r="193" spans="1:8" x14ac:dyDescent="0.3">
      <c r="A193" t="s">
        <v>320</v>
      </c>
      <c r="B193" t="s">
        <v>544</v>
      </c>
      <c r="C193" t="s">
        <v>545</v>
      </c>
      <c r="D193" t="s">
        <v>549</v>
      </c>
      <c r="E193">
        <v>0</v>
      </c>
      <c r="F193">
        <v>60</v>
      </c>
      <c r="G193">
        <v>25</v>
      </c>
      <c r="H193">
        <v>0</v>
      </c>
    </row>
    <row r="194" spans="1:8" x14ac:dyDescent="0.3">
      <c r="A194" t="s">
        <v>325</v>
      </c>
      <c r="B194" t="s">
        <v>537</v>
      </c>
      <c r="C194" t="s">
        <v>283</v>
      </c>
      <c r="E194">
        <v>0</v>
      </c>
      <c r="F194">
        <v>0</v>
      </c>
      <c r="G194">
        <v>3</v>
      </c>
      <c r="H194">
        <v>0</v>
      </c>
    </row>
    <row r="195" spans="1:8" x14ac:dyDescent="0.3">
      <c r="A195" t="s">
        <v>325</v>
      </c>
      <c r="B195" t="s">
        <v>537</v>
      </c>
      <c r="C195" t="s">
        <v>296</v>
      </c>
      <c r="E195">
        <v>95</v>
      </c>
      <c r="F195">
        <v>0</v>
      </c>
      <c r="G195">
        <v>0</v>
      </c>
      <c r="H195">
        <v>0</v>
      </c>
    </row>
    <row r="196" spans="1:8" x14ac:dyDescent="0.3">
      <c r="A196" t="s">
        <v>325</v>
      </c>
      <c r="B196" t="s">
        <v>537</v>
      </c>
      <c r="C196" t="s">
        <v>300</v>
      </c>
      <c r="E196">
        <v>0</v>
      </c>
      <c r="F196">
        <v>0</v>
      </c>
      <c r="G196">
        <v>1</v>
      </c>
      <c r="H196">
        <v>0</v>
      </c>
    </row>
    <row r="197" spans="1:8" x14ac:dyDescent="0.3">
      <c r="A197" t="s">
        <v>325</v>
      </c>
      <c r="B197" t="s">
        <v>540</v>
      </c>
      <c r="C197" t="s">
        <v>236</v>
      </c>
      <c r="D197" t="s">
        <v>237</v>
      </c>
      <c r="E197">
        <v>0</v>
      </c>
      <c r="F197">
        <v>0</v>
      </c>
      <c r="G197">
        <v>1</v>
      </c>
      <c r="H197">
        <v>0</v>
      </c>
    </row>
    <row r="198" spans="1:8" x14ac:dyDescent="0.3">
      <c r="A198" t="s">
        <v>325</v>
      </c>
      <c r="B198" t="s">
        <v>540</v>
      </c>
      <c r="C198" t="s">
        <v>285</v>
      </c>
      <c r="E198">
        <v>0</v>
      </c>
      <c r="F198">
        <v>1</v>
      </c>
      <c r="G198">
        <v>0</v>
      </c>
      <c r="H198">
        <v>0</v>
      </c>
    </row>
    <row r="199" spans="1:8" x14ac:dyDescent="0.3">
      <c r="A199" t="s">
        <v>325</v>
      </c>
      <c r="B199" t="s">
        <v>540</v>
      </c>
      <c r="C199" t="s">
        <v>313</v>
      </c>
      <c r="E199">
        <v>0</v>
      </c>
      <c r="F199">
        <v>13</v>
      </c>
      <c r="G199">
        <v>13</v>
      </c>
      <c r="H199">
        <v>0</v>
      </c>
    </row>
    <row r="200" spans="1:8" x14ac:dyDescent="0.3">
      <c r="A200" t="s">
        <v>326</v>
      </c>
      <c r="B200" t="s">
        <v>537</v>
      </c>
      <c r="C200" t="s">
        <v>236</v>
      </c>
      <c r="D200" t="s">
        <v>237</v>
      </c>
      <c r="E200">
        <v>293</v>
      </c>
      <c r="F200">
        <v>0</v>
      </c>
      <c r="G200">
        <v>0</v>
      </c>
      <c r="H200">
        <v>0</v>
      </c>
    </row>
    <row r="201" spans="1:8" x14ac:dyDescent="0.3">
      <c r="A201" t="s">
        <v>326</v>
      </c>
      <c r="B201" t="s">
        <v>537</v>
      </c>
      <c r="C201" t="s">
        <v>270</v>
      </c>
      <c r="E201">
        <v>452</v>
      </c>
      <c r="F201">
        <v>0</v>
      </c>
      <c r="G201">
        <v>11</v>
      </c>
      <c r="H201">
        <v>0</v>
      </c>
    </row>
    <row r="202" spans="1:8" x14ac:dyDescent="0.3">
      <c r="A202" t="s">
        <v>326</v>
      </c>
      <c r="B202" t="s">
        <v>540</v>
      </c>
      <c r="C202" t="s">
        <v>261</v>
      </c>
      <c r="E202">
        <v>0</v>
      </c>
      <c r="F202">
        <v>10</v>
      </c>
      <c r="G202">
        <v>8</v>
      </c>
      <c r="H202">
        <v>0</v>
      </c>
    </row>
    <row r="203" spans="1:8" x14ac:dyDescent="0.3">
      <c r="A203" t="s">
        <v>326</v>
      </c>
      <c r="B203" t="s">
        <v>540</v>
      </c>
      <c r="C203" t="s">
        <v>265</v>
      </c>
      <c r="E203">
        <v>0</v>
      </c>
      <c r="F203">
        <v>9</v>
      </c>
      <c r="G203">
        <v>10</v>
      </c>
      <c r="H203">
        <v>0</v>
      </c>
    </row>
    <row r="204" spans="1:8" x14ac:dyDescent="0.3">
      <c r="A204" t="s">
        <v>326</v>
      </c>
      <c r="B204" t="s">
        <v>540</v>
      </c>
      <c r="C204" t="s">
        <v>270</v>
      </c>
      <c r="E204">
        <v>0</v>
      </c>
      <c r="F204">
        <v>13</v>
      </c>
      <c r="G204">
        <v>10</v>
      </c>
      <c r="H204">
        <v>0</v>
      </c>
    </row>
    <row r="205" spans="1:8" x14ac:dyDescent="0.3">
      <c r="A205" t="s">
        <v>326</v>
      </c>
      <c r="B205" t="s">
        <v>540</v>
      </c>
      <c r="C205" t="s">
        <v>313</v>
      </c>
      <c r="D205" t="s">
        <v>237</v>
      </c>
      <c r="E205">
        <v>0</v>
      </c>
      <c r="F205">
        <v>2</v>
      </c>
      <c r="G205">
        <v>2</v>
      </c>
      <c r="H205">
        <v>0</v>
      </c>
    </row>
    <row r="206" spans="1:8" x14ac:dyDescent="0.3">
      <c r="A206" t="s">
        <v>328</v>
      </c>
      <c r="B206" t="s">
        <v>537</v>
      </c>
      <c r="C206" t="s">
        <v>236</v>
      </c>
      <c r="D206" t="s">
        <v>237</v>
      </c>
      <c r="E206">
        <v>288</v>
      </c>
      <c r="F206">
        <v>0</v>
      </c>
      <c r="G206">
        <v>0</v>
      </c>
      <c r="H206">
        <v>0</v>
      </c>
    </row>
    <row r="207" spans="1:8" x14ac:dyDescent="0.3">
      <c r="A207" t="s">
        <v>328</v>
      </c>
      <c r="B207" t="s">
        <v>537</v>
      </c>
      <c r="C207" t="s">
        <v>249</v>
      </c>
      <c r="E207">
        <v>54</v>
      </c>
      <c r="F207">
        <v>0</v>
      </c>
      <c r="G207">
        <v>1</v>
      </c>
      <c r="H207">
        <v>0</v>
      </c>
    </row>
    <row r="208" spans="1:8" x14ac:dyDescent="0.3">
      <c r="A208" t="s">
        <v>328</v>
      </c>
      <c r="B208" t="s">
        <v>537</v>
      </c>
      <c r="C208" t="s">
        <v>267</v>
      </c>
      <c r="D208" t="s">
        <v>237</v>
      </c>
      <c r="E208">
        <v>211</v>
      </c>
      <c r="F208">
        <v>0</v>
      </c>
      <c r="G208">
        <v>0</v>
      </c>
      <c r="H208">
        <v>0</v>
      </c>
    </row>
    <row r="209" spans="1:8" x14ac:dyDescent="0.3">
      <c r="A209" t="s">
        <v>328</v>
      </c>
      <c r="B209" t="s">
        <v>537</v>
      </c>
      <c r="C209" t="s">
        <v>270</v>
      </c>
      <c r="E209">
        <v>438</v>
      </c>
      <c r="F209">
        <v>0</v>
      </c>
      <c r="G209">
        <v>10</v>
      </c>
      <c r="H209">
        <v>0</v>
      </c>
    </row>
    <row r="210" spans="1:8" x14ac:dyDescent="0.3">
      <c r="A210" t="s">
        <v>328</v>
      </c>
      <c r="B210" t="s">
        <v>537</v>
      </c>
      <c r="C210" t="s">
        <v>279</v>
      </c>
      <c r="D210" t="s">
        <v>237</v>
      </c>
      <c r="E210">
        <v>28</v>
      </c>
      <c r="F210">
        <v>0</v>
      </c>
      <c r="G210">
        <v>0</v>
      </c>
      <c r="H210">
        <v>0</v>
      </c>
    </row>
    <row r="211" spans="1:8" x14ac:dyDescent="0.3">
      <c r="A211" t="s">
        <v>328</v>
      </c>
      <c r="B211" t="s">
        <v>540</v>
      </c>
      <c r="C211" t="s">
        <v>261</v>
      </c>
      <c r="E211">
        <v>0</v>
      </c>
      <c r="F211">
        <v>9</v>
      </c>
      <c r="G211">
        <v>6</v>
      </c>
      <c r="H211">
        <v>0</v>
      </c>
    </row>
    <row r="212" spans="1:8" x14ac:dyDescent="0.3">
      <c r="A212" t="s">
        <v>328</v>
      </c>
      <c r="B212" t="s">
        <v>540</v>
      </c>
      <c r="C212" t="s">
        <v>265</v>
      </c>
      <c r="E212">
        <v>0</v>
      </c>
      <c r="F212">
        <v>9</v>
      </c>
      <c r="G212">
        <v>6</v>
      </c>
      <c r="H212">
        <v>0</v>
      </c>
    </row>
    <row r="213" spans="1:8" x14ac:dyDescent="0.3">
      <c r="A213" t="s">
        <v>412</v>
      </c>
      <c r="B213" t="s">
        <v>537</v>
      </c>
      <c r="C213" t="s">
        <v>259</v>
      </c>
      <c r="E213">
        <v>50</v>
      </c>
      <c r="F213">
        <v>0</v>
      </c>
      <c r="G213">
        <v>0</v>
      </c>
      <c r="H213">
        <v>0</v>
      </c>
    </row>
    <row r="214" spans="1:8" x14ac:dyDescent="0.3">
      <c r="A214" t="s">
        <v>412</v>
      </c>
      <c r="B214" t="s">
        <v>537</v>
      </c>
      <c r="C214" t="s">
        <v>263</v>
      </c>
      <c r="D214" t="s">
        <v>237</v>
      </c>
      <c r="E214">
        <v>84</v>
      </c>
      <c r="F214">
        <v>0</v>
      </c>
      <c r="G214">
        <v>0</v>
      </c>
      <c r="H214">
        <v>0</v>
      </c>
    </row>
    <row r="215" spans="1:8" x14ac:dyDescent="0.3">
      <c r="A215" t="s">
        <v>412</v>
      </c>
      <c r="B215" t="s">
        <v>537</v>
      </c>
      <c r="C215" t="s">
        <v>283</v>
      </c>
      <c r="E215">
        <v>0</v>
      </c>
      <c r="F215">
        <v>0</v>
      </c>
      <c r="G215">
        <v>3</v>
      </c>
      <c r="H215">
        <v>0</v>
      </c>
    </row>
    <row r="216" spans="1:8" x14ac:dyDescent="0.3">
      <c r="A216" t="s">
        <v>412</v>
      </c>
      <c r="B216" t="s">
        <v>537</v>
      </c>
      <c r="C216" t="s">
        <v>302</v>
      </c>
      <c r="E216">
        <v>49</v>
      </c>
      <c r="F216">
        <v>0</v>
      </c>
      <c r="G216">
        <v>2</v>
      </c>
      <c r="H216">
        <v>0</v>
      </c>
    </row>
    <row r="217" spans="1:8" x14ac:dyDescent="0.3">
      <c r="A217" t="s">
        <v>412</v>
      </c>
      <c r="B217" t="s">
        <v>540</v>
      </c>
      <c r="C217" t="s">
        <v>322</v>
      </c>
      <c r="E217">
        <v>48</v>
      </c>
      <c r="F217">
        <v>16</v>
      </c>
      <c r="G217">
        <v>9</v>
      </c>
      <c r="H217">
        <v>0</v>
      </c>
    </row>
    <row r="218" spans="1:8" x14ac:dyDescent="0.3">
      <c r="A218" t="s">
        <v>213</v>
      </c>
      <c r="B218" t="s">
        <v>537</v>
      </c>
      <c r="C218" t="s">
        <v>224</v>
      </c>
      <c r="D218" t="s">
        <v>223</v>
      </c>
      <c r="E218">
        <v>28</v>
      </c>
      <c r="F218">
        <v>0</v>
      </c>
      <c r="G218">
        <v>0</v>
      </c>
      <c r="H218">
        <v>0</v>
      </c>
    </row>
    <row r="219" spans="1:8" x14ac:dyDescent="0.3">
      <c r="A219" t="s">
        <v>213</v>
      </c>
      <c r="B219" t="s">
        <v>537</v>
      </c>
      <c r="C219" t="s">
        <v>236</v>
      </c>
      <c r="D219" t="s">
        <v>237</v>
      </c>
      <c r="E219">
        <v>297</v>
      </c>
      <c r="F219">
        <v>0</v>
      </c>
      <c r="G219">
        <v>0</v>
      </c>
      <c r="H219">
        <v>0</v>
      </c>
    </row>
    <row r="220" spans="1:8" x14ac:dyDescent="0.3">
      <c r="A220" t="s">
        <v>213</v>
      </c>
      <c r="B220" t="s">
        <v>537</v>
      </c>
      <c r="C220" t="s">
        <v>240</v>
      </c>
      <c r="D220" t="s">
        <v>237</v>
      </c>
      <c r="E220">
        <v>25</v>
      </c>
      <c r="F220">
        <v>0</v>
      </c>
      <c r="G220">
        <v>0</v>
      </c>
      <c r="H220">
        <v>0</v>
      </c>
    </row>
    <row r="221" spans="1:8" x14ac:dyDescent="0.3">
      <c r="A221" t="s">
        <v>213</v>
      </c>
      <c r="B221" t="s">
        <v>537</v>
      </c>
      <c r="C221" t="s">
        <v>270</v>
      </c>
      <c r="D221" t="s">
        <v>269</v>
      </c>
      <c r="E221">
        <v>515</v>
      </c>
      <c r="F221">
        <v>0</v>
      </c>
      <c r="G221">
        <v>0</v>
      </c>
      <c r="H221">
        <v>0</v>
      </c>
    </row>
    <row r="222" spans="1:8" x14ac:dyDescent="0.3">
      <c r="A222" t="s">
        <v>213</v>
      </c>
      <c r="B222" t="s">
        <v>540</v>
      </c>
      <c r="C222" t="s">
        <v>215</v>
      </c>
      <c r="D222" t="s">
        <v>216</v>
      </c>
      <c r="E222">
        <v>0</v>
      </c>
      <c r="F222">
        <v>7</v>
      </c>
      <c r="G222">
        <v>9</v>
      </c>
      <c r="H222">
        <v>0</v>
      </c>
    </row>
    <row r="223" spans="1:8" x14ac:dyDescent="0.3">
      <c r="A223" t="s">
        <v>213</v>
      </c>
      <c r="B223" t="s">
        <v>540</v>
      </c>
      <c r="C223" t="s">
        <v>230</v>
      </c>
      <c r="D223" t="s">
        <v>229</v>
      </c>
      <c r="E223">
        <v>0</v>
      </c>
      <c r="F223">
        <v>12</v>
      </c>
      <c r="G223">
        <v>14</v>
      </c>
      <c r="H223">
        <v>0</v>
      </c>
    </row>
    <row r="224" spans="1:8" x14ac:dyDescent="0.3">
      <c r="A224" t="s">
        <v>213</v>
      </c>
      <c r="B224" t="s">
        <v>540</v>
      </c>
      <c r="C224" t="s">
        <v>226</v>
      </c>
      <c r="D224" t="s">
        <v>225</v>
      </c>
      <c r="E224">
        <v>0</v>
      </c>
      <c r="F224">
        <v>13</v>
      </c>
      <c r="G224">
        <v>16</v>
      </c>
      <c r="H224">
        <v>0</v>
      </c>
    </row>
    <row r="225" spans="1:8" x14ac:dyDescent="0.3">
      <c r="A225" t="s">
        <v>213</v>
      </c>
      <c r="B225" t="s">
        <v>540</v>
      </c>
      <c r="C225" t="s">
        <v>257</v>
      </c>
      <c r="D225" t="s">
        <v>237</v>
      </c>
      <c r="E225">
        <v>0</v>
      </c>
      <c r="F225">
        <v>11</v>
      </c>
      <c r="G225">
        <v>14</v>
      </c>
      <c r="H225">
        <v>0</v>
      </c>
    </row>
    <row r="226" spans="1:8" x14ac:dyDescent="0.3">
      <c r="A226" t="s">
        <v>213</v>
      </c>
      <c r="B226" t="s">
        <v>540</v>
      </c>
      <c r="C226" t="s">
        <v>289</v>
      </c>
      <c r="D226" t="s">
        <v>290</v>
      </c>
      <c r="E226">
        <v>0</v>
      </c>
      <c r="F226">
        <v>8</v>
      </c>
      <c r="G226">
        <v>9</v>
      </c>
      <c r="H226">
        <v>0</v>
      </c>
    </row>
    <row r="227" spans="1:8" x14ac:dyDescent="0.3">
      <c r="A227" t="s">
        <v>213</v>
      </c>
      <c r="B227" t="s">
        <v>540</v>
      </c>
      <c r="C227" t="s">
        <v>304</v>
      </c>
      <c r="D227" t="s">
        <v>305</v>
      </c>
      <c r="E227">
        <v>0</v>
      </c>
      <c r="F227">
        <v>9</v>
      </c>
      <c r="G227">
        <v>7</v>
      </c>
      <c r="H227">
        <v>0</v>
      </c>
    </row>
    <row r="228" spans="1:8" x14ac:dyDescent="0.3">
      <c r="A228" t="s">
        <v>213</v>
      </c>
      <c r="B228" t="s">
        <v>540</v>
      </c>
      <c r="C228" t="s">
        <v>242</v>
      </c>
      <c r="D228" t="s">
        <v>237</v>
      </c>
      <c r="E228">
        <v>0</v>
      </c>
      <c r="F228">
        <v>9</v>
      </c>
      <c r="G228">
        <v>9</v>
      </c>
      <c r="H228">
        <v>0</v>
      </c>
    </row>
    <row r="229" spans="1:8" x14ac:dyDescent="0.3">
      <c r="A229" t="s">
        <v>312</v>
      </c>
      <c r="B229" t="s">
        <v>537</v>
      </c>
      <c r="C229" t="s">
        <v>220</v>
      </c>
      <c r="D229" t="s">
        <v>217</v>
      </c>
      <c r="E229">
        <v>32</v>
      </c>
      <c r="F229">
        <v>0</v>
      </c>
      <c r="G229">
        <v>0</v>
      </c>
      <c r="H229">
        <v>0</v>
      </c>
    </row>
    <row r="230" spans="1:8" x14ac:dyDescent="0.3">
      <c r="A230" t="s">
        <v>312</v>
      </c>
      <c r="B230" t="s">
        <v>537</v>
      </c>
      <c r="C230" t="s">
        <v>538</v>
      </c>
      <c r="D230" t="s">
        <v>231</v>
      </c>
      <c r="E230">
        <v>52</v>
      </c>
      <c r="F230">
        <v>0</v>
      </c>
      <c r="G230">
        <v>0</v>
      </c>
      <c r="H230">
        <v>0</v>
      </c>
    </row>
    <row r="231" spans="1:8" x14ac:dyDescent="0.3">
      <c r="A231" t="s">
        <v>312</v>
      </c>
      <c r="B231" t="s">
        <v>537</v>
      </c>
      <c r="C231" t="s">
        <v>287</v>
      </c>
      <c r="D231" t="s">
        <v>231</v>
      </c>
      <c r="E231">
        <v>75</v>
      </c>
      <c r="F231">
        <v>0</v>
      </c>
      <c r="G231">
        <v>0</v>
      </c>
      <c r="H231">
        <v>0</v>
      </c>
    </row>
    <row r="232" spans="1:8" x14ac:dyDescent="0.3">
      <c r="A232" t="s">
        <v>312</v>
      </c>
      <c r="B232" t="s">
        <v>537</v>
      </c>
      <c r="C232" t="s">
        <v>311</v>
      </c>
      <c r="D232" t="s">
        <v>237</v>
      </c>
      <c r="E232">
        <v>58</v>
      </c>
      <c r="F232">
        <v>0</v>
      </c>
      <c r="G232">
        <v>0</v>
      </c>
      <c r="H232">
        <v>0</v>
      </c>
    </row>
    <row r="233" spans="1:8" x14ac:dyDescent="0.3">
      <c r="A233" t="s">
        <v>312</v>
      </c>
      <c r="B233" t="s">
        <v>540</v>
      </c>
      <c r="C233" t="s">
        <v>236</v>
      </c>
      <c r="D233" t="s">
        <v>237</v>
      </c>
      <c r="E233">
        <v>0</v>
      </c>
      <c r="F233">
        <v>10</v>
      </c>
      <c r="G233">
        <v>18</v>
      </c>
      <c r="H233">
        <v>0</v>
      </c>
    </row>
    <row r="234" spans="1:8" x14ac:dyDescent="0.3">
      <c r="A234" t="s">
        <v>312</v>
      </c>
      <c r="B234" t="s">
        <v>540</v>
      </c>
      <c r="C234" t="s">
        <v>270</v>
      </c>
      <c r="D234" t="s">
        <v>231</v>
      </c>
      <c r="E234">
        <v>0</v>
      </c>
      <c r="F234">
        <v>16</v>
      </c>
      <c r="G234">
        <v>9</v>
      </c>
      <c r="H234">
        <v>0</v>
      </c>
    </row>
    <row r="235" spans="1:8" x14ac:dyDescent="0.3">
      <c r="A235" t="s">
        <v>318</v>
      </c>
      <c r="B235" t="s">
        <v>537</v>
      </c>
      <c r="C235" t="s">
        <v>240</v>
      </c>
      <c r="D235" t="s">
        <v>237</v>
      </c>
      <c r="E235">
        <v>24</v>
      </c>
      <c r="F235">
        <v>0</v>
      </c>
      <c r="G235">
        <v>0</v>
      </c>
      <c r="H235">
        <v>0</v>
      </c>
    </row>
    <row r="236" spans="1:8" x14ac:dyDescent="0.3">
      <c r="A236" t="s">
        <v>318</v>
      </c>
      <c r="B236" t="s">
        <v>537</v>
      </c>
      <c r="C236" t="s">
        <v>275</v>
      </c>
      <c r="D236" t="s">
        <v>217</v>
      </c>
      <c r="E236">
        <v>74</v>
      </c>
      <c r="F236">
        <v>0</v>
      </c>
      <c r="G236">
        <v>0</v>
      </c>
      <c r="H236">
        <v>0</v>
      </c>
    </row>
    <row r="237" spans="1:8" x14ac:dyDescent="0.3">
      <c r="A237" t="s">
        <v>318</v>
      </c>
      <c r="B237" t="s">
        <v>537</v>
      </c>
      <c r="C237" t="s">
        <v>277</v>
      </c>
      <c r="D237" t="s">
        <v>231</v>
      </c>
      <c r="E237">
        <v>70</v>
      </c>
      <c r="F237">
        <v>0</v>
      </c>
      <c r="G237">
        <v>0</v>
      </c>
      <c r="H237">
        <v>0</v>
      </c>
    </row>
    <row r="238" spans="1:8" x14ac:dyDescent="0.3">
      <c r="A238" t="s">
        <v>318</v>
      </c>
      <c r="B238" t="s">
        <v>537</v>
      </c>
      <c r="C238" t="s">
        <v>296</v>
      </c>
      <c r="D238" t="s">
        <v>231</v>
      </c>
      <c r="E238">
        <v>100</v>
      </c>
      <c r="F238">
        <v>0</v>
      </c>
      <c r="G238">
        <v>0</v>
      </c>
      <c r="H238">
        <v>0</v>
      </c>
    </row>
    <row r="239" spans="1:8" x14ac:dyDescent="0.3">
      <c r="A239" t="s">
        <v>318</v>
      </c>
      <c r="B239" t="s">
        <v>537</v>
      </c>
      <c r="C239" t="s">
        <v>298</v>
      </c>
      <c r="D239" t="s">
        <v>237</v>
      </c>
      <c r="E239">
        <v>51</v>
      </c>
      <c r="F239">
        <v>0</v>
      </c>
      <c r="G239">
        <v>0</v>
      </c>
      <c r="H239">
        <v>0</v>
      </c>
    </row>
    <row r="240" spans="1:8" x14ac:dyDescent="0.3">
      <c r="A240" t="s">
        <v>318</v>
      </c>
      <c r="B240" t="s">
        <v>540</v>
      </c>
      <c r="C240" t="s">
        <v>244</v>
      </c>
      <c r="D240" t="s">
        <v>231</v>
      </c>
      <c r="E240">
        <v>0</v>
      </c>
      <c r="F240">
        <v>9</v>
      </c>
      <c r="G240">
        <v>12</v>
      </c>
      <c r="H240">
        <v>0</v>
      </c>
    </row>
    <row r="241" spans="1:8" x14ac:dyDescent="0.3">
      <c r="A241" t="s">
        <v>318</v>
      </c>
      <c r="B241" t="s">
        <v>540</v>
      </c>
      <c r="C241" t="s">
        <v>251</v>
      </c>
      <c r="D241" t="s">
        <v>231</v>
      </c>
      <c r="E241">
        <v>0</v>
      </c>
      <c r="F241">
        <v>13</v>
      </c>
      <c r="G241">
        <v>14</v>
      </c>
      <c r="H241">
        <v>0</v>
      </c>
    </row>
    <row r="242" spans="1:8" x14ac:dyDescent="0.3">
      <c r="A242" t="s">
        <v>318</v>
      </c>
      <c r="B242" t="s">
        <v>540</v>
      </c>
      <c r="C242" t="s">
        <v>275</v>
      </c>
      <c r="D242" t="s">
        <v>217</v>
      </c>
      <c r="E242">
        <v>0</v>
      </c>
      <c r="F242">
        <v>17</v>
      </c>
      <c r="G242">
        <v>18</v>
      </c>
      <c r="H242">
        <v>0</v>
      </c>
    </row>
    <row r="243" spans="1:8" x14ac:dyDescent="0.3">
      <c r="A243" t="s">
        <v>318</v>
      </c>
      <c r="B243" t="s">
        <v>540</v>
      </c>
      <c r="C243" t="s">
        <v>304</v>
      </c>
      <c r="D243" t="s">
        <v>231</v>
      </c>
      <c r="E243">
        <v>0</v>
      </c>
      <c r="F243">
        <v>9</v>
      </c>
      <c r="G243">
        <v>7</v>
      </c>
      <c r="H243">
        <v>0</v>
      </c>
    </row>
    <row r="244" spans="1:8" x14ac:dyDescent="0.3">
      <c r="A244" t="s">
        <v>318</v>
      </c>
      <c r="B244" t="s">
        <v>540</v>
      </c>
      <c r="C244" t="s">
        <v>313</v>
      </c>
      <c r="D244" t="s">
        <v>237</v>
      </c>
      <c r="E244">
        <v>0</v>
      </c>
      <c r="F244">
        <v>4</v>
      </c>
      <c r="G244">
        <v>11</v>
      </c>
      <c r="H244">
        <v>0</v>
      </c>
    </row>
    <row r="245" spans="1:8" x14ac:dyDescent="0.3">
      <c r="A245" t="s">
        <v>320</v>
      </c>
      <c r="B245" t="s">
        <v>537</v>
      </c>
      <c r="C245" t="s">
        <v>249</v>
      </c>
      <c r="E245">
        <v>46</v>
      </c>
      <c r="F245">
        <v>0</v>
      </c>
      <c r="G245">
        <v>0</v>
      </c>
      <c r="H245">
        <v>0</v>
      </c>
    </row>
    <row r="246" spans="1:8" x14ac:dyDescent="0.3">
      <c r="A246" t="s">
        <v>320</v>
      </c>
      <c r="B246" t="s">
        <v>537</v>
      </c>
      <c r="C246" t="s">
        <v>289</v>
      </c>
      <c r="E246">
        <v>156</v>
      </c>
      <c r="F246">
        <v>0</v>
      </c>
      <c r="G246">
        <v>0</v>
      </c>
      <c r="H246">
        <v>0</v>
      </c>
    </row>
    <row r="247" spans="1:8" x14ac:dyDescent="0.3">
      <c r="A247" t="s">
        <v>320</v>
      </c>
      <c r="B247" t="s">
        <v>537</v>
      </c>
      <c r="C247" t="s">
        <v>296</v>
      </c>
      <c r="E247">
        <v>99</v>
      </c>
      <c r="F247">
        <v>0</v>
      </c>
      <c r="G247">
        <v>0</v>
      </c>
      <c r="H247">
        <v>0</v>
      </c>
    </row>
    <row r="248" spans="1:8" x14ac:dyDescent="0.3">
      <c r="A248" t="s">
        <v>320</v>
      </c>
      <c r="B248" t="s">
        <v>537</v>
      </c>
      <c r="C248" t="s">
        <v>309</v>
      </c>
      <c r="E248">
        <v>69</v>
      </c>
      <c r="F248">
        <v>0</v>
      </c>
      <c r="G248">
        <v>0</v>
      </c>
      <c r="H248">
        <v>0</v>
      </c>
    </row>
    <row r="249" spans="1:8" x14ac:dyDescent="0.3">
      <c r="A249" t="s">
        <v>320</v>
      </c>
      <c r="B249" t="s">
        <v>540</v>
      </c>
      <c r="C249" t="s">
        <v>244</v>
      </c>
      <c r="E249">
        <v>0</v>
      </c>
      <c r="F249">
        <v>9</v>
      </c>
      <c r="G249">
        <v>13</v>
      </c>
      <c r="H249">
        <v>0</v>
      </c>
    </row>
    <row r="250" spans="1:8" x14ac:dyDescent="0.3">
      <c r="A250" t="s">
        <v>320</v>
      </c>
      <c r="B250" t="s">
        <v>540</v>
      </c>
      <c r="C250" t="s">
        <v>313</v>
      </c>
      <c r="D250" t="s">
        <v>237</v>
      </c>
      <c r="E250">
        <v>0</v>
      </c>
      <c r="F250">
        <v>4</v>
      </c>
      <c r="G250">
        <v>7</v>
      </c>
      <c r="H250">
        <v>0</v>
      </c>
    </row>
    <row r="251" spans="1:8" x14ac:dyDescent="0.3">
      <c r="A251" t="s">
        <v>320</v>
      </c>
      <c r="B251" t="s">
        <v>542</v>
      </c>
      <c r="C251" t="s">
        <v>238</v>
      </c>
      <c r="D251" t="s">
        <v>237</v>
      </c>
      <c r="E251">
        <v>0</v>
      </c>
      <c r="F251">
        <v>8</v>
      </c>
      <c r="G251">
        <v>37</v>
      </c>
      <c r="H251">
        <v>21</v>
      </c>
    </row>
    <row r="252" spans="1:8" x14ac:dyDescent="0.3">
      <c r="A252" t="s">
        <v>325</v>
      </c>
      <c r="B252" t="s">
        <v>537</v>
      </c>
      <c r="C252" t="s">
        <v>263</v>
      </c>
      <c r="D252" t="s">
        <v>237</v>
      </c>
      <c r="E252">
        <v>84</v>
      </c>
      <c r="F252">
        <v>0</v>
      </c>
      <c r="G252">
        <v>0</v>
      </c>
      <c r="H252">
        <v>0</v>
      </c>
    </row>
    <row r="253" spans="1:8" x14ac:dyDescent="0.3">
      <c r="A253" t="s">
        <v>325</v>
      </c>
      <c r="B253" t="s">
        <v>537</v>
      </c>
      <c r="C253" t="s">
        <v>267</v>
      </c>
      <c r="D253" t="s">
        <v>237</v>
      </c>
      <c r="E253">
        <v>238</v>
      </c>
      <c r="F253">
        <v>0</v>
      </c>
      <c r="G253">
        <v>1</v>
      </c>
      <c r="H253">
        <v>0</v>
      </c>
    </row>
    <row r="254" spans="1:8" x14ac:dyDescent="0.3">
      <c r="A254" t="s">
        <v>325</v>
      </c>
      <c r="B254" t="s">
        <v>537</v>
      </c>
      <c r="C254" t="s">
        <v>275</v>
      </c>
      <c r="E254">
        <v>0</v>
      </c>
      <c r="F254">
        <v>0</v>
      </c>
      <c r="G254">
        <v>11</v>
      </c>
      <c r="H254">
        <v>0</v>
      </c>
    </row>
    <row r="255" spans="1:8" x14ac:dyDescent="0.3">
      <c r="A255" t="s">
        <v>325</v>
      </c>
      <c r="B255" t="s">
        <v>540</v>
      </c>
      <c r="C255" t="s">
        <v>261</v>
      </c>
      <c r="E255">
        <v>0</v>
      </c>
      <c r="F255">
        <v>10</v>
      </c>
      <c r="G255">
        <v>9</v>
      </c>
      <c r="H255">
        <v>0</v>
      </c>
    </row>
    <row r="256" spans="1:8" x14ac:dyDescent="0.3">
      <c r="A256" t="s">
        <v>325</v>
      </c>
      <c r="B256" t="s">
        <v>540</v>
      </c>
      <c r="C256" t="s">
        <v>265</v>
      </c>
      <c r="E256">
        <v>0</v>
      </c>
      <c r="F256">
        <v>8</v>
      </c>
      <c r="G256">
        <v>11</v>
      </c>
      <c r="H256">
        <v>0</v>
      </c>
    </row>
    <row r="257" spans="1:8" x14ac:dyDescent="0.3">
      <c r="A257" t="s">
        <v>325</v>
      </c>
      <c r="B257" t="s">
        <v>540</v>
      </c>
      <c r="C257" t="s">
        <v>275</v>
      </c>
      <c r="E257">
        <v>0</v>
      </c>
      <c r="F257">
        <v>15</v>
      </c>
      <c r="G257">
        <v>5</v>
      </c>
      <c r="H257">
        <v>0</v>
      </c>
    </row>
    <row r="258" spans="1:8" x14ac:dyDescent="0.3">
      <c r="A258" t="s">
        <v>325</v>
      </c>
      <c r="B258" t="s">
        <v>540</v>
      </c>
      <c r="C258" t="s">
        <v>285</v>
      </c>
      <c r="E258">
        <v>0</v>
      </c>
      <c r="F258">
        <v>9</v>
      </c>
      <c r="G258">
        <v>0</v>
      </c>
      <c r="H258">
        <v>0</v>
      </c>
    </row>
    <row r="259" spans="1:8" x14ac:dyDescent="0.3">
      <c r="A259" t="s">
        <v>326</v>
      </c>
      <c r="B259" t="s">
        <v>537</v>
      </c>
      <c r="C259" t="s">
        <v>247</v>
      </c>
      <c r="E259">
        <v>166</v>
      </c>
      <c r="F259">
        <v>0</v>
      </c>
      <c r="G259">
        <v>2</v>
      </c>
      <c r="H259">
        <v>0</v>
      </c>
    </row>
    <row r="260" spans="1:8" x14ac:dyDescent="0.3">
      <c r="A260" t="s">
        <v>326</v>
      </c>
      <c r="B260" t="s">
        <v>537</v>
      </c>
      <c r="C260" t="s">
        <v>277</v>
      </c>
      <c r="E260">
        <v>63</v>
      </c>
      <c r="F260">
        <v>0</v>
      </c>
      <c r="G260">
        <v>0</v>
      </c>
      <c r="H260">
        <v>0</v>
      </c>
    </row>
    <row r="261" spans="1:8" x14ac:dyDescent="0.3">
      <c r="A261" t="s">
        <v>326</v>
      </c>
      <c r="B261" t="s">
        <v>537</v>
      </c>
      <c r="C261" t="s">
        <v>298</v>
      </c>
      <c r="D261" t="s">
        <v>237</v>
      </c>
      <c r="E261">
        <v>57</v>
      </c>
      <c r="F261">
        <v>0</v>
      </c>
      <c r="G261">
        <v>0</v>
      </c>
      <c r="H261">
        <v>0</v>
      </c>
    </row>
    <row r="262" spans="1:8" x14ac:dyDescent="0.3">
      <c r="A262" t="s">
        <v>326</v>
      </c>
      <c r="B262" t="s">
        <v>540</v>
      </c>
      <c r="C262" t="s">
        <v>322</v>
      </c>
      <c r="E262">
        <v>0</v>
      </c>
      <c r="F262">
        <v>16</v>
      </c>
      <c r="G262">
        <v>6</v>
      </c>
      <c r="H262">
        <v>0</v>
      </c>
    </row>
    <row r="263" spans="1:8" x14ac:dyDescent="0.3">
      <c r="A263" t="s">
        <v>326</v>
      </c>
      <c r="B263" t="s">
        <v>540</v>
      </c>
      <c r="C263" t="s">
        <v>251</v>
      </c>
      <c r="E263">
        <v>0</v>
      </c>
      <c r="F263">
        <v>13</v>
      </c>
      <c r="G263">
        <v>12</v>
      </c>
      <c r="H263">
        <v>0</v>
      </c>
    </row>
    <row r="264" spans="1:8" x14ac:dyDescent="0.3">
      <c r="A264" t="s">
        <v>328</v>
      </c>
      <c r="B264" t="s">
        <v>537</v>
      </c>
      <c r="C264" t="s">
        <v>281</v>
      </c>
      <c r="E264">
        <v>30</v>
      </c>
      <c r="F264">
        <v>0</v>
      </c>
      <c r="G264">
        <v>0</v>
      </c>
      <c r="H264">
        <v>0</v>
      </c>
    </row>
    <row r="265" spans="1:8" x14ac:dyDescent="0.3">
      <c r="A265" t="s">
        <v>328</v>
      </c>
      <c r="B265" t="s">
        <v>540</v>
      </c>
      <c r="C265" t="s">
        <v>230</v>
      </c>
      <c r="E265">
        <v>0</v>
      </c>
      <c r="F265">
        <v>14</v>
      </c>
      <c r="G265">
        <v>6</v>
      </c>
      <c r="H265">
        <v>0</v>
      </c>
    </row>
    <row r="266" spans="1:8" x14ac:dyDescent="0.3">
      <c r="A266" t="s">
        <v>328</v>
      </c>
      <c r="B266" t="s">
        <v>540</v>
      </c>
      <c r="C266" t="s">
        <v>251</v>
      </c>
      <c r="E266">
        <v>0</v>
      </c>
      <c r="F266">
        <v>13</v>
      </c>
      <c r="G266">
        <v>5</v>
      </c>
      <c r="H266">
        <v>0</v>
      </c>
    </row>
    <row r="267" spans="1:8" x14ac:dyDescent="0.3">
      <c r="A267" t="s">
        <v>328</v>
      </c>
      <c r="B267" t="s">
        <v>540</v>
      </c>
      <c r="C267" t="s">
        <v>324</v>
      </c>
      <c r="E267">
        <v>0</v>
      </c>
      <c r="F267">
        <v>13</v>
      </c>
      <c r="G267">
        <v>10</v>
      </c>
      <c r="H267">
        <v>0</v>
      </c>
    </row>
    <row r="268" spans="1:8" x14ac:dyDescent="0.3">
      <c r="A268" t="s">
        <v>412</v>
      </c>
      <c r="B268" t="s">
        <v>537</v>
      </c>
      <c r="C268" t="s">
        <v>267</v>
      </c>
      <c r="D268" t="s">
        <v>237</v>
      </c>
      <c r="E268">
        <v>203</v>
      </c>
      <c r="F268">
        <v>0</v>
      </c>
      <c r="G268">
        <v>1</v>
      </c>
      <c r="H268">
        <v>0</v>
      </c>
    </row>
    <row r="269" spans="1:8" x14ac:dyDescent="0.3">
      <c r="A269" t="s">
        <v>412</v>
      </c>
      <c r="B269" t="s">
        <v>537</v>
      </c>
      <c r="C269" t="s">
        <v>275</v>
      </c>
      <c r="E269">
        <v>0</v>
      </c>
      <c r="F269">
        <v>0</v>
      </c>
      <c r="G269">
        <v>11</v>
      </c>
      <c r="H269">
        <v>0</v>
      </c>
    </row>
    <row r="270" spans="1:8" x14ac:dyDescent="0.3">
      <c r="A270" t="s">
        <v>412</v>
      </c>
      <c r="B270" t="s">
        <v>540</v>
      </c>
      <c r="C270" t="s">
        <v>265</v>
      </c>
      <c r="E270">
        <v>0</v>
      </c>
      <c r="F270">
        <v>9</v>
      </c>
      <c r="G270">
        <v>10</v>
      </c>
      <c r="H270">
        <v>0</v>
      </c>
    </row>
    <row r="271" spans="1:8" x14ac:dyDescent="0.3">
      <c r="A271" t="s">
        <v>412</v>
      </c>
      <c r="B271" t="s">
        <v>540</v>
      </c>
      <c r="C271" t="s">
        <v>285</v>
      </c>
      <c r="E271">
        <v>0</v>
      </c>
      <c r="F271">
        <v>10</v>
      </c>
      <c r="G271">
        <v>0</v>
      </c>
      <c r="H271">
        <v>0</v>
      </c>
    </row>
    <row r="272" spans="1:8" x14ac:dyDescent="0.3">
      <c r="A272" t="s">
        <v>213</v>
      </c>
      <c r="B272" t="s">
        <v>537</v>
      </c>
      <c r="C272" t="s">
        <v>538</v>
      </c>
      <c r="D272" t="s">
        <v>243</v>
      </c>
      <c r="E272">
        <v>53</v>
      </c>
      <c r="F272">
        <v>0</v>
      </c>
      <c r="G272">
        <v>0</v>
      </c>
      <c r="H272">
        <v>0</v>
      </c>
    </row>
    <row r="273" spans="1:8" x14ac:dyDescent="0.3">
      <c r="A273" t="s">
        <v>213</v>
      </c>
      <c r="B273" t="s">
        <v>537</v>
      </c>
      <c r="C273" t="s">
        <v>255</v>
      </c>
      <c r="D273" t="s">
        <v>237</v>
      </c>
      <c r="E273">
        <v>24</v>
      </c>
      <c r="F273">
        <v>0</v>
      </c>
      <c r="G273">
        <v>0</v>
      </c>
      <c r="H273">
        <v>0</v>
      </c>
    </row>
    <row r="274" spans="1:8" x14ac:dyDescent="0.3">
      <c r="A274" t="s">
        <v>213</v>
      </c>
      <c r="B274" t="s">
        <v>537</v>
      </c>
      <c r="C274" t="s">
        <v>275</v>
      </c>
      <c r="D274" t="s">
        <v>272</v>
      </c>
      <c r="E274">
        <v>70</v>
      </c>
      <c r="F274">
        <v>0</v>
      </c>
      <c r="G274">
        <v>0</v>
      </c>
      <c r="H274">
        <v>0</v>
      </c>
    </row>
    <row r="275" spans="1:8" x14ac:dyDescent="0.3">
      <c r="A275" t="s">
        <v>213</v>
      </c>
      <c r="B275" t="s">
        <v>537</v>
      </c>
      <c r="C275" t="s">
        <v>304</v>
      </c>
      <c r="D275" t="s">
        <v>303</v>
      </c>
      <c r="E275">
        <v>167</v>
      </c>
      <c r="F275">
        <v>0</v>
      </c>
      <c r="G275">
        <v>0</v>
      </c>
      <c r="H275">
        <v>0</v>
      </c>
    </row>
    <row r="276" spans="1:8" x14ac:dyDescent="0.3">
      <c r="A276" t="s">
        <v>213</v>
      </c>
      <c r="B276" t="s">
        <v>537</v>
      </c>
      <c r="C276" t="s">
        <v>309</v>
      </c>
      <c r="D276" t="s">
        <v>308</v>
      </c>
      <c r="E276">
        <v>73</v>
      </c>
      <c r="F276">
        <v>0</v>
      </c>
      <c r="G276">
        <v>0</v>
      </c>
      <c r="H276">
        <v>0</v>
      </c>
    </row>
    <row r="277" spans="1:8" x14ac:dyDescent="0.3">
      <c r="A277" t="s">
        <v>213</v>
      </c>
      <c r="B277" t="s">
        <v>540</v>
      </c>
      <c r="C277" t="s">
        <v>267</v>
      </c>
      <c r="D277" t="s">
        <v>237</v>
      </c>
      <c r="E277">
        <v>0</v>
      </c>
      <c r="F277">
        <v>8</v>
      </c>
      <c r="G277">
        <v>10</v>
      </c>
      <c r="H277">
        <v>0</v>
      </c>
    </row>
    <row r="278" spans="1:8" x14ac:dyDescent="0.3">
      <c r="A278" t="s">
        <v>213</v>
      </c>
      <c r="B278" t="s">
        <v>540</v>
      </c>
      <c r="C278" t="s">
        <v>285</v>
      </c>
      <c r="D278" t="s">
        <v>284</v>
      </c>
      <c r="E278">
        <v>0</v>
      </c>
      <c r="F278">
        <v>9</v>
      </c>
      <c r="G278">
        <v>7</v>
      </c>
      <c r="H278">
        <v>0</v>
      </c>
    </row>
    <row r="279" spans="1:8" x14ac:dyDescent="0.3">
      <c r="A279" t="s">
        <v>312</v>
      </c>
      <c r="B279" t="s">
        <v>537</v>
      </c>
      <c r="C279" t="s">
        <v>249</v>
      </c>
      <c r="D279" t="s">
        <v>231</v>
      </c>
      <c r="E279">
        <v>49</v>
      </c>
      <c r="F279">
        <v>0</v>
      </c>
      <c r="G279">
        <v>0</v>
      </c>
      <c r="H279">
        <v>0</v>
      </c>
    </row>
    <row r="280" spans="1:8" x14ac:dyDescent="0.3">
      <c r="A280" t="s">
        <v>312</v>
      </c>
      <c r="B280" t="s">
        <v>537</v>
      </c>
      <c r="C280" t="s">
        <v>294</v>
      </c>
      <c r="D280" t="s">
        <v>217</v>
      </c>
      <c r="E280">
        <v>67</v>
      </c>
      <c r="F280">
        <v>0</v>
      </c>
      <c r="G280">
        <v>0</v>
      </c>
      <c r="H280">
        <v>0</v>
      </c>
    </row>
    <row r="281" spans="1:8" x14ac:dyDescent="0.3">
      <c r="A281" t="s">
        <v>312</v>
      </c>
      <c r="B281" t="s">
        <v>540</v>
      </c>
      <c r="C281" t="s">
        <v>230</v>
      </c>
      <c r="D281" t="s">
        <v>231</v>
      </c>
      <c r="E281">
        <v>0</v>
      </c>
      <c r="F281">
        <v>12</v>
      </c>
      <c r="G281">
        <v>16</v>
      </c>
      <c r="H281">
        <v>0</v>
      </c>
    </row>
    <row r="282" spans="1:8" x14ac:dyDescent="0.3">
      <c r="A282" t="s">
        <v>312</v>
      </c>
      <c r="B282" t="s">
        <v>540</v>
      </c>
      <c r="C282" t="s">
        <v>226</v>
      </c>
      <c r="D282" t="s">
        <v>217</v>
      </c>
      <c r="E282">
        <v>0</v>
      </c>
      <c r="F282">
        <v>14</v>
      </c>
      <c r="G282">
        <v>17</v>
      </c>
      <c r="H282">
        <v>0</v>
      </c>
    </row>
    <row r="283" spans="1:8" x14ac:dyDescent="0.3">
      <c r="A283" t="s">
        <v>312</v>
      </c>
      <c r="B283" t="s">
        <v>540</v>
      </c>
      <c r="C283" t="s">
        <v>289</v>
      </c>
      <c r="D283" t="s">
        <v>231</v>
      </c>
      <c r="E283">
        <v>0</v>
      </c>
      <c r="F283">
        <v>8</v>
      </c>
      <c r="G283">
        <v>8</v>
      </c>
      <c r="H283">
        <v>0</v>
      </c>
    </row>
    <row r="284" spans="1:8" x14ac:dyDescent="0.3">
      <c r="A284" t="s">
        <v>312</v>
      </c>
      <c r="B284" t="s">
        <v>542</v>
      </c>
      <c r="C284" t="s">
        <v>232</v>
      </c>
      <c r="D284" t="s">
        <v>231</v>
      </c>
      <c r="E284">
        <v>0</v>
      </c>
      <c r="F284">
        <v>27</v>
      </c>
      <c r="G284">
        <v>76</v>
      </c>
      <c r="H284">
        <v>0</v>
      </c>
    </row>
    <row r="285" spans="1:8" x14ac:dyDescent="0.3">
      <c r="A285" t="s">
        <v>312</v>
      </c>
      <c r="B285" t="s">
        <v>544</v>
      </c>
      <c r="C285" t="s">
        <v>545</v>
      </c>
      <c r="D285" t="s">
        <v>549</v>
      </c>
      <c r="E285">
        <v>0</v>
      </c>
      <c r="F285">
        <v>34</v>
      </c>
      <c r="G285">
        <v>7</v>
      </c>
      <c r="H285">
        <v>49</v>
      </c>
    </row>
    <row r="286" spans="1:8" x14ac:dyDescent="0.3">
      <c r="A286" t="s">
        <v>318</v>
      </c>
      <c r="B286" t="s">
        <v>537</v>
      </c>
      <c r="C286" t="s">
        <v>259</v>
      </c>
      <c r="D286" t="s">
        <v>231</v>
      </c>
      <c r="E286">
        <v>48</v>
      </c>
      <c r="F286">
        <v>0</v>
      </c>
      <c r="G286">
        <v>0</v>
      </c>
      <c r="H286">
        <v>0</v>
      </c>
    </row>
    <row r="287" spans="1:8" x14ac:dyDescent="0.3">
      <c r="A287" t="s">
        <v>318</v>
      </c>
      <c r="B287" t="s">
        <v>540</v>
      </c>
      <c r="C287" t="s">
        <v>257</v>
      </c>
      <c r="D287" t="s">
        <v>237</v>
      </c>
      <c r="E287">
        <v>0</v>
      </c>
      <c r="F287">
        <v>11</v>
      </c>
      <c r="G287">
        <v>17</v>
      </c>
      <c r="H287">
        <v>0</v>
      </c>
    </row>
    <row r="288" spans="1:8" x14ac:dyDescent="0.3">
      <c r="A288" t="s">
        <v>320</v>
      </c>
      <c r="B288" t="s">
        <v>537</v>
      </c>
      <c r="C288" t="s">
        <v>538</v>
      </c>
      <c r="E288">
        <v>50</v>
      </c>
      <c r="F288">
        <v>0</v>
      </c>
      <c r="G288">
        <v>0</v>
      </c>
      <c r="H288">
        <v>0</v>
      </c>
    </row>
    <row r="289" spans="1:8" x14ac:dyDescent="0.3">
      <c r="A289" t="s">
        <v>320</v>
      </c>
      <c r="B289" t="s">
        <v>537</v>
      </c>
      <c r="C289" t="s">
        <v>247</v>
      </c>
      <c r="E289">
        <v>174</v>
      </c>
      <c r="F289">
        <v>0</v>
      </c>
      <c r="G289">
        <v>0</v>
      </c>
      <c r="H289">
        <v>0</v>
      </c>
    </row>
    <row r="290" spans="1:8" x14ac:dyDescent="0.3">
      <c r="A290" t="s">
        <v>320</v>
      </c>
      <c r="B290" t="s">
        <v>537</v>
      </c>
      <c r="C290" t="s">
        <v>253</v>
      </c>
      <c r="E290">
        <v>75</v>
      </c>
      <c r="F290">
        <v>0</v>
      </c>
      <c r="G290">
        <v>0</v>
      </c>
      <c r="H290">
        <v>0</v>
      </c>
    </row>
    <row r="291" spans="1:8" x14ac:dyDescent="0.3">
      <c r="A291" t="s">
        <v>320</v>
      </c>
      <c r="B291" t="s">
        <v>537</v>
      </c>
      <c r="C291" t="s">
        <v>255</v>
      </c>
      <c r="D291" t="s">
        <v>237</v>
      </c>
      <c r="E291">
        <v>24</v>
      </c>
      <c r="F291">
        <v>0</v>
      </c>
      <c r="G291">
        <v>0</v>
      </c>
      <c r="H291">
        <v>0</v>
      </c>
    </row>
    <row r="292" spans="1:8" x14ac:dyDescent="0.3">
      <c r="A292" t="s">
        <v>320</v>
      </c>
      <c r="B292" t="s">
        <v>537</v>
      </c>
      <c r="C292" t="s">
        <v>259</v>
      </c>
      <c r="E292">
        <v>47</v>
      </c>
      <c r="F292">
        <v>0</v>
      </c>
      <c r="G292">
        <v>0</v>
      </c>
      <c r="H292">
        <v>0</v>
      </c>
    </row>
    <row r="293" spans="1:8" x14ac:dyDescent="0.3">
      <c r="A293" t="s">
        <v>320</v>
      </c>
      <c r="B293" t="s">
        <v>537</v>
      </c>
      <c r="C293" t="s">
        <v>275</v>
      </c>
      <c r="E293">
        <v>70</v>
      </c>
      <c r="F293">
        <v>0</v>
      </c>
      <c r="G293">
        <v>0</v>
      </c>
      <c r="H293">
        <v>0</v>
      </c>
    </row>
    <row r="294" spans="1:8" x14ac:dyDescent="0.3">
      <c r="A294" t="s">
        <v>320</v>
      </c>
      <c r="B294" t="s">
        <v>537</v>
      </c>
      <c r="C294" t="s">
        <v>294</v>
      </c>
      <c r="E294">
        <v>66</v>
      </c>
      <c r="F294">
        <v>0</v>
      </c>
      <c r="G294">
        <v>0</v>
      </c>
      <c r="H294">
        <v>0</v>
      </c>
    </row>
    <row r="295" spans="1:8" x14ac:dyDescent="0.3">
      <c r="A295" t="s">
        <v>320</v>
      </c>
      <c r="B295" t="s">
        <v>537</v>
      </c>
      <c r="C295" t="s">
        <v>302</v>
      </c>
      <c r="E295">
        <v>47</v>
      </c>
      <c r="F295">
        <v>0</v>
      </c>
      <c r="G295">
        <v>0</v>
      </c>
      <c r="H295">
        <v>0</v>
      </c>
    </row>
    <row r="296" spans="1:8" x14ac:dyDescent="0.3">
      <c r="A296" t="s">
        <v>320</v>
      </c>
      <c r="B296" t="s">
        <v>537</v>
      </c>
      <c r="C296" t="s">
        <v>307</v>
      </c>
      <c r="D296" t="s">
        <v>237</v>
      </c>
      <c r="E296">
        <v>48</v>
      </c>
      <c r="F296">
        <v>0</v>
      </c>
      <c r="G296">
        <v>0</v>
      </c>
      <c r="H296">
        <v>0</v>
      </c>
    </row>
    <row r="297" spans="1:8" x14ac:dyDescent="0.3">
      <c r="A297" t="s">
        <v>320</v>
      </c>
      <c r="B297" t="s">
        <v>540</v>
      </c>
      <c r="C297" t="s">
        <v>275</v>
      </c>
      <c r="E297">
        <v>0</v>
      </c>
      <c r="F297">
        <v>15</v>
      </c>
      <c r="G297">
        <v>18</v>
      </c>
      <c r="H297">
        <v>0</v>
      </c>
    </row>
    <row r="298" spans="1:8" x14ac:dyDescent="0.3">
      <c r="A298" t="s">
        <v>320</v>
      </c>
      <c r="B298" t="s">
        <v>540</v>
      </c>
      <c r="C298" t="s">
        <v>324</v>
      </c>
      <c r="E298">
        <v>0</v>
      </c>
      <c r="F298">
        <v>15</v>
      </c>
      <c r="G298">
        <v>15</v>
      </c>
      <c r="H298">
        <v>0</v>
      </c>
    </row>
    <row r="299" spans="1:8" x14ac:dyDescent="0.3">
      <c r="A299" t="s">
        <v>320</v>
      </c>
      <c r="B299" t="s">
        <v>540</v>
      </c>
      <c r="C299" t="s">
        <v>257</v>
      </c>
      <c r="E299">
        <v>0</v>
      </c>
      <c r="F299">
        <v>10</v>
      </c>
      <c r="G299">
        <v>12</v>
      </c>
      <c r="H299">
        <v>0</v>
      </c>
    </row>
    <row r="300" spans="1:8" x14ac:dyDescent="0.3">
      <c r="A300" t="s">
        <v>320</v>
      </c>
      <c r="B300" t="s">
        <v>540</v>
      </c>
      <c r="C300" t="s">
        <v>313</v>
      </c>
      <c r="E300">
        <v>0</v>
      </c>
      <c r="F300">
        <v>14</v>
      </c>
      <c r="G300">
        <v>13</v>
      </c>
      <c r="H300">
        <v>0</v>
      </c>
    </row>
    <row r="301" spans="1:8" x14ac:dyDescent="0.3">
      <c r="A301" t="s">
        <v>325</v>
      </c>
      <c r="B301" t="s">
        <v>537</v>
      </c>
      <c r="C301" t="s">
        <v>279</v>
      </c>
      <c r="D301" t="s">
        <v>237</v>
      </c>
      <c r="E301">
        <v>25</v>
      </c>
      <c r="F301">
        <v>0</v>
      </c>
      <c r="G301">
        <v>0</v>
      </c>
      <c r="H301">
        <v>0</v>
      </c>
    </row>
    <row r="302" spans="1:8" x14ac:dyDescent="0.3">
      <c r="A302" t="s">
        <v>325</v>
      </c>
      <c r="B302" t="s">
        <v>537</v>
      </c>
      <c r="C302" t="s">
        <v>304</v>
      </c>
      <c r="E302">
        <v>164</v>
      </c>
      <c r="F302">
        <v>0</v>
      </c>
      <c r="G302">
        <v>0</v>
      </c>
      <c r="H302">
        <v>0</v>
      </c>
    </row>
    <row r="303" spans="1:8" x14ac:dyDescent="0.3">
      <c r="A303" t="s">
        <v>325</v>
      </c>
      <c r="B303" t="s">
        <v>540</v>
      </c>
      <c r="C303" t="s">
        <v>236</v>
      </c>
      <c r="E303">
        <v>0</v>
      </c>
      <c r="F303">
        <v>12</v>
      </c>
      <c r="G303">
        <v>13</v>
      </c>
      <c r="H303">
        <v>0</v>
      </c>
    </row>
    <row r="304" spans="1:8" x14ac:dyDescent="0.3">
      <c r="A304" t="s">
        <v>325</v>
      </c>
      <c r="B304" t="s">
        <v>542</v>
      </c>
      <c r="C304" t="s">
        <v>232</v>
      </c>
      <c r="E304">
        <v>0</v>
      </c>
      <c r="F304">
        <v>18</v>
      </c>
      <c r="G304">
        <v>53</v>
      </c>
      <c r="H304">
        <v>48</v>
      </c>
    </row>
    <row r="305" spans="1:8" x14ac:dyDescent="0.3">
      <c r="A305" t="s">
        <v>326</v>
      </c>
      <c r="B305" t="s">
        <v>537</v>
      </c>
      <c r="C305" t="s">
        <v>281</v>
      </c>
      <c r="E305">
        <v>30</v>
      </c>
      <c r="F305">
        <v>0</v>
      </c>
      <c r="G305">
        <v>0</v>
      </c>
      <c r="H305">
        <v>0</v>
      </c>
    </row>
    <row r="306" spans="1:8" x14ac:dyDescent="0.3">
      <c r="A306" t="s">
        <v>326</v>
      </c>
      <c r="B306" t="s">
        <v>540</v>
      </c>
      <c r="C306" t="s">
        <v>285</v>
      </c>
      <c r="E306">
        <v>0</v>
      </c>
      <c r="F306">
        <v>1</v>
      </c>
      <c r="G306">
        <v>0</v>
      </c>
      <c r="H306">
        <v>0</v>
      </c>
    </row>
    <row r="307" spans="1:8" x14ac:dyDescent="0.3">
      <c r="A307" t="s">
        <v>328</v>
      </c>
      <c r="B307" t="s">
        <v>537</v>
      </c>
      <c r="C307" t="s">
        <v>263</v>
      </c>
      <c r="D307" t="s">
        <v>237</v>
      </c>
      <c r="E307">
        <v>83</v>
      </c>
      <c r="F307">
        <v>0</v>
      </c>
      <c r="G307">
        <v>0</v>
      </c>
      <c r="H307">
        <v>0</v>
      </c>
    </row>
    <row r="308" spans="1:8" x14ac:dyDescent="0.3">
      <c r="A308" t="s">
        <v>328</v>
      </c>
      <c r="B308" t="s">
        <v>537</v>
      </c>
      <c r="C308" t="s">
        <v>283</v>
      </c>
      <c r="E308">
        <v>0</v>
      </c>
      <c r="F308">
        <v>0</v>
      </c>
      <c r="G308">
        <v>3</v>
      </c>
      <c r="H308">
        <v>0</v>
      </c>
    </row>
    <row r="309" spans="1:8" x14ac:dyDescent="0.3">
      <c r="A309" t="s">
        <v>328</v>
      </c>
      <c r="B309" t="s">
        <v>537</v>
      </c>
      <c r="C309" t="s">
        <v>298</v>
      </c>
      <c r="D309" t="s">
        <v>237</v>
      </c>
      <c r="E309">
        <v>58</v>
      </c>
      <c r="F309">
        <v>0</v>
      </c>
      <c r="G309">
        <v>0</v>
      </c>
      <c r="H309">
        <v>0</v>
      </c>
    </row>
    <row r="310" spans="1:8" x14ac:dyDescent="0.3">
      <c r="A310" t="s">
        <v>328</v>
      </c>
      <c r="B310" t="s">
        <v>540</v>
      </c>
      <c r="C310" t="s">
        <v>322</v>
      </c>
      <c r="E310">
        <v>0</v>
      </c>
      <c r="F310">
        <v>15</v>
      </c>
      <c r="G310">
        <v>5</v>
      </c>
      <c r="H310">
        <v>0</v>
      </c>
    </row>
    <row r="311" spans="1:8" x14ac:dyDescent="0.3">
      <c r="A311" t="s">
        <v>328</v>
      </c>
      <c r="B311" t="s">
        <v>540</v>
      </c>
      <c r="C311" t="s">
        <v>285</v>
      </c>
      <c r="E311">
        <v>0</v>
      </c>
      <c r="F311">
        <v>11</v>
      </c>
      <c r="G311">
        <v>0</v>
      </c>
      <c r="H311">
        <v>0</v>
      </c>
    </row>
    <row r="312" spans="1:8" x14ac:dyDescent="0.3">
      <c r="A312" t="s">
        <v>412</v>
      </c>
      <c r="B312" t="s">
        <v>537</v>
      </c>
      <c r="C312" t="s">
        <v>236</v>
      </c>
      <c r="D312" t="s">
        <v>237</v>
      </c>
      <c r="E312">
        <v>285</v>
      </c>
      <c r="F312">
        <v>0</v>
      </c>
      <c r="G312">
        <v>0</v>
      </c>
      <c r="H312">
        <v>0</v>
      </c>
    </row>
    <row r="313" spans="1:8" x14ac:dyDescent="0.3">
      <c r="A313" t="s">
        <v>412</v>
      </c>
      <c r="B313" t="s">
        <v>537</v>
      </c>
      <c r="C313" t="s">
        <v>270</v>
      </c>
      <c r="E313">
        <v>442</v>
      </c>
      <c r="F313">
        <v>0</v>
      </c>
      <c r="G313">
        <v>10</v>
      </c>
      <c r="H313">
        <v>0</v>
      </c>
    </row>
    <row r="314" spans="1:8" x14ac:dyDescent="0.3">
      <c r="A314" t="s">
        <v>412</v>
      </c>
      <c r="B314" t="s">
        <v>537</v>
      </c>
      <c r="C314" t="s">
        <v>279</v>
      </c>
      <c r="D314" t="s">
        <v>237</v>
      </c>
      <c r="E314">
        <v>28</v>
      </c>
      <c r="F314">
        <v>0</v>
      </c>
      <c r="G314">
        <v>3</v>
      </c>
      <c r="H314">
        <v>0</v>
      </c>
    </row>
    <row r="315" spans="1:8" x14ac:dyDescent="0.3">
      <c r="A315" t="s">
        <v>412</v>
      </c>
      <c r="B315" t="s">
        <v>537</v>
      </c>
      <c r="C315" t="s">
        <v>304</v>
      </c>
      <c r="E315">
        <v>149</v>
      </c>
      <c r="F315">
        <v>1</v>
      </c>
      <c r="G315">
        <v>0</v>
      </c>
      <c r="H315">
        <v>0</v>
      </c>
    </row>
    <row r="316" spans="1:8" x14ac:dyDescent="0.3">
      <c r="A316" t="s">
        <v>412</v>
      </c>
      <c r="B316" t="s">
        <v>540</v>
      </c>
      <c r="C316" t="s">
        <v>261</v>
      </c>
      <c r="E316">
        <v>0</v>
      </c>
      <c r="F316">
        <v>9</v>
      </c>
      <c r="G316">
        <v>9</v>
      </c>
      <c r="H316">
        <v>0</v>
      </c>
    </row>
    <row r="317" spans="1:8" x14ac:dyDescent="0.3">
      <c r="A317" t="s">
        <v>213</v>
      </c>
      <c r="B317" t="s">
        <v>537</v>
      </c>
      <c r="C317" t="s">
        <v>296</v>
      </c>
      <c r="D317" t="s">
        <v>295</v>
      </c>
      <c r="E317">
        <v>99</v>
      </c>
      <c r="F317">
        <v>0</v>
      </c>
      <c r="G317">
        <v>0</v>
      </c>
      <c r="H317">
        <v>0</v>
      </c>
    </row>
    <row r="318" spans="1:8" x14ac:dyDescent="0.3">
      <c r="A318" t="s">
        <v>213</v>
      </c>
      <c r="B318" t="s">
        <v>537</v>
      </c>
      <c r="C318" t="s">
        <v>311</v>
      </c>
      <c r="D318" t="s">
        <v>237</v>
      </c>
      <c r="E318">
        <v>56</v>
      </c>
      <c r="F318">
        <v>0</v>
      </c>
      <c r="G318">
        <v>0</v>
      </c>
      <c r="H318">
        <v>0</v>
      </c>
    </row>
    <row r="319" spans="1:8" x14ac:dyDescent="0.3">
      <c r="A319" t="s">
        <v>213</v>
      </c>
      <c r="B319" t="s">
        <v>540</v>
      </c>
      <c r="C319" t="s">
        <v>236</v>
      </c>
      <c r="D319" t="s">
        <v>237</v>
      </c>
      <c r="E319">
        <v>0</v>
      </c>
      <c r="F319">
        <v>10</v>
      </c>
      <c r="G319">
        <v>20</v>
      </c>
      <c r="H319">
        <v>0</v>
      </c>
    </row>
    <row r="320" spans="1:8" x14ac:dyDescent="0.3">
      <c r="A320" t="s">
        <v>312</v>
      </c>
      <c r="B320" t="s">
        <v>537</v>
      </c>
      <c r="C320" t="s">
        <v>247</v>
      </c>
      <c r="D320" t="s">
        <v>217</v>
      </c>
      <c r="E320">
        <v>182</v>
      </c>
      <c r="F320">
        <v>0</v>
      </c>
      <c r="G320">
        <v>0</v>
      </c>
      <c r="H320">
        <v>0</v>
      </c>
    </row>
    <row r="321" spans="1:8" x14ac:dyDescent="0.3">
      <c r="A321" t="s">
        <v>312</v>
      </c>
      <c r="B321" t="s">
        <v>537</v>
      </c>
      <c r="C321" t="s">
        <v>275</v>
      </c>
      <c r="D321" t="s">
        <v>217</v>
      </c>
      <c r="E321">
        <v>71</v>
      </c>
      <c r="F321">
        <v>0</v>
      </c>
      <c r="G321">
        <v>0</v>
      </c>
      <c r="H321">
        <v>0</v>
      </c>
    </row>
    <row r="322" spans="1:8" x14ac:dyDescent="0.3">
      <c r="A322" t="s">
        <v>312</v>
      </c>
      <c r="B322" t="s">
        <v>537</v>
      </c>
      <c r="C322" t="s">
        <v>277</v>
      </c>
      <c r="D322" t="s">
        <v>231</v>
      </c>
      <c r="E322">
        <v>70</v>
      </c>
      <c r="F322">
        <v>0</v>
      </c>
      <c r="G322">
        <v>0</v>
      </c>
      <c r="H322">
        <v>0</v>
      </c>
    </row>
    <row r="323" spans="1:8" x14ac:dyDescent="0.3">
      <c r="A323" t="s">
        <v>312</v>
      </c>
      <c r="B323" t="s">
        <v>537</v>
      </c>
      <c r="C323" t="s">
        <v>289</v>
      </c>
      <c r="D323" t="s">
        <v>231</v>
      </c>
      <c r="E323">
        <v>163</v>
      </c>
      <c r="F323">
        <v>0</v>
      </c>
      <c r="G323">
        <v>0</v>
      </c>
      <c r="H323">
        <v>0</v>
      </c>
    </row>
    <row r="324" spans="1:8" x14ac:dyDescent="0.3">
      <c r="A324" t="s">
        <v>312</v>
      </c>
      <c r="B324" t="s">
        <v>537</v>
      </c>
      <c r="C324" t="s">
        <v>296</v>
      </c>
      <c r="D324" t="s">
        <v>231</v>
      </c>
      <c r="E324">
        <v>102</v>
      </c>
      <c r="F324">
        <v>0</v>
      </c>
      <c r="G324">
        <v>0</v>
      </c>
      <c r="H324">
        <v>0</v>
      </c>
    </row>
    <row r="325" spans="1:8" x14ac:dyDescent="0.3">
      <c r="A325" t="s">
        <v>312</v>
      </c>
      <c r="B325" t="s">
        <v>537</v>
      </c>
      <c r="C325" t="s">
        <v>309</v>
      </c>
      <c r="D325" t="s">
        <v>231</v>
      </c>
      <c r="E325">
        <v>73</v>
      </c>
      <c r="F325">
        <v>0</v>
      </c>
      <c r="G325">
        <v>0</v>
      </c>
      <c r="H325">
        <v>0</v>
      </c>
    </row>
    <row r="326" spans="1:8" x14ac:dyDescent="0.3">
      <c r="A326" t="s">
        <v>312</v>
      </c>
      <c r="B326" t="s">
        <v>540</v>
      </c>
      <c r="C326" t="s">
        <v>265</v>
      </c>
      <c r="D326" t="s">
        <v>237</v>
      </c>
      <c r="E326">
        <v>0</v>
      </c>
      <c r="F326">
        <v>9</v>
      </c>
      <c r="G326">
        <v>10</v>
      </c>
      <c r="H326">
        <v>0</v>
      </c>
    </row>
    <row r="327" spans="1:8" x14ac:dyDescent="0.3">
      <c r="A327" t="s">
        <v>312</v>
      </c>
      <c r="B327" t="s">
        <v>540</v>
      </c>
      <c r="C327" t="s">
        <v>313</v>
      </c>
      <c r="D327" t="s">
        <v>237</v>
      </c>
      <c r="E327">
        <v>0</v>
      </c>
      <c r="F327">
        <v>9</v>
      </c>
      <c r="G327">
        <v>10</v>
      </c>
      <c r="H327">
        <v>0</v>
      </c>
    </row>
    <row r="328" spans="1:8" x14ac:dyDescent="0.3">
      <c r="A328" t="s">
        <v>318</v>
      </c>
      <c r="B328" t="s">
        <v>537</v>
      </c>
      <c r="C328" t="s">
        <v>538</v>
      </c>
      <c r="D328" t="s">
        <v>231</v>
      </c>
      <c r="E328">
        <v>51</v>
      </c>
      <c r="F328">
        <v>0</v>
      </c>
      <c r="G328">
        <v>0</v>
      </c>
      <c r="H328">
        <v>0</v>
      </c>
    </row>
    <row r="329" spans="1:8" x14ac:dyDescent="0.3">
      <c r="A329" t="s">
        <v>318</v>
      </c>
      <c r="B329" t="s">
        <v>537</v>
      </c>
      <c r="C329" t="s">
        <v>253</v>
      </c>
      <c r="D329" t="s">
        <v>231</v>
      </c>
      <c r="E329">
        <v>76</v>
      </c>
      <c r="F329">
        <v>0</v>
      </c>
      <c r="G329">
        <v>0</v>
      </c>
      <c r="H329">
        <v>0</v>
      </c>
    </row>
    <row r="330" spans="1:8" x14ac:dyDescent="0.3">
      <c r="A330" t="s">
        <v>318</v>
      </c>
      <c r="B330" t="s">
        <v>537</v>
      </c>
      <c r="C330" t="s">
        <v>255</v>
      </c>
      <c r="D330" t="s">
        <v>237</v>
      </c>
      <c r="E330">
        <v>26</v>
      </c>
      <c r="F330">
        <v>0</v>
      </c>
      <c r="G330">
        <v>0</v>
      </c>
      <c r="H330">
        <v>0</v>
      </c>
    </row>
    <row r="331" spans="1:8" x14ac:dyDescent="0.3">
      <c r="A331" t="s">
        <v>318</v>
      </c>
      <c r="B331" t="s">
        <v>537</v>
      </c>
      <c r="C331" t="s">
        <v>287</v>
      </c>
      <c r="D331" t="s">
        <v>231</v>
      </c>
      <c r="E331">
        <v>75</v>
      </c>
      <c r="F331">
        <v>0</v>
      </c>
      <c r="G331">
        <v>0</v>
      </c>
      <c r="H331">
        <v>0</v>
      </c>
    </row>
    <row r="332" spans="1:8" x14ac:dyDescent="0.3">
      <c r="A332" t="s">
        <v>318</v>
      </c>
      <c r="B332" t="s">
        <v>540</v>
      </c>
      <c r="C332" t="s">
        <v>270</v>
      </c>
      <c r="D332" t="s">
        <v>231</v>
      </c>
      <c r="E332">
        <v>0</v>
      </c>
      <c r="F332">
        <v>15</v>
      </c>
      <c r="G332">
        <v>11</v>
      </c>
      <c r="H332">
        <v>0</v>
      </c>
    </row>
    <row r="333" spans="1:8" x14ac:dyDescent="0.3">
      <c r="A333" t="s">
        <v>318</v>
      </c>
      <c r="B333" t="s">
        <v>544</v>
      </c>
      <c r="C333" t="s">
        <v>545</v>
      </c>
      <c r="D333" t="s">
        <v>237</v>
      </c>
      <c r="E333">
        <v>0</v>
      </c>
      <c r="F333">
        <v>0</v>
      </c>
      <c r="G333">
        <v>6</v>
      </c>
      <c r="H333">
        <v>0</v>
      </c>
    </row>
    <row r="334" spans="1:8" x14ac:dyDescent="0.3">
      <c r="A334" t="s">
        <v>320</v>
      </c>
      <c r="B334" t="s">
        <v>540</v>
      </c>
      <c r="C334" t="s">
        <v>236</v>
      </c>
      <c r="E334">
        <v>0</v>
      </c>
      <c r="F334">
        <v>9</v>
      </c>
      <c r="G334">
        <v>13</v>
      </c>
      <c r="H334">
        <v>0</v>
      </c>
    </row>
    <row r="335" spans="1:8" x14ac:dyDescent="0.3">
      <c r="A335" t="s">
        <v>320</v>
      </c>
      <c r="B335" t="s">
        <v>544</v>
      </c>
      <c r="C335" t="s">
        <v>545</v>
      </c>
      <c r="D335" t="s">
        <v>237</v>
      </c>
      <c r="E335">
        <v>0</v>
      </c>
      <c r="F335">
        <v>0</v>
      </c>
      <c r="G335">
        <v>3</v>
      </c>
      <c r="H335">
        <v>0</v>
      </c>
    </row>
    <row r="336" spans="1:8" x14ac:dyDescent="0.3">
      <c r="A336" t="s">
        <v>325</v>
      </c>
      <c r="B336" t="s">
        <v>537</v>
      </c>
      <c r="C336" t="s">
        <v>215</v>
      </c>
      <c r="E336">
        <v>150</v>
      </c>
      <c r="F336">
        <v>0</v>
      </c>
      <c r="G336">
        <v>5</v>
      </c>
      <c r="H336">
        <v>0</v>
      </c>
    </row>
    <row r="337" spans="1:8" x14ac:dyDescent="0.3">
      <c r="A337" t="s">
        <v>325</v>
      </c>
      <c r="B337" t="s">
        <v>537</v>
      </c>
      <c r="C337" t="s">
        <v>240</v>
      </c>
      <c r="D337" t="s">
        <v>237</v>
      </c>
      <c r="E337">
        <v>24</v>
      </c>
      <c r="F337">
        <v>0</v>
      </c>
      <c r="G337">
        <v>1</v>
      </c>
      <c r="H337">
        <v>0</v>
      </c>
    </row>
    <row r="338" spans="1:8" x14ac:dyDescent="0.3">
      <c r="A338" t="s">
        <v>325</v>
      </c>
      <c r="B338" t="s">
        <v>537</v>
      </c>
      <c r="C338" t="s">
        <v>277</v>
      </c>
      <c r="E338">
        <v>67</v>
      </c>
      <c r="F338">
        <v>0</v>
      </c>
      <c r="G338">
        <v>0</v>
      </c>
      <c r="H338">
        <v>0</v>
      </c>
    </row>
    <row r="339" spans="1:8" x14ac:dyDescent="0.3">
      <c r="A339" t="s">
        <v>325</v>
      </c>
      <c r="B339" t="s">
        <v>537</v>
      </c>
      <c r="C339" t="s">
        <v>311</v>
      </c>
      <c r="E339">
        <v>0</v>
      </c>
      <c r="F339">
        <v>0</v>
      </c>
      <c r="G339">
        <v>2</v>
      </c>
      <c r="H339">
        <v>0</v>
      </c>
    </row>
    <row r="340" spans="1:8" x14ac:dyDescent="0.3">
      <c r="A340" t="s">
        <v>325</v>
      </c>
      <c r="B340" t="s">
        <v>540</v>
      </c>
      <c r="C340" t="s">
        <v>322</v>
      </c>
      <c r="E340">
        <v>0</v>
      </c>
      <c r="F340">
        <v>15</v>
      </c>
      <c r="G340">
        <v>9</v>
      </c>
      <c r="H340">
        <v>0</v>
      </c>
    </row>
    <row r="341" spans="1:8" x14ac:dyDescent="0.3">
      <c r="A341" t="s">
        <v>325</v>
      </c>
      <c r="B341" t="s">
        <v>540</v>
      </c>
      <c r="C341" t="s">
        <v>226</v>
      </c>
      <c r="E341">
        <v>0</v>
      </c>
      <c r="F341">
        <v>12</v>
      </c>
      <c r="G341">
        <v>11</v>
      </c>
      <c r="H341">
        <v>0</v>
      </c>
    </row>
    <row r="342" spans="1:8" x14ac:dyDescent="0.3">
      <c r="A342" t="s">
        <v>326</v>
      </c>
      <c r="B342" t="s">
        <v>537</v>
      </c>
      <c r="C342" t="s">
        <v>255</v>
      </c>
      <c r="D342" t="s">
        <v>237</v>
      </c>
      <c r="E342">
        <v>25</v>
      </c>
      <c r="F342">
        <v>0</v>
      </c>
      <c r="G342">
        <v>0</v>
      </c>
      <c r="H342">
        <v>0</v>
      </c>
    </row>
    <row r="343" spans="1:8" x14ac:dyDescent="0.3">
      <c r="A343" t="s">
        <v>326</v>
      </c>
      <c r="B343" t="s">
        <v>537</v>
      </c>
      <c r="C343" t="s">
        <v>279</v>
      </c>
      <c r="D343" t="s">
        <v>237</v>
      </c>
      <c r="E343">
        <v>26</v>
      </c>
      <c r="F343">
        <v>0</v>
      </c>
      <c r="G343">
        <v>3</v>
      </c>
      <c r="H343">
        <v>0</v>
      </c>
    </row>
    <row r="344" spans="1:8" x14ac:dyDescent="0.3">
      <c r="A344" t="s">
        <v>326</v>
      </c>
      <c r="B344" t="s">
        <v>540</v>
      </c>
      <c r="C344" t="s">
        <v>285</v>
      </c>
      <c r="E344">
        <v>0</v>
      </c>
      <c r="F344">
        <v>10</v>
      </c>
      <c r="G344">
        <v>0</v>
      </c>
      <c r="H344">
        <v>0</v>
      </c>
    </row>
    <row r="345" spans="1:8" x14ac:dyDescent="0.3">
      <c r="A345" t="s">
        <v>326</v>
      </c>
      <c r="B345" t="s">
        <v>542</v>
      </c>
      <c r="C345" t="s">
        <v>218</v>
      </c>
      <c r="E345">
        <v>0</v>
      </c>
      <c r="F345">
        <v>12</v>
      </c>
      <c r="G345">
        <v>40</v>
      </c>
      <c r="H345">
        <v>0</v>
      </c>
    </row>
    <row r="346" spans="1:8" x14ac:dyDescent="0.3">
      <c r="A346" t="s">
        <v>326</v>
      </c>
      <c r="B346" t="s">
        <v>544</v>
      </c>
      <c r="C346" t="s">
        <v>545</v>
      </c>
      <c r="D346" t="s">
        <v>549</v>
      </c>
      <c r="E346">
        <v>0</v>
      </c>
      <c r="F346">
        <v>56</v>
      </c>
      <c r="G346">
        <v>28</v>
      </c>
      <c r="H346">
        <v>0</v>
      </c>
    </row>
    <row r="347" spans="1:8" x14ac:dyDescent="0.3">
      <c r="A347" t="s">
        <v>328</v>
      </c>
      <c r="B347" t="s">
        <v>537</v>
      </c>
      <c r="C347" t="s">
        <v>224</v>
      </c>
      <c r="E347">
        <v>26</v>
      </c>
      <c r="F347">
        <v>0</v>
      </c>
      <c r="G347">
        <v>0</v>
      </c>
      <c r="H347">
        <v>0</v>
      </c>
    </row>
    <row r="348" spans="1:8" x14ac:dyDescent="0.3">
      <c r="A348" t="s">
        <v>328</v>
      </c>
      <c r="B348" t="s">
        <v>537</v>
      </c>
      <c r="C348" t="s">
        <v>538</v>
      </c>
      <c r="E348">
        <v>52</v>
      </c>
      <c r="F348">
        <v>0</v>
      </c>
      <c r="G348">
        <v>0</v>
      </c>
      <c r="H348">
        <v>0</v>
      </c>
    </row>
    <row r="349" spans="1:8" x14ac:dyDescent="0.3">
      <c r="A349" t="s">
        <v>328</v>
      </c>
      <c r="B349" t="s">
        <v>537</v>
      </c>
      <c r="C349" t="s">
        <v>287</v>
      </c>
      <c r="E349">
        <v>72</v>
      </c>
      <c r="F349">
        <v>0</v>
      </c>
      <c r="G349">
        <v>0</v>
      </c>
      <c r="H349">
        <v>0</v>
      </c>
    </row>
    <row r="350" spans="1:8" x14ac:dyDescent="0.3">
      <c r="A350" t="s">
        <v>328</v>
      </c>
      <c r="B350" t="s">
        <v>540</v>
      </c>
      <c r="C350" t="s">
        <v>270</v>
      </c>
      <c r="E350">
        <v>0</v>
      </c>
      <c r="F350">
        <v>13</v>
      </c>
      <c r="G350">
        <v>7</v>
      </c>
      <c r="H350">
        <v>0</v>
      </c>
    </row>
    <row r="351" spans="1:8" x14ac:dyDescent="0.3">
      <c r="A351" t="s">
        <v>328</v>
      </c>
      <c r="B351" t="s">
        <v>542</v>
      </c>
      <c r="C351" t="s">
        <v>218</v>
      </c>
      <c r="E351">
        <v>0</v>
      </c>
      <c r="F351">
        <v>14</v>
      </c>
      <c r="G351">
        <v>44</v>
      </c>
      <c r="H351">
        <v>6</v>
      </c>
    </row>
    <row r="352" spans="1:8" x14ac:dyDescent="0.3">
      <c r="A352" t="s">
        <v>412</v>
      </c>
      <c r="B352" t="s">
        <v>537</v>
      </c>
      <c r="C352" t="s">
        <v>215</v>
      </c>
      <c r="E352">
        <v>104</v>
      </c>
      <c r="F352">
        <v>0</v>
      </c>
      <c r="G352">
        <v>5</v>
      </c>
      <c r="H352">
        <v>0</v>
      </c>
    </row>
    <row r="353" spans="1:8" x14ac:dyDescent="0.3">
      <c r="A353" t="s">
        <v>412</v>
      </c>
      <c r="B353" t="s">
        <v>537</v>
      </c>
      <c r="C353" t="s">
        <v>240</v>
      </c>
      <c r="D353" t="s">
        <v>237</v>
      </c>
      <c r="E353">
        <v>26</v>
      </c>
      <c r="F353">
        <v>0</v>
      </c>
      <c r="G353">
        <v>1</v>
      </c>
      <c r="H353">
        <v>0</v>
      </c>
    </row>
    <row r="354" spans="1:8" x14ac:dyDescent="0.3">
      <c r="A354" t="s">
        <v>412</v>
      </c>
      <c r="B354" t="s">
        <v>537</v>
      </c>
      <c r="C354" t="s">
        <v>277</v>
      </c>
      <c r="E354">
        <v>66</v>
      </c>
      <c r="F354">
        <v>0</v>
      </c>
      <c r="G354">
        <v>0</v>
      </c>
      <c r="H354">
        <v>0</v>
      </c>
    </row>
    <row r="355" spans="1:8" x14ac:dyDescent="0.3">
      <c r="A355" t="s">
        <v>412</v>
      </c>
      <c r="B355" t="s">
        <v>537</v>
      </c>
      <c r="C355" t="s">
        <v>296</v>
      </c>
      <c r="E355">
        <v>101</v>
      </c>
      <c r="F355">
        <v>0</v>
      </c>
      <c r="G355">
        <v>0</v>
      </c>
      <c r="H355">
        <v>0</v>
      </c>
    </row>
    <row r="356" spans="1:8" x14ac:dyDescent="0.3">
      <c r="A356" t="s">
        <v>412</v>
      </c>
      <c r="B356" t="s">
        <v>540</v>
      </c>
      <c r="C356" t="s">
        <v>230</v>
      </c>
      <c r="E356">
        <v>0</v>
      </c>
      <c r="F356">
        <v>14</v>
      </c>
      <c r="G356">
        <v>10</v>
      </c>
      <c r="H356">
        <v>0</v>
      </c>
    </row>
    <row r="357" spans="1:8" x14ac:dyDescent="0.3">
      <c r="A357" t="s">
        <v>412</v>
      </c>
      <c r="B357" t="s">
        <v>540</v>
      </c>
      <c r="C357" t="s">
        <v>226</v>
      </c>
      <c r="E357">
        <v>0</v>
      </c>
      <c r="F357">
        <v>11</v>
      </c>
      <c r="G357">
        <v>11</v>
      </c>
      <c r="H357">
        <v>0</v>
      </c>
    </row>
    <row r="358" spans="1:8" x14ac:dyDescent="0.3">
      <c r="A358" t="s">
        <v>213</v>
      </c>
      <c r="B358" t="s">
        <v>537</v>
      </c>
      <c r="C358" t="s">
        <v>279</v>
      </c>
      <c r="D358" t="s">
        <v>237</v>
      </c>
      <c r="E358">
        <v>26</v>
      </c>
      <c r="F358">
        <v>0</v>
      </c>
      <c r="G358">
        <v>0</v>
      </c>
      <c r="H358">
        <v>0</v>
      </c>
    </row>
    <row r="359" spans="1:8" x14ac:dyDescent="0.3">
      <c r="A359" t="s">
        <v>213</v>
      </c>
      <c r="B359" t="s">
        <v>537</v>
      </c>
      <c r="C359" t="s">
        <v>298</v>
      </c>
      <c r="D359" t="s">
        <v>237</v>
      </c>
      <c r="E359">
        <v>56</v>
      </c>
      <c r="F359">
        <v>0</v>
      </c>
      <c r="G359">
        <v>0</v>
      </c>
      <c r="H359">
        <v>0</v>
      </c>
    </row>
    <row r="360" spans="1:8" x14ac:dyDescent="0.3">
      <c r="A360" t="s">
        <v>312</v>
      </c>
      <c r="B360" t="s">
        <v>537</v>
      </c>
      <c r="C360" t="s">
        <v>215</v>
      </c>
      <c r="D360" t="s">
        <v>217</v>
      </c>
      <c r="E360">
        <v>155</v>
      </c>
      <c r="F360">
        <v>0</v>
      </c>
      <c r="G360">
        <v>0</v>
      </c>
      <c r="H360">
        <v>0</v>
      </c>
    </row>
    <row r="361" spans="1:8" x14ac:dyDescent="0.3">
      <c r="A361" t="s">
        <v>312</v>
      </c>
      <c r="B361" t="s">
        <v>537</v>
      </c>
      <c r="C361" t="s">
        <v>224</v>
      </c>
      <c r="D361" t="s">
        <v>217</v>
      </c>
      <c r="E361">
        <v>27</v>
      </c>
      <c r="F361">
        <v>0</v>
      </c>
      <c r="G361">
        <v>0</v>
      </c>
      <c r="H361">
        <v>0</v>
      </c>
    </row>
    <row r="362" spans="1:8" x14ac:dyDescent="0.3">
      <c r="A362" t="s">
        <v>312</v>
      </c>
      <c r="B362" t="s">
        <v>537</v>
      </c>
      <c r="C362" t="s">
        <v>263</v>
      </c>
      <c r="D362" t="s">
        <v>237</v>
      </c>
      <c r="E362">
        <v>88</v>
      </c>
      <c r="F362">
        <v>0</v>
      </c>
      <c r="G362">
        <v>0</v>
      </c>
      <c r="H362">
        <v>0</v>
      </c>
    </row>
    <row r="363" spans="1:8" x14ac:dyDescent="0.3">
      <c r="A363" t="s">
        <v>312</v>
      </c>
      <c r="B363" t="s">
        <v>537</v>
      </c>
      <c r="C363" t="s">
        <v>307</v>
      </c>
      <c r="D363" t="s">
        <v>237</v>
      </c>
      <c r="E363">
        <v>51</v>
      </c>
      <c r="F363">
        <v>0</v>
      </c>
      <c r="G363">
        <v>0</v>
      </c>
      <c r="H363">
        <v>0</v>
      </c>
    </row>
    <row r="364" spans="1:8" x14ac:dyDescent="0.3">
      <c r="A364" t="s">
        <v>312</v>
      </c>
      <c r="B364" t="s">
        <v>540</v>
      </c>
      <c r="C364" t="s">
        <v>215</v>
      </c>
      <c r="D364" t="s">
        <v>217</v>
      </c>
      <c r="E364">
        <v>0</v>
      </c>
      <c r="F364">
        <v>6</v>
      </c>
      <c r="G364">
        <v>7</v>
      </c>
      <c r="H364">
        <v>0</v>
      </c>
    </row>
    <row r="365" spans="1:8" x14ac:dyDescent="0.3">
      <c r="A365" t="s">
        <v>312</v>
      </c>
      <c r="B365" t="s">
        <v>542</v>
      </c>
      <c r="C365" t="s">
        <v>218</v>
      </c>
      <c r="D365" t="s">
        <v>217</v>
      </c>
      <c r="E365">
        <v>0</v>
      </c>
      <c r="F365">
        <v>12</v>
      </c>
      <c r="G365">
        <v>30</v>
      </c>
      <c r="H365">
        <v>0</v>
      </c>
    </row>
    <row r="366" spans="1:8" x14ac:dyDescent="0.3">
      <c r="A366" t="s">
        <v>318</v>
      </c>
      <c r="B366" t="s">
        <v>537</v>
      </c>
      <c r="C366" t="s">
        <v>220</v>
      </c>
      <c r="D366" t="s">
        <v>217</v>
      </c>
      <c r="E366">
        <v>29</v>
      </c>
      <c r="F366">
        <v>0</v>
      </c>
      <c r="G366">
        <v>0</v>
      </c>
      <c r="H366">
        <v>0</v>
      </c>
    </row>
    <row r="367" spans="1:8" x14ac:dyDescent="0.3">
      <c r="A367" t="s">
        <v>318</v>
      </c>
      <c r="B367" t="s">
        <v>537</v>
      </c>
      <c r="C367" t="s">
        <v>236</v>
      </c>
      <c r="D367" t="s">
        <v>237</v>
      </c>
      <c r="E367">
        <v>300</v>
      </c>
      <c r="F367">
        <v>0</v>
      </c>
      <c r="G367">
        <v>0</v>
      </c>
      <c r="H367">
        <v>0</v>
      </c>
    </row>
    <row r="368" spans="1:8" x14ac:dyDescent="0.3">
      <c r="A368" t="s">
        <v>318</v>
      </c>
      <c r="B368" t="s">
        <v>537</v>
      </c>
      <c r="C368" t="s">
        <v>279</v>
      </c>
      <c r="D368" t="s">
        <v>237</v>
      </c>
      <c r="E368">
        <v>27</v>
      </c>
      <c r="F368">
        <v>0</v>
      </c>
      <c r="G368">
        <v>0</v>
      </c>
      <c r="H368">
        <v>0</v>
      </c>
    </row>
    <row r="369" spans="1:8" x14ac:dyDescent="0.3">
      <c r="A369" t="s">
        <v>318</v>
      </c>
      <c r="B369" t="s">
        <v>537</v>
      </c>
      <c r="C369" t="s">
        <v>281</v>
      </c>
      <c r="D369" t="s">
        <v>217</v>
      </c>
      <c r="E369">
        <v>30</v>
      </c>
      <c r="F369">
        <v>0</v>
      </c>
      <c r="G369">
        <v>0</v>
      </c>
      <c r="H369">
        <v>0</v>
      </c>
    </row>
    <row r="370" spans="1:8" x14ac:dyDescent="0.3">
      <c r="A370" t="s">
        <v>318</v>
      </c>
      <c r="B370" t="s">
        <v>537</v>
      </c>
      <c r="C370" t="s">
        <v>304</v>
      </c>
      <c r="D370" t="s">
        <v>231</v>
      </c>
      <c r="E370">
        <v>168</v>
      </c>
      <c r="F370">
        <v>0</v>
      </c>
      <c r="G370">
        <v>0</v>
      </c>
      <c r="H370">
        <v>0</v>
      </c>
    </row>
    <row r="371" spans="1:8" x14ac:dyDescent="0.3">
      <c r="A371" t="s">
        <v>318</v>
      </c>
      <c r="B371" t="s">
        <v>537</v>
      </c>
      <c r="C371" t="s">
        <v>311</v>
      </c>
      <c r="D371" t="s">
        <v>237</v>
      </c>
      <c r="E371">
        <v>57</v>
      </c>
      <c r="F371">
        <v>0</v>
      </c>
      <c r="G371">
        <v>0</v>
      </c>
      <c r="H371">
        <v>0</v>
      </c>
    </row>
    <row r="372" spans="1:8" x14ac:dyDescent="0.3">
      <c r="A372" t="s">
        <v>318</v>
      </c>
      <c r="B372" t="s">
        <v>542</v>
      </c>
      <c r="C372" t="s">
        <v>238</v>
      </c>
      <c r="D372" t="s">
        <v>237</v>
      </c>
      <c r="E372">
        <v>0</v>
      </c>
      <c r="F372">
        <v>8</v>
      </c>
      <c r="G372">
        <v>38</v>
      </c>
      <c r="H372">
        <v>20</v>
      </c>
    </row>
    <row r="373" spans="1:8" x14ac:dyDescent="0.3">
      <c r="A373" t="s">
        <v>318</v>
      </c>
      <c r="B373" t="s">
        <v>542</v>
      </c>
      <c r="C373" t="s">
        <v>232</v>
      </c>
      <c r="D373" t="s">
        <v>231</v>
      </c>
      <c r="E373">
        <v>0</v>
      </c>
      <c r="F373">
        <v>13</v>
      </c>
      <c r="G373">
        <v>53</v>
      </c>
      <c r="H373">
        <v>25</v>
      </c>
    </row>
    <row r="374" spans="1:8" x14ac:dyDescent="0.3">
      <c r="A374" t="s">
        <v>320</v>
      </c>
      <c r="B374" t="s">
        <v>537</v>
      </c>
      <c r="C374" t="s">
        <v>220</v>
      </c>
      <c r="E374">
        <v>28</v>
      </c>
      <c r="F374">
        <v>0</v>
      </c>
      <c r="G374">
        <v>0</v>
      </c>
      <c r="H374">
        <v>0</v>
      </c>
    </row>
    <row r="375" spans="1:8" x14ac:dyDescent="0.3">
      <c r="A375" t="s">
        <v>320</v>
      </c>
      <c r="B375" t="s">
        <v>537</v>
      </c>
      <c r="C375" t="s">
        <v>236</v>
      </c>
      <c r="D375" t="s">
        <v>237</v>
      </c>
      <c r="E375">
        <v>295</v>
      </c>
      <c r="F375">
        <v>0</v>
      </c>
      <c r="G375">
        <v>0</v>
      </c>
      <c r="H375">
        <v>0</v>
      </c>
    </row>
    <row r="376" spans="1:8" x14ac:dyDescent="0.3">
      <c r="A376" t="s">
        <v>320</v>
      </c>
      <c r="B376" t="s">
        <v>537</v>
      </c>
      <c r="C376" t="s">
        <v>267</v>
      </c>
      <c r="D376" t="s">
        <v>237</v>
      </c>
      <c r="E376">
        <v>254</v>
      </c>
      <c r="F376">
        <v>0</v>
      </c>
      <c r="G376">
        <v>0</v>
      </c>
      <c r="H376">
        <v>0</v>
      </c>
    </row>
    <row r="377" spans="1:8" x14ac:dyDescent="0.3">
      <c r="A377" t="s">
        <v>320</v>
      </c>
      <c r="B377" t="s">
        <v>537</v>
      </c>
      <c r="C377" t="s">
        <v>270</v>
      </c>
      <c r="E377">
        <v>493</v>
      </c>
      <c r="F377">
        <v>0</v>
      </c>
      <c r="G377">
        <v>0</v>
      </c>
      <c r="H377">
        <v>0</v>
      </c>
    </row>
    <row r="378" spans="1:8" x14ac:dyDescent="0.3">
      <c r="A378" t="s">
        <v>320</v>
      </c>
      <c r="B378" t="s">
        <v>537</v>
      </c>
      <c r="C378" t="s">
        <v>307</v>
      </c>
      <c r="E378">
        <v>1</v>
      </c>
      <c r="F378">
        <v>0</v>
      </c>
      <c r="G378">
        <v>0</v>
      </c>
      <c r="H378">
        <v>0</v>
      </c>
    </row>
    <row r="379" spans="1:8" x14ac:dyDescent="0.3">
      <c r="A379" t="s">
        <v>320</v>
      </c>
      <c r="B379" t="s">
        <v>540</v>
      </c>
      <c r="C379" t="s">
        <v>236</v>
      </c>
      <c r="D379" t="s">
        <v>237</v>
      </c>
      <c r="E379">
        <v>0</v>
      </c>
      <c r="F379">
        <v>2</v>
      </c>
      <c r="G379">
        <v>3</v>
      </c>
      <c r="H379">
        <v>0</v>
      </c>
    </row>
    <row r="380" spans="1:8" x14ac:dyDescent="0.3">
      <c r="A380" t="s">
        <v>320</v>
      </c>
      <c r="B380" t="s">
        <v>540</v>
      </c>
      <c r="C380" t="s">
        <v>261</v>
      </c>
      <c r="E380">
        <v>0</v>
      </c>
      <c r="F380">
        <v>10</v>
      </c>
      <c r="G380">
        <v>9</v>
      </c>
      <c r="H380">
        <v>0</v>
      </c>
    </row>
    <row r="381" spans="1:8" x14ac:dyDescent="0.3">
      <c r="A381" t="s">
        <v>320</v>
      </c>
      <c r="B381" t="s">
        <v>540</v>
      </c>
      <c r="C381" t="s">
        <v>265</v>
      </c>
      <c r="E381">
        <v>0</v>
      </c>
      <c r="F381">
        <v>7</v>
      </c>
      <c r="G381">
        <v>9</v>
      </c>
      <c r="H381">
        <v>0</v>
      </c>
    </row>
    <row r="382" spans="1:8" x14ac:dyDescent="0.3">
      <c r="A382" t="s">
        <v>320</v>
      </c>
      <c r="B382" t="s">
        <v>540</v>
      </c>
      <c r="C382" t="s">
        <v>257</v>
      </c>
      <c r="D382" t="s">
        <v>237</v>
      </c>
      <c r="E382">
        <v>0</v>
      </c>
      <c r="F382">
        <v>1</v>
      </c>
      <c r="G382">
        <v>6</v>
      </c>
      <c r="H382">
        <v>0</v>
      </c>
    </row>
    <row r="383" spans="1:8" x14ac:dyDescent="0.3">
      <c r="A383" t="s">
        <v>325</v>
      </c>
      <c r="B383" t="s">
        <v>537</v>
      </c>
      <c r="C383" t="s">
        <v>247</v>
      </c>
      <c r="E383">
        <v>167</v>
      </c>
      <c r="F383">
        <v>0</v>
      </c>
      <c r="G383">
        <v>2</v>
      </c>
      <c r="H383">
        <v>0</v>
      </c>
    </row>
    <row r="384" spans="1:8" x14ac:dyDescent="0.3">
      <c r="A384" t="s">
        <v>325</v>
      </c>
      <c r="B384" t="s">
        <v>537</v>
      </c>
      <c r="C384" t="s">
        <v>259</v>
      </c>
      <c r="E384">
        <v>47</v>
      </c>
      <c r="F384">
        <v>0</v>
      </c>
      <c r="G384">
        <v>0</v>
      </c>
      <c r="H384">
        <v>0</v>
      </c>
    </row>
    <row r="385" spans="1:8" x14ac:dyDescent="0.3">
      <c r="A385" t="s">
        <v>325</v>
      </c>
      <c r="B385" t="s">
        <v>537</v>
      </c>
      <c r="C385" t="s">
        <v>275</v>
      </c>
      <c r="E385">
        <v>73</v>
      </c>
      <c r="F385">
        <v>0</v>
      </c>
      <c r="G385">
        <v>0</v>
      </c>
      <c r="H385">
        <v>0</v>
      </c>
    </row>
    <row r="386" spans="1:8" x14ac:dyDescent="0.3">
      <c r="A386" t="s">
        <v>325</v>
      </c>
      <c r="B386" t="s">
        <v>537</v>
      </c>
      <c r="C386" t="s">
        <v>292</v>
      </c>
      <c r="E386">
        <v>0</v>
      </c>
      <c r="F386">
        <v>0</v>
      </c>
      <c r="G386">
        <v>1</v>
      </c>
      <c r="H386">
        <v>0</v>
      </c>
    </row>
    <row r="387" spans="1:8" x14ac:dyDescent="0.3">
      <c r="A387" t="s">
        <v>325</v>
      </c>
      <c r="B387" t="s">
        <v>537</v>
      </c>
      <c r="C387" t="s">
        <v>294</v>
      </c>
      <c r="E387">
        <v>69</v>
      </c>
      <c r="F387">
        <v>0</v>
      </c>
      <c r="G387">
        <v>0</v>
      </c>
      <c r="H387">
        <v>0</v>
      </c>
    </row>
    <row r="388" spans="1:8" x14ac:dyDescent="0.3">
      <c r="A388" t="s">
        <v>325</v>
      </c>
      <c r="B388" t="s">
        <v>537</v>
      </c>
      <c r="C388" t="s">
        <v>302</v>
      </c>
      <c r="E388">
        <v>48</v>
      </c>
      <c r="F388">
        <v>0</v>
      </c>
      <c r="G388">
        <v>0</v>
      </c>
      <c r="H388">
        <v>0</v>
      </c>
    </row>
    <row r="389" spans="1:8" x14ac:dyDescent="0.3">
      <c r="A389" t="s">
        <v>325</v>
      </c>
      <c r="B389" t="s">
        <v>537</v>
      </c>
      <c r="C389" t="s">
        <v>307</v>
      </c>
      <c r="D389" t="s">
        <v>237</v>
      </c>
      <c r="E389">
        <v>46</v>
      </c>
      <c r="F389">
        <v>0</v>
      </c>
      <c r="G389">
        <v>0</v>
      </c>
      <c r="H389">
        <v>0</v>
      </c>
    </row>
    <row r="390" spans="1:8" x14ac:dyDescent="0.3">
      <c r="A390" t="s">
        <v>325</v>
      </c>
      <c r="B390" t="s">
        <v>540</v>
      </c>
      <c r="C390" t="s">
        <v>257</v>
      </c>
      <c r="D390" t="s">
        <v>237</v>
      </c>
      <c r="E390">
        <v>0</v>
      </c>
      <c r="F390">
        <v>0</v>
      </c>
      <c r="G390">
        <v>5</v>
      </c>
      <c r="H390">
        <v>0</v>
      </c>
    </row>
    <row r="391" spans="1:8" x14ac:dyDescent="0.3">
      <c r="A391" t="s">
        <v>325</v>
      </c>
      <c r="B391" t="s">
        <v>540</v>
      </c>
      <c r="C391" t="s">
        <v>324</v>
      </c>
      <c r="E391">
        <v>0</v>
      </c>
      <c r="F391">
        <v>12</v>
      </c>
      <c r="G391">
        <v>15</v>
      </c>
      <c r="H391">
        <v>0</v>
      </c>
    </row>
    <row r="392" spans="1:8" x14ac:dyDescent="0.3">
      <c r="A392" t="s">
        <v>326</v>
      </c>
      <c r="B392" t="s">
        <v>537</v>
      </c>
      <c r="C392" t="s">
        <v>215</v>
      </c>
      <c r="E392">
        <v>155</v>
      </c>
      <c r="F392">
        <v>0</v>
      </c>
      <c r="G392">
        <v>7</v>
      </c>
      <c r="H392">
        <v>0</v>
      </c>
    </row>
    <row r="393" spans="1:8" x14ac:dyDescent="0.3">
      <c r="A393" t="s">
        <v>326</v>
      </c>
      <c r="B393" t="s">
        <v>537</v>
      </c>
      <c r="C393" t="s">
        <v>240</v>
      </c>
      <c r="D393" t="s">
        <v>237</v>
      </c>
      <c r="E393">
        <v>26</v>
      </c>
      <c r="F393">
        <v>0</v>
      </c>
      <c r="G393">
        <v>1</v>
      </c>
      <c r="H393">
        <v>0</v>
      </c>
    </row>
    <row r="394" spans="1:8" x14ac:dyDescent="0.3">
      <c r="A394" t="s">
        <v>326</v>
      </c>
      <c r="B394" t="s">
        <v>537</v>
      </c>
      <c r="C394" t="s">
        <v>304</v>
      </c>
      <c r="E394">
        <v>161</v>
      </c>
      <c r="F394">
        <v>0</v>
      </c>
      <c r="G394">
        <v>0</v>
      </c>
      <c r="H394">
        <v>0</v>
      </c>
    </row>
    <row r="395" spans="1:8" x14ac:dyDescent="0.3">
      <c r="A395" t="s">
        <v>326</v>
      </c>
      <c r="B395" t="s">
        <v>537</v>
      </c>
      <c r="C395" t="s">
        <v>311</v>
      </c>
      <c r="D395" t="s">
        <v>237</v>
      </c>
      <c r="E395">
        <v>60</v>
      </c>
      <c r="F395">
        <v>0</v>
      </c>
      <c r="G395">
        <v>3</v>
      </c>
      <c r="H395">
        <v>0</v>
      </c>
    </row>
    <row r="396" spans="1:8" x14ac:dyDescent="0.3">
      <c r="A396" t="s">
        <v>326</v>
      </c>
      <c r="B396" t="s">
        <v>540</v>
      </c>
      <c r="C396" t="s">
        <v>230</v>
      </c>
      <c r="E396">
        <v>0</v>
      </c>
      <c r="F396">
        <v>14</v>
      </c>
      <c r="G396">
        <v>14</v>
      </c>
      <c r="H396">
        <v>0</v>
      </c>
    </row>
    <row r="397" spans="1:8" x14ac:dyDescent="0.3">
      <c r="A397" t="s">
        <v>326</v>
      </c>
      <c r="B397" t="s">
        <v>540</v>
      </c>
      <c r="C397" t="s">
        <v>226</v>
      </c>
      <c r="E397">
        <v>0</v>
      </c>
      <c r="F397">
        <v>14</v>
      </c>
      <c r="G397">
        <v>9</v>
      </c>
      <c r="H397">
        <v>0</v>
      </c>
    </row>
    <row r="398" spans="1:8" x14ac:dyDescent="0.3">
      <c r="A398" t="s">
        <v>326</v>
      </c>
      <c r="B398" t="s">
        <v>542</v>
      </c>
      <c r="C398" t="s">
        <v>232</v>
      </c>
      <c r="E398">
        <v>0</v>
      </c>
      <c r="F398">
        <v>13</v>
      </c>
      <c r="G398">
        <v>46</v>
      </c>
      <c r="H398">
        <v>1</v>
      </c>
    </row>
    <row r="399" spans="1:8" x14ac:dyDescent="0.3">
      <c r="A399" t="s">
        <v>328</v>
      </c>
      <c r="B399" t="s">
        <v>537</v>
      </c>
      <c r="C399" t="s">
        <v>215</v>
      </c>
      <c r="E399">
        <v>150</v>
      </c>
      <c r="F399">
        <v>0</v>
      </c>
      <c r="G399">
        <v>7</v>
      </c>
      <c r="H399">
        <v>0</v>
      </c>
    </row>
    <row r="400" spans="1:8" x14ac:dyDescent="0.3">
      <c r="A400" t="s">
        <v>328</v>
      </c>
      <c r="B400" t="s">
        <v>537</v>
      </c>
      <c r="C400" t="s">
        <v>240</v>
      </c>
      <c r="D400" t="s">
        <v>237</v>
      </c>
      <c r="E400">
        <v>25</v>
      </c>
      <c r="F400">
        <v>0</v>
      </c>
      <c r="G400">
        <v>1</v>
      </c>
      <c r="H400">
        <v>0</v>
      </c>
    </row>
    <row r="401" spans="1:8" x14ac:dyDescent="0.3">
      <c r="A401" t="s">
        <v>328</v>
      </c>
      <c r="B401" t="s">
        <v>537</v>
      </c>
      <c r="C401" t="s">
        <v>304</v>
      </c>
      <c r="E401">
        <v>155</v>
      </c>
      <c r="F401">
        <v>0</v>
      </c>
      <c r="G401">
        <v>0</v>
      </c>
      <c r="H401">
        <v>0</v>
      </c>
    </row>
    <row r="402" spans="1:8" x14ac:dyDescent="0.3">
      <c r="A402" t="s">
        <v>328</v>
      </c>
      <c r="B402" t="s">
        <v>537</v>
      </c>
      <c r="C402" t="s">
        <v>311</v>
      </c>
      <c r="D402" t="s">
        <v>237</v>
      </c>
      <c r="E402">
        <v>61</v>
      </c>
      <c r="F402">
        <v>0</v>
      </c>
      <c r="G402">
        <v>3</v>
      </c>
      <c r="H402">
        <v>0</v>
      </c>
    </row>
    <row r="403" spans="1:8" x14ac:dyDescent="0.3">
      <c r="A403" t="s">
        <v>328</v>
      </c>
      <c r="B403" t="s">
        <v>542</v>
      </c>
      <c r="C403" t="s">
        <v>232</v>
      </c>
      <c r="E403">
        <v>0</v>
      </c>
      <c r="F403">
        <v>12</v>
      </c>
      <c r="G403">
        <v>73</v>
      </c>
      <c r="H403">
        <v>47</v>
      </c>
    </row>
    <row r="404" spans="1:8" x14ac:dyDescent="0.3">
      <c r="A404" t="s">
        <v>328</v>
      </c>
      <c r="B404" t="s">
        <v>544</v>
      </c>
      <c r="C404" t="s">
        <v>545</v>
      </c>
      <c r="D404" t="s">
        <v>549</v>
      </c>
      <c r="E404">
        <v>0</v>
      </c>
      <c r="F404">
        <v>57</v>
      </c>
      <c r="G404">
        <v>33</v>
      </c>
      <c r="H404">
        <v>0</v>
      </c>
    </row>
    <row r="405" spans="1:8" x14ac:dyDescent="0.3">
      <c r="A405" t="s">
        <v>412</v>
      </c>
      <c r="B405" t="s">
        <v>537</v>
      </c>
      <c r="C405" t="s">
        <v>236</v>
      </c>
      <c r="E405">
        <v>0</v>
      </c>
      <c r="F405">
        <v>0</v>
      </c>
      <c r="G405">
        <v>18</v>
      </c>
      <c r="H405">
        <v>0</v>
      </c>
    </row>
    <row r="406" spans="1:8" x14ac:dyDescent="0.3">
      <c r="A406" t="s">
        <v>412</v>
      </c>
      <c r="B406" t="s">
        <v>537</v>
      </c>
      <c r="C406" t="s">
        <v>247</v>
      </c>
      <c r="E406">
        <v>157</v>
      </c>
      <c r="F406">
        <v>1</v>
      </c>
      <c r="G406">
        <v>0</v>
      </c>
      <c r="H406">
        <v>0</v>
      </c>
    </row>
    <row r="407" spans="1:8" x14ac:dyDescent="0.3">
      <c r="A407" t="s">
        <v>412</v>
      </c>
      <c r="B407" t="s">
        <v>537</v>
      </c>
      <c r="C407" t="s">
        <v>255</v>
      </c>
      <c r="D407" t="s">
        <v>237</v>
      </c>
      <c r="E407">
        <v>25</v>
      </c>
      <c r="F407">
        <v>0</v>
      </c>
      <c r="G407">
        <v>0</v>
      </c>
      <c r="H407">
        <v>0</v>
      </c>
    </row>
    <row r="408" spans="1:8" x14ac:dyDescent="0.3">
      <c r="A408" t="s">
        <v>412</v>
      </c>
      <c r="B408" t="s">
        <v>537</v>
      </c>
      <c r="C408" t="s">
        <v>275</v>
      </c>
      <c r="E408">
        <v>70</v>
      </c>
      <c r="F408">
        <v>0</v>
      </c>
      <c r="G408">
        <v>2</v>
      </c>
      <c r="H408">
        <v>0</v>
      </c>
    </row>
    <row r="409" spans="1:8" x14ac:dyDescent="0.3">
      <c r="A409" t="s">
        <v>412</v>
      </c>
      <c r="B409" t="s">
        <v>537</v>
      </c>
      <c r="C409" t="s">
        <v>289</v>
      </c>
      <c r="E409">
        <v>170</v>
      </c>
      <c r="F409">
        <v>0</v>
      </c>
      <c r="G409">
        <v>0</v>
      </c>
      <c r="H409">
        <v>0</v>
      </c>
    </row>
    <row r="410" spans="1:8" x14ac:dyDescent="0.3">
      <c r="A410" t="s">
        <v>412</v>
      </c>
      <c r="B410" t="s">
        <v>537</v>
      </c>
      <c r="C410" t="s">
        <v>292</v>
      </c>
      <c r="E410">
        <v>0</v>
      </c>
      <c r="F410">
        <v>0</v>
      </c>
      <c r="G410">
        <v>1</v>
      </c>
      <c r="H410">
        <v>0</v>
      </c>
    </row>
    <row r="411" spans="1:8" x14ac:dyDescent="0.3">
      <c r="A411" t="s">
        <v>412</v>
      </c>
      <c r="B411" t="s">
        <v>537</v>
      </c>
      <c r="C411" t="s">
        <v>294</v>
      </c>
      <c r="E411">
        <v>56</v>
      </c>
      <c r="F411">
        <v>1</v>
      </c>
      <c r="G411">
        <v>13</v>
      </c>
      <c r="H411">
        <v>0</v>
      </c>
    </row>
    <row r="412" spans="1:8" x14ac:dyDescent="0.3">
      <c r="A412" t="s">
        <v>412</v>
      </c>
      <c r="B412" t="s">
        <v>537</v>
      </c>
      <c r="C412" t="s">
        <v>298</v>
      </c>
      <c r="D412" t="s">
        <v>237</v>
      </c>
      <c r="E412">
        <v>56</v>
      </c>
      <c r="F412">
        <v>0</v>
      </c>
      <c r="G412">
        <v>2</v>
      </c>
      <c r="H412">
        <v>0</v>
      </c>
    </row>
    <row r="413" spans="1:8" x14ac:dyDescent="0.3">
      <c r="A413" t="s">
        <v>412</v>
      </c>
      <c r="B413" t="s">
        <v>540</v>
      </c>
      <c r="C413" t="s">
        <v>275</v>
      </c>
      <c r="E413">
        <v>0</v>
      </c>
      <c r="F413">
        <v>18</v>
      </c>
      <c r="G413">
        <v>6</v>
      </c>
      <c r="H413">
        <v>0</v>
      </c>
    </row>
    <row r="414" spans="1:8" x14ac:dyDescent="0.3">
      <c r="A414" t="s">
        <v>412</v>
      </c>
      <c r="B414" t="s">
        <v>540</v>
      </c>
      <c r="C414" t="s">
        <v>324</v>
      </c>
      <c r="E414">
        <v>0</v>
      </c>
      <c r="F414">
        <v>11</v>
      </c>
      <c r="G414">
        <v>9</v>
      </c>
      <c r="H414">
        <v>0</v>
      </c>
    </row>
    <row r="415" spans="1:8" x14ac:dyDescent="0.3">
      <c r="A415" t="s">
        <v>412</v>
      </c>
      <c r="B415" t="s">
        <v>540</v>
      </c>
      <c r="C415" t="s">
        <v>257</v>
      </c>
      <c r="E415">
        <v>0</v>
      </c>
      <c r="F415">
        <v>10</v>
      </c>
      <c r="G415">
        <v>16</v>
      </c>
      <c r="H415">
        <v>0</v>
      </c>
    </row>
  </sheetData>
  <pageMargins left="0.7" right="0.7" top="0.75" bottom="0.75" header="0.3" footer="0.3"/>
  <tableParts count="1">
    <tablePart r:id="rId1"/>
  </tableParts>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4">
    <tabColor theme="9" tint="0.39997558519241921"/>
    <pageSetUpPr fitToPage="1"/>
  </sheetPr>
  <dimension ref="A1:XFA82"/>
  <sheetViews>
    <sheetView showGridLines="0" zoomScaleNormal="100" workbookViewId="0">
      <pane ySplit="2" topLeftCell="A3" activePane="bottomLeft" state="frozen"/>
      <selection pane="bottomLeft" sqref="A1:J1"/>
    </sheetView>
  </sheetViews>
  <sheetFormatPr defaultRowHeight="14.4" x14ac:dyDescent="0.3"/>
  <cols>
    <col min="1" max="1" width="33.5546875" bestFit="1" customWidth="1"/>
    <col min="2" max="2" width="21.88671875" bestFit="1" customWidth="1"/>
    <col min="3" max="3" width="19.6640625" bestFit="1" customWidth="1"/>
    <col min="4" max="4" width="17.33203125" customWidth="1"/>
    <col min="5" max="5" width="11.88671875" customWidth="1"/>
    <col min="6" max="6" width="11.109375" customWidth="1"/>
    <col min="7" max="7" width="14.44140625" customWidth="1"/>
    <col min="8" max="8" width="11.88671875" customWidth="1"/>
    <col min="9" max="9" width="4.44140625" customWidth="1"/>
    <col min="10" max="10" width="11.44140625" customWidth="1"/>
    <col min="12" max="12" width="35.109375" bestFit="1" customWidth="1"/>
  </cols>
  <sheetData>
    <row r="1" spans="1:21" ht="15.6" x14ac:dyDescent="0.3">
      <c r="A1" s="1030" t="s">
        <v>515</v>
      </c>
      <c r="B1" s="1030"/>
      <c r="C1" s="1030"/>
      <c r="D1" s="1030"/>
      <c r="E1" s="1030"/>
      <c r="F1" s="1030"/>
      <c r="G1" s="1030"/>
      <c r="H1" s="1030"/>
      <c r="I1" s="1030"/>
      <c r="J1" s="1030"/>
    </row>
    <row r="2" spans="1:21" ht="15" customHeight="1" x14ac:dyDescent="0.3">
      <c r="A2" s="498" t="s">
        <v>202</v>
      </c>
      <c r="B2" s="1"/>
      <c r="C2" s="1"/>
      <c r="D2" s="1"/>
      <c r="E2" s="1"/>
      <c r="F2" s="1"/>
      <c r="G2" s="1"/>
      <c r="H2" s="1"/>
      <c r="I2" s="1"/>
      <c r="J2" s="1"/>
      <c r="K2" s="1"/>
    </row>
    <row r="3" spans="1:21" ht="15" customHeight="1" x14ac:dyDescent="0.3">
      <c r="A3" s="1"/>
      <c r="B3" s="1"/>
      <c r="C3" s="1"/>
      <c r="D3" s="1"/>
      <c r="E3" s="1"/>
      <c r="F3" s="1"/>
      <c r="G3" s="1"/>
      <c r="H3" s="1"/>
      <c r="I3" s="1"/>
      <c r="J3" s="1"/>
      <c r="K3" s="1"/>
    </row>
    <row r="4" spans="1:21" ht="24" customHeight="1" x14ac:dyDescent="0.3">
      <c r="A4" s="438" t="s">
        <v>1315</v>
      </c>
      <c r="B4" s="438"/>
      <c r="C4" s="438"/>
      <c r="D4" s="438"/>
      <c r="E4" s="438"/>
      <c r="F4" s="438"/>
      <c r="G4" s="438"/>
      <c r="H4" s="438"/>
      <c r="I4" s="438"/>
      <c r="J4" s="438"/>
      <c r="K4" s="1"/>
    </row>
    <row r="5" spans="1:21" ht="15.75" customHeight="1" x14ac:dyDescent="0.3">
      <c r="A5" t="s">
        <v>203</v>
      </c>
      <c r="B5" t="s">
        <v>56</v>
      </c>
      <c r="U5" s="395"/>
    </row>
    <row r="6" spans="1:21" ht="15.75" customHeight="1" x14ac:dyDescent="0.3">
      <c r="A6" t="s">
        <v>204</v>
      </c>
      <c r="B6" t="s">
        <v>205</v>
      </c>
      <c r="U6" s="395"/>
    </row>
    <row r="7" spans="1:21" ht="15.75" customHeight="1" x14ac:dyDescent="0.3">
      <c r="A7" t="s">
        <v>206</v>
      </c>
      <c r="B7" t="s">
        <v>207</v>
      </c>
      <c r="U7" s="395"/>
    </row>
    <row r="8" spans="1:21" ht="15" customHeight="1" x14ac:dyDescent="0.3">
      <c r="U8" s="395"/>
    </row>
    <row r="9" spans="1:21" ht="40.200000000000003" x14ac:dyDescent="0.3">
      <c r="A9" s="525" t="s">
        <v>208</v>
      </c>
      <c r="B9" s="647" t="s">
        <v>517</v>
      </c>
      <c r="C9" s="647" t="s">
        <v>361</v>
      </c>
      <c r="D9" s="647" t="s">
        <v>518</v>
      </c>
      <c r="E9" s="647" t="s">
        <v>513</v>
      </c>
      <c r="F9" s="647" t="s">
        <v>514</v>
      </c>
      <c r="G9" s="647" t="s">
        <v>339</v>
      </c>
      <c r="H9" s="3" t="s">
        <v>519</v>
      </c>
      <c r="I9" s="3"/>
      <c r="J9" s="3" t="s">
        <v>520</v>
      </c>
      <c r="K9" s="15"/>
      <c r="U9" s="395"/>
    </row>
    <row r="10" spans="1:21" x14ac:dyDescent="0.3">
      <c r="A10" s="312" t="s">
        <v>362</v>
      </c>
      <c r="B10" s="601">
        <f>GETPIVOTDATA("Sum of WholeTime Operational",StaffingPivot!$A$1,"Year",A10)</f>
        <v>4159</v>
      </c>
      <c r="C10" s="601">
        <f>GETPIVOTDATA("Sum of Retained Duty System",StaffingPivot!$A$1,"Year",A10)</f>
        <v>3052</v>
      </c>
      <c r="D10" s="609"/>
      <c r="E10" s="601">
        <f>GETPIVOTDATA("Sum of Control",StaffingPivot!$A$1,"Year",A10)</f>
        <v>234</v>
      </c>
      <c r="F10" s="601">
        <f>GETPIVOTDATA("Sum of Support",StaffingPivot!$A$1,"Year",A10)</f>
        <v>1136</v>
      </c>
      <c r="G10" s="601">
        <f>GETPIVOTDATA("Sum of Volunteer",StaffingPivot!$A$1,"Year",A10)</f>
        <v>459</v>
      </c>
      <c r="H10" s="701">
        <f>SUM(B10:G10)</f>
        <v>9040</v>
      </c>
      <c r="I10" s="701"/>
      <c r="J10" s="701">
        <f>H10-G10</f>
        <v>8581</v>
      </c>
      <c r="K10" s="15"/>
      <c r="U10" s="395"/>
    </row>
    <row r="11" spans="1:21" x14ac:dyDescent="0.3">
      <c r="A11" s="312" t="s">
        <v>363</v>
      </c>
      <c r="B11" s="601">
        <f>GETPIVOTDATA("Sum of WholeTime Operational",StaffingPivot!$A$1,"Year",A11)</f>
        <v>4151</v>
      </c>
      <c r="C11" s="601">
        <f>GETPIVOTDATA("Sum of Retained Duty System",StaffingPivot!$A$1,"Year",A11)</f>
        <v>3076</v>
      </c>
      <c r="D11" s="609"/>
      <c r="E11" s="601">
        <f>GETPIVOTDATA("Sum of Control",StaffingPivot!$A$1,"Year",A11)</f>
        <v>234</v>
      </c>
      <c r="F11" s="601">
        <f>GETPIVOTDATA("Sum of Support",StaffingPivot!$A$1,"Year",A11)</f>
        <v>1086</v>
      </c>
      <c r="G11" s="601">
        <f>GETPIVOTDATA("Sum of Volunteer",StaffingPivot!$A$1,"Year",A11)</f>
        <v>417</v>
      </c>
      <c r="H11" s="701">
        <f t="shared" ref="H11:H19" si="0">SUM(B11:G11)</f>
        <v>8964</v>
      </c>
      <c r="I11" s="701"/>
      <c r="J11" s="701">
        <f t="shared" ref="J11:J21" si="1">H11-G11</f>
        <v>8547</v>
      </c>
      <c r="K11" s="15"/>
      <c r="U11" s="395"/>
    </row>
    <row r="12" spans="1:21" x14ac:dyDescent="0.3">
      <c r="A12" s="312" t="s">
        <v>364</v>
      </c>
      <c r="B12" s="601">
        <f>GETPIVOTDATA("Sum of WholeTime Operational",StaffingPivot!$A$1,"Year",A12)</f>
        <v>4001</v>
      </c>
      <c r="C12" s="601">
        <f>GETPIVOTDATA("Sum of Retained Duty System",StaffingPivot!$A$1,"Year",A12)</f>
        <v>2940</v>
      </c>
      <c r="D12" s="609"/>
      <c r="E12" s="601">
        <f>GETPIVOTDATA("Sum of Control",StaffingPivot!$A$1,"Year",A12)</f>
        <v>223</v>
      </c>
      <c r="F12" s="601">
        <f>GETPIVOTDATA("Sum of Support",StaffingPivot!$A$1,"Year",A12)</f>
        <v>961</v>
      </c>
      <c r="G12" s="601">
        <f>GETPIVOTDATA("Sum of Volunteer",StaffingPivot!$A$1,"Year",A12)</f>
        <v>359</v>
      </c>
      <c r="H12" s="701">
        <f t="shared" si="0"/>
        <v>8484</v>
      </c>
      <c r="I12" s="701"/>
      <c r="J12" s="701">
        <f t="shared" si="1"/>
        <v>8125</v>
      </c>
      <c r="K12" s="15"/>
      <c r="U12" s="395"/>
    </row>
    <row r="13" spans="1:21" x14ac:dyDescent="0.3">
      <c r="A13" s="312" t="s">
        <v>365</v>
      </c>
      <c r="B13" s="601">
        <f>GETPIVOTDATA("Sum of WholeTime Operational",StaffingPivot!$A$1,"Year",A13)</f>
        <v>3856</v>
      </c>
      <c r="C13" s="601">
        <f>GETPIVOTDATA("Sum of Retained Duty System",StaffingPivot!$A$1,"Year",A13)</f>
        <v>2950</v>
      </c>
      <c r="D13" s="609"/>
      <c r="E13" s="601">
        <f>GETPIVOTDATA("Sum of Control",StaffingPivot!$A$1,"Year",A13)</f>
        <v>230</v>
      </c>
      <c r="F13" s="601">
        <f>GETPIVOTDATA("Sum of Support",StaffingPivot!$A$1,"Year",A13)</f>
        <v>867</v>
      </c>
      <c r="G13" s="601">
        <f>GETPIVOTDATA("Sum of Volunteer",StaffingPivot!$A$1,"Year",A13)</f>
        <v>382</v>
      </c>
      <c r="H13" s="701">
        <f t="shared" si="0"/>
        <v>8285</v>
      </c>
      <c r="I13" s="701"/>
      <c r="J13" s="701">
        <f t="shared" si="1"/>
        <v>7903</v>
      </c>
      <c r="K13" s="264"/>
      <c r="U13" s="395"/>
    </row>
    <row r="14" spans="1:21" x14ac:dyDescent="0.3">
      <c r="A14" s="312" t="s">
        <v>366</v>
      </c>
      <c r="B14" s="601">
        <f>GETPIVOTDATA("Sum of WholeTime Operational",StaffingPivot!$A$1,"Year",A14)</f>
        <v>3690</v>
      </c>
      <c r="C14" s="601">
        <f>GETPIVOTDATA("Sum of Retained Duty System",StaffingPivot!$A$1,"Year",A14)</f>
        <v>2870</v>
      </c>
      <c r="D14" s="609"/>
      <c r="E14" s="601">
        <f>GETPIVOTDATA("Sum of Control",StaffingPivot!$A$1,"Year",A14)</f>
        <v>203</v>
      </c>
      <c r="F14" s="601">
        <f>GETPIVOTDATA("Sum of Support",StaffingPivot!$A$1,"Year",A14)</f>
        <v>828</v>
      </c>
      <c r="G14" s="601">
        <f>GETPIVOTDATA("Sum of Volunteer",StaffingPivot!$A$1,"Year",A14)</f>
        <v>342</v>
      </c>
      <c r="H14" s="701">
        <f t="shared" si="0"/>
        <v>7933</v>
      </c>
      <c r="I14" s="701"/>
      <c r="J14" s="701">
        <f t="shared" si="1"/>
        <v>7591</v>
      </c>
      <c r="K14" s="264"/>
      <c r="U14" s="395"/>
    </row>
    <row r="15" spans="1:21" x14ac:dyDescent="0.3">
      <c r="A15" s="312" t="s">
        <v>341</v>
      </c>
      <c r="B15" s="601">
        <f>GETPIVOTDATA("Sum of WholeTime Operational",StaffingPivot!$A$1,"Year",A15)</f>
        <v>3645</v>
      </c>
      <c r="C15" s="601">
        <f>GETPIVOTDATA("Sum of Retained Duty System",StaffingPivot!$A$1,"Year",A15)</f>
        <v>2870</v>
      </c>
      <c r="D15" s="609"/>
      <c r="E15" s="601">
        <f>GETPIVOTDATA("Sum of Control",StaffingPivot!$A$1,"Year",A15)</f>
        <v>165</v>
      </c>
      <c r="F15" s="601">
        <f>GETPIVOTDATA("Sum of Support",StaffingPivot!$A$1,"Year",A15)</f>
        <v>838</v>
      </c>
      <c r="G15" s="601">
        <f>GETPIVOTDATA("Sum of Volunteer",StaffingPivot!$A$1,"Year",A15)</f>
        <v>320</v>
      </c>
      <c r="H15" s="701">
        <f t="shared" si="0"/>
        <v>7838</v>
      </c>
      <c r="I15" s="702"/>
      <c r="J15" s="701">
        <f t="shared" si="1"/>
        <v>7518</v>
      </c>
      <c r="K15" s="266"/>
      <c r="U15" s="395"/>
    </row>
    <row r="16" spans="1:21" x14ac:dyDescent="0.3">
      <c r="A16" s="312" t="s">
        <v>342</v>
      </c>
      <c r="B16" s="601">
        <f>GETPIVOTDATA("Sum of WholeTime Operational",StaffingPivot!$A$1,"Year",A16)</f>
        <v>3546</v>
      </c>
      <c r="C16" s="601">
        <f>GETPIVOTDATA("Sum of Retained Duty System",StaffingPivot!$A$1,"Year",A16)</f>
        <v>2863</v>
      </c>
      <c r="D16" s="609"/>
      <c r="E16" s="601">
        <f>GETPIVOTDATA("Sum of Control",StaffingPivot!$A$1,"Year",A16)</f>
        <v>189</v>
      </c>
      <c r="F16" s="601">
        <f>GETPIVOTDATA("Sum of Support",StaffingPivot!$A$1,"Year",A16)</f>
        <v>846</v>
      </c>
      <c r="G16" s="601">
        <f>GETPIVOTDATA("Sum of Volunteer",StaffingPivot!$A$1,"Year",A16)</f>
        <v>336</v>
      </c>
      <c r="H16" s="701">
        <f t="shared" si="0"/>
        <v>7780</v>
      </c>
      <c r="I16" s="702"/>
      <c r="J16" s="701">
        <f t="shared" si="1"/>
        <v>7444</v>
      </c>
      <c r="K16" s="266"/>
      <c r="U16" s="395"/>
    </row>
    <row r="17" spans="1:21" x14ac:dyDescent="0.3">
      <c r="A17" s="312" t="s">
        <v>213</v>
      </c>
      <c r="B17" s="601">
        <f>GETPIVOTDATA("Sum of WholeTime Operational",StaffingPivot!$A$1,"Year",A17)</f>
        <v>3637</v>
      </c>
      <c r="C17" s="601">
        <f>GETPIVOTDATA("Sum of Retained Duty System",StaffingPivot!$A$1,"Year",A17)</f>
        <v>2935</v>
      </c>
      <c r="D17" s="609">
        <f>GETPIVOTDATA("Sum of RDS Fulltime",StaffingPivot!$A$1,"Year",A17)</f>
        <v>18</v>
      </c>
      <c r="E17" s="601">
        <f>GETPIVOTDATA("Sum of Control",StaffingPivot!$A$1,"Year",A17)</f>
        <v>207</v>
      </c>
      <c r="F17" s="601">
        <f>GETPIVOTDATA("Sum of Support",StaffingPivot!$A$1,"Year",A17)</f>
        <v>792</v>
      </c>
      <c r="G17" s="601">
        <f>GETPIVOTDATA("Sum of Volunteer",StaffingPivot!$A$1,"Year",A17)</f>
        <v>321</v>
      </c>
      <c r="H17" s="701">
        <f t="shared" si="0"/>
        <v>7910</v>
      </c>
      <c r="I17" s="702"/>
      <c r="J17" s="701">
        <f t="shared" si="1"/>
        <v>7589</v>
      </c>
      <c r="K17" s="266"/>
      <c r="U17" s="395"/>
    </row>
    <row r="18" spans="1:21" x14ac:dyDescent="0.3">
      <c r="A18" s="312" t="s">
        <v>312</v>
      </c>
      <c r="B18" s="601">
        <f>GETPIVOTDATA("Sum of WholeTime Operational",StaffingPivot!$A$1,"Year",A18)</f>
        <v>3636</v>
      </c>
      <c r="C18" s="601">
        <f>GETPIVOTDATA("Sum of Retained Duty System",StaffingPivot!$A$1,"Year",A18)</f>
        <v>2937</v>
      </c>
      <c r="D18" s="609">
        <f>GETPIVOTDATA("Sum of RDS Fulltime",StaffingPivot!$A$1,"Year",A18)</f>
        <v>36</v>
      </c>
      <c r="E18" s="601">
        <f>GETPIVOTDATA("Sum of Control",StaffingPivot!$A$1,"Year",A18)</f>
        <v>188</v>
      </c>
      <c r="F18" s="601">
        <f>GETPIVOTDATA("Sum of Support",StaffingPivot!$A$1,"Year",A18)</f>
        <v>817</v>
      </c>
      <c r="G18" s="601">
        <f>GETPIVOTDATA("Sum of Volunteer",StaffingPivot!$A$1,"Year",A18)</f>
        <v>315</v>
      </c>
      <c r="H18" s="701">
        <f t="shared" si="0"/>
        <v>7929</v>
      </c>
      <c r="I18" s="702"/>
      <c r="J18" s="701">
        <f t="shared" si="1"/>
        <v>7614</v>
      </c>
      <c r="K18" s="266"/>
      <c r="U18" s="395"/>
    </row>
    <row r="19" spans="1:21" x14ac:dyDescent="0.3">
      <c r="A19" s="312" t="s">
        <v>318</v>
      </c>
      <c r="B19" s="601">
        <f>GETPIVOTDATA("Sum of WholeTime Operational",StaffingPivot!$A$1,"Year",A19)</f>
        <v>3581</v>
      </c>
      <c r="C19" s="601">
        <f>GETPIVOTDATA("Sum of Retained Duty System",StaffingPivot!$A$1,"Year",A19)</f>
        <v>2872</v>
      </c>
      <c r="D19" s="609">
        <f>GETPIVOTDATA("Sum of RDS Fulltime",StaffingPivot!$A$1,"Year",A19)</f>
        <v>54</v>
      </c>
      <c r="E19" s="601">
        <f>GETPIVOTDATA("Sum of Control",StaffingPivot!$A$1,"Year",A19)</f>
        <v>182</v>
      </c>
      <c r="F19" s="601">
        <f>GETPIVOTDATA("Sum of Support",StaffingPivot!$A$1,"Year",A19)</f>
        <v>835</v>
      </c>
      <c r="G19" s="601">
        <f>GETPIVOTDATA("Sum of Volunteer",StaffingPivot!$A$1,"Year",A19)</f>
        <v>303</v>
      </c>
      <c r="H19" s="701">
        <f t="shared" si="0"/>
        <v>7827</v>
      </c>
      <c r="I19" s="703"/>
      <c r="J19" s="701">
        <f t="shared" si="1"/>
        <v>7524</v>
      </c>
      <c r="K19" s="264"/>
      <c r="U19" s="395"/>
    </row>
    <row r="20" spans="1:21" x14ac:dyDescent="0.3">
      <c r="A20" s="312" t="s">
        <v>320</v>
      </c>
      <c r="B20" s="601">
        <f>GETPIVOTDATA("Sum of WholeTime Operational",StaffingPivot!$A$1,"Year",A20)</f>
        <v>3530</v>
      </c>
      <c r="C20" s="601">
        <f>GETPIVOTDATA("Sum of Retained Duty System",StaffingPivot!$A$1,"Year",A20)</f>
        <v>2758</v>
      </c>
      <c r="D20" s="609">
        <f>GETPIVOTDATA("Sum of RDS Fulltime",StaffingPivot!$A$1,"Year",A20)</f>
        <v>53</v>
      </c>
      <c r="E20" s="601">
        <f>GETPIVOTDATA("Sum of Control",StaffingPivot!$A$1,"Year",A20)</f>
        <v>174</v>
      </c>
      <c r="F20" s="601">
        <f>GETPIVOTDATA("Sum of Support",StaffingPivot!$A$1,"Year",A20)</f>
        <v>920</v>
      </c>
      <c r="G20" s="601">
        <f>GETPIVOTDATA("Sum of Volunteer",StaffingPivot!$A$1,"Year",A20)</f>
        <v>277</v>
      </c>
      <c r="H20" s="701">
        <f>SUM(B20:G20)</f>
        <v>7712</v>
      </c>
      <c r="I20" s="703"/>
      <c r="J20" s="701">
        <f>H20-G20</f>
        <v>7435</v>
      </c>
    </row>
    <row r="21" spans="1:21" x14ac:dyDescent="0.3">
      <c r="A21" s="312" t="s">
        <v>325</v>
      </c>
      <c r="B21" s="601">
        <f>GETPIVOTDATA("Sum of WholeTime Operational",StaffingPivot!$A$1,"Year",A21)</f>
        <v>3490</v>
      </c>
      <c r="C21" s="601">
        <f>GETPIVOTDATA("Sum of Retained Duty System",StaffingPivot!$A$1,"Year",A21)</f>
        <v>2735</v>
      </c>
      <c r="D21" s="609">
        <f>GETPIVOTDATA("Sum of RDS Fulltime",StaffingPivot!$A$1,"Year",A21)</f>
        <v>55</v>
      </c>
      <c r="E21" s="601">
        <f>GETPIVOTDATA("Sum of Control",StaffingPivot!$A$1,"Year",A21)</f>
        <v>172</v>
      </c>
      <c r="F21" s="601">
        <f>GETPIVOTDATA("Sum of Support",StaffingPivot!$A$1,"Year",A21)</f>
        <v>901</v>
      </c>
      <c r="G21" s="601">
        <f>GETPIVOTDATA("Sum of Volunteer",StaffingPivot!$A$1,"Year",A21)</f>
        <v>266</v>
      </c>
      <c r="H21" s="701">
        <f>SUM(B21:G21)</f>
        <v>7619</v>
      </c>
      <c r="I21" s="703"/>
      <c r="J21" s="701">
        <f t="shared" si="1"/>
        <v>7353</v>
      </c>
    </row>
    <row r="22" spans="1:21" ht="14.1" customHeight="1" x14ac:dyDescent="0.3">
      <c r="A22" s="312" t="s">
        <v>326</v>
      </c>
      <c r="B22" s="601">
        <f>GETPIVOTDATA("Sum of WholeTime Operational",StaffingPivot!$A$1,"Year",A22)</f>
        <v>3422</v>
      </c>
      <c r="C22" s="601">
        <f>GETPIVOTDATA("Sum of Retained Duty System",StaffingPivot!$A$1,"Year",A22)</f>
        <v>2708</v>
      </c>
      <c r="D22" s="609">
        <f>GETPIVOTDATA("Sum of RDS Fulltime",StaffingPivot!$A$1,"Year",A22)</f>
        <v>55</v>
      </c>
      <c r="E22" s="601">
        <f>GETPIVOTDATA("Sum of Control",StaffingPivot!$A$1,"Year",A22)</f>
        <v>171</v>
      </c>
      <c r="F22" s="601">
        <f>GETPIVOTDATA("Sum of Support",StaffingPivot!$A$1,"Year",A22)</f>
        <v>887</v>
      </c>
      <c r="G22" s="601">
        <f>GETPIVOTDATA("Sum of Volunteer",StaffingPivot!$A$1,"Year",A22)</f>
        <v>269</v>
      </c>
      <c r="H22" s="701">
        <f>SUM(B22:G22)</f>
        <v>7512</v>
      </c>
      <c r="I22" s="703"/>
      <c r="J22" s="701">
        <f t="shared" ref="J22" si="2">H22-G22</f>
        <v>7243</v>
      </c>
      <c r="K22" s="15"/>
      <c r="U22" s="395"/>
    </row>
    <row r="23" spans="1:21" ht="14.1" customHeight="1" x14ac:dyDescent="0.3">
      <c r="A23" s="312" t="s">
        <v>328</v>
      </c>
      <c r="B23" s="601">
        <f>GETPIVOTDATA("Sum of WholeTime Operational",StaffingPivot!$A$1,"Year",A23)</f>
        <v>3430</v>
      </c>
      <c r="C23" s="601">
        <f>GETPIVOTDATA("Sum of Retained Duty System",StaffingPivot!$A$1,"Year",A23)</f>
        <v>2705</v>
      </c>
      <c r="D23" s="609">
        <f>GETPIVOTDATA("Sum of RDS Fulltime",StaffingPivot!$A$1,"Year",A23)</f>
        <v>60</v>
      </c>
      <c r="E23" s="601">
        <f>GETPIVOTDATA("Sum of Control",StaffingPivot!$A$1,"Year",A23)</f>
        <v>171</v>
      </c>
      <c r="F23" s="601">
        <f>GETPIVOTDATA("Sum of Support",StaffingPivot!$A$1,"Year",A23)</f>
        <v>917</v>
      </c>
      <c r="G23" s="601">
        <f>GETPIVOTDATA("Sum of Volunteer",StaffingPivot!$A$1,"Year",A23)</f>
        <v>273</v>
      </c>
      <c r="H23" s="701">
        <f>SUM(B23:G23)</f>
        <v>7556</v>
      </c>
      <c r="I23" s="703"/>
      <c r="J23" s="701">
        <f t="shared" ref="J23" si="3">H23-G23</f>
        <v>7283</v>
      </c>
      <c r="K23" s="15"/>
      <c r="L23" s="601"/>
      <c r="U23" s="395"/>
    </row>
    <row r="24" spans="1:21" ht="14.1" customHeight="1" x14ac:dyDescent="0.3">
      <c r="A24" s="525" t="s">
        <v>412</v>
      </c>
      <c r="B24" s="628">
        <f>GETPIVOTDATA("Sum of WholeTime Operational",StaffingPivot!$A$1,"Year",A24)</f>
        <v>3431</v>
      </c>
      <c r="C24" s="628">
        <f>GETPIVOTDATA("Sum of Retained Duty System",StaffingPivot!$A$1,"Year",A24)</f>
        <v>2747</v>
      </c>
      <c r="D24" s="818">
        <f>GETPIVOTDATA("Sum of RDS Fulltime",StaffingPivot!$A$1,"Year",A24)</f>
        <v>60</v>
      </c>
      <c r="E24" s="1018">
        <f>GETPIVOTDATA("Sum of Control",StaffingPivot!$A$1,"Year",A24)</f>
        <v>177</v>
      </c>
      <c r="F24" s="628">
        <f>GETPIVOTDATA("Sum of Support",StaffingPivot!$A$1,"Year",A24)</f>
        <v>922</v>
      </c>
      <c r="G24" s="628">
        <f>GETPIVOTDATA("Sum of Volunteer",StaffingPivot!$A$1,"Year",A24)</f>
        <v>252</v>
      </c>
      <c r="H24" s="1001">
        <f>SUM(B24:G24)</f>
        <v>7589</v>
      </c>
      <c r="I24" s="1002"/>
      <c r="J24" s="1001">
        <f>H24-G24</f>
        <v>7337</v>
      </c>
      <c r="K24" s="15"/>
      <c r="L24" s="601"/>
      <c r="U24" s="395"/>
    </row>
    <row r="25" spans="1:21" ht="14.1" customHeight="1" x14ac:dyDescent="0.3">
      <c r="A25" s="312"/>
      <c r="K25" s="15"/>
      <c r="U25" s="395"/>
    </row>
    <row r="26" spans="1:21" ht="14.1" customHeight="1" x14ac:dyDescent="0.3">
      <c r="A26" s="649" t="str">
        <f>"One Year Change " &amp; A23 &amp; " to " &amp; A24</f>
        <v>One Year Change 2024-25 to 2025-26</v>
      </c>
      <c r="B26" s="649"/>
      <c r="C26" s="649"/>
      <c r="D26" s="565"/>
      <c r="E26" s="268"/>
      <c r="F26" s="268"/>
      <c r="G26" s="268"/>
      <c r="H26" s="268"/>
      <c r="I26" s="267"/>
      <c r="J26" s="268"/>
      <c r="K26" s="15"/>
      <c r="U26" s="395"/>
    </row>
    <row r="27" spans="1:21" ht="18" customHeight="1" x14ac:dyDescent="0.3">
      <c r="A27" s="8" t="s">
        <v>346</v>
      </c>
      <c r="B27" s="9">
        <f t="shared" ref="B27:H27" si="4">B24-B23</f>
        <v>1</v>
      </c>
      <c r="C27" s="9">
        <f t="shared" si="4"/>
        <v>42</v>
      </c>
      <c r="D27" s="9">
        <f t="shared" si="4"/>
        <v>0</v>
      </c>
      <c r="E27" s="9">
        <f t="shared" si="4"/>
        <v>6</v>
      </c>
      <c r="F27" s="9">
        <f t="shared" si="4"/>
        <v>5</v>
      </c>
      <c r="G27" s="9">
        <f t="shared" si="4"/>
        <v>-21</v>
      </c>
      <c r="H27" s="9">
        <f t="shared" si="4"/>
        <v>33</v>
      </c>
      <c r="I27" s="9"/>
      <c r="J27" s="9">
        <f>J24-J23</f>
        <v>54</v>
      </c>
      <c r="K27" s="296"/>
      <c r="U27" s="395"/>
    </row>
    <row r="28" spans="1:21" ht="14.1" customHeight="1" thickBot="1" x14ac:dyDescent="0.35">
      <c r="A28" s="10" t="s">
        <v>94</v>
      </c>
      <c r="B28" s="269">
        <f t="shared" ref="B28:H28" si="5">B27/B22</f>
        <v>2.9222676797194621E-4</v>
      </c>
      <c r="C28" s="269">
        <f t="shared" si="5"/>
        <v>1.55096011816839E-2</v>
      </c>
      <c r="D28" s="269">
        <f t="shared" si="5"/>
        <v>0</v>
      </c>
      <c r="E28" s="269">
        <f t="shared" si="5"/>
        <v>3.5087719298245612E-2</v>
      </c>
      <c r="F28" s="269">
        <f t="shared" si="5"/>
        <v>5.6369785794813977E-3</v>
      </c>
      <c r="G28" s="269">
        <f t="shared" si="5"/>
        <v>-7.8066914498141265E-2</v>
      </c>
      <c r="H28" s="269">
        <f t="shared" si="5"/>
        <v>4.3929712460063896E-3</v>
      </c>
      <c r="I28" s="269"/>
      <c r="J28" s="269">
        <f>J27/J22</f>
        <v>7.4554742510009667E-3</v>
      </c>
      <c r="K28" s="15"/>
      <c r="U28" s="395"/>
    </row>
    <row r="29" spans="1:21" ht="18" customHeight="1" x14ac:dyDescent="0.3">
      <c r="A29" s="12"/>
      <c r="B29" s="13"/>
      <c r="C29" s="13"/>
      <c r="D29" s="13"/>
      <c r="E29" s="13"/>
      <c r="F29" s="13"/>
      <c r="G29" s="13"/>
      <c r="H29" s="14"/>
      <c r="I29" s="13"/>
      <c r="J29" s="13"/>
      <c r="K29" s="296"/>
      <c r="U29" s="395"/>
    </row>
    <row r="30" spans="1:21" ht="18" customHeight="1" x14ac:dyDescent="0.3">
      <c r="A30" s="649" t="str">
        <f>"Five Year Change " &amp; A19 &amp; " to " &amp; A24</f>
        <v>Five Year Change 2020-21 to 2025-26</v>
      </c>
      <c r="B30" s="649"/>
      <c r="C30" s="649"/>
      <c r="D30" s="565"/>
      <c r="E30" s="268"/>
      <c r="F30" s="268"/>
      <c r="G30" s="268"/>
      <c r="H30" s="268"/>
      <c r="I30" s="267"/>
      <c r="J30" s="268"/>
      <c r="K30" s="296"/>
      <c r="U30" s="395"/>
    </row>
    <row r="31" spans="1:21" ht="18" customHeight="1" x14ac:dyDescent="0.3">
      <c r="A31" s="8" t="s">
        <v>346</v>
      </c>
      <c r="B31" s="9">
        <f t="shared" ref="B31:H31" si="6">B24-B19</f>
        <v>-150</v>
      </c>
      <c r="C31" s="9">
        <f t="shared" si="6"/>
        <v>-125</v>
      </c>
      <c r="D31" s="9">
        <f t="shared" si="6"/>
        <v>6</v>
      </c>
      <c r="E31" s="9">
        <f t="shared" si="6"/>
        <v>-5</v>
      </c>
      <c r="F31" s="9">
        <f t="shared" si="6"/>
        <v>87</v>
      </c>
      <c r="G31" s="9">
        <f t="shared" si="6"/>
        <v>-51</v>
      </c>
      <c r="H31" s="9">
        <f t="shared" si="6"/>
        <v>-238</v>
      </c>
      <c r="I31" s="9"/>
      <c r="J31" s="9">
        <f>J24-J19</f>
        <v>-187</v>
      </c>
      <c r="K31" s="15"/>
      <c r="U31" s="395"/>
    </row>
    <row r="32" spans="1:21" ht="15" customHeight="1" thickBot="1" x14ac:dyDescent="0.35">
      <c r="A32" s="10" t="s">
        <v>94</v>
      </c>
      <c r="B32" s="269">
        <f t="shared" ref="B32:H32" si="7">B31/B17</f>
        <v>-4.1242782513060211E-2</v>
      </c>
      <c r="C32" s="269">
        <f t="shared" si="7"/>
        <v>-4.2589437819420782E-2</v>
      </c>
      <c r="D32" s="269">
        <f t="shared" si="7"/>
        <v>0.33333333333333331</v>
      </c>
      <c r="E32" s="269">
        <f t="shared" si="7"/>
        <v>-2.4154589371980676E-2</v>
      </c>
      <c r="F32" s="269">
        <f t="shared" si="7"/>
        <v>0.10984848484848485</v>
      </c>
      <c r="G32" s="269">
        <f t="shared" si="7"/>
        <v>-0.15887850467289719</v>
      </c>
      <c r="H32" s="269">
        <f t="shared" si="7"/>
        <v>-3.0088495575221239E-2</v>
      </c>
      <c r="I32" s="269"/>
      <c r="J32" s="269">
        <f>J31/J17</f>
        <v>-2.4640927658453025E-2</v>
      </c>
      <c r="K32" s="15"/>
      <c r="U32" s="395"/>
    </row>
    <row r="33" spans="1:16381" ht="15" customHeight="1" x14ac:dyDescent="0.3">
      <c r="A33" s="428"/>
      <c r="B33" s="429"/>
      <c r="C33" s="429"/>
      <c r="D33" s="429"/>
      <c r="E33" s="429"/>
      <c r="F33" s="429"/>
      <c r="G33" s="429"/>
      <c r="H33" s="429"/>
      <c r="I33" s="429"/>
      <c r="J33" s="429"/>
      <c r="K33" s="15"/>
      <c r="U33" s="395"/>
    </row>
    <row r="34" spans="1:16381" ht="28.5" customHeight="1" x14ac:dyDescent="0.3">
      <c r="A34" s="312" t="s">
        <v>329</v>
      </c>
      <c r="B34" s="429"/>
      <c r="C34" s="429"/>
      <c r="D34" s="429"/>
      <c r="E34" s="429"/>
      <c r="F34" s="429"/>
      <c r="G34" s="429"/>
      <c r="H34" s="429"/>
      <c r="I34" s="429"/>
      <c r="J34" s="429"/>
      <c r="K34" s="15"/>
      <c r="U34" s="395"/>
    </row>
    <row r="35" spans="1:16381" ht="32.1" customHeight="1" x14ac:dyDescent="0.3">
      <c r="A35" s="1040" t="s">
        <v>521</v>
      </c>
      <c r="B35" s="1040"/>
      <c r="C35" s="1040"/>
      <c r="D35" s="1040"/>
      <c r="E35" s="1040"/>
      <c r="F35" s="1040"/>
      <c r="G35" s="1040"/>
      <c r="H35" s="570"/>
      <c r="I35" s="570"/>
      <c r="J35" s="570"/>
      <c r="K35" s="15"/>
      <c r="U35" s="395"/>
    </row>
    <row r="36" spans="1:16381" x14ac:dyDescent="0.3">
      <c r="A36" s="1040" t="s">
        <v>522</v>
      </c>
      <c r="B36" s="1040"/>
      <c r="C36" s="1040"/>
      <c r="D36" s="1040"/>
      <c r="E36" s="570"/>
      <c r="F36" s="570"/>
      <c r="G36" s="570"/>
      <c r="H36" s="570"/>
      <c r="I36" s="570"/>
      <c r="J36" s="570"/>
      <c r="K36" s="15"/>
      <c r="U36" s="395"/>
    </row>
    <row r="37" spans="1:16381" ht="24" customHeight="1" x14ac:dyDescent="0.3">
      <c r="A37" s="15"/>
      <c r="B37" s="15"/>
      <c r="C37" s="15"/>
      <c r="D37" s="15"/>
      <c r="E37" s="15"/>
      <c r="F37" s="15"/>
      <c r="G37" s="15"/>
      <c r="H37" s="15"/>
      <c r="I37" s="15"/>
      <c r="J37" s="15"/>
      <c r="K37" s="15"/>
      <c r="U37" s="395"/>
    </row>
    <row r="38" spans="1:16381" ht="15" customHeight="1" x14ac:dyDescent="0.3">
      <c r="A38" s="438" t="s">
        <v>523</v>
      </c>
      <c r="B38" s="438"/>
      <c r="C38" s="438"/>
      <c r="D38" s="438"/>
      <c r="E38" s="438"/>
      <c r="F38" s="438"/>
      <c r="G38" s="438"/>
      <c r="H38" s="438"/>
      <c r="I38" s="438"/>
      <c r="J38" s="438"/>
      <c r="K38" s="15"/>
      <c r="U38" s="395"/>
    </row>
    <row r="39" spans="1:16381" ht="15" customHeight="1" x14ac:dyDescent="0.3">
      <c r="A39" t="s">
        <v>203</v>
      </c>
      <c r="B39" t="s">
        <v>58</v>
      </c>
      <c r="E39" s="231"/>
      <c r="F39" s="231"/>
      <c r="G39" s="231"/>
      <c r="H39" s="231"/>
      <c r="I39" s="231"/>
      <c r="J39" s="231"/>
      <c r="K39" s="15"/>
      <c r="U39" s="395"/>
    </row>
    <row r="40" spans="1:16381" ht="15" customHeight="1" x14ac:dyDescent="0.3">
      <c r="A40" t="s">
        <v>204</v>
      </c>
      <c r="B40" t="s">
        <v>205</v>
      </c>
      <c r="E40" s="231"/>
      <c r="F40" s="231"/>
      <c r="G40" s="231"/>
      <c r="H40" s="231"/>
      <c r="I40" s="231"/>
      <c r="J40" s="231"/>
      <c r="K40" s="15"/>
      <c r="U40" s="395"/>
    </row>
    <row r="41" spans="1:16381" ht="15.9" customHeight="1" x14ac:dyDescent="0.3">
      <c r="A41" t="s">
        <v>206</v>
      </c>
      <c r="B41" t="s">
        <v>207</v>
      </c>
      <c r="E41" s="231"/>
      <c r="F41" s="231"/>
      <c r="G41" s="231"/>
      <c r="H41" s="231"/>
      <c r="I41" s="231"/>
      <c r="J41" s="231"/>
      <c r="K41" s="15"/>
      <c r="U41" s="395"/>
    </row>
    <row r="42" spans="1:16381" ht="15.6" x14ac:dyDescent="0.3">
      <c r="A42" s="312"/>
      <c r="B42" s="312"/>
      <c r="C42" s="312"/>
      <c r="D42" s="312"/>
      <c r="E42" s="312"/>
      <c r="F42" s="312"/>
      <c r="G42" s="312"/>
      <c r="H42" s="231"/>
      <c r="I42" s="231"/>
      <c r="J42" s="231"/>
      <c r="K42" s="15"/>
      <c r="U42" s="395"/>
    </row>
    <row r="43" spans="1:16381" ht="43.2" x14ac:dyDescent="0.3">
      <c r="A43" s="495" t="s">
        <v>208</v>
      </c>
      <c r="B43" s="643" t="s">
        <v>517</v>
      </c>
      <c r="C43" s="643" t="s">
        <v>361</v>
      </c>
      <c r="D43" s="643" t="s">
        <v>518</v>
      </c>
      <c r="E43" s="643" t="s">
        <v>513</v>
      </c>
      <c r="F43" s="643" t="s">
        <v>514</v>
      </c>
      <c r="G43" s="643" t="s">
        <v>520</v>
      </c>
      <c r="I43" s="263"/>
      <c r="J43" s="263"/>
      <c r="K43" s="15"/>
      <c r="U43" s="395"/>
    </row>
    <row r="44" spans="1:16381" x14ac:dyDescent="0.3">
      <c r="A44" s="312" t="s">
        <v>362</v>
      </c>
      <c r="B44" s="601">
        <f>GETPIVOTDATA("Sum of WholeTime Operational",StaffingPivot!$A$22,"Year",A44)</f>
        <v>4159</v>
      </c>
      <c r="C44" s="601">
        <f>GETPIVOTDATA("Sum of Retained Duty System",StaffingPivot!$A$22,"Year",A44)</f>
        <v>2813</v>
      </c>
      <c r="D44" s="609"/>
      <c r="E44" s="601">
        <f>GETPIVOTDATA("Sum of Control",StaffingPivot!$A$22,"Year",A44)</f>
        <v>225</v>
      </c>
      <c r="F44" s="601">
        <f>GETPIVOTDATA("Sum of Support",StaffingPivot!$A$22,"Year",A44)</f>
        <v>961</v>
      </c>
      <c r="G44" s="602">
        <f t="shared" ref="G44:G55" si="8">SUM(B44:F44)</f>
        <v>8158</v>
      </c>
      <c r="I44" s="263"/>
      <c r="J44" s="263"/>
      <c r="K44" s="15"/>
      <c r="U44" s="395"/>
    </row>
    <row r="45" spans="1:16381" x14ac:dyDescent="0.3">
      <c r="A45" s="312" t="s">
        <v>363</v>
      </c>
      <c r="B45" s="601">
        <f>GETPIVOTDATA("Sum of WholeTime Operational",StaffingPivot!$A$22,"Year",A45)</f>
        <v>4151</v>
      </c>
      <c r="C45" s="601">
        <f>GETPIVOTDATA("Sum of Retained Duty System",StaffingPivot!$A$22,"Year",A45)</f>
        <v>2787</v>
      </c>
      <c r="D45" s="609"/>
      <c r="E45" s="601">
        <f>GETPIVOTDATA("Sum of Control",StaffingPivot!$A$22,"Year",A45)</f>
        <v>224</v>
      </c>
      <c r="F45" s="601">
        <f>GETPIVOTDATA("Sum of Support",StaffingPivot!$A$22,"Year",A45)</f>
        <v>927</v>
      </c>
      <c r="G45" s="602">
        <f t="shared" si="8"/>
        <v>8089</v>
      </c>
      <c r="I45" s="263"/>
      <c r="J45" s="263"/>
      <c r="K45" s="15"/>
      <c r="U45" s="395"/>
    </row>
    <row r="46" spans="1:16381" ht="15" customHeight="1" x14ac:dyDescent="0.3">
      <c r="A46" s="312" t="s">
        <v>364</v>
      </c>
      <c r="B46" s="601">
        <f>GETPIVOTDATA("Sum of WholeTime Operational",StaffingPivot!$A$22,"Year",A46)</f>
        <v>4001</v>
      </c>
      <c r="C46" s="601">
        <f>GETPIVOTDATA("Sum of Retained Duty System",StaffingPivot!$A$22,"Year",A46)</f>
        <v>2665</v>
      </c>
      <c r="D46" s="609"/>
      <c r="E46" s="601">
        <f>GETPIVOTDATA("Sum of Control",StaffingPivot!$A$22,"Year",A46)</f>
        <v>213</v>
      </c>
      <c r="F46" s="601">
        <f>GETPIVOTDATA("Sum of Support",StaffingPivot!$A$22,"Year",A46)</f>
        <v>811</v>
      </c>
      <c r="G46" s="602">
        <f t="shared" si="8"/>
        <v>7690</v>
      </c>
      <c r="I46" s="263"/>
      <c r="J46" s="263"/>
      <c r="K46" s="1041"/>
      <c r="L46" s="1041"/>
      <c r="M46" s="1041"/>
      <c r="N46" s="1041"/>
      <c r="O46" s="1041"/>
      <c r="P46" s="1041"/>
      <c r="Q46" s="1041"/>
      <c r="R46" s="1041"/>
      <c r="S46" s="1041"/>
      <c r="T46" s="1041"/>
      <c r="U46" s="1041"/>
      <c r="V46" s="1041"/>
      <c r="W46" s="1041"/>
      <c r="X46" s="1041"/>
      <c r="Y46" s="1041"/>
      <c r="Z46" s="1041"/>
      <c r="AA46" s="1041"/>
      <c r="AB46" s="1041"/>
      <c r="AC46" s="1041"/>
      <c r="AD46" s="1041"/>
      <c r="AE46" s="1041"/>
      <c r="AF46" s="1041"/>
      <c r="AG46" s="1041"/>
      <c r="AH46" s="1041"/>
      <c r="AI46" s="1041"/>
      <c r="AJ46" s="1041"/>
      <c r="AK46" s="1041"/>
      <c r="AL46" s="1041"/>
      <c r="AM46" s="1041"/>
      <c r="AN46" s="1041"/>
      <c r="AO46" s="1041"/>
      <c r="AP46" s="1041"/>
      <c r="AQ46" s="1041"/>
      <c r="AR46" s="1041"/>
      <c r="AS46" s="1041"/>
      <c r="AT46" s="1041"/>
      <c r="AU46" s="1041"/>
      <c r="AV46" s="1041"/>
      <c r="AW46" s="1041"/>
      <c r="AX46" s="1041"/>
      <c r="AY46" s="1041"/>
      <c r="AZ46" s="1041"/>
      <c r="BA46" s="1041"/>
      <c r="BB46" s="1041"/>
      <c r="BC46" s="1041"/>
      <c r="BD46" s="1041"/>
      <c r="BE46" s="1041"/>
      <c r="BF46" s="1041"/>
      <c r="BG46" s="1041"/>
      <c r="BH46" s="1041"/>
      <c r="BI46" s="1041"/>
      <c r="BJ46" s="1041"/>
      <c r="BK46" s="1041"/>
      <c r="BL46" s="1041"/>
      <c r="BM46" s="1041"/>
      <c r="BN46" s="1041"/>
      <c r="BO46" s="1041"/>
      <c r="BP46" s="1041"/>
      <c r="BQ46" s="1041"/>
      <c r="BR46" s="1041"/>
      <c r="BS46" s="1041"/>
      <c r="BT46" s="1041"/>
      <c r="BU46" s="1041"/>
      <c r="BV46" s="1041"/>
      <c r="BW46" s="1041"/>
      <c r="BX46" s="1041"/>
      <c r="BY46" s="1041"/>
      <c r="BZ46" s="1041"/>
      <c r="CA46" s="1041"/>
      <c r="CB46" s="1041"/>
      <c r="CC46" s="1041"/>
      <c r="CD46" s="1041"/>
      <c r="CE46" s="1041"/>
      <c r="CF46" s="1041"/>
      <c r="CG46" s="1041"/>
      <c r="CH46" s="1041"/>
      <c r="CI46" s="1041"/>
      <c r="CJ46" s="1041"/>
      <c r="CK46" s="1041"/>
      <c r="CL46" s="1041"/>
      <c r="CM46" s="1041"/>
      <c r="CN46" s="1041"/>
      <c r="CO46" s="1041"/>
      <c r="CP46" s="1041"/>
      <c r="CQ46" s="1041"/>
      <c r="CR46" s="1041"/>
      <c r="CS46" s="1041"/>
      <c r="CT46" s="1041"/>
      <c r="CU46" s="1041"/>
      <c r="CV46" s="1041"/>
      <c r="CW46" s="1041"/>
      <c r="CX46" s="1041"/>
      <c r="CY46" s="1041"/>
      <c r="CZ46" s="1041"/>
      <c r="DA46" s="1041"/>
      <c r="DB46" s="1041"/>
      <c r="DC46" s="1041"/>
      <c r="DD46" s="1041"/>
      <c r="DE46" s="1041"/>
      <c r="DF46" s="1041"/>
      <c r="DG46" s="1041"/>
      <c r="DH46" s="1041"/>
      <c r="DI46" s="1041"/>
      <c r="DJ46" s="1041"/>
      <c r="DK46" s="1041"/>
      <c r="DL46" s="1041"/>
      <c r="DM46" s="1041"/>
      <c r="DN46" s="1041"/>
      <c r="DO46" s="1041"/>
      <c r="DP46" s="1041"/>
      <c r="DQ46" s="1041"/>
      <c r="DR46" s="1041"/>
      <c r="DS46" s="1041"/>
      <c r="DT46" s="1041"/>
      <c r="DU46" s="1041"/>
      <c r="DV46" s="1041"/>
      <c r="DW46" s="1041"/>
      <c r="DX46" s="1041"/>
      <c r="DY46" s="1041"/>
      <c r="DZ46" s="1041"/>
      <c r="EA46" s="1041"/>
      <c r="EB46" s="1041"/>
      <c r="EC46" s="1041"/>
      <c r="ED46" s="1041"/>
      <c r="EE46" s="1041"/>
      <c r="EF46" s="1041"/>
      <c r="EG46" s="1041"/>
      <c r="EH46" s="1041"/>
      <c r="EI46" s="1041"/>
      <c r="EJ46" s="1041"/>
      <c r="EK46" s="1041"/>
      <c r="EL46" s="1041"/>
      <c r="EM46" s="1041"/>
      <c r="EN46" s="1041"/>
      <c r="EO46" s="1041"/>
      <c r="EP46" s="1041"/>
      <c r="EQ46" s="1041"/>
      <c r="ER46" s="1041"/>
      <c r="ES46" s="1041"/>
      <c r="ET46" s="1041"/>
      <c r="EU46" s="1041"/>
      <c r="EV46" s="1041"/>
      <c r="EW46" s="1041"/>
      <c r="EX46" s="1041"/>
      <c r="EY46" s="1041"/>
      <c r="EZ46" s="1041"/>
      <c r="FA46" s="1041"/>
      <c r="FB46" s="1041"/>
      <c r="FC46" s="1041"/>
      <c r="FD46" s="1041"/>
      <c r="FE46" s="1041"/>
      <c r="FF46" s="1041"/>
      <c r="FG46" s="1041"/>
      <c r="FH46" s="1041"/>
      <c r="FI46" s="1041"/>
      <c r="FJ46" s="1041"/>
      <c r="FK46" s="1041"/>
      <c r="FL46" s="1041"/>
      <c r="FM46" s="1041"/>
      <c r="FN46" s="1041"/>
      <c r="FO46" s="1041"/>
      <c r="FP46" s="1041"/>
      <c r="FQ46" s="1041"/>
      <c r="FR46" s="1041"/>
      <c r="FS46" s="1041"/>
      <c r="FT46" s="1041"/>
      <c r="FU46" s="1041"/>
      <c r="FV46" s="1041"/>
      <c r="FW46" s="1041"/>
      <c r="FX46" s="1041"/>
      <c r="FY46" s="1041"/>
      <c r="FZ46" s="1041"/>
      <c r="GA46" s="1041"/>
      <c r="GB46" s="1041"/>
      <c r="GC46" s="1041"/>
      <c r="GD46" s="1041"/>
      <c r="GE46" s="1041"/>
      <c r="GF46" s="1041"/>
      <c r="GG46" s="1041"/>
      <c r="GH46" s="1041"/>
      <c r="GI46" s="1041"/>
      <c r="GJ46" s="1041"/>
      <c r="GK46" s="1041"/>
      <c r="GL46" s="1041"/>
      <c r="GM46" s="1041"/>
      <c r="GN46" s="1041"/>
      <c r="GO46" s="1041"/>
      <c r="GP46" s="1041"/>
      <c r="GQ46" s="1041"/>
      <c r="GR46" s="1041"/>
      <c r="GS46" s="1041"/>
      <c r="GT46" s="1041"/>
      <c r="GU46" s="1041"/>
      <c r="GV46" s="1041"/>
      <c r="GW46" s="1041"/>
      <c r="GX46" s="1041"/>
      <c r="GY46" s="1041"/>
      <c r="GZ46" s="1041"/>
      <c r="HA46" s="1041"/>
      <c r="HB46" s="1041"/>
      <c r="HC46" s="1041"/>
      <c r="HD46" s="1041"/>
      <c r="HE46" s="1041"/>
      <c r="HF46" s="1041"/>
      <c r="HG46" s="1041"/>
      <c r="HH46" s="1041"/>
      <c r="HI46" s="1041"/>
      <c r="HJ46" s="1041"/>
      <c r="HK46" s="1041"/>
      <c r="HL46" s="1041"/>
      <c r="HM46" s="1041"/>
      <c r="HN46" s="1041"/>
      <c r="HO46" s="1041"/>
      <c r="HP46" s="1041"/>
      <c r="HQ46" s="1041"/>
      <c r="HR46" s="1041"/>
      <c r="HS46" s="1041"/>
      <c r="HT46" s="1041"/>
      <c r="HU46" s="1041"/>
      <c r="HV46" s="1041"/>
      <c r="HW46" s="1041"/>
      <c r="HX46" s="1041"/>
      <c r="HY46" s="1041"/>
      <c r="HZ46" s="1041"/>
      <c r="IA46" s="1041"/>
      <c r="IB46" s="1041"/>
      <c r="IC46" s="1041"/>
      <c r="ID46" s="1041"/>
      <c r="IE46" s="1041"/>
      <c r="IF46" s="1041"/>
      <c r="IG46" s="1041"/>
      <c r="IH46" s="1041"/>
      <c r="II46" s="1041"/>
      <c r="IJ46" s="1041"/>
      <c r="IK46" s="1041"/>
      <c r="IL46" s="1041"/>
      <c r="IM46" s="1041"/>
      <c r="IN46" s="1041"/>
      <c r="IO46" s="1041"/>
      <c r="IP46" s="1041"/>
      <c r="IQ46" s="1041"/>
      <c r="IR46" s="1041"/>
      <c r="IS46" s="1041"/>
      <c r="IT46" s="1041"/>
      <c r="IU46" s="1041"/>
      <c r="IV46" s="1041"/>
      <c r="IW46" s="1041"/>
      <c r="IX46" s="1041"/>
      <c r="IY46" s="1041"/>
      <c r="IZ46" s="1041"/>
      <c r="JA46" s="1041"/>
      <c r="JB46" s="1041"/>
      <c r="JC46" s="1041"/>
      <c r="JD46" s="1041"/>
      <c r="JE46" s="1041"/>
      <c r="JF46" s="1041"/>
      <c r="JG46" s="1041"/>
      <c r="JH46" s="1041"/>
      <c r="JI46" s="1041"/>
      <c r="JJ46" s="1041"/>
      <c r="JK46" s="1041"/>
      <c r="JL46" s="1041"/>
      <c r="JM46" s="1041"/>
      <c r="JN46" s="1041"/>
      <c r="JO46" s="1041"/>
      <c r="JP46" s="1041"/>
      <c r="JQ46" s="1041"/>
      <c r="JR46" s="1041"/>
      <c r="JS46" s="1041"/>
      <c r="JT46" s="1041"/>
      <c r="JU46" s="1041"/>
      <c r="JV46" s="1041"/>
      <c r="JW46" s="1041"/>
      <c r="JX46" s="1041"/>
      <c r="JY46" s="1041"/>
      <c r="JZ46" s="1041"/>
      <c r="KA46" s="1041"/>
      <c r="KB46" s="1041"/>
      <c r="KC46" s="1041"/>
      <c r="KD46" s="1041"/>
      <c r="KE46" s="1041"/>
      <c r="KF46" s="1041"/>
      <c r="KG46" s="1041"/>
      <c r="KH46" s="1041"/>
      <c r="KI46" s="1041"/>
      <c r="KJ46" s="1041"/>
      <c r="KK46" s="1041"/>
      <c r="KL46" s="1041"/>
      <c r="KM46" s="1041"/>
      <c r="KN46" s="1041"/>
      <c r="KO46" s="1041"/>
      <c r="KP46" s="1041"/>
      <c r="KQ46" s="1041"/>
      <c r="KR46" s="1041"/>
      <c r="KS46" s="1041"/>
      <c r="KT46" s="1041"/>
      <c r="KU46" s="1041"/>
      <c r="KV46" s="1041"/>
      <c r="KW46" s="1041"/>
      <c r="KX46" s="1041"/>
      <c r="KY46" s="1041"/>
      <c r="KZ46" s="1041"/>
      <c r="LA46" s="1041"/>
      <c r="LB46" s="1041"/>
      <c r="LC46" s="1041"/>
      <c r="LD46" s="1041"/>
      <c r="LE46" s="1041"/>
      <c r="LF46" s="1041"/>
      <c r="LG46" s="1041"/>
      <c r="LH46" s="1041"/>
      <c r="LI46" s="1041"/>
      <c r="LJ46" s="1041"/>
      <c r="LK46" s="1041"/>
      <c r="LL46" s="1041"/>
      <c r="LM46" s="1041"/>
      <c r="LN46" s="1041"/>
      <c r="LO46" s="1041"/>
      <c r="LP46" s="1041"/>
      <c r="LQ46" s="1041"/>
      <c r="LR46" s="1041"/>
      <c r="LS46" s="1041"/>
      <c r="LT46" s="1041"/>
      <c r="LU46" s="1041"/>
      <c r="LV46" s="1041"/>
      <c r="LW46" s="1041"/>
      <c r="LX46" s="1041"/>
      <c r="LY46" s="1041"/>
      <c r="LZ46" s="1041"/>
      <c r="MA46" s="1041"/>
      <c r="MB46" s="1041"/>
      <c r="MC46" s="1041"/>
      <c r="MD46" s="1041"/>
      <c r="ME46" s="1041"/>
      <c r="MF46" s="1041"/>
      <c r="MG46" s="1041"/>
      <c r="MH46" s="1041"/>
      <c r="MI46" s="1041"/>
      <c r="MJ46" s="1041"/>
      <c r="MK46" s="1041"/>
      <c r="ML46" s="1041"/>
      <c r="MM46" s="1041"/>
      <c r="MN46" s="1041"/>
      <c r="MO46" s="1041"/>
      <c r="MP46" s="1041"/>
      <c r="MQ46" s="1041"/>
      <c r="MR46" s="1041"/>
      <c r="MS46" s="1041"/>
      <c r="MT46" s="1041"/>
      <c r="MU46" s="1041"/>
      <c r="MV46" s="1041"/>
      <c r="MW46" s="1041"/>
      <c r="MX46" s="1041"/>
      <c r="MY46" s="1041"/>
      <c r="MZ46" s="1041"/>
      <c r="NA46" s="1041"/>
      <c r="NB46" s="1041"/>
      <c r="NC46" s="1041"/>
      <c r="ND46" s="1041"/>
      <c r="NE46" s="1041"/>
      <c r="NF46" s="1041"/>
      <c r="NG46" s="1041"/>
      <c r="NH46" s="1041"/>
      <c r="NI46" s="1041"/>
      <c r="NJ46" s="1041"/>
      <c r="NK46" s="1041"/>
      <c r="NL46" s="1041"/>
      <c r="NM46" s="1041"/>
      <c r="NN46" s="1041"/>
      <c r="NO46" s="1041"/>
      <c r="NP46" s="1041"/>
      <c r="NQ46" s="1041"/>
      <c r="NR46" s="1041"/>
      <c r="NS46" s="1041"/>
      <c r="NT46" s="1041"/>
      <c r="NU46" s="1041"/>
      <c r="NV46" s="1041"/>
      <c r="NW46" s="1041"/>
      <c r="NX46" s="1041"/>
      <c r="NY46" s="1041"/>
      <c r="NZ46" s="1041"/>
      <c r="OA46" s="1041"/>
      <c r="OB46" s="1041"/>
      <c r="OC46" s="1041"/>
      <c r="OD46" s="1041"/>
      <c r="OE46" s="1041"/>
      <c r="OF46" s="1041"/>
      <c r="OG46" s="1041"/>
      <c r="OH46" s="1041"/>
      <c r="OI46" s="1041"/>
      <c r="OJ46" s="1041"/>
      <c r="OK46" s="1041"/>
      <c r="OL46" s="1041"/>
      <c r="OM46" s="1041"/>
      <c r="ON46" s="1041"/>
      <c r="OO46" s="1041"/>
      <c r="OP46" s="1041"/>
      <c r="OQ46" s="1041"/>
      <c r="OR46" s="1041"/>
      <c r="OS46" s="1041"/>
      <c r="OT46" s="1041"/>
      <c r="OU46" s="1041"/>
      <c r="OV46" s="1041"/>
      <c r="OW46" s="1041"/>
      <c r="OX46" s="1041"/>
      <c r="OY46" s="1041"/>
      <c r="OZ46" s="1041"/>
      <c r="PA46" s="1041"/>
      <c r="PB46" s="1041"/>
      <c r="PC46" s="1041"/>
      <c r="PD46" s="1041"/>
      <c r="PE46" s="1041"/>
      <c r="PF46" s="1041"/>
      <c r="PG46" s="1041"/>
      <c r="PH46" s="1041"/>
      <c r="PI46" s="1041"/>
      <c r="PJ46" s="1041"/>
      <c r="PK46" s="1041"/>
      <c r="PL46" s="1041"/>
      <c r="PM46" s="1041"/>
      <c r="PN46" s="1041"/>
      <c r="PO46" s="1041"/>
      <c r="PP46" s="1041"/>
      <c r="PQ46" s="1041"/>
      <c r="PR46" s="1041"/>
      <c r="PS46" s="1041"/>
      <c r="PT46" s="1041"/>
      <c r="PU46" s="1041"/>
      <c r="PV46" s="1041"/>
      <c r="PW46" s="1041"/>
      <c r="PX46" s="1041"/>
      <c r="PY46" s="1041"/>
      <c r="PZ46" s="1041"/>
      <c r="QA46" s="1041"/>
      <c r="QB46" s="1041"/>
      <c r="QC46" s="1041"/>
      <c r="QD46" s="1041"/>
      <c r="QE46" s="1041"/>
      <c r="QF46" s="1041"/>
      <c r="QG46" s="1041"/>
      <c r="QH46" s="1041"/>
      <c r="QI46" s="1041"/>
      <c r="QJ46" s="1041"/>
      <c r="QK46" s="1041"/>
      <c r="QL46" s="1041"/>
      <c r="QM46" s="1041"/>
      <c r="QN46" s="1041"/>
      <c r="QO46" s="1041"/>
      <c r="QP46" s="1041"/>
      <c r="QQ46" s="1041"/>
      <c r="QR46" s="1041"/>
      <c r="QS46" s="1041"/>
      <c r="QT46" s="1041"/>
      <c r="QU46" s="1041"/>
      <c r="QV46" s="1041"/>
      <c r="QW46" s="1041"/>
      <c r="QX46" s="1041"/>
      <c r="QY46" s="1041"/>
      <c r="QZ46" s="1041"/>
      <c r="RA46" s="1041"/>
      <c r="RB46" s="1041"/>
      <c r="RC46" s="1041"/>
      <c r="RD46" s="1041"/>
      <c r="RE46" s="1041"/>
      <c r="RF46" s="1041"/>
      <c r="RG46" s="1041"/>
      <c r="RH46" s="1041"/>
      <c r="RI46" s="1041"/>
      <c r="RJ46" s="1041"/>
      <c r="RK46" s="1041"/>
      <c r="RL46" s="1041"/>
      <c r="RM46" s="1041"/>
      <c r="RN46" s="1041"/>
      <c r="RO46" s="1041"/>
      <c r="RP46" s="1041"/>
      <c r="RQ46" s="1041"/>
      <c r="RR46" s="1041"/>
      <c r="RS46" s="1041"/>
      <c r="RT46" s="1041"/>
      <c r="RU46" s="1041"/>
      <c r="RV46" s="1041"/>
      <c r="RW46" s="1041"/>
      <c r="RX46" s="1041"/>
      <c r="RY46" s="1041"/>
      <c r="RZ46" s="1041"/>
      <c r="SA46" s="1041"/>
      <c r="SB46" s="1041"/>
      <c r="SC46" s="1041"/>
      <c r="SD46" s="1041"/>
      <c r="SE46" s="1041"/>
      <c r="SF46" s="1041"/>
      <c r="SG46" s="1041"/>
      <c r="SH46" s="1041"/>
      <c r="SI46" s="1041"/>
      <c r="SJ46" s="1041"/>
      <c r="SK46" s="1041"/>
      <c r="SL46" s="1041"/>
      <c r="SM46" s="1041"/>
      <c r="SN46" s="1041"/>
      <c r="SO46" s="1041"/>
      <c r="SP46" s="1041"/>
      <c r="SQ46" s="1041"/>
      <c r="SR46" s="1041"/>
      <c r="SS46" s="1041"/>
      <c r="ST46" s="1041"/>
      <c r="SU46" s="1041"/>
      <c r="SV46" s="1041"/>
      <c r="SW46" s="1041"/>
      <c r="SX46" s="1041"/>
      <c r="SY46" s="1041"/>
      <c r="SZ46" s="1041"/>
      <c r="TA46" s="1041"/>
      <c r="TB46" s="1041"/>
      <c r="TC46" s="1041"/>
      <c r="TD46" s="1041"/>
      <c r="TE46" s="1041"/>
      <c r="TF46" s="1041"/>
      <c r="TG46" s="1041"/>
      <c r="TH46" s="1041"/>
      <c r="TI46" s="1041"/>
      <c r="TJ46" s="1041"/>
      <c r="TK46" s="1041"/>
      <c r="TL46" s="1041"/>
      <c r="TM46" s="1041"/>
      <c r="TN46" s="1041"/>
      <c r="TO46" s="1041"/>
      <c r="TP46" s="1041"/>
      <c r="TQ46" s="1041"/>
      <c r="TR46" s="1041"/>
      <c r="TS46" s="1041"/>
      <c r="TT46" s="1041"/>
      <c r="TU46" s="1041"/>
      <c r="TV46" s="1041"/>
      <c r="TW46" s="1041"/>
      <c r="TX46" s="1041"/>
      <c r="TY46" s="1041"/>
      <c r="TZ46" s="1041"/>
      <c r="UA46" s="1041"/>
      <c r="UB46" s="1041"/>
      <c r="UC46" s="1041"/>
      <c r="UD46" s="1041"/>
      <c r="UE46" s="1041"/>
      <c r="UF46" s="1041"/>
      <c r="UG46" s="1041"/>
      <c r="UH46" s="1041"/>
      <c r="UI46" s="1041"/>
      <c r="UJ46" s="1041"/>
      <c r="UK46" s="1041"/>
      <c r="UL46" s="1041"/>
      <c r="UM46" s="1041"/>
      <c r="UN46" s="1041"/>
      <c r="UO46" s="1041"/>
      <c r="UP46" s="1041"/>
      <c r="UQ46" s="1041"/>
      <c r="UR46" s="1041"/>
      <c r="US46" s="1041"/>
      <c r="UT46" s="1041"/>
      <c r="UU46" s="1041"/>
      <c r="UV46" s="1041"/>
      <c r="UW46" s="1041"/>
      <c r="UX46" s="1041"/>
      <c r="UY46" s="1041"/>
      <c r="UZ46" s="1041"/>
      <c r="VA46" s="1041"/>
      <c r="VB46" s="1041"/>
      <c r="VC46" s="1041"/>
      <c r="VD46" s="1041"/>
      <c r="VE46" s="1041"/>
      <c r="VF46" s="1041"/>
      <c r="VG46" s="1041"/>
      <c r="VH46" s="1041"/>
      <c r="VI46" s="1041"/>
      <c r="VJ46" s="1041"/>
      <c r="VK46" s="1041"/>
      <c r="VL46" s="1041"/>
      <c r="VM46" s="1041"/>
      <c r="VN46" s="1041"/>
      <c r="VO46" s="1041"/>
      <c r="VP46" s="1041"/>
      <c r="VQ46" s="1041"/>
      <c r="VR46" s="1041"/>
      <c r="VS46" s="1041"/>
      <c r="VT46" s="1041"/>
      <c r="VU46" s="1041"/>
      <c r="VV46" s="1041"/>
      <c r="VW46" s="1041"/>
      <c r="VX46" s="1041"/>
      <c r="VY46" s="1041"/>
      <c r="VZ46" s="1041"/>
      <c r="WA46" s="1041"/>
      <c r="WB46" s="1041"/>
      <c r="WC46" s="1041"/>
      <c r="WD46" s="1041"/>
      <c r="WE46" s="1041"/>
      <c r="WF46" s="1041"/>
      <c r="WG46" s="1041"/>
      <c r="WH46" s="1041"/>
      <c r="WI46" s="1041"/>
      <c r="WJ46" s="1041"/>
      <c r="WK46" s="1041"/>
      <c r="WL46" s="1041"/>
      <c r="WM46" s="1041"/>
      <c r="WN46" s="1041"/>
      <c r="WO46" s="1041"/>
      <c r="WP46" s="1041"/>
      <c r="WQ46" s="1041"/>
      <c r="WR46" s="1041"/>
      <c r="WS46" s="1041"/>
      <c r="WT46" s="1041"/>
      <c r="WU46" s="1041"/>
      <c r="WV46" s="1041"/>
      <c r="WW46" s="1041"/>
      <c r="WX46" s="1041"/>
      <c r="WY46" s="1041"/>
      <c r="WZ46" s="1041"/>
      <c r="XA46" s="1041"/>
      <c r="XB46" s="1041"/>
      <c r="XC46" s="1041"/>
      <c r="XD46" s="1041"/>
      <c r="XE46" s="1041"/>
      <c r="XF46" s="1041"/>
      <c r="XG46" s="1041"/>
      <c r="XH46" s="1041"/>
      <c r="XI46" s="1041"/>
      <c r="XJ46" s="1041"/>
      <c r="XK46" s="1041"/>
      <c r="XL46" s="1041"/>
      <c r="XM46" s="1041"/>
      <c r="XN46" s="1041"/>
      <c r="XO46" s="1041"/>
      <c r="XP46" s="1041"/>
      <c r="XQ46" s="1041"/>
      <c r="XR46" s="1041"/>
      <c r="XS46" s="1041"/>
      <c r="XT46" s="1041"/>
      <c r="XU46" s="1041"/>
      <c r="XV46" s="1041"/>
      <c r="XW46" s="1041"/>
      <c r="XX46" s="1041"/>
      <c r="XY46" s="1041"/>
      <c r="XZ46" s="1041"/>
      <c r="YA46" s="1041"/>
      <c r="YB46" s="1041"/>
      <c r="YC46" s="1041"/>
      <c r="YD46" s="1041"/>
      <c r="YE46" s="1041"/>
      <c r="YF46" s="1041"/>
      <c r="YG46" s="1041"/>
      <c r="YH46" s="1041"/>
      <c r="YI46" s="1041"/>
      <c r="YJ46" s="1041"/>
      <c r="YK46" s="1041"/>
      <c r="YL46" s="1041"/>
      <c r="YM46" s="1041"/>
      <c r="YN46" s="1041"/>
      <c r="YO46" s="1041"/>
      <c r="YP46" s="1041"/>
      <c r="YQ46" s="1041"/>
      <c r="YR46" s="1041"/>
      <c r="YS46" s="1041"/>
      <c r="YT46" s="1041"/>
      <c r="YU46" s="1041"/>
      <c r="YV46" s="1041"/>
      <c r="YW46" s="1041"/>
      <c r="YX46" s="1041"/>
      <c r="YY46" s="1041"/>
      <c r="YZ46" s="1041"/>
      <c r="ZA46" s="1041"/>
      <c r="ZB46" s="1041"/>
      <c r="ZC46" s="1041"/>
      <c r="ZD46" s="1041"/>
      <c r="ZE46" s="1041"/>
      <c r="ZF46" s="1041"/>
      <c r="ZG46" s="1041"/>
      <c r="ZH46" s="1041"/>
      <c r="ZI46" s="1041"/>
      <c r="ZJ46" s="1041"/>
      <c r="ZK46" s="1041"/>
      <c r="ZL46" s="1041"/>
      <c r="ZM46" s="1041"/>
      <c r="ZN46" s="1041"/>
      <c r="ZO46" s="1041"/>
      <c r="ZP46" s="1041"/>
      <c r="ZQ46" s="1041"/>
      <c r="ZR46" s="1041"/>
      <c r="ZS46" s="1041"/>
      <c r="ZT46" s="1041"/>
      <c r="ZU46" s="1041"/>
      <c r="ZV46" s="1041"/>
      <c r="ZW46" s="1041"/>
      <c r="ZX46" s="1041"/>
      <c r="ZY46" s="1041"/>
      <c r="ZZ46" s="1041"/>
      <c r="AAA46" s="1041"/>
      <c r="AAB46" s="1041"/>
      <c r="AAC46" s="1041"/>
      <c r="AAD46" s="1041"/>
      <c r="AAE46" s="1041"/>
      <c r="AAF46" s="1041"/>
      <c r="AAG46" s="1041"/>
      <c r="AAH46" s="1041"/>
      <c r="AAI46" s="1041"/>
      <c r="AAJ46" s="1041"/>
      <c r="AAK46" s="1041"/>
      <c r="AAL46" s="1041"/>
      <c r="AAM46" s="1041"/>
      <c r="AAN46" s="1041"/>
      <c r="AAO46" s="1041"/>
      <c r="AAP46" s="1041"/>
      <c r="AAQ46" s="1041"/>
      <c r="AAR46" s="1041"/>
      <c r="AAS46" s="1041"/>
      <c r="AAT46" s="1041"/>
      <c r="AAU46" s="1041"/>
      <c r="AAV46" s="1041"/>
      <c r="AAW46" s="1041"/>
      <c r="AAX46" s="1041"/>
      <c r="AAY46" s="1041"/>
      <c r="AAZ46" s="1041"/>
      <c r="ABA46" s="1041"/>
      <c r="ABB46" s="1041"/>
      <c r="ABC46" s="1041"/>
      <c r="ABD46" s="1041"/>
      <c r="ABE46" s="1041"/>
      <c r="ABF46" s="1041"/>
      <c r="ABG46" s="1041"/>
      <c r="ABH46" s="1041"/>
      <c r="ABI46" s="1041"/>
      <c r="ABJ46" s="1041"/>
      <c r="ABK46" s="1041"/>
      <c r="ABL46" s="1041"/>
      <c r="ABM46" s="1041"/>
      <c r="ABN46" s="1041"/>
      <c r="ABO46" s="1041"/>
      <c r="ABP46" s="1041"/>
      <c r="ABQ46" s="1041"/>
      <c r="ABR46" s="1041"/>
      <c r="ABS46" s="1041"/>
      <c r="ABT46" s="1041"/>
      <c r="ABU46" s="1041"/>
      <c r="ABV46" s="1041"/>
      <c r="ABW46" s="1041"/>
      <c r="ABX46" s="1041"/>
      <c r="ABY46" s="1041"/>
      <c r="ABZ46" s="1041"/>
      <c r="ACA46" s="1041"/>
      <c r="ACB46" s="1041"/>
      <c r="ACC46" s="1041"/>
      <c r="ACD46" s="1041"/>
      <c r="ACE46" s="1041"/>
      <c r="ACF46" s="1041"/>
      <c r="ACG46" s="1041"/>
      <c r="ACH46" s="1041"/>
      <c r="ACI46" s="1041"/>
      <c r="ACJ46" s="1041"/>
      <c r="ACK46" s="1041"/>
      <c r="ACL46" s="1041"/>
      <c r="ACM46" s="1041"/>
      <c r="ACN46" s="1041"/>
      <c r="ACO46" s="1041"/>
      <c r="ACP46" s="1041"/>
      <c r="ACQ46" s="1041"/>
      <c r="ACR46" s="1041"/>
      <c r="ACS46" s="1041"/>
      <c r="ACT46" s="1041"/>
      <c r="ACU46" s="1041"/>
      <c r="ACV46" s="1041"/>
      <c r="ACW46" s="1041"/>
      <c r="ACX46" s="1041"/>
      <c r="ACY46" s="1041"/>
      <c r="ACZ46" s="1041"/>
      <c r="ADA46" s="1041"/>
      <c r="ADB46" s="1041"/>
      <c r="ADC46" s="1041"/>
      <c r="ADD46" s="1041"/>
      <c r="ADE46" s="1041"/>
      <c r="ADF46" s="1041"/>
      <c r="ADG46" s="1041"/>
      <c r="ADH46" s="1041"/>
      <c r="ADI46" s="1041"/>
      <c r="ADJ46" s="1041"/>
      <c r="ADK46" s="1041"/>
      <c r="ADL46" s="1041"/>
      <c r="ADM46" s="1041"/>
      <c r="ADN46" s="1041"/>
      <c r="ADO46" s="1041"/>
      <c r="ADP46" s="1041"/>
      <c r="ADQ46" s="1041"/>
      <c r="ADR46" s="1041"/>
      <c r="ADS46" s="1041"/>
      <c r="ADT46" s="1041"/>
      <c r="ADU46" s="1041"/>
      <c r="ADV46" s="1041"/>
      <c r="ADW46" s="1041"/>
      <c r="ADX46" s="1041"/>
      <c r="ADY46" s="1041"/>
      <c r="ADZ46" s="1041"/>
      <c r="AEA46" s="1041"/>
      <c r="AEB46" s="1041"/>
      <c r="AEC46" s="1041"/>
      <c r="AED46" s="1041"/>
      <c r="AEE46" s="1041"/>
      <c r="AEF46" s="1041"/>
      <c r="AEG46" s="1041"/>
      <c r="AEH46" s="1041"/>
      <c r="AEI46" s="1041"/>
      <c r="AEJ46" s="1041"/>
      <c r="AEK46" s="1041"/>
      <c r="AEL46" s="1041"/>
      <c r="AEM46" s="1041"/>
      <c r="AEN46" s="1041"/>
      <c r="AEO46" s="1041"/>
      <c r="AEP46" s="1041"/>
      <c r="AEQ46" s="1041"/>
      <c r="AER46" s="1041"/>
      <c r="AES46" s="1041"/>
      <c r="AET46" s="1041"/>
      <c r="AEU46" s="1041"/>
      <c r="AEV46" s="1041"/>
      <c r="AEW46" s="1041"/>
      <c r="AEX46" s="1041"/>
      <c r="AEY46" s="1041"/>
      <c r="AEZ46" s="1041"/>
      <c r="AFA46" s="1041"/>
      <c r="AFB46" s="1041"/>
      <c r="AFC46" s="1041"/>
      <c r="AFD46" s="1041"/>
      <c r="AFE46" s="1041"/>
      <c r="AFF46" s="1041"/>
      <c r="AFG46" s="1041"/>
      <c r="AFH46" s="1041"/>
      <c r="AFI46" s="1041"/>
      <c r="AFJ46" s="1041"/>
      <c r="AFK46" s="1041"/>
      <c r="AFL46" s="1041"/>
      <c r="AFM46" s="1041"/>
      <c r="AFN46" s="1041"/>
      <c r="AFO46" s="1041"/>
      <c r="AFP46" s="1041"/>
      <c r="AFQ46" s="1041"/>
      <c r="AFR46" s="1041"/>
      <c r="AFS46" s="1041"/>
      <c r="AFT46" s="1041"/>
      <c r="AFU46" s="1041"/>
      <c r="AFV46" s="1041"/>
      <c r="AFW46" s="1041"/>
      <c r="AFX46" s="1041"/>
      <c r="AFY46" s="1041"/>
      <c r="AFZ46" s="1041"/>
      <c r="AGA46" s="1041"/>
      <c r="AGB46" s="1041"/>
      <c r="AGC46" s="1041"/>
      <c r="AGD46" s="1041"/>
      <c r="AGE46" s="1041"/>
      <c r="AGF46" s="1041"/>
      <c r="AGG46" s="1041"/>
      <c r="AGH46" s="1041"/>
      <c r="AGI46" s="1041"/>
      <c r="AGJ46" s="1041"/>
      <c r="AGK46" s="1041"/>
      <c r="AGL46" s="1041"/>
      <c r="AGM46" s="1041"/>
      <c r="AGN46" s="1041"/>
      <c r="AGO46" s="1041"/>
      <c r="AGP46" s="1041"/>
      <c r="AGQ46" s="1041"/>
      <c r="AGR46" s="1041"/>
      <c r="AGS46" s="1041"/>
      <c r="AGT46" s="1041"/>
      <c r="AGU46" s="1041"/>
      <c r="AGV46" s="1041"/>
      <c r="AGW46" s="1041"/>
      <c r="AGX46" s="1041"/>
      <c r="AGY46" s="1041"/>
      <c r="AGZ46" s="1041"/>
      <c r="AHA46" s="1041"/>
      <c r="AHB46" s="1041"/>
      <c r="AHC46" s="1041"/>
      <c r="AHD46" s="1041"/>
      <c r="AHE46" s="1041"/>
      <c r="AHF46" s="1041"/>
      <c r="AHG46" s="1041"/>
      <c r="AHH46" s="1041"/>
      <c r="AHI46" s="1041"/>
      <c r="AHJ46" s="1041"/>
      <c r="AHK46" s="1041"/>
      <c r="AHL46" s="1041"/>
      <c r="AHM46" s="1041"/>
      <c r="AHN46" s="1041"/>
      <c r="AHO46" s="1041"/>
      <c r="AHP46" s="1041"/>
      <c r="AHQ46" s="1041"/>
      <c r="AHR46" s="1041"/>
      <c r="AHS46" s="1041"/>
      <c r="AHT46" s="1041"/>
      <c r="AHU46" s="1041"/>
      <c r="AHV46" s="1041"/>
      <c r="AHW46" s="1041"/>
      <c r="AHX46" s="1041"/>
      <c r="AHY46" s="1041"/>
      <c r="AHZ46" s="1041"/>
      <c r="AIA46" s="1041"/>
      <c r="AIB46" s="1041"/>
      <c r="AIC46" s="1041"/>
      <c r="AID46" s="1041"/>
      <c r="AIE46" s="1041"/>
      <c r="AIF46" s="1041"/>
      <c r="AIG46" s="1041"/>
      <c r="AIH46" s="1041"/>
      <c r="AII46" s="1041"/>
      <c r="AIJ46" s="1041"/>
      <c r="AIK46" s="1041"/>
      <c r="AIL46" s="1041"/>
      <c r="AIM46" s="1041"/>
      <c r="AIN46" s="1041"/>
      <c r="AIO46" s="1041"/>
      <c r="AIP46" s="1041"/>
      <c r="AIQ46" s="1041"/>
      <c r="AIR46" s="1041"/>
      <c r="AIS46" s="1041"/>
      <c r="AIT46" s="1041"/>
      <c r="AIU46" s="1041"/>
      <c r="AIV46" s="1041"/>
      <c r="AIW46" s="1041"/>
      <c r="AIX46" s="1041"/>
      <c r="AIY46" s="1041"/>
      <c r="AIZ46" s="1041"/>
      <c r="AJA46" s="1041"/>
      <c r="AJB46" s="1041"/>
      <c r="AJC46" s="1041"/>
      <c r="AJD46" s="1041"/>
      <c r="AJE46" s="1041"/>
      <c r="AJF46" s="1041"/>
      <c r="AJG46" s="1041"/>
      <c r="AJH46" s="1041"/>
      <c r="AJI46" s="1041"/>
      <c r="AJJ46" s="1041"/>
      <c r="AJK46" s="1041"/>
      <c r="AJL46" s="1041"/>
      <c r="AJM46" s="1041"/>
      <c r="AJN46" s="1041"/>
      <c r="AJO46" s="1041"/>
      <c r="AJP46" s="1041"/>
      <c r="AJQ46" s="1041"/>
      <c r="AJR46" s="1041"/>
      <c r="AJS46" s="1041"/>
      <c r="AJT46" s="1041"/>
      <c r="AJU46" s="1041"/>
      <c r="AJV46" s="1041"/>
      <c r="AJW46" s="1041"/>
      <c r="AJX46" s="1041"/>
      <c r="AJY46" s="1041"/>
      <c r="AJZ46" s="1041"/>
      <c r="AKA46" s="1041"/>
      <c r="AKB46" s="1041"/>
      <c r="AKC46" s="1041"/>
      <c r="AKD46" s="1041"/>
      <c r="AKE46" s="1041"/>
      <c r="AKF46" s="1041"/>
      <c r="AKG46" s="1041"/>
      <c r="AKH46" s="1041"/>
      <c r="AKI46" s="1041"/>
      <c r="AKJ46" s="1041"/>
      <c r="AKK46" s="1041"/>
      <c r="AKL46" s="1041"/>
      <c r="AKM46" s="1041"/>
      <c r="AKN46" s="1041"/>
      <c r="AKO46" s="1041"/>
      <c r="AKP46" s="1041"/>
      <c r="AKQ46" s="1041"/>
      <c r="AKR46" s="1041"/>
      <c r="AKS46" s="1041"/>
      <c r="AKT46" s="1041"/>
      <c r="AKU46" s="1041"/>
      <c r="AKV46" s="1041"/>
      <c r="AKW46" s="1041"/>
      <c r="AKX46" s="1041"/>
      <c r="AKY46" s="1041"/>
      <c r="AKZ46" s="1041"/>
      <c r="ALA46" s="1041"/>
      <c r="ALB46" s="1041"/>
      <c r="ALC46" s="1041"/>
      <c r="ALD46" s="1041"/>
      <c r="ALE46" s="1041"/>
      <c r="ALF46" s="1041"/>
      <c r="ALG46" s="1041"/>
      <c r="ALH46" s="1041"/>
      <c r="ALI46" s="1041"/>
      <c r="ALJ46" s="1041"/>
      <c r="ALK46" s="1041"/>
      <c r="ALL46" s="1041"/>
      <c r="ALM46" s="1041"/>
      <c r="ALN46" s="1041"/>
      <c r="ALO46" s="1041"/>
      <c r="ALP46" s="1041"/>
      <c r="ALQ46" s="1041"/>
      <c r="ALR46" s="1041"/>
      <c r="ALS46" s="1041"/>
      <c r="ALT46" s="1041"/>
      <c r="ALU46" s="1041"/>
      <c r="ALV46" s="1041"/>
      <c r="ALW46" s="1041"/>
      <c r="ALX46" s="1041"/>
      <c r="ALY46" s="1041"/>
      <c r="ALZ46" s="1041"/>
      <c r="AMA46" s="1041"/>
      <c r="AMB46" s="1041"/>
      <c r="AMC46" s="1041"/>
      <c r="AMD46" s="1041"/>
      <c r="AME46" s="1041"/>
      <c r="AMF46" s="1041"/>
      <c r="AMG46" s="1041"/>
      <c r="AMH46" s="1041"/>
      <c r="AMI46" s="1041"/>
      <c r="AMJ46" s="1041"/>
      <c r="AMK46" s="1041"/>
      <c r="AML46" s="1041"/>
      <c r="AMM46" s="1041"/>
      <c r="AMN46" s="1041"/>
      <c r="AMO46" s="1041"/>
      <c r="AMP46" s="1041"/>
      <c r="AMQ46" s="1041"/>
      <c r="AMR46" s="1041"/>
      <c r="AMS46" s="1041"/>
      <c r="AMT46" s="1041"/>
      <c r="AMU46" s="1041"/>
      <c r="AMV46" s="1041"/>
      <c r="AMW46" s="1041"/>
      <c r="AMX46" s="1041"/>
      <c r="AMY46" s="1041"/>
      <c r="AMZ46" s="1041"/>
      <c r="ANA46" s="1041"/>
      <c r="ANB46" s="1041"/>
      <c r="ANC46" s="1041"/>
      <c r="AND46" s="1041"/>
      <c r="ANE46" s="1041"/>
      <c r="ANF46" s="1041"/>
      <c r="ANG46" s="1041"/>
      <c r="ANH46" s="1041"/>
      <c r="ANI46" s="1041"/>
      <c r="ANJ46" s="1041"/>
      <c r="ANK46" s="1041"/>
      <c r="ANL46" s="1041"/>
      <c r="ANM46" s="1041"/>
      <c r="ANN46" s="1041"/>
      <c r="ANO46" s="1041"/>
      <c r="ANP46" s="1041"/>
      <c r="ANQ46" s="1041"/>
      <c r="ANR46" s="1041"/>
      <c r="ANS46" s="1041"/>
      <c r="ANT46" s="1041"/>
      <c r="ANU46" s="1041"/>
      <c r="ANV46" s="1041"/>
      <c r="ANW46" s="1041"/>
      <c r="ANX46" s="1041"/>
      <c r="ANY46" s="1041"/>
      <c r="ANZ46" s="1041"/>
      <c r="AOA46" s="1041"/>
      <c r="AOB46" s="1041"/>
      <c r="AOC46" s="1041"/>
      <c r="AOD46" s="1041"/>
      <c r="AOE46" s="1041"/>
      <c r="AOF46" s="1041"/>
      <c r="AOG46" s="1041"/>
      <c r="AOH46" s="1041"/>
      <c r="AOI46" s="1041"/>
      <c r="AOJ46" s="1041"/>
      <c r="AOK46" s="1041"/>
      <c r="AOL46" s="1041"/>
      <c r="AOM46" s="1041"/>
      <c r="AON46" s="1041"/>
      <c r="AOO46" s="1041"/>
      <c r="AOP46" s="1041"/>
      <c r="AOQ46" s="1041"/>
      <c r="AOR46" s="1041"/>
      <c r="AOS46" s="1041"/>
      <c r="AOT46" s="1041"/>
      <c r="AOU46" s="1041"/>
      <c r="AOV46" s="1041"/>
      <c r="AOW46" s="1041"/>
      <c r="AOX46" s="1041"/>
      <c r="AOY46" s="1041"/>
      <c r="AOZ46" s="1041"/>
      <c r="APA46" s="1041"/>
      <c r="APB46" s="1041"/>
      <c r="APC46" s="1041"/>
      <c r="APD46" s="1041"/>
      <c r="APE46" s="1041"/>
      <c r="APF46" s="1041"/>
      <c r="APG46" s="1041"/>
      <c r="APH46" s="1041"/>
      <c r="API46" s="1041"/>
      <c r="APJ46" s="1041"/>
      <c r="APK46" s="1041"/>
      <c r="APL46" s="1041"/>
      <c r="APM46" s="1041"/>
      <c r="APN46" s="1041"/>
      <c r="APO46" s="1041"/>
      <c r="APP46" s="1041"/>
      <c r="APQ46" s="1041"/>
      <c r="APR46" s="1041"/>
      <c r="APS46" s="1041"/>
      <c r="APT46" s="1041"/>
      <c r="APU46" s="1041"/>
      <c r="APV46" s="1041"/>
      <c r="APW46" s="1041"/>
      <c r="APX46" s="1041"/>
      <c r="APY46" s="1041"/>
      <c r="APZ46" s="1041"/>
      <c r="AQA46" s="1041"/>
      <c r="AQB46" s="1041"/>
      <c r="AQC46" s="1041"/>
      <c r="AQD46" s="1041"/>
      <c r="AQE46" s="1041"/>
      <c r="AQF46" s="1041"/>
      <c r="AQG46" s="1041"/>
      <c r="AQH46" s="1041"/>
      <c r="AQI46" s="1041"/>
      <c r="AQJ46" s="1041"/>
      <c r="AQK46" s="1041"/>
      <c r="AQL46" s="1041"/>
      <c r="AQM46" s="1041"/>
      <c r="AQN46" s="1041"/>
      <c r="AQO46" s="1041"/>
      <c r="AQP46" s="1041"/>
      <c r="AQQ46" s="1041"/>
      <c r="AQR46" s="1041"/>
      <c r="AQS46" s="1041"/>
      <c r="AQT46" s="1041"/>
      <c r="AQU46" s="1041"/>
      <c r="AQV46" s="1041"/>
      <c r="AQW46" s="1041"/>
      <c r="AQX46" s="1041"/>
      <c r="AQY46" s="1041"/>
      <c r="AQZ46" s="1041"/>
      <c r="ARA46" s="1041"/>
      <c r="ARB46" s="1041"/>
      <c r="ARC46" s="1041"/>
      <c r="ARD46" s="1041"/>
      <c r="ARE46" s="1041"/>
      <c r="ARF46" s="1041"/>
      <c r="ARG46" s="1041"/>
      <c r="ARH46" s="1041"/>
      <c r="ARI46" s="1041"/>
      <c r="ARJ46" s="1041"/>
      <c r="ARK46" s="1041"/>
      <c r="ARL46" s="1041"/>
      <c r="ARM46" s="1041"/>
      <c r="ARN46" s="1041"/>
      <c r="ARO46" s="1041"/>
      <c r="ARP46" s="1041"/>
      <c r="ARQ46" s="1041"/>
      <c r="ARR46" s="1041"/>
      <c r="ARS46" s="1041"/>
      <c r="ART46" s="1041"/>
      <c r="ARU46" s="1041"/>
      <c r="ARV46" s="1041"/>
      <c r="ARW46" s="1041"/>
      <c r="ARX46" s="1041"/>
      <c r="ARY46" s="1041"/>
      <c r="ARZ46" s="1041"/>
      <c r="ASA46" s="1041"/>
      <c r="ASB46" s="1041"/>
      <c r="ASC46" s="1041"/>
      <c r="ASD46" s="1041"/>
      <c r="ASE46" s="1041"/>
      <c r="ASF46" s="1041"/>
      <c r="ASG46" s="1041"/>
      <c r="ASH46" s="1041"/>
      <c r="ASI46" s="1041"/>
      <c r="ASJ46" s="1041"/>
      <c r="ASK46" s="1041"/>
      <c r="ASL46" s="1041"/>
      <c r="ASM46" s="1041"/>
      <c r="ASN46" s="1041"/>
      <c r="ASO46" s="1041"/>
      <c r="ASP46" s="1041"/>
      <c r="ASQ46" s="1041"/>
      <c r="ASR46" s="1041"/>
      <c r="ASS46" s="1041"/>
      <c r="AST46" s="1041"/>
      <c r="ASU46" s="1041"/>
      <c r="ASV46" s="1041"/>
      <c r="ASW46" s="1041"/>
      <c r="ASX46" s="1041"/>
      <c r="ASY46" s="1041"/>
      <c r="ASZ46" s="1041"/>
      <c r="ATA46" s="1041"/>
      <c r="ATB46" s="1041"/>
      <c r="ATC46" s="1041"/>
      <c r="ATD46" s="1041"/>
      <c r="ATE46" s="1041"/>
      <c r="ATF46" s="1041"/>
      <c r="ATG46" s="1041"/>
      <c r="ATH46" s="1041"/>
      <c r="ATI46" s="1041"/>
      <c r="ATJ46" s="1041"/>
      <c r="ATK46" s="1041"/>
      <c r="ATL46" s="1041"/>
      <c r="ATM46" s="1041"/>
      <c r="ATN46" s="1041"/>
      <c r="ATO46" s="1041"/>
      <c r="ATP46" s="1041"/>
      <c r="ATQ46" s="1041"/>
      <c r="ATR46" s="1041"/>
      <c r="ATS46" s="1041"/>
      <c r="ATT46" s="1041"/>
      <c r="ATU46" s="1041"/>
      <c r="ATV46" s="1041"/>
      <c r="ATW46" s="1041"/>
      <c r="ATX46" s="1041"/>
      <c r="ATY46" s="1041"/>
      <c r="ATZ46" s="1041"/>
      <c r="AUA46" s="1041"/>
      <c r="AUB46" s="1041"/>
      <c r="AUC46" s="1041"/>
      <c r="AUD46" s="1041"/>
      <c r="AUE46" s="1041"/>
      <c r="AUF46" s="1041"/>
      <c r="AUG46" s="1041"/>
      <c r="AUH46" s="1041"/>
      <c r="AUI46" s="1041"/>
      <c r="AUJ46" s="1041"/>
      <c r="AUK46" s="1041"/>
      <c r="AUL46" s="1041"/>
      <c r="AUM46" s="1041"/>
      <c r="AUN46" s="1041"/>
      <c r="AUO46" s="1041"/>
      <c r="AUP46" s="1041"/>
      <c r="AUQ46" s="1041"/>
      <c r="AUR46" s="1041"/>
      <c r="AUS46" s="1041"/>
      <c r="AUT46" s="1041"/>
      <c r="AUU46" s="1041"/>
      <c r="AUV46" s="1041"/>
      <c r="AUW46" s="1041"/>
      <c r="AUX46" s="1041"/>
      <c r="AUY46" s="1041"/>
      <c r="AUZ46" s="1041"/>
      <c r="AVA46" s="1041"/>
      <c r="AVB46" s="1041"/>
      <c r="AVC46" s="1041"/>
      <c r="AVD46" s="1041"/>
      <c r="AVE46" s="1041"/>
      <c r="AVF46" s="1041"/>
      <c r="AVG46" s="1041"/>
      <c r="AVH46" s="1041"/>
      <c r="AVI46" s="1041"/>
      <c r="AVJ46" s="1041"/>
      <c r="AVK46" s="1041"/>
      <c r="AVL46" s="1041"/>
      <c r="AVM46" s="1041"/>
      <c r="AVN46" s="1041"/>
      <c r="AVO46" s="1041"/>
      <c r="AVP46" s="1041"/>
      <c r="AVQ46" s="1041"/>
      <c r="AVR46" s="1041"/>
      <c r="AVS46" s="1041"/>
      <c r="AVT46" s="1041"/>
      <c r="AVU46" s="1041"/>
      <c r="AVV46" s="1041"/>
      <c r="AVW46" s="1041"/>
      <c r="AVX46" s="1041"/>
      <c r="AVY46" s="1041"/>
      <c r="AVZ46" s="1041"/>
      <c r="AWA46" s="1041"/>
      <c r="AWB46" s="1041"/>
      <c r="AWC46" s="1041"/>
      <c r="AWD46" s="1041"/>
      <c r="AWE46" s="1041"/>
      <c r="AWF46" s="1041"/>
      <c r="AWG46" s="1041"/>
      <c r="AWH46" s="1041"/>
      <c r="AWI46" s="1041"/>
      <c r="AWJ46" s="1041"/>
      <c r="AWK46" s="1041"/>
      <c r="AWL46" s="1041"/>
      <c r="AWM46" s="1041"/>
      <c r="AWN46" s="1041"/>
      <c r="AWO46" s="1041"/>
      <c r="AWP46" s="1041"/>
      <c r="AWQ46" s="1041"/>
      <c r="AWR46" s="1041"/>
      <c r="AWS46" s="1041"/>
      <c r="AWT46" s="1041"/>
      <c r="AWU46" s="1041"/>
      <c r="AWV46" s="1041"/>
      <c r="AWW46" s="1041"/>
      <c r="AWX46" s="1041"/>
      <c r="AWY46" s="1041"/>
      <c r="AWZ46" s="1041"/>
      <c r="AXA46" s="1041"/>
      <c r="AXB46" s="1041"/>
      <c r="AXC46" s="1041"/>
      <c r="AXD46" s="1041"/>
      <c r="AXE46" s="1041"/>
      <c r="AXF46" s="1041"/>
      <c r="AXG46" s="1041"/>
      <c r="AXH46" s="1041"/>
      <c r="AXI46" s="1041"/>
      <c r="AXJ46" s="1041"/>
      <c r="AXK46" s="1041"/>
      <c r="AXL46" s="1041"/>
      <c r="AXM46" s="1041"/>
      <c r="AXN46" s="1041"/>
      <c r="AXO46" s="1041"/>
      <c r="AXP46" s="1041"/>
      <c r="AXQ46" s="1041"/>
      <c r="AXR46" s="1041"/>
      <c r="AXS46" s="1041"/>
      <c r="AXT46" s="1041"/>
      <c r="AXU46" s="1041"/>
      <c r="AXV46" s="1041"/>
      <c r="AXW46" s="1041"/>
      <c r="AXX46" s="1041"/>
      <c r="AXY46" s="1041"/>
      <c r="AXZ46" s="1041"/>
      <c r="AYA46" s="1041"/>
      <c r="AYB46" s="1041"/>
      <c r="AYC46" s="1041"/>
      <c r="AYD46" s="1041"/>
      <c r="AYE46" s="1041"/>
      <c r="AYF46" s="1041"/>
      <c r="AYG46" s="1041"/>
      <c r="AYH46" s="1041"/>
      <c r="AYI46" s="1041"/>
      <c r="AYJ46" s="1041"/>
      <c r="AYK46" s="1041"/>
      <c r="AYL46" s="1041"/>
      <c r="AYM46" s="1041"/>
      <c r="AYN46" s="1041"/>
      <c r="AYO46" s="1041"/>
      <c r="AYP46" s="1041"/>
      <c r="AYQ46" s="1041"/>
      <c r="AYR46" s="1041"/>
      <c r="AYS46" s="1041"/>
      <c r="AYT46" s="1041"/>
      <c r="AYU46" s="1041"/>
      <c r="AYV46" s="1041"/>
      <c r="AYW46" s="1041"/>
      <c r="AYX46" s="1041"/>
      <c r="AYY46" s="1041"/>
      <c r="AYZ46" s="1041"/>
      <c r="AZA46" s="1041"/>
      <c r="AZB46" s="1041"/>
      <c r="AZC46" s="1041"/>
      <c r="AZD46" s="1041"/>
      <c r="AZE46" s="1041"/>
      <c r="AZF46" s="1041"/>
      <c r="AZG46" s="1041"/>
      <c r="AZH46" s="1041"/>
      <c r="AZI46" s="1041"/>
      <c r="AZJ46" s="1041"/>
      <c r="AZK46" s="1041"/>
      <c r="AZL46" s="1041"/>
      <c r="AZM46" s="1041"/>
      <c r="AZN46" s="1041"/>
      <c r="AZO46" s="1041"/>
      <c r="AZP46" s="1041"/>
      <c r="AZQ46" s="1041"/>
      <c r="AZR46" s="1041"/>
      <c r="AZS46" s="1041"/>
      <c r="AZT46" s="1041"/>
      <c r="AZU46" s="1041"/>
      <c r="AZV46" s="1041"/>
      <c r="AZW46" s="1041"/>
      <c r="AZX46" s="1041"/>
      <c r="AZY46" s="1041"/>
      <c r="AZZ46" s="1041"/>
      <c r="BAA46" s="1041"/>
      <c r="BAB46" s="1041"/>
      <c r="BAC46" s="1041"/>
      <c r="BAD46" s="1041"/>
      <c r="BAE46" s="1041"/>
      <c r="BAF46" s="1041"/>
      <c r="BAG46" s="1041"/>
      <c r="BAH46" s="1041"/>
      <c r="BAI46" s="1041"/>
      <c r="BAJ46" s="1041"/>
      <c r="BAK46" s="1041"/>
      <c r="BAL46" s="1041"/>
      <c r="BAM46" s="1041"/>
      <c r="BAN46" s="1041"/>
      <c r="BAO46" s="1041"/>
      <c r="BAP46" s="1041"/>
      <c r="BAQ46" s="1041"/>
      <c r="BAR46" s="1041"/>
      <c r="BAS46" s="1041"/>
      <c r="BAT46" s="1041"/>
      <c r="BAU46" s="1041"/>
      <c r="BAV46" s="1041"/>
      <c r="BAW46" s="1041"/>
      <c r="BAX46" s="1041"/>
      <c r="BAY46" s="1041"/>
      <c r="BAZ46" s="1041"/>
      <c r="BBA46" s="1041"/>
      <c r="BBB46" s="1041"/>
      <c r="BBC46" s="1041"/>
      <c r="BBD46" s="1041"/>
      <c r="BBE46" s="1041"/>
      <c r="BBF46" s="1041"/>
      <c r="BBG46" s="1041"/>
      <c r="BBH46" s="1041"/>
      <c r="BBI46" s="1041"/>
      <c r="BBJ46" s="1041"/>
      <c r="BBK46" s="1041"/>
      <c r="BBL46" s="1041"/>
      <c r="BBM46" s="1041"/>
      <c r="BBN46" s="1041"/>
      <c r="BBO46" s="1041"/>
      <c r="BBP46" s="1041"/>
      <c r="BBQ46" s="1041"/>
      <c r="BBR46" s="1041"/>
      <c r="BBS46" s="1041"/>
      <c r="BBT46" s="1041"/>
      <c r="BBU46" s="1041"/>
      <c r="BBV46" s="1041"/>
      <c r="BBW46" s="1041"/>
      <c r="BBX46" s="1041"/>
      <c r="BBY46" s="1041"/>
      <c r="BBZ46" s="1041"/>
      <c r="BCA46" s="1041"/>
      <c r="BCB46" s="1041"/>
      <c r="BCC46" s="1041"/>
      <c r="BCD46" s="1041"/>
      <c r="BCE46" s="1041"/>
      <c r="BCF46" s="1041"/>
      <c r="BCG46" s="1041"/>
      <c r="BCH46" s="1041"/>
      <c r="BCI46" s="1041"/>
      <c r="BCJ46" s="1041"/>
      <c r="BCK46" s="1041"/>
      <c r="BCL46" s="1041"/>
      <c r="BCM46" s="1041"/>
      <c r="BCN46" s="1041"/>
      <c r="BCO46" s="1041"/>
      <c r="BCP46" s="1041"/>
      <c r="BCQ46" s="1041"/>
      <c r="BCR46" s="1041"/>
      <c r="BCS46" s="1041"/>
      <c r="BCT46" s="1041"/>
      <c r="BCU46" s="1041"/>
      <c r="BCV46" s="1041"/>
      <c r="BCW46" s="1041"/>
      <c r="BCX46" s="1041"/>
      <c r="BCY46" s="1041"/>
      <c r="BCZ46" s="1041"/>
      <c r="BDA46" s="1041"/>
      <c r="BDB46" s="1041"/>
      <c r="BDC46" s="1041"/>
      <c r="BDD46" s="1041"/>
      <c r="BDE46" s="1041"/>
      <c r="BDF46" s="1041"/>
      <c r="BDG46" s="1041"/>
      <c r="BDH46" s="1041"/>
      <c r="BDI46" s="1041"/>
      <c r="BDJ46" s="1041"/>
      <c r="BDK46" s="1041"/>
      <c r="BDL46" s="1041"/>
      <c r="BDM46" s="1041"/>
      <c r="BDN46" s="1041"/>
      <c r="BDO46" s="1041"/>
      <c r="BDP46" s="1041"/>
      <c r="BDQ46" s="1041"/>
      <c r="BDR46" s="1041"/>
      <c r="BDS46" s="1041"/>
      <c r="BDT46" s="1041"/>
      <c r="BDU46" s="1041"/>
      <c r="BDV46" s="1041"/>
      <c r="BDW46" s="1041"/>
      <c r="BDX46" s="1041"/>
      <c r="BDY46" s="1041"/>
      <c r="BDZ46" s="1041"/>
      <c r="BEA46" s="1041"/>
      <c r="BEB46" s="1041"/>
      <c r="BEC46" s="1041"/>
      <c r="BED46" s="1041"/>
      <c r="BEE46" s="1041"/>
      <c r="BEF46" s="1041"/>
      <c r="BEG46" s="1041"/>
      <c r="BEH46" s="1041"/>
      <c r="BEI46" s="1041"/>
      <c r="BEJ46" s="1041"/>
      <c r="BEK46" s="1041"/>
      <c r="BEL46" s="1041"/>
      <c r="BEM46" s="1041"/>
      <c r="BEN46" s="1041"/>
      <c r="BEO46" s="1041"/>
      <c r="BEP46" s="1041"/>
      <c r="BEQ46" s="1041"/>
      <c r="BER46" s="1041"/>
      <c r="BES46" s="1041"/>
      <c r="BET46" s="1041"/>
      <c r="BEU46" s="1041"/>
      <c r="BEV46" s="1041"/>
      <c r="BEW46" s="1041"/>
      <c r="BEX46" s="1041"/>
      <c r="BEY46" s="1041"/>
      <c r="BEZ46" s="1041"/>
      <c r="BFA46" s="1041"/>
      <c r="BFB46" s="1041"/>
      <c r="BFC46" s="1041"/>
      <c r="BFD46" s="1041"/>
      <c r="BFE46" s="1041"/>
      <c r="BFF46" s="1041"/>
      <c r="BFG46" s="1041"/>
      <c r="BFH46" s="1041"/>
      <c r="BFI46" s="1041"/>
      <c r="BFJ46" s="1041"/>
      <c r="BFK46" s="1041"/>
      <c r="BFL46" s="1041"/>
      <c r="BFM46" s="1041"/>
      <c r="BFN46" s="1041"/>
      <c r="BFO46" s="1041"/>
      <c r="BFP46" s="1041"/>
      <c r="BFQ46" s="1041"/>
      <c r="BFR46" s="1041"/>
      <c r="BFS46" s="1041"/>
      <c r="BFT46" s="1041"/>
      <c r="BFU46" s="1041"/>
      <c r="BFV46" s="1041"/>
      <c r="BFW46" s="1041"/>
      <c r="BFX46" s="1041"/>
      <c r="BFY46" s="1041"/>
      <c r="BFZ46" s="1041"/>
      <c r="BGA46" s="1041"/>
      <c r="BGB46" s="1041"/>
      <c r="BGC46" s="1041"/>
      <c r="BGD46" s="1041"/>
      <c r="BGE46" s="1041"/>
      <c r="BGF46" s="1041"/>
      <c r="BGG46" s="1041"/>
      <c r="BGH46" s="1041"/>
      <c r="BGI46" s="1041"/>
      <c r="BGJ46" s="1041"/>
      <c r="BGK46" s="1041"/>
      <c r="BGL46" s="1041"/>
      <c r="BGM46" s="1041"/>
      <c r="BGN46" s="1041"/>
      <c r="BGO46" s="1041"/>
      <c r="BGP46" s="1041"/>
      <c r="BGQ46" s="1041"/>
      <c r="BGR46" s="1041"/>
      <c r="BGS46" s="1041"/>
      <c r="BGT46" s="1041"/>
      <c r="BGU46" s="1041"/>
      <c r="BGV46" s="1041"/>
      <c r="BGW46" s="1041"/>
      <c r="BGX46" s="1041"/>
      <c r="BGY46" s="1041"/>
      <c r="BGZ46" s="1041"/>
      <c r="BHA46" s="1041"/>
      <c r="BHB46" s="1041"/>
      <c r="BHC46" s="1041"/>
      <c r="BHD46" s="1041"/>
      <c r="BHE46" s="1041"/>
      <c r="BHF46" s="1041"/>
      <c r="BHG46" s="1041"/>
      <c r="BHH46" s="1041"/>
      <c r="BHI46" s="1041"/>
      <c r="BHJ46" s="1041"/>
      <c r="BHK46" s="1041"/>
      <c r="BHL46" s="1041"/>
      <c r="BHM46" s="1041"/>
      <c r="BHN46" s="1041"/>
      <c r="BHO46" s="1041"/>
      <c r="BHP46" s="1041"/>
      <c r="BHQ46" s="1041"/>
      <c r="BHR46" s="1041"/>
      <c r="BHS46" s="1041"/>
      <c r="BHT46" s="1041"/>
      <c r="BHU46" s="1041"/>
      <c r="BHV46" s="1041"/>
      <c r="BHW46" s="1041"/>
      <c r="BHX46" s="1041"/>
      <c r="BHY46" s="1041"/>
      <c r="BHZ46" s="1041"/>
      <c r="BIA46" s="1041"/>
      <c r="BIB46" s="1041"/>
      <c r="BIC46" s="1041"/>
      <c r="BID46" s="1041"/>
      <c r="BIE46" s="1041"/>
      <c r="BIF46" s="1041"/>
      <c r="BIG46" s="1041"/>
      <c r="BIH46" s="1041"/>
      <c r="BII46" s="1041"/>
      <c r="BIJ46" s="1041"/>
      <c r="BIK46" s="1041"/>
      <c r="BIL46" s="1041"/>
      <c r="BIM46" s="1041"/>
      <c r="BIN46" s="1041"/>
      <c r="BIO46" s="1041"/>
      <c r="BIP46" s="1041"/>
      <c r="BIQ46" s="1041"/>
      <c r="BIR46" s="1041"/>
      <c r="BIS46" s="1041"/>
      <c r="BIT46" s="1041"/>
      <c r="BIU46" s="1041"/>
      <c r="BIV46" s="1041"/>
      <c r="BIW46" s="1041"/>
      <c r="BIX46" s="1041"/>
      <c r="BIY46" s="1041"/>
      <c r="BIZ46" s="1041"/>
      <c r="BJA46" s="1041"/>
      <c r="BJB46" s="1041"/>
      <c r="BJC46" s="1041"/>
      <c r="BJD46" s="1041"/>
      <c r="BJE46" s="1041"/>
      <c r="BJF46" s="1041"/>
      <c r="BJG46" s="1041"/>
      <c r="BJH46" s="1041"/>
      <c r="BJI46" s="1041"/>
      <c r="BJJ46" s="1041"/>
      <c r="BJK46" s="1041"/>
      <c r="BJL46" s="1041"/>
      <c r="BJM46" s="1041"/>
      <c r="BJN46" s="1041"/>
      <c r="BJO46" s="1041"/>
      <c r="BJP46" s="1041"/>
      <c r="BJQ46" s="1041"/>
      <c r="BJR46" s="1041"/>
      <c r="BJS46" s="1041"/>
      <c r="BJT46" s="1041"/>
      <c r="BJU46" s="1041"/>
      <c r="BJV46" s="1041"/>
      <c r="BJW46" s="1041"/>
      <c r="BJX46" s="1041"/>
      <c r="BJY46" s="1041"/>
      <c r="BJZ46" s="1041"/>
      <c r="BKA46" s="1041"/>
      <c r="BKB46" s="1041"/>
      <c r="BKC46" s="1041"/>
      <c r="BKD46" s="1041"/>
      <c r="BKE46" s="1041"/>
      <c r="BKF46" s="1041"/>
      <c r="BKG46" s="1041"/>
      <c r="BKH46" s="1041"/>
      <c r="BKI46" s="1041"/>
      <c r="BKJ46" s="1041"/>
      <c r="BKK46" s="1041"/>
      <c r="BKL46" s="1041"/>
      <c r="BKM46" s="1041"/>
      <c r="BKN46" s="1041"/>
      <c r="BKO46" s="1041"/>
      <c r="BKP46" s="1041"/>
      <c r="BKQ46" s="1041"/>
      <c r="BKR46" s="1041"/>
      <c r="BKS46" s="1041"/>
      <c r="BKT46" s="1041"/>
      <c r="BKU46" s="1041"/>
      <c r="BKV46" s="1041"/>
      <c r="BKW46" s="1041"/>
      <c r="BKX46" s="1041"/>
      <c r="BKY46" s="1041"/>
      <c r="BKZ46" s="1041"/>
      <c r="BLA46" s="1041"/>
      <c r="BLB46" s="1041"/>
      <c r="BLC46" s="1041"/>
      <c r="BLD46" s="1041"/>
      <c r="BLE46" s="1041"/>
      <c r="BLF46" s="1041"/>
      <c r="BLG46" s="1041"/>
      <c r="BLH46" s="1041"/>
      <c r="BLI46" s="1041"/>
      <c r="BLJ46" s="1041"/>
      <c r="BLK46" s="1041"/>
      <c r="BLL46" s="1041"/>
      <c r="BLM46" s="1041"/>
      <c r="BLN46" s="1041"/>
      <c r="BLO46" s="1041"/>
      <c r="BLP46" s="1041"/>
      <c r="BLQ46" s="1041"/>
      <c r="BLR46" s="1041"/>
      <c r="BLS46" s="1041"/>
      <c r="BLT46" s="1041"/>
      <c r="BLU46" s="1041"/>
      <c r="BLV46" s="1041"/>
      <c r="BLW46" s="1041"/>
      <c r="BLX46" s="1041"/>
      <c r="BLY46" s="1041"/>
      <c r="BLZ46" s="1041"/>
      <c r="BMA46" s="1041"/>
      <c r="BMB46" s="1041"/>
      <c r="BMC46" s="1041"/>
      <c r="BMD46" s="1041"/>
      <c r="BME46" s="1041"/>
      <c r="BMF46" s="1041"/>
      <c r="BMG46" s="1041"/>
      <c r="BMH46" s="1041"/>
      <c r="BMI46" s="1041"/>
      <c r="BMJ46" s="1041"/>
      <c r="BMK46" s="1041"/>
      <c r="BML46" s="1041"/>
      <c r="BMM46" s="1041"/>
      <c r="BMN46" s="1041"/>
      <c r="BMO46" s="1041"/>
      <c r="BMP46" s="1041"/>
      <c r="BMQ46" s="1041"/>
      <c r="BMR46" s="1041"/>
      <c r="BMS46" s="1041"/>
      <c r="BMT46" s="1041"/>
      <c r="BMU46" s="1041"/>
      <c r="BMV46" s="1041"/>
      <c r="BMW46" s="1041"/>
      <c r="BMX46" s="1041"/>
      <c r="BMY46" s="1041"/>
      <c r="BMZ46" s="1041"/>
      <c r="BNA46" s="1041"/>
      <c r="BNB46" s="1041"/>
      <c r="BNC46" s="1041"/>
      <c r="BND46" s="1041"/>
      <c r="BNE46" s="1041"/>
      <c r="BNF46" s="1041"/>
      <c r="BNG46" s="1041"/>
      <c r="BNH46" s="1041"/>
      <c r="BNI46" s="1041"/>
      <c r="BNJ46" s="1041"/>
      <c r="BNK46" s="1041"/>
      <c r="BNL46" s="1041"/>
      <c r="BNM46" s="1041"/>
      <c r="BNN46" s="1041"/>
      <c r="BNO46" s="1041"/>
      <c r="BNP46" s="1041"/>
      <c r="BNQ46" s="1041"/>
      <c r="BNR46" s="1041"/>
      <c r="BNS46" s="1041"/>
      <c r="BNT46" s="1041"/>
      <c r="BNU46" s="1041"/>
      <c r="BNV46" s="1041"/>
      <c r="BNW46" s="1041"/>
      <c r="BNX46" s="1041"/>
      <c r="BNY46" s="1041"/>
      <c r="BNZ46" s="1041"/>
      <c r="BOA46" s="1041"/>
      <c r="BOB46" s="1041"/>
      <c r="BOC46" s="1041"/>
      <c r="BOD46" s="1041"/>
      <c r="BOE46" s="1041"/>
      <c r="BOF46" s="1041"/>
      <c r="BOG46" s="1041"/>
      <c r="BOH46" s="1041"/>
      <c r="BOI46" s="1041"/>
      <c r="BOJ46" s="1041"/>
      <c r="BOK46" s="1041"/>
      <c r="BOL46" s="1041"/>
      <c r="BOM46" s="1041"/>
      <c r="BON46" s="1041"/>
      <c r="BOO46" s="1041"/>
      <c r="BOP46" s="1041"/>
      <c r="BOQ46" s="1041"/>
      <c r="BOR46" s="1041"/>
      <c r="BOS46" s="1041"/>
      <c r="BOT46" s="1041"/>
      <c r="BOU46" s="1041"/>
      <c r="BOV46" s="1041"/>
      <c r="BOW46" s="1041"/>
      <c r="BOX46" s="1041"/>
      <c r="BOY46" s="1041"/>
      <c r="BOZ46" s="1041"/>
      <c r="BPA46" s="1041"/>
      <c r="BPB46" s="1041"/>
      <c r="BPC46" s="1041"/>
      <c r="BPD46" s="1041"/>
      <c r="BPE46" s="1041"/>
      <c r="BPF46" s="1041"/>
      <c r="BPG46" s="1041"/>
      <c r="BPH46" s="1041"/>
      <c r="BPI46" s="1041"/>
      <c r="BPJ46" s="1041"/>
      <c r="BPK46" s="1041"/>
      <c r="BPL46" s="1041"/>
      <c r="BPM46" s="1041"/>
      <c r="BPN46" s="1041"/>
      <c r="BPO46" s="1041"/>
      <c r="BPP46" s="1041"/>
      <c r="BPQ46" s="1041"/>
      <c r="BPR46" s="1041"/>
      <c r="BPS46" s="1041"/>
      <c r="BPT46" s="1041"/>
      <c r="BPU46" s="1041"/>
      <c r="BPV46" s="1041"/>
      <c r="BPW46" s="1041"/>
      <c r="BPX46" s="1041"/>
      <c r="BPY46" s="1041"/>
      <c r="BPZ46" s="1041"/>
      <c r="BQA46" s="1041"/>
      <c r="BQB46" s="1041"/>
      <c r="BQC46" s="1041"/>
      <c r="BQD46" s="1041"/>
      <c r="BQE46" s="1041"/>
      <c r="BQF46" s="1041"/>
      <c r="BQG46" s="1041"/>
      <c r="BQH46" s="1041"/>
      <c r="BQI46" s="1041"/>
      <c r="BQJ46" s="1041"/>
      <c r="BQK46" s="1041"/>
      <c r="BQL46" s="1041"/>
      <c r="BQM46" s="1041"/>
      <c r="BQN46" s="1041"/>
      <c r="BQO46" s="1041"/>
      <c r="BQP46" s="1041"/>
      <c r="BQQ46" s="1041"/>
      <c r="BQR46" s="1041"/>
      <c r="BQS46" s="1041"/>
      <c r="BQT46" s="1041"/>
      <c r="BQU46" s="1041"/>
      <c r="BQV46" s="1041"/>
      <c r="BQW46" s="1041"/>
      <c r="BQX46" s="1041"/>
      <c r="BQY46" s="1041"/>
      <c r="BQZ46" s="1041"/>
      <c r="BRA46" s="1041"/>
      <c r="BRB46" s="1041"/>
      <c r="BRC46" s="1041"/>
      <c r="BRD46" s="1041"/>
      <c r="BRE46" s="1041"/>
      <c r="BRF46" s="1041"/>
      <c r="BRG46" s="1041"/>
      <c r="BRH46" s="1041"/>
      <c r="BRI46" s="1041"/>
      <c r="BRJ46" s="1041"/>
      <c r="BRK46" s="1041"/>
      <c r="BRL46" s="1041"/>
      <c r="BRM46" s="1041"/>
      <c r="BRN46" s="1041"/>
      <c r="BRO46" s="1041"/>
      <c r="BRP46" s="1041"/>
      <c r="BRQ46" s="1041"/>
      <c r="BRR46" s="1041"/>
      <c r="BRS46" s="1041"/>
      <c r="BRT46" s="1041"/>
      <c r="BRU46" s="1041"/>
      <c r="BRV46" s="1041"/>
      <c r="BRW46" s="1041"/>
      <c r="BRX46" s="1041"/>
      <c r="BRY46" s="1041"/>
      <c r="BRZ46" s="1041"/>
      <c r="BSA46" s="1041"/>
      <c r="BSB46" s="1041"/>
      <c r="BSC46" s="1041"/>
      <c r="BSD46" s="1041"/>
      <c r="BSE46" s="1041"/>
      <c r="BSF46" s="1041"/>
      <c r="BSG46" s="1041"/>
      <c r="BSH46" s="1041"/>
      <c r="BSI46" s="1041"/>
      <c r="BSJ46" s="1041"/>
      <c r="BSK46" s="1041"/>
      <c r="BSL46" s="1041"/>
      <c r="BSM46" s="1041"/>
      <c r="BSN46" s="1041"/>
      <c r="BSO46" s="1041"/>
      <c r="BSP46" s="1041"/>
      <c r="BSQ46" s="1041"/>
      <c r="BSR46" s="1041"/>
      <c r="BSS46" s="1041"/>
      <c r="BST46" s="1041"/>
      <c r="BSU46" s="1041"/>
      <c r="BSV46" s="1041"/>
      <c r="BSW46" s="1041"/>
      <c r="BSX46" s="1041"/>
      <c r="BSY46" s="1041"/>
      <c r="BSZ46" s="1041"/>
      <c r="BTA46" s="1041"/>
      <c r="BTB46" s="1041"/>
      <c r="BTC46" s="1041"/>
      <c r="BTD46" s="1041"/>
      <c r="BTE46" s="1041"/>
      <c r="BTF46" s="1041"/>
      <c r="BTG46" s="1041"/>
      <c r="BTH46" s="1041"/>
      <c r="BTI46" s="1041"/>
      <c r="BTJ46" s="1041"/>
      <c r="BTK46" s="1041"/>
      <c r="BTL46" s="1041"/>
      <c r="BTM46" s="1041"/>
      <c r="BTN46" s="1041"/>
      <c r="BTO46" s="1041"/>
      <c r="BTP46" s="1041"/>
      <c r="BTQ46" s="1041"/>
      <c r="BTR46" s="1041"/>
      <c r="BTS46" s="1041"/>
      <c r="BTT46" s="1041"/>
      <c r="BTU46" s="1041"/>
      <c r="BTV46" s="1041"/>
      <c r="BTW46" s="1041"/>
      <c r="BTX46" s="1041"/>
      <c r="BTY46" s="1041"/>
      <c r="BTZ46" s="1041"/>
      <c r="BUA46" s="1041"/>
      <c r="BUB46" s="1041"/>
      <c r="BUC46" s="1041"/>
      <c r="BUD46" s="1041"/>
      <c r="BUE46" s="1041"/>
      <c r="BUF46" s="1041"/>
      <c r="BUG46" s="1041"/>
      <c r="BUH46" s="1041"/>
      <c r="BUI46" s="1041"/>
      <c r="BUJ46" s="1041"/>
      <c r="BUK46" s="1041"/>
      <c r="BUL46" s="1041"/>
      <c r="BUM46" s="1041"/>
      <c r="BUN46" s="1041"/>
      <c r="BUO46" s="1041"/>
      <c r="BUP46" s="1041"/>
      <c r="BUQ46" s="1041"/>
      <c r="BUR46" s="1041"/>
      <c r="BUS46" s="1041"/>
      <c r="BUT46" s="1041"/>
      <c r="BUU46" s="1041"/>
      <c r="BUV46" s="1041"/>
      <c r="BUW46" s="1041"/>
      <c r="BUX46" s="1041"/>
      <c r="BUY46" s="1041"/>
      <c r="BUZ46" s="1041"/>
      <c r="BVA46" s="1041"/>
      <c r="BVB46" s="1041"/>
      <c r="BVC46" s="1041"/>
      <c r="BVD46" s="1041"/>
      <c r="BVE46" s="1041"/>
      <c r="BVF46" s="1041"/>
      <c r="BVG46" s="1041"/>
      <c r="BVH46" s="1041"/>
      <c r="BVI46" s="1041"/>
      <c r="BVJ46" s="1041"/>
      <c r="BVK46" s="1041"/>
      <c r="BVL46" s="1041"/>
      <c r="BVM46" s="1041"/>
      <c r="BVN46" s="1041"/>
      <c r="BVO46" s="1041"/>
      <c r="BVP46" s="1041"/>
      <c r="BVQ46" s="1041"/>
      <c r="BVR46" s="1041"/>
      <c r="BVS46" s="1041"/>
      <c r="BVT46" s="1041"/>
      <c r="BVU46" s="1041"/>
      <c r="BVV46" s="1041"/>
      <c r="BVW46" s="1041"/>
      <c r="BVX46" s="1041"/>
      <c r="BVY46" s="1041"/>
      <c r="BVZ46" s="1041"/>
      <c r="BWA46" s="1041"/>
      <c r="BWB46" s="1041"/>
      <c r="BWC46" s="1041"/>
      <c r="BWD46" s="1041"/>
      <c r="BWE46" s="1041"/>
      <c r="BWF46" s="1041"/>
      <c r="BWG46" s="1041"/>
      <c r="BWH46" s="1041"/>
      <c r="BWI46" s="1041"/>
      <c r="BWJ46" s="1041"/>
      <c r="BWK46" s="1041"/>
      <c r="BWL46" s="1041"/>
      <c r="BWM46" s="1041"/>
      <c r="BWN46" s="1041"/>
      <c r="BWO46" s="1041"/>
      <c r="BWP46" s="1041"/>
      <c r="BWQ46" s="1041"/>
      <c r="BWR46" s="1041"/>
      <c r="BWS46" s="1041"/>
      <c r="BWT46" s="1041"/>
      <c r="BWU46" s="1041"/>
      <c r="BWV46" s="1041"/>
      <c r="BWW46" s="1041"/>
      <c r="BWX46" s="1041"/>
      <c r="BWY46" s="1041"/>
      <c r="BWZ46" s="1041"/>
      <c r="BXA46" s="1041"/>
      <c r="BXB46" s="1041"/>
      <c r="BXC46" s="1041"/>
      <c r="BXD46" s="1041"/>
      <c r="BXE46" s="1041"/>
      <c r="BXF46" s="1041"/>
      <c r="BXG46" s="1041"/>
      <c r="BXH46" s="1041"/>
      <c r="BXI46" s="1041"/>
      <c r="BXJ46" s="1041"/>
      <c r="BXK46" s="1041"/>
      <c r="BXL46" s="1041"/>
      <c r="BXM46" s="1041"/>
      <c r="BXN46" s="1041"/>
      <c r="BXO46" s="1041"/>
      <c r="BXP46" s="1041"/>
      <c r="BXQ46" s="1041"/>
      <c r="BXR46" s="1041"/>
      <c r="BXS46" s="1041"/>
      <c r="BXT46" s="1041"/>
      <c r="BXU46" s="1041"/>
      <c r="BXV46" s="1041"/>
      <c r="BXW46" s="1041"/>
      <c r="BXX46" s="1041"/>
      <c r="BXY46" s="1041"/>
      <c r="BXZ46" s="1041"/>
      <c r="BYA46" s="1041"/>
      <c r="BYB46" s="1041"/>
      <c r="BYC46" s="1041"/>
      <c r="BYD46" s="1041"/>
      <c r="BYE46" s="1041"/>
      <c r="BYF46" s="1041"/>
      <c r="BYG46" s="1041"/>
      <c r="BYH46" s="1041"/>
      <c r="BYI46" s="1041"/>
      <c r="BYJ46" s="1041"/>
      <c r="BYK46" s="1041"/>
      <c r="BYL46" s="1041"/>
      <c r="BYM46" s="1041"/>
      <c r="BYN46" s="1041"/>
      <c r="BYO46" s="1041"/>
      <c r="BYP46" s="1041"/>
      <c r="BYQ46" s="1041"/>
      <c r="BYR46" s="1041"/>
      <c r="BYS46" s="1041"/>
      <c r="BYT46" s="1041"/>
      <c r="BYU46" s="1041"/>
      <c r="BYV46" s="1041"/>
      <c r="BYW46" s="1041"/>
      <c r="BYX46" s="1041"/>
      <c r="BYY46" s="1041"/>
      <c r="BYZ46" s="1041"/>
      <c r="BZA46" s="1041"/>
      <c r="BZB46" s="1041"/>
      <c r="BZC46" s="1041"/>
      <c r="BZD46" s="1041"/>
      <c r="BZE46" s="1041"/>
      <c r="BZF46" s="1041"/>
      <c r="BZG46" s="1041"/>
      <c r="BZH46" s="1041"/>
      <c r="BZI46" s="1041"/>
      <c r="BZJ46" s="1041"/>
      <c r="BZK46" s="1041"/>
      <c r="BZL46" s="1041"/>
      <c r="BZM46" s="1041"/>
      <c r="BZN46" s="1041"/>
      <c r="BZO46" s="1041"/>
      <c r="BZP46" s="1041"/>
      <c r="BZQ46" s="1041"/>
      <c r="BZR46" s="1041"/>
      <c r="BZS46" s="1041"/>
      <c r="BZT46" s="1041"/>
      <c r="BZU46" s="1041"/>
      <c r="BZV46" s="1041"/>
      <c r="BZW46" s="1041"/>
      <c r="BZX46" s="1041"/>
      <c r="BZY46" s="1041"/>
      <c r="BZZ46" s="1041"/>
      <c r="CAA46" s="1041"/>
      <c r="CAB46" s="1041"/>
      <c r="CAC46" s="1041"/>
      <c r="CAD46" s="1041"/>
      <c r="CAE46" s="1041"/>
      <c r="CAF46" s="1041"/>
      <c r="CAG46" s="1041"/>
      <c r="CAH46" s="1041"/>
      <c r="CAI46" s="1041"/>
      <c r="CAJ46" s="1041"/>
      <c r="CAK46" s="1041"/>
      <c r="CAL46" s="1041"/>
      <c r="CAM46" s="1041"/>
      <c r="CAN46" s="1041"/>
      <c r="CAO46" s="1041"/>
      <c r="CAP46" s="1041"/>
      <c r="CAQ46" s="1041"/>
      <c r="CAR46" s="1041"/>
      <c r="CAS46" s="1041"/>
      <c r="CAT46" s="1041"/>
      <c r="CAU46" s="1041"/>
      <c r="CAV46" s="1041"/>
      <c r="CAW46" s="1041"/>
      <c r="CAX46" s="1041"/>
      <c r="CAY46" s="1041"/>
      <c r="CAZ46" s="1041"/>
      <c r="CBA46" s="1041"/>
      <c r="CBB46" s="1041"/>
      <c r="CBC46" s="1041"/>
      <c r="CBD46" s="1041"/>
      <c r="CBE46" s="1041"/>
      <c r="CBF46" s="1041"/>
      <c r="CBG46" s="1041"/>
      <c r="CBH46" s="1041"/>
      <c r="CBI46" s="1041"/>
      <c r="CBJ46" s="1041"/>
      <c r="CBK46" s="1041"/>
      <c r="CBL46" s="1041"/>
      <c r="CBM46" s="1041"/>
      <c r="CBN46" s="1041"/>
      <c r="CBO46" s="1041"/>
      <c r="CBP46" s="1041"/>
      <c r="CBQ46" s="1041"/>
      <c r="CBR46" s="1041"/>
      <c r="CBS46" s="1041"/>
      <c r="CBT46" s="1041"/>
      <c r="CBU46" s="1041"/>
      <c r="CBV46" s="1041"/>
      <c r="CBW46" s="1041"/>
      <c r="CBX46" s="1041"/>
      <c r="CBY46" s="1041"/>
      <c r="CBZ46" s="1041"/>
      <c r="CCA46" s="1041"/>
      <c r="CCB46" s="1041"/>
      <c r="CCC46" s="1041"/>
      <c r="CCD46" s="1041"/>
      <c r="CCE46" s="1041"/>
      <c r="CCF46" s="1041"/>
      <c r="CCG46" s="1041"/>
      <c r="CCH46" s="1041"/>
      <c r="CCI46" s="1041"/>
      <c r="CCJ46" s="1041"/>
      <c r="CCK46" s="1041"/>
      <c r="CCL46" s="1041"/>
      <c r="CCM46" s="1041"/>
      <c r="CCN46" s="1041"/>
      <c r="CCO46" s="1041"/>
      <c r="CCP46" s="1041"/>
      <c r="CCQ46" s="1041"/>
      <c r="CCR46" s="1041"/>
      <c r="CCS46" s="1041"/>
      <c r="CCT46" s="1041"/>
      <c r="CCU46" s="1041"/>
      <c r="CCV46" s="1041"/>
      <c r="CCW46" s="1041"/>
      <c r="CCX46" s="1041"/>
      <c r="CCY46" s="1041"/>
      <c r="CCZ46" s="1041"/>
      <c r="CDA46" s="1041"/>
      <c r="CDB46" s="1041"/>
      <c r="CDC46" s="1041"/>
      <c r="CDD46" s="1041"/>
      <c r="CDE46" s="1041"/>
      <c r="CDF46" s="1041"/>
      <c r="CDG46" s="1041"/>
      <c r="CDH46" s="1041"/>
      <c r="CDI46" s="1041"/>
      <c r="CDJ46" s="1041"/>
      <c r="CDK46" s="1041"/>
      <c r="CDL46" s="1041"/>
      <c r="CDM46" s="1041"/>
      <c r="CDN46" s="1041"/>
      <c r="CDO46" s="1041"/>
      <c r="CDP46" s="1041"/>
      <c r="CDQ46" s="1041"/>
      <c r="CDR46" s="1041"/>
      <c r="CDS46" s="1041"/>
      <c r="CDT46" s="1041"/>
      <c r="CDU46" s="1041"/>
      <c r="CDV46" s="1041"/>
      <c r="CDW46" s="1041"/>
      <c r="CDX46" s="1041"/>
      <c r="CDY46" s="1041"/>
      <c r="CDZ46" s="1041"/>
      <c r="CEA46" s="1041"/>
      <c r="CEB46" s="1041"/>
      <c r="CEC46" s="1041"/>
      <c r="CED46" s="1041"/>
      <c r="CEE46" s="1041"/>
      <c r="CEF46" s="1041"/>
      <c r="CEG46" s="1041"/>
      <c r="CEH46" s="1041"/>
      <c r="CEI46" s="1041"/>
      <c r="CEJ46" s="1041"/>
      <c r="CEK46" s="1041"/>
      <c r="CEL46" s="1041"/>
      <c r="CEM46" s="1041"/>
      <c r="CEN46" s="1041"/>
      <c r="CEO46" s="1041"/>
      <c r="CEP46" s="1041"/>
      <c r="CEQ46" s="1041"/>
      <c r="CER46" s="1041"/>
      <c r="CES46" s="1041"/>
      <c r="CET46" s="1041"/>
      <c r="CEU46" s="1041"/>
      <c r="CEV46" s="1041"/>
      <c r="CEW46" s="1041"/>
      <c r="CEX46" s="1041"/>
      <c r="CEY46" s="1041"/>
      <c r="CEZ46" s="1041"/>
      <c r="CFA46" s="1041"/>
      <c r="CFB46" s="1041"/>
      <c r="CFC46" s="1041"/>
      <c r="CFD46" s="1041"/>
      <c r="CFE46" s="1041"/>
      <c r="CFF46" s="1041"/>
      <c r="CFG46" s="1041"/>
      <c r="CFH46" s="1041"/>
      <c r="CFI46" s="1041"/>
      <c r="CFJ46" s="1041"/>
      <c r="CFK46" s="1041"/>
      <c r="CFL46" s="1041"/>
      <c r="CFM46" s="1041"/>
      <c r="CFN46" s="1041"/>
      <c r="CFO46" s="1041"/>
      <c r="CFP46" s="1041"/>
      <c r="CFQ46" s="1041"/>
      <c r="CFR46" s="1041"/>
      <c r="CFS46" s="1041"/>
      <c r="CFT46" s="1041"/>
      <c r="CFU46" s="1041"/>
      <c r="CFV46" s="1041"/>
      <c r="CFW46" s="1041"/>
      <c r="CFX46" s="1041"/>
      <c r="CFY46" s="1041"/>
      <c r="CFZ46" s="1041"/>
      <c r="CGA46" s="1041"/>
      <c r="CGB46" s="1041"/>
      <c r="CGC46" s="1041"/>
      <c r="CGD46" s="1041"/>
      <c r="CGE46" s="1041"/>
      <c r="CGF46" s="1041"/>
      <c r="CGG46" s="1041"/>
      <c r="CGH46" s="1041"/>
      <c r="CGI46" s="1041"/>
      <c r="CGJ46" s="1041"/>
      <c r="CGK46" s="1041"/>
      <c r="CGL46" s="1041"/>
      <c r="CGM46" s="1041"/>
      <c r="CGN46" s="1041"/>
      <c r="CGO46" s="1041"/>
      <c r="CGP46" s="1041"/>
      <c r="CGQ46" s="1041"/>
      <c r="CGR46" s="1041"/>
      <c r="CGS46" s="1041"/>
      <c r="CGT46" s="1041"/>
      <c r="CGU46" s="1041"/>
      <c r="CGV46" s="1041"/>
      <c r="CGW46" s="1041"/>
      <c r="CGX46" s="1041"/>
      <c r="CGY46" s="1041"/>
      <c r="CGZ46" s="1041"/>
      <c r="CHA46" s="1041"/>
      <c r="CHB46" s="1041"/>
      <c r="CHC46" s="1041"/>
      <c r="CHD46" s="1041"/>
      <c r="CHE46" s="1041"/>
      <c r="CHF46" s="1041"/>
      <c r="CHG46" s="1041"/>
      <c r="CHH46" s="1041"/>
      <c r="CHI46" s="1041"/>
      <c r="CHJ46" s="1041"/>
      <c r="CHK46" s="1041"/>
      <c r="CHL46" s="1041"/>
      <c r="CHM46" s="1041"/>
      <c r="CHN46" s="1041"/>
      <c r="CHO46" s="1041"/>
      <c r="CHP46" s="1041"/>
      <c r="CHQ46" s="1041"/>
      <c r="CHR46" s="1041"/>
      <c r="CHS46" s="1041"/>
      <c r="CHT46" s="1041"/>
      <c r="CHU46" s="1041"/>
      <c r="CHV46" s="1041"/>
      <c r="CHW46" s="1041"/>
      <c r="CHX46" s="1041"/>
      <c r="CHY46" s="1041"/>
      <c r="CHZ46" s="1041"/>
      <c r="CIA46" s="1041"/>
      <c r="CIB46" s="1041"/>
      <c r="CIC46" s="1041"/>
      <c r="CID46" s="1041"/>
      <c r="CIE46" s="1041"/>
      <c r="CIF46" s="1041"/>
      <c r="CIG46" s="1041"/>
      <c r="CIH46" s="1041"/>
      <c r="CII46" s="1041"/>
      <c r="CIJ46" s="1041"/>
      <c r="CIK46" s="1041"/>
      <c r="CIL46" s="1041"/>
      <c r="CIM46" s="1041"/>
      <c r="CIN46" s="1041"/>
      <c r="CIO46" s="1041"/>
      <c r="CIP46" s="1041"/>
      <c r="CIQ46" s="1041"/>
      <c r="CIR46" s="1041"/>
      <c r="CIS46" s="1041"/>
      <c r="CIT46" s="1041"/>
      <c r="CIU46" s="1041"/>
      <c r="CIV46" s="1041"/>
      <c r="CIW46" s="1041"/>
      <c r="CIX46" s="1041"/>
      <c r="CIY46" s="1041"/>
      <c r="CIZ46" s="1041"/>
      <c r="CJA46" s="1041"/>
      <c r="CJB46" s="1041"/>
      <c r="CJC46" s="1041"/>
      <c r="CJD46" s="1041"/>
      <c r="CJE46" s="1041"/>
      <c r="CJF46" s="1041"/>
      <c r="CJG46" s="1041"/>
      <c r="CJH46" s="1041"/>
      <c r="CJI46" s="1041"/>
      <c r="CJJ46" s="1041"/>
      <c r="CJK46" s="1041"/>
      <c r="CJL46" s="1041"/>
      <c r="CJM46" s="1041"/>
      <c r="CJN46" s="1041"/>
      <c r="CJO46" s="1041"/>
      <c r="CJP46" s="1041"/>
      <c r="CJQ46" s="1041"/>
      <c r="CJR46" s="1041"/>
      <c r="CJS46" s="1041"/>
      <c r="CJT46" s="1041"/>
      <c r="CJU46" s="1041"/>
      <c r="CJV46" s="1041"/>
      <c r="CJW46" s="1041"/>
      <c r="CJX46" s="1041"/>
      <c r="CJY46" s="1041"/>
      <c r="CJZ46" s="1041"/>
      <c r="CKA46" s="1041"/>
      <c r="CKB46" s="1041"/>
      <c r="CKC46" s="1041"/>
      <c r="CKD46" s="1041"/>
      <c r="CKE46" s="1041"/>
      <c r="CKF46" s="1041"/>
      <c r="CKG46" s="1041"/>
      <c r="CKH46" s="1041"/>
      <c r="CKI46" s="1041"/>
      <c r="CKJ46" s="1041"/>
      <c r="CKK46" s="1041"/>
      <c r="CKL46" s="1041"/>
      <c r="CKM46" s="1041"/>
      <c r="CKN46" s="1041"/>
      <c r="CKO46" s="1041"/>
      <c r="CKP46" s="1041"/>
      <c r="CKQ46" s="1041"/>
      <c r="CKR46" s="1041"/>
      <c r="CKS46" s="1041"/>
      <c r="CKT46" s="1041"/>
      <c r="CKU46" s="1041"/>
      <c r="CKV46" s="1041"/>
      <c r="CKW46" s="1041"/>
      <c r="CKX46" s="1041"/>
      <c r="CKY46" s="1041"/>
      <c r="CKZ46" s="1041"/>
      <c r="CLA46" s="1041"/>
      <c r="CLB46" s="1041"/>
      <c r="CLC46" s="1041"/>
      <c r="CLD46" s="1041"/>
      <c r="CLE46" s="1041"/>
      <c r="CLF46" s="1041"/>
      <c r="CLG46" s="1041"/>
      <c r="CLH46" s="1041"/>
      <c r="CLI46" s="1041"/>
      <c r="CLJ46" s="1041"/>
      <c r="CLK46" s="1041"/>
      <c r="CLL46" s="1041"/>
      <c r="CLM46" s="1041"/>
      <c r="CLN46" s="1041"/>
      <c r="CLO46" s="1041"/>
      <c r="CLP46" s="1041"/>
      <c r="CLQ46" s="1041"/>
      <c r="CLR46" s="1041"/>
      <c r="CLS46" s="1041"/>
      <c r="CLT46" s="1041"/>
      <c r="CLU46" s="1041"/>
      <c r="CLV46" s="1041"/>
      <c r="CLW46" s="1041"/>
      <c r="CLX46" s="1041"/>
      <c r="CLY46" s="1041"/>
      <c r="CLZ46" s="1041"/>
      <c r="CMA46" s="1041"/>
      <c r="CMB46" s="1041"/>
      <c r="CMC46" s="1041"/>
      <c r="CMD46" s="1041"/>
      <c r="CME46" s="1041"/>
      <c r="CMF46" s="1041"/>
      <c r="CMG46" s="1041"/>
      <c r="CMH46" s="1041"/>
      <c r="CMI46" s="1041"/>
      <c r="CMJ46" s="1041"/>
      <c r="CMK46" s="1041"/>
      <c r="CML46" s="1041"/>
      <c r="CMM46" s="1041"/>
      <c r="CMN46" s="1041"/>
      <c r="CMO46" s="1041"/>
      <c r="CMP46" s="1041"/>
      <c r="CMQ46" s="1041"/>
      <c r="CMR46" s="1041"/>
      <c r="CMS46" s="1041"/>
      <c r="CMT46" s="1041"/>
      <c r="CMU46" s="1041"/>
      <c r="CMV46" s="1041"/>
      <c r="CMW46" s="1041"/>
      <c r="CMX46" s="1041"/>
      <c r="CMY46" s="1041"/>
      <c r="CMZ46" s="1041"/>
      <c r="CNA46" s="1041"/>
      <c r="CNB46" s="1041"/>
      <c r="CNC46" s="1041"/>
      <c r="CND46" s="1041"/>
      <c r="CNE46" s="1041"/>
      <c r="CNF46" s="1041"/>
      <c r="CNG46" s="1041"/>
      <c r="CNH46" s="1041"/>
      <c r="CNI46" s="1041"/>
      <c r="CNJ46" s="1041"/>
      <c r="CNK46" s="1041"/>
      <c r="CNL46" s="1041"/>
      <c r="CNM46" s="1041"/>
      <c r="CNN46" s="1041"/>
      <c r="CNO46" s="1041"/>
      <c r="CNP46" s="1041"/>
      <c r="CNQ46" s="1041"/>
      <c r="CNR46" s="1041"/>
      <c r="CNS46" s="1041"/>
      <c r="CNT46" s="1041"/>
      <c r="CNU46" s="1041"/>
      <c r="CNV46" s="1041"/>
      <c r="CNW46" s="1041"/>
      <c r="CNX46" s="1041"/>
      <c r="CNY46" s="1041"/>
      <c r="CNZ46" s="1041"/>
      <c r="COA46" s="1041"/>
      <c r="COB46" s="1041"/>
      <c r="COC46" s="1041"/>
      <c r="COD46" s="1041"/>
      <c r="COE46" s="1041"/>
      <c r="COF46" s="1041"/>
      <c r="COG46" s="1041"/>
      <c r="COH46" s="1041"/>
      <c r="COI46" s="1041"/>
      <c r="COJ46" s="1041"/>
      <c r="COK46" s="1041"/>
      <c r="COL46" s="1041"/>
      <c r="COM46" s="1041"/>
      <c r="CON46" s="1041"/>
      <c r="COO46" s="1041"/>
      <c r="COP46" s="1041"/>
      <c r="COQ46" s="1041"/>
      <c r="COR46" s="1041"/>
      <c r="COS46" s="1041"/>
      <c r="COT46" s="1041"/>
      <c r="COU46" s="1041"/>
      <c r="COV46" s="1041"/>
      <c r="COW46" s="1041"/>
      <c r="COX46" s="1041"/>
      <c r="COY46" s="1041"/>
      <c r="COZ46" s="1041"/>
      <c r="CPA46" s="1041"/>
      <c r="CPB46" s="1041"/>
      <c r="CPC46" s="1041"/>
      <c r="CPD46" s="1041"/>
      <c r="CPE46" s="1041"/>
      <c r="CPF46" s="1041"/>
      <c r="CPG46" s="1041"/>
      <c r="CPH46" s="1041"/>
      <c r="CPI46" s="1041"/>
      <c r="CPJ46" s="1041"/>
      <c r="CPK46" s="1041"/>
      <c r="CPL46" s="1041"/>
      <c r="CPM46" s="1041"/>
      <c r="CPN46" s="1041"/>
      <c r="CPO46" s="1041"/>
      <c r="CPP46" s="1041"/>
      <c r="CPQ46" s="1041"/>
      <c r="CPR46" s="1041"/>
      <c r="CPS46" s="1041"/>
      <c r="CPT46" s="1041"/>
      <c r="CPU46" s="1041"/>
      <c r="CPV46" s="1041"/>
      <c r="CPW46" s="1041"/>
      <c r="CPX46" s="1041"/>
      <c r="CPY46" s="1041"/>
      <c r="CPZ46" s="1041"/>
      <c r="CQA46" s="1041"/>
      <c r="CQB46" s="1041"/>
      <c r="CQC46" s="1041"/>
      <c r="CQD46" s="1041"/>
      <c r="CQE46" s="1041"/>
      <c r="CQF46" s="1041"/>
      <c r="CQG46" s="1041"/>
      <c r="CQH46" s="1041"/>
      <c r="CQI46" s="1041"/>
      <c r="CQJ46" s="1041"/>
      <c r="CQK46" s="1041"/>
      <c r="CQL46" s="1041"/>
      <c r="CQM46" s="1041"/>
      <c r="CQN46" s="1041"/>
      <c r="CQO46" s="1041"/>
      <c r="CQP46" s="1041"/>
      <c r="CQQ46" s="1041"/>
      <c r="CQR46" s="1041"/>
      <c r="CQS46" s="1041"/>
      <c r="CQT46" s="1041"/>
      <c r="CQU46" s="1041"/>
      <c r="CQV46" s="1041"/>
      <c r="CQW46" s="1041"/>
      <c r="CQX46" s="1041"/>
      <c r="CQY46" s="1041"/>
      <c r="CQZ46" s="1041"/>
      <c r="CRA46" s="1041"/>
      <c r="CRB46" s="1041"/>
      <c r="CRC46" s="1041"/>
      <c r="CRD46" s="1041"/>
      <c r="CRE46" s="1041"/>
      <c r="CRF46" s="1041"/>
      <c r="CRG46" s="1041"/>
      <c r="CRH46" s="1041"/>
      <c r="CRI46" s="1041"/>
      <c r="CRJ46" s="1041"/>
      <c r="CRK46" s="1041"/>
      <c r="CRL46" s="1041"/>
      <c r="CRM46" s="1041"/>
      <c r="CRN46" s="1041"/>
      <c r="CRO46" s="1041"/>
      <c r="CRP46" s="1041"/>
      <c r="CRQ46" s="1041"/>
      <c r="CRR46" s="1041"/>
      <c r="CRS46" s="1041"/>
      <c r="CRT46" s="1041"/>
      <c r="CRU46" s="1041"/>
      <c r="CRV46" s="1041"/>
      <c r="CRW46" s="1041"/>
      <c r="CRX46" s="1041"/>
      <c r="CRY46" s="1041"/>
      <c r="CRZ46" s="1041"/>
      <c r="CSA46" s="1041"/>
      <c r="CSB46" s="1041"/>
      <c r="CSC46" s="1041"/>
      <c r="CSD46" s="1041"/>
      <c r="CSE46" s="1041"/>
      <c r="CSF46" s="1041"/>
      <c r="CSG46" s="1041"/>
      <c r="CSH46" s="1041"/>
      <c r="CSI46" s="1041"/>
      <c r="CSJ46" s="1041"/>
      <c r="CSK46" s="1041"/>
      <c r="CSL46" s="1041"/>
      <c r="CSM46" s="1041"/>
      <c r="CSN46" s="1041"/>
      <c r="CSO46" s="1041"/>
      <c r="CSP46" s="1041"/>
      <c r="CSQ46" s="1041"/>
      <c r="CSR46" s="1041"/>
      <c r="CSS46" s="1041"/>
      <c r="CST46" s="1041"/>
      <c r="CSU46" s="1041"/>
      <c r="CSV46" s="1041"/>
      <c r="CSW46" s="1041"/>
      <c r="CSX46" s="1041"/>
      <c r="CSY46" s="1041"/>
      <c r="CSZ46" s="1041"/>
      <c r="CTA46" s="1041"/>
      <c r="CTB46" s="1041"/>
      <c r="CTC46" s="1041"/>
      <c r="CTD46" s="1041"/>
      <c r="CTE46" s="1041"/>
      <c r="CTF46" s="1041"/>
      <c r="CTG46" s="1041"/>
      <c r="CTH46" s="1041"/>
      <c r="CTI46" s="1041"/>
      <c r="CTJ46" s="1041"/>
      <c r="CTK46" s="1041"/>
      <c r="CTL46" s="1041"/>
      <c r="CTM46" s="1041"/>
      <c r="CTN46" s="1041"/>
      <c r="CTO46" s="1041"/>
      <c r="CTP46" s="1041"/>
      <c r="CTQ46" s="1041"/>
      <c r="CTR46" s="1041"/>
      <c r="CTS46" s="1041"/>
      <c r="CTT46" s="1041"/>
      <c r="CTU46" s="1041"/>
      <c r="CTV46" s="1041"/>
      <c r="CTW46" s="1041"/>
      <c r="CTX46" s="1041"/>
      <c r="CTY46" s="1041"/>
      <c r="CTZ46" s="1041"/>
      <c r="CUA46" s="1041"/>
      <c r="CUB46" s="1041"/>
      <c r="CUC46" s="1041"/>
      <c r="CUD46" s="1041"/>
      <c r="CUE46" s="1041"/>
      <c r="CUF46" s="1041"/>
      <c r="CUG46" s="1041"/>
      <c r="CUH46" s="1041"/>
      <c r="CUI46" s="1041"/>
      <c r="CUJ46" s="1041"/>
      <c r="CUK46" s="1041"/>
      <c r="CUL46" s="1041"/>
      <c r="CUM46" s="1041"/>
      <c r="CUN46" s="1041"/>
      <c r="CUO46" s="1041"/>
      <c r="CUP46" s="1041"/>
      <c r="CUQ46" s="1041"/>
      <c r="CUR46" s="1041"/>
      <c r="CUS46" s="1041"/>
      <c r="CUT46" s="1041"/>
      <c r="CUU46" s="1041"/>
      <c r="CUV46" s="1041"/>
      <c r="CUW46" s="1041"/>
      <c r="CUX46" s="1041"/>
      <c r="CUY46" s="1041"/>
      <c r="CUZ46" s="1041"/>
      <c r="CVA46" s="1041"/>
      <c r="CVB46" s="1041"/>
      <c r="CVC46" s="1041"/>
      <c r="CVD46" s="1041"/>
      <c r="CVE46" s="1041"/>
      <c r="CVF46" s="1041"/>
      <c r="CVG46" s="1041"/>
      <c r="CVH46" s="1041"/>
      <c r="CVI46" s="1041"/>
      <c r="CVJ46" s="1041"/>
      <c r="CVK46" s="1041"/>
      <c r="CVL46" s="1041"/>
      <c r="CVM46" s="1041"/>
      <c r="CVN46" s="1041"/>
      <c r="CVO46" s="1041"/>
      <c r="CVP46" s="1041"/>
      <c r="CVQ46" s="1041"/>
      <c r="CVR46" s="1041"/>
      <c r="CVS46" s="1041"/>
      <c r="CVT46" s="1041"/>
      <c r="CVU46" s="1041"/>
      <c r="CVV46" s="1041"/>
      <c r="CVW46" s="1041"/>
      <c r="CVX46" s="1041"/>
      <c r="CVY46" s="1041"/>
      <c r="CVZ46" s="1041"/>
      <c r="CWA46" s="1041"/>
      <c r="CWB46" s="1041"/>
      <c r="CWC46" s="1041"/>
      <c r="CWD46" s="1041"/>
      <c r="CWE46" s="1041"/>
      <c r="CWF46" s="1041"/>
      <c r="CWG46" s="1041"/>
      <c r="CWH46" s="1041"/>
      <c r="CWI46" s="1041"/>
      <c r="CWJ46" s="1041"/>
      <c r="CWK46" s="1041"/>
      <c r="CWL46" s="1041"/>
      <c r="CWM46" s="1041"/>
      <c r="CWN46" s="1041"/>
      <c r="CWO46" s="1041"/>
      <c r="CWP46" s="1041"/>
      <c r="CWQ46" s="1041"/>
      <c r="CWR46" s="1041"/>
      <c r="CWS46" s="1041"/>
      <c r="CWT46" s="1041"/>
      <c r="CWU46" s="1041"/>
      <c r="CWV46" s="1041"/>
      <c r="CWW46" s="1041"/>
      <c r="CWX46" s="1041"/>
      <c r="CWY46" s="1041"/>
      <c r="CWZ46" s="1041"/>
      <c r="CXA46" s="1041"/>
      <c r="CXB46" s="1041"/>
      <c r="CXC46" s="1041"/>
      <c r="CXD46" s="1041"/>
      <c r="CXE46" s="1041"/>
      <c r="CXF46" s="1041"/>
      <c r="CXG46" s="1041"/>
      <c r="CXH46" s="1041"/>
      <c r="CXI46" s="1041"/>
      <c r="CXJ46" s="1041"/>
      <c r="CXK46" s="1041"/>
      <c r="CXL46" s="1041"/>
      <c r="CXM46" s="1041"/>
      <c r="CXN46" s="1041"/>
      <c r="CXO46" s="1041"/>
      <c r="CXP46" s="1041"/>
      <c r="CXQ46" s="1041"/>
      <c r="CXR46" s="1041"/>
      <c r="CXS46" s="1041"/>
      <c r="CXT46" s="1041"/>
      <c r="CXU46" s="1041"/>
      <c r="CXV46" s="1041"/>
      <c r="CXW46" s="1041"/>
      <c r="CXX46" s="1041"/>
      <c r="CXY46" s="1041"/>
      <c r="CXZ46" s="1041"/>
      <c r="CYA46" s="1041"/>
      <c r="CYB46" s="1041"/>
      <c r="CYC46" s="1041"/>
      <c r="CYD46" s="1041"/>
      <c r="CYE46" s="1041"/>
      <c r="CYF46" s="1041"/>
      <c r="CYG46" s="1041"/>
      <c r="CYH46" s="1041"/>
      <c r="CYI46" s="1041"/>
      <c r="CYJ46" s="1041"/>
      <c r="CYK46" s="1041"/>
      <c r="CYL46" s="1041"/>
      <c r="CYM46" s="1041"/>
      <c r="CYN46" s="1041"/>
      <c r="CYO46" s="1041"/>
      <c r="CYP46" s="1041"/>
      <c r="CYQ46" s="1041"/>
      <c r="CYR46" s="1041"/>
      <c r="CYS46" s="1041"/>
      <c r="CYT46" s="1041"/>
      <c r="CYU46" s="1041"/>
      <c r="CYV46" s="1041"/>
      <c r="CYW46" s="1041"/>
      <c r="CYX46" s="1041"/>
      <c r="CYY46" s="1041"/>
      <c r="CYZ46" s="1041"/>
      <c r="CZA46" s="1041"/>
      <c r="CZB46" s="1041"/>
      <c r="CZC46" s="1041"/>
      <c r="CZD46" s="1041"/>
      <c r="CZE46" s="1041"/>
      <c r="CZF46" s="1041"/>
      <c r="CZG46" s="1041"/>
      <c r="CZH46" s="1041"/>
      <c r="CZI46" s="1041"/>
      <c r="CZJ46" s="1041"/>
      <c r="CZK46" s="1041"/>
      <c r="CZL46" s="1041"/>
      <c r="CZM46" s="1041"/>
      <c r="CZN46" s="1041"/>
      <c r="CZO46" s="1041"/>
      <c r="CZP46" s="1041"/>
      <c r="CZQ46" s="1041"/>
      <c r="CZR46" s="1041"/>
      <c r="CZS46" s="1041"/>
      <c r="CZT46" s="1041"/>
      <c r="CZU46" s="1041"/>
      <c r="CZV46" s="1041"/>
      <c r="CZW46" s="1041"/>
      <c r="CZX46" s="1041"/>
      <c r="CZY46" s="1041"/>
      <c r="CZZ46" s="1041"/>
      <c r="DAA46" s="1041"/>
      <c r="DAB46" s="1041"/>
      <c r="DAC46" s="1041"/>
      <c r="DAD46" s="1041"/>
      <c r="DAE46" s="1041"/>
      <c r="DAF46" s="1041"/>
      <c r="DAG46" s="1041"/>
      <c r="DAH46" s="1041"/>
      <c r="DAI46" s="1041"/>
      <c r="DAJ46" s="1041"/>
      <c r="DAK46" s="1041"/>
      <c r="DAL46" s="1041"/>
      <c r="DAM46" s="1041"/>
      <c r="DAN46" s="1041"/>
      <c r="DAO46" s="1041"/>
      <c r="DAP46" s="1041"/>
      <c r="DAQ46" s="1041"/>
      <c r="DAR46" s="1041"/>
      <c r="DAS46" s="1041"/>
      <c r="DAT46" s="1041"/>
      <c r="DAU46" s="1041"/>
      <c r="DAV46" s="1041"/>
      <c r="DAW46" s="1041"/>
      <c r="DAX46" s="1041"/>
      <c r="DAY46" s="1041"/>
      <c r="DAZ46" s="1041"/>
      <c r="DBA46" s="1041"/>
      <c r="DBB46" s="1041"/>
      <c r="DBC46" s="1041"/>
      <c r="DBD46" s="1041"/>
      <c r="DBE46" s="1041"/>
      <c r="DBF46" s="1041"/>
      <c r="DBG46" s="1041"/>
      <c r="DBH46" s="1041"/>
      <c r="DBI46" s="1041"/>
      <c r="DBJ46" s="1041"/>
      <c r="DBK46" s="1041"/>
      <c r="DBL46" s="1041"/>
      <c r="DBM46" s="1041"/>
      <c r="DBN46" s="1041"/>
      <c r="DBO46" s="1041"/>
      <c r="DBP46" s="1041"/>
      <c r="DBQ46" s="1041"/>
      <c r="DBR46" s="1041"/>
      <c r="DBS46" s="1041"/>
      <c r="DBT46" s="1041"/>
      <c r="DBU46" s="1041"/>
      <c r="DBV46" s="1041"/>
      <c r="DBW46" s="1041"/>
      <c r="DBX46" s="1041"/>
      <c r="DBY46" s="1041"/>
      <c r="DBZ46" s="1041"/>
      <c r="DCA46" s="1041"/>
      <c r="DCB46" s="1041"/>
      <c r="DCC46" s="1041"/>
      <c r="DCD46" s="1041"/>
      <c r="DCE46" s="1041"/>
      <c r="DCF46" s="1041"/>
      <c r="DCG46" s="1041"/>
      <c r="DCH46" s="1041"/>
      <c r="DCI46" s="1041"/>
      <c r="DCJ46" s="1041"/>
      <c r="DCK46" s="1041"/>
      <c r="DCL46" s="1041"/>
      <c r="DCM46" s="1041"/>
      <c r="DCN46" s="1041"/>
      <c r="DCO46" s="1041"/>
      <c r="DCP46" s="1041"/>
      <c r="DCQ46" s="1041"/>
      <c r="DCR46" s="1041"/>
      <c r="DCS46" s="1041"/>
      <c r="DCT46" s="1041"/>
      <c r="DCU46" s="1041"/>
      <c r="DCV46" s="1041"/>
      <c r="DCW46" s="1041"/>
      <c r="DCX46" s="1041"/>
      <c r="DCY46" s="1041"/>
      <c r="DCZ46" s="1041"/>
      <c r="DDA46" s="1041"/>
      <c r="DDB46" s="1041"/>
      <c r="DDC46" s="1041"/>
      <c r="DDD46" s="1041"/>
      <c r="DDE46" s="1041"/>
      <c r="DDF46" s="1041"/>
      <c r="DDG46" s="1041"/>
      <c r="DDH46" s="1041"/>
      <c r="DDI46" s="1041"/>
      <c r="DDJ46" s="1041"/>
      <c r="DDK46" s="1041"/>
      <c r="DDL46" s="1041"/>
      <c r="DDM46" s="1041"/>
      <c r="DDN46" s="1041"/>
      <c r="DDO46" s="1041"/>
      <c r="DDP46" s="1041"/>
      <c r="DDQ46" s="1041"/>
      <c r="DDR46" s="1041"/>
      <c r="DDS46" s="1041"/>
      <c r="DDT46" s="1041"/>
      <c r="DDU46" s="1041"/>
      <c r="DDV46" s="1041"/>
      <c r="DDW46" s="1041"/>
      <c r="DDX46" s="1041"/>
      <c r="DDY46" s="1041"/>
      <c r="DDZ46" s="1041"/>
      <c r="DEA46" s="1041"/>
      <c r="DEB46" s="1041"/>
      <c r="DEC46" s="1041"/>
      <c r="DED46" s="1041"/>
      <c r="DEE46" s="1041"/>
      <c r="DEF46" s="1041"/>
      <c r="DEG46" s="1041"/>
      <c r="DEH46" s="1041"/>
      <c r="DEI46" s="1041"/>
      <c r="DEJ46" s="1041"/>
      <c r="DEK46" s="1041"/>
      <c r="DEL46" s="1041"/>
      <c r="DEM46" s="1041"/>
      <c r="DEN46" s="1041"/>
      <c r="DEO46" s="1041"/>
      <c r="DEP46" s="1041"/>
      <c r="DEQ46" s="1041"/>
      <c r="DER46" s="1041"/>
      <c r="DES46" s="1041"/>
      <c r="DET46" s="1041"/>
      <c r="DEU46" s="1041"/>
      <c r="DEV46" s="1041"/>
      <c r="DEW46" s="1041"/>
      <c r="DEX46" s="1041"/>
      <c r="DEY46" s="1041"/>
      <c r="DEZ46" s="1041"/>
      <c r="DFA46" s="1041"/>
      <c r="DFB46" s="1041"/>
      <c r="DFC46" s="1041"/>
      <c r="DFD46" s="1041"/>
      <c r="DFE46" s="1041"/>
      <c r="DFF46" s="1041"/>
      <c r="DFG46" s="1041"/>
      <c r="DFH46" s="1041"/>
      <c r="DFI46" s="1041"/>
      <c r="DFJ46" s="1041"/>
      <c r="DFK46" s="1041"/>
      <c r="DFL46" s="1041"/>
      <c r="DFM46" s="1041"/>
      <c r="DFN46" s="1041"/>
      <c r="DFO46" s="1041"/>
      <c r="DFP46" s="1041"/>
      <c r="DFQ46" s="1041"/>
      <c r="DFR46" s="1041"/>
      <c r="DFS46" s="1041"/>
      <c r="DFT46" s="1041"/>
      <c r="DFU46" s="1041"/>
      <c r="DFV46" s="1041"/>
      <c r="DFW46" s="1041"/>
      <c r="DFX46" s="1041"/>
      <c r="DFY46" s="1041"/>
      <c r="DFZ46" s="1041"/>
      <c r="DGA46" s="1041"/>
      <c r="DGB46" s="1041"/>
      <c r="DGC46" s="1041"/>
      <c r="DGD46" s="1041"/>
      <c r="DGE46" s="1041"/>
      <c r="DGF46" s="1041"/>
      <c r="DGG46" s="1041"/>
      <c r="DGH46" s="1041"/>
      <c r="DGI46" s="1041"/>
      <c r="DGJ46" s="1041"/>
      <c r="DGK46" s="1041"/>
      <c r="DGL46" s="1041"/>
      <c r="DGM46" s="1041"/>
      <c r="DGN46" s="1041"/>
      <c r="DGO46" s="1041"/>
      <c r="DGP46" s="1041"/>
      <c r="DGQ46" s="1041"/>
      <c r="DGR46" s="1041"/>
      <c r="DGS46" s="1041"/>
      <c r="DGT46" s="1041"/>
      <c r="DGU46" s="1041"/>
      <c r="DGV46" s="1041"/>
      <c r="DGW46" s="1041"/>
      <c r="DGX46" s="1041"/>
      <c r="DGY46" s="1041"/>
      <c r="DGZ46" s="1041"/>
      <c r="DHA46" s="1041"/>
      <c r="DHB46" s="1041"/>
      <c r="DHC46" s="1041"/>
      <c r="DHD46" s="1041"/>
      <c r="DHE46" s="1041"/>
      <c r="DHF46" s="1041"/>
      <c r="DHG46" s="1041"/>
      <c r="DHH46" s="1041"/>
      <c r="DHI46" s="1041"/>
      <c r="DHJ46" s="1041"/>
      <c r="DHK46" s="1041"/>
      <c r="DHL46" s="1041"/>
      <c r="DHM46" s="1041"/>
      <c r="DHN46" s="1041"/>
      <c r="DHO46" s="1041"/>
      <c r="DHP46" s="1041"/>
      <c r="DHQ46" s="1041"/>
      <c r="DHR46" s="1041"/>
      <c r="DHS46" s="1041"/>
      <c r="DHT46" s="1041"/>
      <c r="DHU46" s="1041"/>
      <c r="DHV46" s="1041"/>
      <c r="DHW46" s="1041"/>
      <c r="DHX46" s="1041"/>
      <c r="DHY46" s="1041"/>
      <c r="DHZ46" s="1041"/>
      <c r="DIA46" s="1041"/>
      <c r="DIB46" s="1041"/>
      <c r="DIC46" s="1041"/>
      <c r="DID46" s="1041"/>
      <c r="DIE46" s="1041"/>
      <c r="DIF46" s="1041"/>
      <c r="DIG46" s="1041"/>
      <c r="DIH46" s="1041"/>
      <c r="DII46" s="1041"/>
      <c r="DIJ46" s="1041"/>
      <c r="DIK46" s="1041"/>
      <c r="DIL46" s="1041"/>
      <c r="DIM46" s="1041"/>
      <c r="DIN46" s="1041"/>
      <c r="DIO46" s="1041"/>
      <c r="DIP46" s="1041"/>
      <c r="DIQ46" s="1041"/>
      <c r="DIR46" s="1041"/>
      <c r="DIS46" s="1041"/>
      <c r="DIT46" s="1041"/>
      <c r="DIU46" s="1041"/>
      <c r="DIV46" s="1041"/>
      <c r="DIW46" s="1041"/>
      <c r="DIX46" s="1041"/>
      <c r="DIY46" s="1041"/>
      <c r="DIZ46" s="1041"/>
      <c r="DJA46" s="1041"/>
      <c r="DJB46" s="1041"/>
      <c r="DJC46" s="1041"/>
      <c r="DJD46" s="1041"/>
      <c r="DJE46" s="1041"/>
      <c r="DJF46" s="1041"/>
      <c r="DJG46" s="1041"/>
      <c r="DJH46" s="1041"/>
      <c r="DJI46" s="1041"/>
      <c r="DJJ46" s="1041"/>
      <c r="DJK46" s="1041"/>
      <c r="DJL46" s="1041"/>
      <c r="DJM46" s="1041"/>
      <c r="DJN46" s="1041"/>
      <c r="DJO46" s="1041"/>
      <c r="DJP46" s="1041"/>
      <c r="DJQ46" s="1041"/>
      <c r="DJR46" s="1041"/>
      <c r="DJS46" s="1041"/>
      <c r="DJT46" s="1041"/>
      <c r="DJU46" s="1041"/>
      <c r="DJV46" s="1041"/>
      <c r="DJW46" s="1041"/>
      <c r="DJX46" s="1041"/>
      <c r="DJY46" s="1041"/>
      <c r="DJZ46" s="1041"/>
      <c r="DKA46" s="1041"/>
      <c r="DKB46" s="1041"/>
      <c r="DKC46" s="1041"/>
      <c r="DKD46" s="1041"/>
      <c r="DKE46" s="1041"/>
      <c r="DKF46" s="1041"/>
      <c r="DKG46" s="1041"/>
      <c r="DKH46" s="1041"/>
      <c r="DKI46" s="1041"/>
      <c r="DKJ46" s="1041"/>
      <c r="DKK46" s="1041"/>
      <c r="DKL46" s="1041"/>
      <c r="DKM46" s="1041"/>
      <c r="DKN46" s="1041"/>
      <c r="DKO46" s="1041"/>
      <c r="DKP46" s="1041"/>
      <c r="DKQ46" s="1041"/>
      <c r="DKR46" s="1041"/>
      <c r="DKS46" s="1041"/>
      <c r="DKT46" s="1041"/>
      <c r="DKU46" s="1041"/>
      <c r="DKV46" s="1041"/>
      <c r="DKW46" s="1041"/>
      <c r="DKX46" s="1041"/>
      <c r="DKY46" s="1041"/>
      <c r="DKZ46" s="1041"/>
      <c r="DLA46" s="1041"/>
      <c r="DLB46" s="1041"/>
      <c r="DLC46" s="1041"/>
      <c r="DLD46" s="1041"/>
      <c r="DLE46" s="1041"/>
      <c r="DLF46" s="1041"/>
      <c r="DLG46" s="1041"/>
      <c r="DLH46" s="1041"/>
      <c r="DLI46" s="1041"/>
      <c r="DLJ46" s="1041"/>
      <c r="DLK46" s="1041"/>
      <c r="DLL46" s="1041"/>
      <c r="DLM46" s="1041"/>
      <c r="DLN46" s="1041"/>
      <c r="DLO46" s="1041"/>
      <c r="DLP46" s="1041"/>
      <c r="DLQ46" s="1041"/>
      <c r="DLR46" s="1041"/>
      <c r="DLS46" s="1041"/>
      <c r="DLT46" s="1041"/>
      <c r="DLU46" s="1041"/>
      <c r="DLV46" s="1041"/>
      <c r="DLW46" s="1041"/>
      <c r="DLX46" s="1041"/>
      <c r="DLY46" s="1041"/>
      <c r="DLZ46" s="1041"/>
      <c r="DMA46" s="1041"/>
      <c r="DMB46" s="1041"/>
      <c r="DMC46" s="1041"/>
      <c r="DMD46" s="1041"/>
      <c r="DME46" s="1041"/>
      <c r="DMF46" s="1041"/>
      <c r="DMG46" s="1041"/>
      <c r="DMH46" s="1041"/>
      <c r="DMI46" s="1041"/>
      <c r="DMJ46" s="1041"/>
      <c r="DMK46" s="1041"/>
      <c r="DML46" s="1041"/>
      <c r="DMM46" s="1041"/>
      <c r="DMN46" s="1041"/>
      <c r="DMO46" s="1041"/>
      <c r="DMP46" s="1041"/>
      <c r="DMQ46" s="1041"/>
      <c r="DMR46" s="1041"/>
      <c r="DMS46" s="1041"/>
      <c r="DMT46" s="1041"/>
      <c r="DMU46" s="1041"/>
      <c r="DMV46" s="1041"/>
      <c r="DMW46" s="1041"/>
      <c r="DMX46" s="1041"/>
      <c r="DMY46" s="1041"/>
      <c r="DMZ46" s="1041"/>
      <c r="DNA46" s="1041"/>
      <c r="DNB46" s="1041"/>
      <c r="DNC46" s="1041"/>
      <c r="DND46" s="1041"/>
      <c r="DNE46" s="1041"/>
      <c r="DNF46" s="1041"/>
      <c r="DNG46" s="1041"/>
      <c r="DNH46" s="1041"/>
      <c r="DNI46" s="1041"/>
      <c r="DNJ46" s="1041"/>
      <c r="DNK46" s="1041"/>
      <c r="DNL46" s="1041"/>
      <c r="DNM46" s="1041"/>
      <c r="DNN46" s="1041"/>
      <c r="DNO46" s="1041"/>
      <c r="DNP46" s="1041"/>
      <c r="DNQ46" s="1041"/>
      <c r="DNR46" s="1041"/>
      <c r="DNS46" s="1041"/>
      <c r="DNT46" s="1041"/>
      <c r="DNU46" s="1041"/>
      <c r="DNV46" s="1041"/>
      <c r="DNW46" s="1041"/>
      <c r="DNX46" s="1041"/>
      <c r="DNY46" s="1041"/>
      <c r="DNZ46" s="1041"/>
      <c r="DOA46" s="1041"/>
      <c r="DOB46" s="1041"/>
      <c r="DOC46" s="1041"/>
      <c r="DOD46" s="1041"/>
      <c r="DOE46" s="1041"/>
      <c r="DOF46" s="1041"/>
      <c r="DOG46" s="1041"/>
      <c r="DOH46" s="1041"/>
      <c r="DOI46" s="1041"/>
      <c r="DOJ46" s="1041"/>
      <c r="DOK46" s="1041"/>
      <c r="DOL46" s="1041"/>
      <c r="DOM46" s="1041"/>
      <c r="DON46" s="1041"/>
      <c r="DOO46" s="1041"/>
      <c r="DOP46" s="1041"/>
      <c r="DOQ46" s="1041"/>
      <c r="DOR46" s="1041"/>
      <c r="DOS46" s="1041"/>
      <c r="DOT46" s="1041"/>
      <c r="DOU46" s="1041"/>
      <c r="DOV46" s="1041"/>
      <c r="DOW46" s="1041"/>
      <c r="DOX46" s="1041"/>
      <c r="DOY46" s="1041"/>
      <c r="DOZ46" s="1041"/>
      <c r="DPA46" s="1041"/>
      <c r="DPB46" s="1041"/>
      <c r="DPC46" s="1041"/>
      <c r="DPD46" s="1041"/>
      <c r="DPE46" s="1041"/>
      <c r="DPF46" s="1041"/>
      <c r="DPG46" s="1041"/>
      <c r="DPH46" s="1041"/>
      <c r="DPI46" s="1041"/>
      <c r="DPJ46" s="1041"/>
      <c r="DPK46" s="1041"/>
      <c r="DPL46" s="1041"/>
      <c r="DPM46" s="1041"/>
      <c r="DPN46" s="1041"/>
      <c r="DPO46" s="1041"/>
      <c r="DPP46" s="1041"/>
      <c r="DPQ46" s="1041"/>
      <c r="DPR46" s="1041"/>
      <c r="DPS46" s="1041"/>
      <c r="DPT46" s="1041"/>
      <c r="DPU46" s="1041"/>
      <c r="DPV46" s="1041"/>
      <c r="DPW46" s="1041"/>
      <c r="DPX46" s="1041"/>
      <c r="DPY46" s="1041"/>
      <c r="DPZ46" s="1041"/>
      <c r="DQA46" s="1041"/>
      <c r="DQB46" s="1041"/>
      <c r="DQC46" s="1041"/>
      <c r="DQD46" s="1041"/>
      <c r="DQE46" s="1041"/>
      <c r="DQF46" s="1041"/>
      <c r="DQG46" s="1041"/>
      <c r="DQH46" s="1041"/>
      <c r="DQI46" s="1041"/>
      <c r="DQJ46" s="1041"/>
      <c r="DQK46" s="1041"/>
      <c r="DQL46" s="1041"/>
      <c r="DQM46" s="1041"/>
      <c r="DQN46" s="1041"/>
      <c r="DQO46" s="1041"/>
      <c r="DQP46" s="1041"/>
      <c r="DQQ46" s="1041"/>
      <c r="DQR46" s="1041"/>
      <c r="DQS46" s="1041"/>
      <c r="DQT46" s="1041"/>
      <c r="DQU46" s="1041"/>
      <c r="DQV46" s="1041"/>
      <c r="DQW46" s="1041"/>
      <c r="DQX46" s="1041"/>
      <c r="DQY46" s="1041"/>
      <c r="DQZ46" s="1041"/>
      <c r="DRA46" s="1041"/>
      <c r="DRB46" s="1041"/>
      <c r="DRC46" s="1041"/>
      <c r="DRD46" s="1041"/>
      <c r="DRE46" s="1041"/>
      <c r="DRF46" s="1041"/>
      <c r="DRG46" s="1041"/>
      <c r="DRH46" s="1041"/>
      <c r="DRI46" s="1041"/>
      <c r="DRJ46" s="1041"/>
      <c r="DRK46" s="1041"/>
      <c r="DRL46" s="1041"/>
      <c r="DRM46" s="1041"/>
      <c r="DRN46" s="1041"/>
      <c r="DRO46" s="1041"/>
      <c r="DRP46" s="1041"/>
      <c r="DRQ46" s="1041"/>
      <c r="DRR46" s="1041"/>
      <c r="DRS46" s="1041"/>
      <c r="DRT46" s="1041"/>
      <c r="DRU46" s="1041"/>
      <c r="DRV46" s="1041"/>
      <c r="DRW46" s="1041"/>
      <c r="DRX46" s="1041"/>
      <c r="DRY46" s="1041"/>
      <c r="DRZ46" s="1041"/>
      <c r="DSA46" s="1041"/>
      <c r="DSB46" s="1041"/>
      <c r="DSC46" s="1041"/>
      <c r="DSD46" s="1041"/>
      <c r="DSE46" s="1041"/>
      <c r="DSF46" s="1041"/>
      <c r="DSG46" s="1041"/>
      <c r="DSH46" s="1041"/>
      <c r="DSI46" s="1041"/>
      <c r="DSJ46" s="1041"/>
      <c r="DSK46" s="1041"/>
      <c r="DSL46" s="1041"/>
      <c r="DSM46" s="1041"/>
      <c r="DSN46" s="1041"/>
      <c r="DSO46" s="1041"/>
      <c r="DSP46" s="1041"/>
      <c r="DSQ46" s="1041"/>
      <c r="DSR46" s="1041"/>
      <c r="DSS46" s="1041"/>
      <c r="DST46" s="1041"/>
      <c r="DSU46" s="1041"/>
      <c r="DSV46" s="1041"/>
      <c r="DSW46" s="1041"/>
      <c r="DSX46" s="1041"/>
      <c r="DSY46" s="1041"/>
      <c r="DSZ46" s="1041"/>
      <c r="DTA46" s="1041"/>
      <c r="DTB46" s="1041"/>
      <c r="DTC46" s="1041"/>
      <c r="DTD46" s="1041"/>
      <c r="DTE46" s="1041"/>
      <c r="DTF46" s="1041"/>
      <c r="DTG46" s="1041"/>
      <c r="DTH46" s="1041"/>
      <c r="DTI46" s="1041"/>
      <c r="DTJ46" s="1041"/>
      <c r="DTK46" s="1041"/>
      <c r="DTL46" s="1041"/>
      <c r="DTM46" s="1041"/>
      <c r="DTN46" s="1041"/>
      <c r="DTO46" s="1041"/>
      <c r="DTP46" s="1041"/>
      <c r="DTQ46" s="1041"/>
      <c r="DTR46" s="1041"/>
      <c r="DTS46" s="1041"/>
      <c r="DTT46" s="1041"/>
      <c r="DTU46" s="1041"/>
      <c r="DTV46" s="1041"/>
      <c r="DTW46" s="1041"/>
      <c r="DTX46" s="1041"/>
      <c r="DTY46" s="1041"/>
      <c r="DTZ46" s="1041"/>
      <c r="DUA46" s="1041"/>
      <c r="DUB46" s="1041"/>
      <c r="DUC46" s="1041"/>
      <c r="DUD46" s="1041"/>
      <c r="DUE46" s="1041"/>
      <c r="DUF46" s="1041"/>
      <c r="DUG46" s="1041"/>
      <c r="DUH46" s="1041"/>
      <c r="DUI46" s="1041"/>
      <c r="DUJ46" s="1041"/>
      <c r="DUK46" s="1041"/>
      <c r="DUL46" s="1041"/>
      <c r="DUM46" s="1041"/>
      <c r="DUN46" s="1041"/>
      <c r="DUO46" s="1041"/>
      <c r="DUP46" s="1041"/>
      <c r="DUQ46" s="1041"/>
      <c r="DUR46" s="1041"/>
      <c r="DUS46" s="1041"/>
      <c r="DUT46" s="1041"/>
      <c r="DUU46" s="1041"/>
      <c r="DUV46" s="1041"/>
      <c r="DUW46" s="1041"/>
      <c r="DUX46" s="1041"/>
      <c r="DUY46" s="1041"/>
      <c r="DUZ46" s="1041"/>
      <c r="DVA46" s="1041"/>
      <c r="DVB46" s="1041"/>
      <c r="DVC46" s="1041"/>
      <c r="DVD46" s="1041"/>
      <c r="DVE46" s="1041"/>
      <c r="DVF46" s="1041"/>
      <c r="DVG46" s="1041"/>
      <c r="DVH46" s="1041"/>
      <c r="DVI46" s="1041"/>
      <c r="DVJ46" s="1041"/>
      <c r="DVK46" s="1041"/>
      <c r="DVL46" s="1041"/>
      <c r="DVM46" s="1041"/>
      <c r="DVN46" s="1041"/>
      <c r="DVO46" s="1041"/>
      <c r="DVP46" s="1041"/>
      <c r="DVQ46" s="1041"/>
      <c r="DVR46" s="1041"/>
      <c r="DVS46" s="1041"/>
      <c r="DVT46" s="1041"/>
      <c r="DVU46" s="1041"/>
      <c r="DVV46" s="1041"/>
      <c r="DVW46" s="1041"/>
      <c r="DVX46" s="1041"/>
      <c r="DVY46" s="1041"/>
      <c r="DVZ46" s="1041"/>
      <c r="DWA46" s="1041"/>
      <c r="DWB46" s="1041"/>
      <c r="DWC46" s="1041"/>
      <c r="DWD46" s="1041"/>
      <c r="DWE46" s="1041"/>
      <c r="DWF46" s="1041"/>
      <c r="DWG46" s="1041"/>
      <c r="DWH46" s="1041"/>
      <c r="DWI46" s="1041"/>
      <c r="DWJ46" s="1041"/>
      <c r="DWK46" s="1041"/>
      <c r="DWL46" s="1041"/>
      <c r="DWM46" s="1041"/>
      <c r="DWN46" s="1041"/>
      <c r="DWO46" s="1041"/>
      <c r="DWP46" s="1041"/>
      <c r="DWQ46" s="1041"/>
      <c r="DWR46" s="1041"/>
      <c r="DWS46" s="1041"/>
      <c r="DWT46" s="1041"/>
      <c r="DWU46" s="1041"/>
      <c r="DWV46" s="1041"/>
      <c r="DWW46" s="1041"/>
      <c r="DWX46" s="1041"/>
      <c r="DWY46" s="1041"/>
      <c r="DWZ46" s="1041"/>
      <c r="DXA46" s="1041"/>
      <c r="DXB46" s="1041"/>
      <c r="DXC46" s="1041"/>
      <c r="DXD46" s="1041"/>
      <c r="DXE46" s="1041"/>
      <c r="DXF46" s="1041"/>
      <c r="DXG46" s="1041"/>
      <c r="DXH46" s="1041"/>
      <c r="DXI46" s="1041"/>
      <c r="DXJ46" s="1041"/>
      <c r="DXK46" s="1041"/>
      <c r="DXL46" s="1041"/>
      <c r="DXM46" s="1041"/>
      <c r="DXN46" s="1041"/>
      <c r="DXO46" s="1041"/>
      <c r="DXP46" s="1041"/>
      <c r="DXQ46" s="1041"/>
      <c r="DXR46" s="1041"/>
      <c r="DXS46" s="1041"/>
      <c r="DXT46" s="1041"/>
      <c r="DXU46" s="1041"/>
      <c r="DXV46" s="1041"/>
      <c r="DXW46" s="1041"/>
      <c r="DXX46" s="1041"/>
      <c r="DXY46" s="1041"/>
      <c r="DXZ46" s="1041"/>
      <c r="DYA46" s="1041"/>
      <c r="DYB46" s="1041"/>
      <c r="DYC46" s="1041"/>
      <c r="DYD46" s="1041"/>
      <c r="DYE46" s="1041"/>
      <c r="DYF46" s="1041"/>
      <c r="DYG46" s="1041"/>
      <c r="DYH46" s="1041"/>
      <c r="DYI46" s="1041"/>
      <c r="DYJ46" s="1041"/>
      <c r="DYK46" s="1041"/>
      <c r="DYL46" s="1041"/>
      <c r="DYM46" s="1041"/>
      <c r="DYN46" s="1041"/>
      <c r="DYO46" s="1041"/>
      <c r="DYP46" s="1041"/>
      <c r="DYQ46" s="1041"/>
      <c r="DYR46" s="1041"/>
      <c r="DYS46" s="1041"/>
      <c r="DYT46" s="1041"/>
      <c r="DYU46" s="1041"/>
      <c r="DYV46" s="1041"/>
      <c r="DYW46" s="1041"/>
      <c r="DYX46" s="1041"/>
      <c r="DYY46" s="1041"/>
      <c r="DYZ46" s="1041"/>
      <c r="DZA46" s="1041"/>
      <c r="DZB46" s="1041"/>
      <c r="DZC46" s="1041"/>
      <c r="DZD46" s="1041"/>
      <c r="DZE46" s="1041"/>
      <c r="DZF46" s="1041"/>
      <c r="DZG46" s="1041"/>
      <c r="DZH46" s="1041"/>
      <c r="DZI46" s="1041"/>
      <c r="DZJ46" s="1041"/>
      <c r="DZK46" s="1041"/>
      <c r="DZL46" s="1041"/>
      <c r="DZM46" s="1041"/>
      <c r="DZN46" s="1041"/>
      <c r="DZO46" s="1041"/>
      <c r="DZP46" s="1041"/>
      <c r="DZQ46" s="1041"/>
      <c r="DZR46" s="1041"/>
      <c r="DZS46" s="1041"/>
      <c r="DZT46" s="1041"/>
      <c r="DZU46" s="1041"/>
      <c r="DZV46" s="1041"/>
      <c r="DZW46" s="1041"/>
      <c r="DZX46" s="1041"/>
      <c r="DZY46" s="1041"/>
      <c r="DZZ46" s="1041"/>
      <c r="EAA46" s="1041"/>
      <c r="EAB46" s="1041"/>
      <c r="EAC46" s="1041"/>
      <c r="EAD46" s="1041"/>
      <c r="EAE46" s="1041"/>
      <c r="EAF46" s="1041"/>
      <c r="EAG46" s="1041"/>
      <c r="EAH46" s="1041"/>
      <c r="EAI46" s="1041"/>
      <c r="EAJ46" s="1041"/>
      <c r="EAK46" s="1041"/>
      <c r="EAL46" s="1041"/>
      <c r="EAM46" s="1041"/>
      <c r="EAN46" s="1041"/>
      <c r="EAO46" s="1041"/>
      <c r="EAP46" s="1041"/>
      <c r="EAQ46" s="1041"/>
      <c r="EAR46" s="1041"/>
      <c r="EAS46" s="1041"/>
      <c r="EAT46" s="1041"/>
      <c r="EAU46" s="1041"/>
      <c r="EAV46" s="1041"/>
      <c r="EAW46" s="1041"/>
      <c r="EAX46" s="1041"/>
      <c r="EAY46" s="1041"/>
      <c r="EAZ46" s="1041"/>
      <c r="EBA46" s="1041"/>
      <c r="EBB46" s="1041"/>
      <c r="EBC46" s="1041"/>
      <c r="EBD46" s="1041"/>
      <c r="EBE46" s="1041"/>
      <c r="EBF46" s="1041"/>
      <c r="EBG46" s="1041"/>
      <c r="EBH46" s="1041"/>
      <c r="EBI46" s="1041"/>
      <c r="EBJ46" s="1041"/>
      <c r="EBK46" s="1041"/>
      <c r="EBL46" s="1041"/>
      <c r="EBM46" s="1041"/>
      <c r="EBN46" s="1041"/>
      <c r="EBO46" s="1041"/>
      <c r="EBP46" s="1041"/>
      <c r="EBQ46" s="1041"/>
      <c r="EBR46" s="1041"/>
      <c r="EBS46" s="1041"/>
      <c r="EBT46" s="1041"/>
      <c r="EBU46" s="1041"/>
      <c r="EBV46" s="1041"/>
      <c r="EBW46" s="1041"/>
      <c r="EBX46" s="1041"/>
      <c r="EBY46" s="1041"/>
      <c r="EBZ46" s="1041"/>
      <c r="ECA46" s="1041"/>
      <c r="ECB46" s="1041"/>
      <c r="ECC46" s="1041"/>
      <c r="ECD46" s="1041"/>
      <c r="ECE46" s="1041"/>
      <c r="ECF46" s="1041"/>
      <c r="ECG46" s="1041"/>
      <c r="ECH46" s="1041"/>
      <c r="ECI46" s="1041"/>
      <c r="ECJ46" s="1041"/>
      <c r="ECK46" s="1041"/>
      <c r="ECL46" s="1041"/>
      <c r="ECM46" s="1041"/>
      <c r="ECN46" s="1041"/>
      <c r="ECO46" s="1041"/>
      <c r="ECP46" s="1041"/>
      <c r="ECQ46" s="1041"/>
      <c r="ECR46" s="1041"/>
      <c r="ECS46" s="1041"/>
      <c r="ECT46" s="1041"/>
      <c r="ECU46" s="1041"/>
      <c r="ECV46" s="1041"/>
      <c r="ECW46" s="1041"/>
      <c r="ECX46" s="1041"/>
      <c r="ECY46" s="1041"/>
      <c r="ECZ46" s="1041"/>
      <c r="EDA46" s="1041"/>
      <c r="EDB46" s="1041"/>
      <c r="EDC46" s="1041"/>
      <c r="EDD46" s="1041"/>
      <c r="EDE46" s="1041"/>
      <c r="EDF46" s="1041"/>
      <c r="EDG46" s="1041"/>
      <c r="EDH46" s="1041"/>
      <c r="EDI46" s="1041"/>
      <c r="EDJ46" s="1041"/>
      <c r="EDK46" s="1041"/>
      <c r="EDL46" s="1041"/>
      <c r="EDM46" s="1041"/>
      <c r="EDN46" s="1041"/>
      <c r="EDO46" s="1041"/>
      <c r="EDP46" s="1041"/>
      <c r="EDQ46" s="1041"/>
      <c r="EDR46" s="1041"/>
      <c r="EDS46" s="1041"/>
      <c r="EDT46" s="1041"/>
      <c r="EDU46" s="1041"/>
      <c r="EDV46" s="1041"/>
      <c r="EDW46" s="1041"/>
      <c r="EDX46" s="1041"/>
      <c r="EDY46" s="1041"/>
      <c r="EDZ46" s="1041"/>
      <c r="EEA46" s="1041"/>
      <c r="EEB46" s="1041"/>
      <c r="EEC46" s="1041"/>
      <c r="EED46" s="1041"/>
      <c r="EEE46" s="1041"/>
      <c r="EEF46" s="1041"/>
      <c r="EEG46" s="1041"/>
      <c r="EEH46" s="1041"/>
      <c r="EEI46" s="1041"/>
      <c r="EEJ46" s="1041"/>
      <c r="EEK46" s="1041"/>
      <c r="EEL46" s="1041"/>
      <c r="EEM46" s="1041"/>
      <c r="EEN46" s="1041"/>
      <c r="EEO46" s="1041"/>
      <c r="EEP46" s="1041"/>
      <c r="EEQ46" s="1041"/>
      <c r="EER46" s="1041"/>
      <c r="EES46" s="1041"/>
      <c r="EET46" s="1041"/>
      <c r="EEU46" s="1041"/>
      <c r="EEV46" s="1041"/>
      <c r="EEW46" s="1041"/>
      <c r="EEX46" s="1041"/>
      <c r="EEY46" s="1041"/>
      <c r="EEZ46" s="1041"/>
      <c r="EFA46" s="1041"/>
      <c r="EFB46" s="1041"/>
      <c r="EFC46" s="1041"/>
      <c r="EFD46" s="1041"/>
      <c r="EFE46" s="1041"/>
      <c r="EFF46" s="1041"/>
      <c r="EFG46" s="1041"/>
      <c r="EFH46" s="1041"/>
      <c r="EFI46" s="1041"/>
      <c r="EFJ46" s="1041"/>
      <c r="EFK46" s="1041"/>
      <c r="EFL46" s="1041"/>
      <c r="EFM46" s="1041"/>
      <c r="EFN46" s="1041"/>
      <c r="EFO46" s="1041"/>
      <c r="EFP46" s="1041"/>
      <c r="EFQ46" s="1041"/>
      <c r="EFR46" s="1041"/>
      <c r="EFS46" s="1041"/>
      <c r="EFT46" s="1041"/>
      <c r="EFU46" s="1041"/>
      <c r="EFV46" s="1041"/>
      <c r="EFW46" s="1041"/>
      <c r="EFX46" s="1041"/>
      <c r="EFY46" s="1041"/>
      <c r="EFZ46" s="1041"/>
      <c r="EGA46" s="1041"/>
      <c r="EGB46" s="1041"/>
      <c r="EGC46" s="1041"/>
      <c r="EGD46" s="1041"/>
      <c r="EGE46" s="1041"/>
      <c r="EGF46" s="1041"/>
      <c r="EGG46" s="1041"/>
      <c r="EGH46" s="1041"/>
      <c r="EGI46" s="1041"/>
      <c r="EGJ46" s="1041"/>
      <c r="EGK46" s="1041"/>
      <c r="EGL46" s="1041"/>
      <c r="EGM46" s="1041"/>
      <c r="EGN46" s="1041"/>
      <c r="EGO46" s="1041"/>
      <c r="EGP46" s="1041"/>
      <c r="EGQ46" s="1041"/>
      <c r="EGR46" s="1041"/>
      <c r="EGS46" s="1041"/>
      <c r="EGT46" s="1041"/>
      <c r="EGU46" s="1041"/>
      <c r="EGV46" s="1041"/>
      <c r="EGW46" s="1041"/>
      <c r="EGX46" s="1041"/>
      <c r="EGY46" s="1041"/>
      <c r="EGZ46" s="1041"/>
      <c r="EHA46" s="1041"/>
      <c r="EHB46" s="1041"/>
      <c r="EHC46" s="1041"/>
      <c r="EHD46" s="1041"/>
      <c r="EHE46" s="1041"/>
      <c r="EHF46" s="1041"/>
      <c r="EHG46" s="1041"/>
      <c r="EHH46" s="1041"/>
      <c r="EHI46" s="1041"/>
      <c r="EHJ46" s="1041"/>
      <c r="EHK46" s="1041"/>
      <c r="EHL46" s="1041"/>
      <c r="EHM46" s="1041"/>
      <c r="EHN46" s="1041"/>
      <c r="EHO46" s="1041"/>
      <c r="EHP46" s="1041"/>
      <c r="EHQ46" s="1041"/>
      <c r="EHR46" s="1041"/>
      <c r="EHS46" s="1041"/>
      <c r="EHT46" s="1041"/>
      <c r="EHU46" s="1041"/>
      <c r="EHV46" s="1041"/>
      <c r="EHW46" s="1041"/>
      <c r="EHX46" s="1041"/>
      <c r="EHY46" s="1041"/>
      <c r="EHZ46" s="1041"/>
      <c r="EIA46" s="1041"/>
      <c r="EIB46" s="1041"/>
      <c r="EIC46" s="1041"/>
      <c r="EID46" s="1041"/>
      <c r="EIE46" s="1041"/>
      <c r="EIF46" s="1041"/>
      <c r="EIG46" s="1041"/>
      <c r="EIH46" s="1041"/>
      <c r="EII46" s="1041"/>
      <c r="EIJ46" s="1041"/>
      <c r="EIK46" s="1041"/>
      <c r="EIL46" s="1041"/>
      <c r="EIM46" s="1041"/>
      <c r="EIN46" s="1041"/>
      <c r="EIO46" s="1041"/>
      <c r="EIP46" s="1041"/>
      <c r="EIQ46" s="1041"/>
      <c r="EIR46" s="1041"/>
      <c r="EIS46" s="1041"/>
      <c r="EIT46" s="1041"/>
      <c r="EIU46" s="1041"/>
      <c r="EIV46" s="1041"/>
      <c r="EIW46" s="1041"/>
      <c r="EIX46" s="1041"/>
      <c r="EIY46" s="1041"/>
      <c r="EIZ46" s="1041"/>
      <c r="EJA46" s="1041"/>
      <c r="EJB46" s="1041"/>
      <c r="EJC46" s="1041"/>
      <c r="EJD46" s="1041"/>
      <c r="EJE46" s="1041"/>
      <c r="EJF46" s="1041"/>
      <c r="EJG46" s="1041"/>
      <c r="EJH46" s="1041"/>
      <c r="EJI46" s="1041"/>
      <c r="EJJ46" s="1041"/>
      <c r="EJK46" s="1041"/>
      <c r="EJL46" s="1041"/>
      <c r="EJM46" s="1041"/>
      <c r="EJN46" s="1041"/>
      <c r="EJO46" s="1041"/>
      <c r="EJP46" s="1041"/>
      <c r="EJQ46" s="1041"/>
      <c r="EJR46" s="1041"/>
      <c r="EJS46" s="1041"/>
      <c r="EJT46" s="1041"/>
      <c r="EJU46" s="1041"/>
      <c r="EJV46" s="1041"/>
      <c r="EJW46" s="1041"/>
      <c r="EJX46" s="1041"/>
      <c r="EJY46" s="1041"/>
      <c r="EJZ46" s="1041"/>
      <c r="EKA46" s="1041"/>
      <c r="EKB46" s="1041"/>
      <c r="EKC46" s="1041"/>
      <c r="EKD46" s="1041"/>
      <c r="EKE46" s="1041"/>
      <c r="EKF46" s="1041"/>
      <c r="EKG46" s="1041"/>
      <c r="EKH46" s="1041"/>
      <c r="EKI46" s="1041"/>
      <c r="EKJ46" s="1041"/>
      <c r="EKK46" s="1041"/>
      <c r="EKL46" s="1041"/>
      <c r="EKM46" s="1041"/>
      <c r="EKN46" s="1041"/>
      <c r="EKO46" s="1041"/>
      <c r="EKP46" s="1041"/>
      <c r="EKQ46" s="1041"/>
      <c r="EKR46" s="1041"/>
      <c r="EKS46" s="1041"/>
      <c r="EKT46" s="1041"/>
      <c r="EKU46" s="1041"/>
      <c r="EKV46" s="1041"/>
      <c r="EKW46" s="1041"/>
      <c r="EKX46" s="1041"/>
      <c r="EKY46" s="1041"/>
      <c r="EKZ46" s="1041"/>
      <c r="ELA46" s="1041"/>
      <c r="ELB46" s="1041"/>
      <c r="ELC46" s="1041"/>
      <c r="ELD46" s="1041"/>
      <c r="ELE46" s="1041"/>
      <c r="ELF46" s="1041"/>
      <c r="ELG46" s="1041"/>
      <c r="ELH46" s="1041"/>
      <c r="ELI46" s="1041"/>
      <c r="ELJ46" s="1041"/>
      <c r="ELK46" s="1041"/>
      <c r="ELL46" s="1041"/>
      <c r="ELM46" s="1041"/>
      <c r="ELN46" s="1041"/>
      <c r="ELO46" s="1041"/>
      <c r="ELP46" s="1041"/>
      <c r="ELQ46" s="1041"/>
      <c r="ELR46" s="1041"/>
      <c r="ELS46" s="1041"/>
      <c r="ELT46" s="1041"/>
      <c r="ELU46" s="1041"/>
      <c r="ELV46" s="1041"/>
      <c r="ELW46" s="1041"/>
      <c r="ELX46" s="1041"/>
      <c r="ELY46" s="1041"/>
      <c r="ELZ46" s="1041"/>
      <c r="EMA46" s="1041"/>
      <c r="EMB46" s="1041"/>
      <c r="EMC46" s="1041"/>
      <c r="EMD46" s="1041"/>
      <c r="EME46" s="1041"/>
      <c r="EMF46" s="1041"/>
      <c r="EMG46" s="1041"/>
      <c r="EMH46" s="1041"/>
      <c r="EMI46" s="1041"/>
      <c r="EMJ46" s="1041"/>
      <c r="EMK46" s="1041"/>
      <c r="EML46" s="1041"/>
      <c r="EMM46" s="1041"/>
      <c r="EMN46" s="1041"/>
      <c r="EMO46" s="1041"/>
      <c r="EMP46" s="1041"/>
      <c r="EMQ46" s="1041"/>
      <c r="EMR46" s="1041"/>
      <c r="EMS46" s="1041"/>
      <c r="EMT46" s="1041"/>
      <c r="EMU46" s="1041"/>
      <c r="EMV46" s="1041"/>
      <c r="EMW46" s="1041"/>
      <c r="EMX46" s="1041"/>
      <c r="EMY46" s="1041"/>
      <c r="EMZ46" s="1041"/>
      <c r="ENA46" s="1041"/>
      <c r="ENB46" s="1041"/>
      <c r="ENC46" s="1041"/>
      <c r="END46" s="1041"/>
      <c r="ENE46" s="1041"/>
      <c r="ENF46" s="1041"/>
      <c r="ENG46" s="1041"/>
      <c r="ENH46" s="1041"/>
      <c r="ENI46" s="1041"/>
      <c r="ENJ46" s="1041"/>
      <c r="ENK46" s="1041"/>
      <c r="ENL46" s="1041"/>
      <c r="ENM46" s="1041"/>
      <c r="ENN46" s="1041"/>
      <c r="ENO46" s="1041"/>
      <c r="ENP46" s="1041"/>
      <c r="ENQ46" s="1041"/>
      <c r="ENR46" s="1041"/>
      <c r="ENS46" s="1041"/>
      <c r="ENT46" s="1041"/>
      <c r="ENU46" s="1041"/>
      <c r="ENV46" s="1041"/>
      <c r="ENW46" s="1041"/>
      <c r="ENX46" s="1041"/>
      <c r="ENY46" s="1041"/>
      <c r="ENZ46" s="1041"/>
      <c r="EOA46" s="1041"/>
      <c r="EOB46" s="1041"/>
      <c r="EOC46" s="1041"/>
      <c r="EOD46" s="1041"/>
      <c r="EOE46" s="1041"/>
      <c r="EOF46" s="1041"/>
      <c r="EOG46" s="1041"/>
      <c r="EOH46" s="1041"/>
      <c r="EOI46" s="1041"/>
      <c r="EOJ46" s="1041"/>
      <c r="EOK46" s="1041"/>
      <c r="EOL46" s="1041"/>
      <c r="EOM46" s="1041"/>
      <c r="EON46" s="1041"/>
      <c r="EOO46" s="1041"/>
      <c r="EOP46" s="1041"/>
      <c r="EOQ46" s="1041"/>
      <c r="EOR46" s="1041"/>
      <c r="EOS46" s="1041"/>
      <c r="EOT46" s="1041"/>
      <c r="EOU46" s="1041"/>
      <c r="EOV46" s="1041"/>
      <c r="EOW46" s="1041"/>
      <c r="EOX46" s="1041"/>
      <c r="EOY46" s="1041"/>
      <c r="EOZ46" s="1041"/>
      <c r="EPA46" s="1041"/>
      <c r="EPB46" s="1041"/>
      <c r="EPC46" s="1041"/>
      <c r="EPD46" s="1041"/>
      <c r="EPE46" s="1041"/>
      <c r="EPF46" s="1041"/>
      <c r="EPG46" s="1041"/>
      <c r="EPH46" s="1041"/>
      <c r="EPI46" s="1041"/>
      <c r="EPJ46" s="1041"/>
      <c r="EPK46" s="1041"/>
      <c r="EPL46" s="1041"/>
      <c r="EPM46" s="1041"/>
      <c r="EPN46" s="1041"/>
      <c r="EPO46" s="1041"/>
      <c r="EPP46" s="1041"/>
      <c r="EPQ46" s="1041"/>
      <c r="EPR46" s="1041"/>
      <c r="EPS46" s="1041"/>
      <c r="EPT46" s="1041"/>
      <c r="EPU46" s="1041"/>
      <c r="EPV46" s="1041"/>
      <c r="EPW46" s="1041"/>
      <c r="EPX46" s="1041"/>
      <c r="EPY46" s="1041"/>
      <c r="EPZ46" s="1041"/>
      <c r="EQA46" s="1041"/>
      <c r="EQB46" s="1041"/>
      <c r="EQC46" s="1041"/>
      <c r="EQD46" s="1041"/>
      <c r="EQE46" s="1041"/>
      <c r="EQF46" s="1041"/>
      <c r="EQG46" s="1041"/>
      <c r="EQH46" s="1041"/>
      <c r="EQI46" s="1041"/>
      <c r="EQJ46" s="1041"/>
      <c r="EQK46" s="1041"/>
      <c r="EQL46" s="1041"/>
      <c r="EQM46" s="1041"/>
      <c r="EQN46" s="1041"/>
      <c r="EQO46" s="1041"/>
      <c r="EQP46" s="1041"/>
      <c r="EQQ46" s="1041"/>
      <c r="EQR46" s="1041"/>
      <c r="EQS46" s="1041"/>
      <c r="EQT46" s="1041"/>
      <c r="EQU46" s="1041"/>
      <c r="EQV46" s="1041"/>
      <c r="EQW46" s="1041"/>
      <c r="EQX46" s="1041"/>
      <c r="EQY46" s="1041"/>
      <c r="EQZ46" s="1041"/>
      <c r="ERA46" s="1041"/>
      <c r="ERB46" s="1041"/>
      <c r="ERC46" s="1041"/>
      <c r="ERD46" s="1041"/>
      <c r="ERE46" s="1041"/>
      <c r="ERF46" s="1041"/>
      <c r="ERG46" s="1041"/>
      <c r="ERH46" s="1041"/>
      <c r="ERI46" s="1041"/>
      <c r="ERJ46" s="1041"/>
      <c r="ERK46" s="1041"/>
      <c r="ERL46" s="1041"/>
      <c r="ERM46" s="1041"/>
      <c r="ERN46" s="1041"/>
      <c r="ERO46" s="1041"/>
      <c r="ERP46" s="1041"/>
      <c r="ERQ46" s="1041"/>
      <c r="ERR46" s="1041"/>
      <c r="ERS46" s="1041"/>
      <c r="ERT46" s="1041"/>
      <c r="ERU46" s="1041"/>
      <c r="ERV46" s="1041"/>
      <c r="ERW46" s="1041"/>
      <c r="ERX46" s="1041"/>
      <c r="ERY46" s="1041"/>
      <c r="ERZ46" s="1041"/>
      <c r="ESA46" s="1041"/>
      <c r="ESB46" s="1041"/>
      <c r="ESC46" s="1041"/>
      <c r="ESD46" s="1041"/>
      <c r="ESE46" s="1041"/>
      <c r="ESF46" s="1041"/>
      <c r="ESG46" s="1041"/>
      <c r="ESH46" s="1041"/>
      <c r="ESI46" s="1041"/>
      <c r="ESJ46" s="1041"/>
      <c r="ESK46" s="1041"/>
      <c r="ESL46" s="1041"/>
      <c r="ESM46" s="1041"/>
      <c r="ESN46" s="1041"/>
      <c r="ESO46" s="1041"/>
      <c r="ESP46" s="1041"/>
      <c r="ESQ46" s="1041"/>
      <c r="ESR46" s="1041"/>
      <c r="ESS46" s="1041"/>
      <c r="EST46" s="1041"/>
      <c r="ESU46" s="1041"/>
      <c r="ESV46" s="1041"/>
      <c r="ESW46" s="1041"/>
      <c r="ESX46" s="1041"/>
      <c r="ESY46" s="1041"/>
      <c r="ESZ46" s="1041"/>
      <c r="ETA46" s="1041"/>
      <c r="ETB46" s="1041"/>
      <c r="ETC46" s="1041"/>
      <c r="ETD46" s="1041"/>
      <c r="ETE46" s="1041"/>
      <c r="ETF46" s="1041"/>
      <c r="ETG46" s="1041"/>
      <c r="ETH46" s="1041"/>
      <c r="ETI46" s="1041"/>
      <c r="ETJ46" s="1041"/>
      <c r="ETK46" s="1041"/>
      <c r="ETL46" s="1041"/>
      <c r="ETM46" s="1041"/>
      <c r="ETN46" s="1041"/>
      <c r="ETO46" s="1041"/>
      <c r="ETP46" s="1041"/>
      <c r="ETQ46" s="1041"/>
      <c r="ETR46" s="1041"/>
      <c r="ETS46" s="1041"/>
      <c r="ETT46" s="1041"/>
      <c r="ETU46" s="1041"/>
      <c r="ETV46" s="1041"/>
      <c r="ETW46" s="1041"/>
      <c r="ETX46" s="1041"/>
      <c r="ETY46" s="1041"/>
      <c r="ETZ46" s="1041"/>
      <c r="EUA46" s="1041"/>
      <c r="EUB46" s="1041"/>
      <c r="EUC46" s="1041"/>
      <c r="EUD46" s="1041"/>
      <c r="EUE46" s="1041"/>
      <c r="EUF46" s="1041"/>
      <c r="EUG46" s="1041"/>
      <c r="EUH46" s="1041"/>
      <c r="EUI46" s="1041"/>
      <c r="EUJ46" s="1041"/>
      <c r="EUK46" s="1041"/>
      <c r="EUL46" s="1041"/>
      <c r="EUM46" s="1041"/>
      <c r="EUN46" s="1041"/>
      <c r="EUO46" s="1041"/>
      <c r="EUP46" s="1041"/>
      <c r="EUQ46" s="1041"/>
      <c r="EUR46" s="1041"/>
      <c r="EUS46" s="1041"/>
      <c r="EUT46" s="1041"/>
      <c r="EUU46" s="1041"/>
      <c r="EUV46" s="1041"/>
      <c r="EUW46" s="1041"/>
      <c r="EUX46" s="1041"/>
      <c r="EUY46" s="1041"/>
      <c r="EUZ46" s="1041"/>
      <c r="EVA46" s="1041"/>
      <c r="EVB46" s="1041"/>
      <c r="EVC46" s="1041"/>
      <c r="EVD46" s="1041"/>
      <c r="EVE46" s="1041"/>
      <c r="EVF46" s="1041"/>
      <c r="EVG46" s="1041"/>
      <c r="EVH46" s="1041"/>
      <c r="EVI46" s="1041"/>
      <c r="EVJ46" s="1041"/>
      <c r="EVK46" s="1041"/>
      <c r="EVL46" s="1041"/>
      <c r="EVM46" s="1041"/>
      <c r="EVN46" s="1041"/>
      <c r="EVO46" s="1041"/>
      <c r="EVP46" s="1041"/>
      <c r="EVQ46" s="1041"/>
      <c r="EVR46" s="1041"/>
      <c r="EVS46" s="1041"/>
      <c r="EVT46" s="1041"/>
      <c r="EVU46" s="1041"/>
      <c r="EVV46" s="1041"/>
      <c r="EVW46" s="1041"/>
      <c r="EVX46" s="1041"/>
      <c r="EVY46" s="1041"/>
      <c r="EVZ46" s="1041"/>
      <c r="EWA46" s="1041"/>
      <c r="EWB46" s="1041"/>
      <c r="EWC46" s="1041"/>
      <c r="EWD46" s="1041"/>
      <c r="EWE46" s="1041"/>
      <c r="EWF46" s="1041"/>
      <c r="EWG46" s="1041"/>
      <c r="EWH46" s="1041"/>
      <c r="EWI46" s="1041"/>
      <c r="EWJ46" s="1041"/>
      <c r="EWK46" s="1041"/>
      <c r="EWL46" s="1041"/>
      <c r="EWM46" s="1041"/>
      <c r="EWN46" s="1041"/>
      <c r="EWO46" s="1041"/>
      <c r="EWP46" s="1041"/>
      <c r="EWQ46" s="1041"/>
      <c r="EWR46" s="1041"/>
      <c r="EWS46" s="1041"/>
      <c r="EWT46" s="1041"/>
      <c r="EWU46" s="1041"/>
      <c r="EWV46" s="1041"/>
      <c r="EWW46" s="1041"/>
      <c r="EWX46" s="1041"/>
      <c r="EWY46" s="1041"/>
      <c r="EWZ46" s="1041"/>
      <c r="EXA46" s="1041"/>
      <c r="EXB46" s="1041"/>
      <c r="EXC46" s="1041"/>
      <c r="EXD46" s="1041"/>
      <c r="EXE46" s="1041"/>
      <c r="EXF46" s="1041"/>
      <c r="EXG46" s="1041"/>
      <c r="EXH46" s="1041"/>
      <c r="EXI46" s="1041"/>
      <c r="EXJ46" s="1041"/>
      <c r="EXK46" s="1041"/>
      <c r="EXL46" s="1041"/>
      <c r="EXM46" s="1041"/>
      <c r="EXN46" s="1041"/>
      <c r="EXO46" s="1041"/>
      <c r="EXP46" s="1041"/>
      <c r="EXQ46" s="1041"/>
      <c r="EXR46" s="1041"/>
      <c r="EXS46" s="1041"/>
      <c r="EXT46" s="1041"/>
      <c r="EXU46" s="1041"/>
      <c r="EXV46" s="1041"/>
      <c r="EXW46" s="1041"/>
      <c r="EXX46" s="1041"/>
      <c r="EXY46" s="1041"/>
      <c r="EXZ46" s="1041"/>
      <c r="EYA46" s="1041"/>
      <c r="EYB46" s="1041"/>
      <c r="EYC46" s="1041"/>
      <c r="EYD46" s="1041"/>
      <c r="EYE46" s="1041"/>
      <c r="EYF46" s="1041"/>
      <c r="EYG46" s="1041"/>
      <c r="EYH46" s="1041"/>
      <c r="EYI46" s="1041"/>
      <c r="EYJ46" s="1041"/>
      <c r="EYK46" s="1041"/>
      <c r="EYL46" s="1041"/>
      <c r="EYM46" s="1041"/>
      <c r="EYN46" s="1041"/>
      <c r="EYO46" s="1041"/>
      <c r="EYP46" s="1041"/>
      <c r="EYQ46" s="1041"/>
      <c r="EYR46" s="1041"/>
      <c r="EYS46" s="1041"/>
      <c r="EYT46" s="1041"/>
      <c r="EYU46" s="1041"/>
      <c r="EYV46" s="1041"/>
      <c r="EYW46" s="1041"/>
      <c r="EYX46" s="1041"/>
      <c r="EYY46" s="1041"/>
      <c r="EYZ46" s="1041"/>
      <c r="EZA46" s="1041"/>
      <c r="EZB46" s="1041"/>
      <c r="EZC46" s="1041"/>
      <c r="EZD46" s="1041"/>
      <c r="EZE46" s="1041"/>
      <c r="EZF46" s="1041"/>
      <c r="EZG46" s="1041"/>
      <c r="EZH46" s="1041"/>
      <c r="EZI46" s="1041"/>
      <c r="EZJ46" s="1041"/>
      <c r="EZK46" s="1041"/>
      <c r="EZL46" s="1041"/>
      <c r="EZM46" s="1041"/>
      <c r="EZN46" s="1041"/>
      <c r="EZO46" s="1041"/>
      <c r="EZP46" s="1041"/>
      <c r="EZQ46" s="1041"/>
      <c r="EZR46" s="1041"/>
      <c r="EZS46" s="1041"/>
      <c r="EZT46" s="1041"/>
      <c r="EZU46" s="1041"/>
      <c r="EZV46" s="1041"/>
      <c r="EZW46" s="1041"/>
      <c r="EZX46" s="1041"/>
      <c r="EZY46" s="1041"/>
      <c r="EZZ46" s="1041"/>
      <c r="FAA46" s="1041"/>
      <c r="FAB46" s="1041"/>
      <c r="FAC46" s="1041"/>
      <c r="FAD46" s="1041"/>
      <c r="FAE46" s="1041"/>
      <c r="FAF46" s="1041"/>
      <c r="FAG46" s="1041"/>
      <c r="FAH46" s="1041"/>
      <c r="FAI46" s="1041"/>
      <c r="FAJ46" s="1041"/>
      <c r="FAK46" s="1041"/>
      <c r="FAL46" s="1041"/>
      <c r="FAM46" s="1041"/>
      <c r="FAN46" s="1041"/>
      <c r="FAO46" s="1041"/>
      <c r="FAP46" s="1041"/>
      <c r="FAQ46" s="1041"/>
      <c r="FAR46" s="1041"/>
      <c r="FAS46" s="1041"/>
      <c r="FAT46" s="1041"/>
      <c r="FAU46" s="1041"/>
      <c r="FAV46" s="1041"/>
      <c r="FAW46" s="1041"/>
      <c r="FAX46" s="1041"/>
      <c r="FAY46" s="1041"/>
      <c r="FAZ46" s="1041"/>
      <c r="FBA46" s="1041"/>
      <c r="FBB46" s="1041"/>
      <c r="FBC46" s="1041"/>
      <c r="FBD46" s="1041"/>
      <c r="FBE46" s="1041"/>
      <c r="FBF46" s="1041"/>
      <c r="FBG46" s="1041"/>
      <c r="FBH46" s="1041"/>
      <c r="FBI46" s="1041"/>
      <c r="FBJ46" s="1041"/>
      <c r="FBK46" s="1041"/>
      <c r="FBL46" s="1041"/>
      <c r="FBM46" s="1041"/>
      <c r="FBN46" s="1041"/>
      <c r="FBO46" s="1041"/>
      <c r="FBP46" s="1041"/>
      <c r="FBQ46" s="1041"/>
      <c r="FBR46" s="1041"/>
      <c r="FBS46" s="1041"/>
      <c r="FBT46" s="1041"/>
      <c r="FBU46" s="1041"/>
      <c r="FBV46" s="1041"/>
      <c r="FBW46" s="1041"/>
      <c r="FBX46" s="1041"/>
      <c r="FBY46" s="1041"/>
      <c r="FBZ46" s="1041"/>
      <c r="FCA46" s="1041"/>
      <c r="FCB46" s="1041"/>
      <c r="FCC46" s="1041"/>
      <c r="FCD46" s="1041"/>
      <c r="FCE46" s="1041"/>
      <c r="FCF46" s="1041"/>
      <c r="FCG46" s="1041"/>
      <c r="FCH46" s="1041"/>
      <c r="FCI46" s="1041"/>
      <c r="FCJ46" s="1041"/>
      <c r="FCK46" s="1041"/>
      <c r="FCL46" s="1041"/>
      <c r="FCM46" s="1041"/>
      <c r="FCN46" s="1041"/>
      <c r="FCO46" s="1041"/>
      <c r="FCP46" s="1041"/>
      <c r="FCQ46" s="1041"/>
      <c r="FCR46" s="1041"/>
      <c r="FCS46" s="1041"/>
      <c r="FCT46" s="1041"/>
      <c r="FCU46" s="1041"/>
      <c r="FCV46" s="1041"/>
      <c r="FCW46" s="1041"/>
      <c r="FCX46" s="1041"/>
      <c r="FCY46" s="1041"/>
      <c r="FCZ46" s="1041"/>
      <c r="FDA46" s="1041"/>
      <c r="FDB46" s="1041"/>
      <c r="FDC46" s="1041"/>
      <c r="FDD46" s="1041"/>
      <c r="FDE46" s="1041"/>
      <c r="FDF46" s="1041"/>
      <c r="FDG46" s="1041"/>
      <c r="FDH46" s="1041"/>
      <c r="FDI46" s="1041"/>
      <c r="FDJ46" s="1041"/>
      <c r="FDK46" s="1041"/>
      <c r="FDL46" s="1041"/>
      <c r="FDM46" s="1041"/>
      <c r="FDN46" s="1041"/>
      <c r="FDO46" s="1041"/>
      <c r="FDP46" s="1041"/>
      <c r="FDQ46" s="1041"/>
      <c r="FDR46" s="1041"/>
      <c r="FDS46" s="1041"/>
      <c r="FDT46" s="1041"/>
      <c r="FDU46" s="1041"/>
      <c r="FDV46" s="1041"/>
      <c r="FDW46" s="1041"/>
      <c r="FDX46" s="1041"/>
      <c r="FDY46" s="1041"/>
      <c r="FDZ46" s="1041"/>
      <c r="FEA46" s="1041"/>
      <c r="FEB46" s="1041"/>
      <c r="FEC46" s="1041"/>
      <c r="FED46" s="1041"/>
      <c r="FEE46" s="1041"/>
      <c r="FEF46" s="1041"/>
      <c r="FEG46" s="1041"/>
      <c r="FEH46" s="1041"/>
      <c r="FEI46" s="1041"/>
      <c r="FEJ46" s="1041"/>
      <c r="FEK46" s="1041"/>
      <c r="FEL46" s="1041"/>
      <c r="FEM46" s="1041"/>
      <c r="FEN46" s="1041"/>
      <c r="FEO46" s="1041"/>
      <c r="FEP46" s="1041"/>
      <c r="FEQ46" s="1041"/>
      <c r="FER46" s="1041"/>
      <c r="FES46" s="1041"/>
      <c r="FET46" s="1041"/>
      <c r="FEU46" s="1041"/>
      <c r="FEV46" s="1041"/>
      <c r="FEW46" s="1041"/>
      <c r="FEX46" s="1041"/>
      <c r="FEY46" s="1041"/>
      <c r="FEZ46" s="1041"/>
      <c r="FFA46" s="1041"/>
      <c r="FFB46" s="1041"/>
      <c r="FFC46" s="1041"/>
      <c r="FFD46" s="1041"/>
      <c r="FFE46" s="1041"/>
      <c r="FFF46" s="1041"/>
      <c r="FFG46" s="1041"/>
      <c r="FFH46" s="1041"/>
      <c r="FFI46" s="1041"/>
      <c r="FFJ46" s="1041"/>
      <c r="FFK46" s="1041"/>
      <c r="FFL46" s="1041"/>
      <c r="FFM46" s="1041"/>
      <c r="FFN46" s="1041"/>
      <c r="FFO46" s="1041"/>
      <c r="FFP46" s="1041"/>
      <c r="FFQ46" s="1041"/>
      <c r="FFR46" s="1041"/>
      <c r="FFS46" s="1041"/>
      <c r="FFT46" s="1041"/>
      <c r="FFU46" s="1041"/>
      <c r="FFV46" s="1041"/>
      <c r="FFW46" s="1041"/>
      <c r="FFX46" s="1041"/>
      <c r="FFY46" s="1041"/>
      <c r="FFZ46" s="1041"/>
      <c r="FGA46" s="1041"/>
      <c r="FGB46" s="1041"/>
      <c r="FGC46" s="1041"/>
      <c r="FGD46" s="1041"/>
      <c r="FGE46" s="1041"/>
      <c r="FGF46" s="1041"/>
      <c r="FGG46" s="1041"/>
      <c r="FGH46" s="1041"/>
      <c r="FGI46" s="1041"/>
      <c r="FGJ46" s="1041"/>
      <c r="FGK46" s="1041"/>
      <c r="FGL46" s="1041"/>
      <c r="FGM46" s="1041"/>
      <c r="FGN46" s="1041"/>
      <c r="FGO46" s="1041"/>
      <c r="FGP46" s="1041"/>
      <c r="FGQ46" s="1041"/>
      <c r="FGR46" s="1041"/>
      <c r="FGS46" s="1041"/>
      <c r="FGT46" s="1041"/>
      <c r="FGU46" s="1041"/>
      <c r="FGV46" s="1041"/>
      <c r="FGW46" s="1041"/>
      <c r="FGX46" s="1041"/>
      <c r="FGY46" s="1041"/>
      <c r="FGZ46" s="1041"/>
      <c r="FHA46" s="1041"/>
      <c r="FHB46" s="1041"/>
      <c r="FHC46" s="1041"/>
      <c r="FHD46" s="1041"/>
      <c r="FHE46" s="1041"/>
      <c r="FHF46" s="1041"/>
      <c r="FHG46" s="1041"/>
      <c r="FHH46" s="1041"/>
      <c r="FHI46" s="1041"/>
      <c r="FHJ46" s="1041"/>
      <c r="FHK46" s="1041"/>
      <c r="FHL46" s="1041"/>
      <c r="FHM46" s="1041"/>
      <c r="FHN46" s="1041"/>
      <c r="FHO46" s="1041"/>
      <c r="FHP46" s="1041"/>
      <c r="FHQ46" s="1041"/>
      <c r="FHR46" s="1041"/>
      <c r="FHS46" s="1041"/>
      <c r="FHT46" s="1041"/>
      <c r="FHU46" s="1041"/>
      <c r="FHV46" s="1041"/>
      <c r="FHW46" s="1041"/>
      <c r="FHX46" s="1041"/>
      <c r="FHY46" s="1041"/>
      <c r="FHZ46" s="1041"/>
      <c r="FIA46" s="1041"/>
      <c r="FIB46" s="1041"/>
      <c r="FIC46" s="1041"/>
      <c r="FID46" s="1041"/>
      <c r="FIE46" s="1041"/>
      <c r="FIF46" s="1041"/>
      <c r="FIG46" s="1041"/>
      <c r="FIH46" s="1041"/>
      <c r="FII46" s="1041"/>
      <c r="FIJ46" s="1041"/>
      <c r="FIK46" s="1041"/>
      <c r="FIL46" s="1041"/>
      <c r="FIM46" s="1041"/>
      <c r="FIN46" s="1041"/>
      <c r="FIO46" s="1041"/>
      <c r="FIP46" s="1041"/>
      <c r="FIQ46" s="1041"/>
      <c r="FIR46" s="1041"/>
      <c r="FIS46" s="1041"/>
      <c r="FIT46" s="1041"/>
      <c r="FIU46" s="1041"/>
      <c r="FIV46" s="1041"/>
      <c r="FIW46" s="1041"/>
      <c r="FIX46" s="1041"/>
      <c r="FIY46" s="1041"/>
      <c r="FIZ46" s="1041"/>
      <c r="FJA46" s="1041"/>
      <c r="FJB46" s="1041"/>
      <c r="FJC46" s="1041"/>
      <c r="FJD46" s="1041"/>
      <c r="FJE46" s="1041"/>
      <c r="FJF46" s="1041"/>
      <c r="FJG46" s="1041"/>
      <c r="FJH46" s="1041"/>
      <c r="FJI46" s="1041"/>
      <c r="FJJ46" s="1041"/>
      <c r="FJK46" s="1041"/>
      <c r="FJL46" s="1041"/>
      <c r="FJM46" s="1041"/>
      <c r="FJN46" s="1041"/>
      <c r="FJO46" s="1041"/>
      <c r="FJP46" s="1041"/>
      <c r="FJQ46" s="1041"/>
      <c r="FJR46" s="1041"/>
      <c r="FJS46" s="1041"/>
      <c r="FJT46" s="1041"/>
      <c r="FJU46" s="1041"/>
      <c r="FJV46" s="1041"/>
      <c r="FJW46" s="1041"/>
      <c r="FJX46" s="1041"/>
      <c r="FJY46" s="1041"/>
      <c r="FJZ46" s="1041"/>
      <c r="FKA46" s="1041"/>
      <c r="FKB46" s="1041"/>
      <c r="FKC46" s="1041"/>
      <c r="FKD46" s="1041"/>
      <c r="FKE46" s="1041"/>
      <c r="FKF46" s="1041"/>
      <c r="FKG46" s="1041"/>
      <c r="FKH46" s="1041"/>
      <c r="FKI46" s="1041"/>
      <c r="FKJ46" s="1041"/>
      <c r="FKK46" s="1041"/>
      <c r="FKL46" s="1041"/>
      <c r="FKM46" s="1041"/>
      <c r="FKN46" s="1041"/>
      <c r="FKO46" s="1041"/>
      <c r="FKP46" s="1041"/>
      <c r="FKQ46" s="1041"/>
      <c r="FKR46" s="1041"/>
      <c r="FKS46" s="1041"/>
      <c r="FKT46" s="1041"/>
      <c r="FKU46" s="1041"/>
      <c r="FKV46" s="1041"/>
      <c r="FKW46" s="1041"/>
      <c r="FKX46" s="1041"/>
      <c r="FKY46" s="1041"/>
      <c r="FKZ46" s="1041"/>
      <c r="FLA46" s="1041"/>
      <c r="FLB46" s="1041"/>
      <c r="FLC46" s="1041"/>
      <c r="FLD46" s="1041"/>
      <c r="FLE46" s="1041"/>
      <c r="FLF46" s="1041"/>
      <c r="FLG46" s="1041"/>
      <c r="FLH46" s="1041"/>
      <c r="FLI46" s="1041"/>
      <c r="FLJ46" s="1041"/>
      <c r="FLK46" s="1041"/>
      <c r="FLL46" s="1041"/>
      <c r="FLM46" s="1041"/>
      <c r="FLN46" s="1041"/>
      <c r="FLO46" s="1041"/>
      <c r="FLP46" s="1041"/>
      <c r="FLQ46" s="1041"/>
      <c r="FLR46" s="1041"/>
      <c r="FLS46" s="1041"/>
      <c r="FLT46" s="1041"/>
      <c r="FLU46" s="1041"/>
      <c r="FLV46" s="1041"/>
      <c r="FLW46" s="1041"/>
      <c r="FLX46" s="1041"/>
      <c r="FLY46" s="1041"/>
      <c r="FLZ46" s="1041"/>
      <c r="FMA46" s="1041"/>
      <c r="FMB46" s="1041"/>
      <c r="FMC46" s="1041"/>
      <c r="FMD46" s="1041"/>
      <c r="FME46" s="1041"/>
      <c r="FMF46" s="1041"/>
      <c r="FMG46" s="1041"/>
      <c r="FMH46" s="1041"/>
      <c r="FMI46" s="1041"/>
      <c r="FMJ46" s="1041"/>
      <c r="FMK46" s="1041"/>
      <c r="FML46" s="1041"/>
      <c r="FMM46" s="1041"/>
      <c r="FMN46" s="1041"/>
      <c r="FMO46" s="1041"/>
      <c r="FMP46" s="1041"/>
      <c r="FMQ46" s="1041"/>
      <c r="FMR46" s="1041"/>
      <c r="FMS46" s="1041"/>
      <c r="FMT46" s="1041"/>
      <c r="FMU46" s="1041"/>
      <c r="FMV46" s="1041"/>
      <c r="FMW46" s="1041"/>
      <c r="FMX46" s="1041"/>
      <c r="FMY46" s="1041"/>
      <c r="FMZ46" s="1041"/>
      <c r="FNA46" s="1041"/>
      <c r="FNB46" s="1041"/>
      <c r="FNC46" s="1041"/>
      <c r="FND46" s="1041"/>
      <c r="FNE46" s="1041"/>
      <c r="FNF46" s="1041"/>
      <c r="FNG46" s="1041"/>
      <c r="FNH46" s="1041"/>
      <c r="FNI46" s="1041"/>
      <c r="FNJ46" s="1041"/>
      <c r="FNK46" s="1041"/>
      <c r="FNL46" s="1041"/>
      <c r="FNM46" s="1041"/>
      <c r="FNN46" s="1041"/>
      <c r="FNO46" s="1041"/>
      <c r="FNP46" s="1041"/>
      <c r="FNQ46" s="1041"/>
      <c r="FNR46" s="1041"/>
      <c r="FNS46" s="1041"/>
      <c r="FNT46" s="1041"/>
      <c r="FNU46" s="1041"/>
      <c r="FNV46" s="1041"/>
      <c r="FNW46" s="1041"/>
      <c r="FNX46" s="1041"/>
      <c r="FNY46" s="1041"/>
      <c r="FNZ46" s="1041"/>
      <c r="FOA46" s="1041"/>
      <c r="FOB46" s="1041"/>
      <c r="FOC46" s="1041"/>
      <c r="FOD46" s="1041"/>
      <c r="FOE46" s="1041"/>
      <c r="FOF46" s="1041"/>
      <c r="FOG46" s="1041"/>
      <c r="FOH46" s="1041"/>
      <c r="FOI46" s="1041"/>
      <c r="FOJ46" s="1041"/>
      <c r="FOK46" s="1041"/>
      <c r="FOL46" s="1041"/>
      <c r="FOM46" s="1041"/>
      <c r="FON46" s="1041"/>
      <c r="FOO46" s="1041"/>
      <c r="FOP46" s="1041"/>
      <c r="FOQ46" s="1041"/>
      <c r="FOR46" s="1041"/>
      <c r="FOS46" s="1041"/>
      <c r="FOT46" s="1041"/>
      <c r="FOU46" s="1041"/>
      <c r="FOV46" s="1041"/>
      <c r="FOW46" s="1041"/>
      <c r="FOX46" s="1041"/>
      <c r="FOY46" s="1041"/>
      <c r="FOZ46" s="1041"/>
      <c r="FPA46" s="1041"/>
      <c r="FPB46" s="1041"/>
      <c r="FPC46" s="1041"/>
      <c r="FPD46" s="1041"/>
      <c r="FPE46" s="1041"/>
      <c r="FPF46" s="1041"/>
      <c r="FPG46" s="1041"/>
      <c r="FPH46" s="1041"/>
      <c r="FPI46" s="1041"/>
      <c r="FPJ46" s="1041"/>
      <c r="FPK46" s="1041"/>
      <c r="FPL46" s="1041"/>
      <c r="FPM46" s="1041"/>
      <c r="FPN46" s="1041"/>
      <c r="FPO46" s="1041"/>
      <c r="FPP46" s="1041"/>
      <c r="FPQ46" s="1041"/>
      <c r="FPR46" s="1041"/>
      <c r="FPS46" s="1041"/>
      <c r="FPT46" s="1041"/>
      <c r="FPU46" s="1041"/>
      <c r="FPV46" s="1041"/>
      <c r="FPW46" s="1041"/>
      <c r="FPX46" s="1041"/>
      <c r="FPY46" s="1041"/>
      <c r="FPZ46" s="1041"/>
      <c r="FQA46" s="1041"/>
      <c r="FQB46" s="1041"/>
      <c r="FQC46" s="1041"/>
      <c r="FQD46" s="1041"/>
      <c r="FQE46" s="1041"/>
      <c r="FQF46" s="1041"/>
      <c r="FQG46" s="1041"/>
      <c r="FQH46" s="1041"/>
      <c r="FQI46" s="1041"/>
      <c r="FQJ46" s="1041"/>
      <c r="FQK46" s="1041"/>
      <c r="FQL46" s="1041"/>
      <c r="FQM46" s="1041"/>
      <c r="FQN46" s="1041"/>
      <c r="FQO46" s="1041"/>
      <c r="FQP46" s="1041"/>
      <c r="FQQ46" s="1041"/>
      <c r="FQR46" s="1041"/>
      <c r="FQS46" s="1041"/>
      <c r="FQT46" s="1041"/>
      <c r="FQU46" s="1041"/>
      <c r="FQV46" s="1041"/>
      <c r="FQW46" s="1041"/>
      <c r="FQX46" s="1041"/>
      <c r="FQY46" s="1041"/>
      <c r="FQZ46" s="1041"/>
      <c r="FRA46" s="1041"/>
      <c r="FRB46" s="1041"/>
      <c r="FRC46" s="1041"/>
      <c r="FRD46" s="1041"/>
      <c r="FRE46" s="1041"/>
      <c r="FRF46" s="1041"/>
      <c r="FRG46" s="1041"/>
      <c r="FRH46" s="1041"/>
      <c r="FRI46" s="1041"/>
      <c r="FRJ46" s="1041"/>
      <c r="FRK46" s="1041"/>
      <c r="FRL46" s="1041"/>
      <c r="FRM46" s="1041"/>
      <c r="FRN46" s="1041"/>
      <c r="FRO46" s="1041"/>
      <c r="FRP46" s="1041"/>
      <c r="FRQ46" s="1041"/>
      <c r="FRR46" s="1041"/>
      <c r="FRS46" s="1041"/>
      <c r="FRT46" s="1041"/>
      <c r="FRU46" s="1041"/>
      <c r="FRV46" s="1041"/>
      <c r="FRW46" s="1041"/>
      <c r="FRX46" s="1041"/>
      <c r="FRY46" s="1041"/>
      <c r="FRZ46" s="1041"/>
      <c r="FSA46" s="1041"/>
      <c r="FSB46" s="1041"/>
      <c r="FSC46" s="1041"/>
      <c r="FSD46" s="1041"/>
      <c r="FSE46" s="1041"/>
      <c r="FSF46" s="1041"/>
      <c r="FSG46" s="1041"/>
      <c r="FSH46" s="1041"/>
      <c r="FSI46" s="1041"/>
      <c r="FSJ46" s="1041"/>
      <c r="FSK46" s="1041"/>
      <c r="FSL46" s="1041"/>
      <c r="FSM46" s="1041"/>
      <c r="FSN46" s="1041"/>
      <c r="FSO46" s="1041"/>
      <c r="FSP46" s="1041"/>
      <c r="FSQ46" s="1041"/>
      <c r="FSR46" s="1041"/>
      <c r="FSS46" s="1041"/>
      <c r="FST46" s="1041"/>
      <c r="FSU46" s="1041"/>
      <c r="FSV46" s="1041"/>
      <c r="FSW46" s="1041"/>
      <c r="FSX46" s="1041"/>
      <c r="FSY46" s="1041"/>
      <c r="FSZ46" s="1041"/>
      <c r="FTA46" s="1041"/>
      <c r="FTB46" s="1041"/>
      <c r="FTC46" s="1041"/>
      <c r="FTD46" s="1041"/>
      <c r="FTE46" s="1041"/>
      <c r="FTF46" s="1041"/>
      <c r="FTG46" s="1041"/>
      <c r="FTH46" s="1041"/>
      <c r="FTI46" s="1041"/>
      <c r="FTJ46" s="1041"/>
      <c r="FTK46" s="1041"/>
      <c r="FTL46" s="1041"/>
      <c r="FTM46" s="1041"/>
      <c r="FTN46" s="1041"/>
      <c r="FTO46" s="1041"/>
      <c r="FTP46" s="1041"/>
      <c r="FTQ46" s="1041"/>
      <c r="FTR46" s="1041"/>
      <c r="FTS46" s="1041"/>
      <c r="FTT46" s="1041"/>
      <c r="FTU46" s="1041"/>
      <c r="FTV46" s="1041"/>
      <c r="FTW46" s="1041"/>
      <c r="FTX46" s="1041"/>
      <c r="FTY46" s="1041"/>
      <c r="FTZ46" s="1041"/>
      <c r="FUA46" s="1041"/>
      <c r="FUB46" s="1041"/>
      <c r="FUC46" s="1041"/>
      <c r="FUD46" s="1041"/>
      <c r="FUE46" s="1041"/>
      <c r="FUF46" s="1041"/>
      <c r="FUG46" s="1041"/>
      <c r="FUH46" s="1041"/>
      <c r="FUI46" s="1041"/>
      <c r="FUJ46" s="1041"/>
      <c r="FUK46" s="1041"/>
      <c r="FUL46" s="1041"/>
      <c r="FUM46" s="1041"/>
      <c r="FUN46" s="1041"/>
      <c r="FUO46" s="1041"/>
      <c r="FUP46" s="1041"/>
      <c r="FUQ46" s="1041"/>
      <c r="FUR46" s="1041"/>
      <c r="FUS46" s="1041"/>
      <c r="FUT46" s="1041"/>
      <c r="FUU46" s="1041"/>
      <c r="FUV46" s="1041"/>
      <c r="FUW46" s="1041"/>
      <c r="FUX46" s="1041"/>
      <c r="FUY46" s="1041"/>
      <c r="FUZ46" s="1041"/>
      <c r="FVA46" s="1041"/>
      <c r="FVB46" s="1041"/>
      <c r="FVC46" s="1041"/>
      <c r="FVD46" s="1041"/>
      <c r="FVE46" s="1041"/>
      <c r="FVF46" s="1041"/>
      <c r="FVG46" s="1041"/>
      <c r="FVH46" s="1041"/>
      <c r="FVI46" s="1041"/>
      <c r="FVJ46" s="1041"/>
      <c r="FVK46" s="1041"/>
      <c r="FVL46" s="1041"/>
      <c r="FVM46" s="1041"/>
      <c r="FVN46" s="1041"/>
      <c r="FVO46" s="1041"/>
      <c r="FVP46" s="1041"/>
      <c r="FVQ46" s="1041"/>
      <c r="FVR46" s="1041"/>
      <c r="FVS46" s="1041"/>
      <c r="FVT46" s="1041"/>
      <c r="FVU46" s="1041"/>
      <c r="FVV46" s="1041"/>
      <c r="FVW46" s="1041"/>
      <c r="FVX46" s="1041"/>
      <c r="FVY46" s="1041"/>
      <c r="FVZ46" s="1041"/>
      <c r="FWA46" s="1041"/>
      <c r="FWB46" s="1041"/>
      <c r="FWC46" s="1041"/>
      <c r="FWD46" s="1041"/>
      <c r="FWE46" s="1041"/>
      <c r="FWF46" s="1041"/>
      <c r="FWG46" s="1041"/>
      <c r="FWH46" s="1041"/>
      <c r="FWI46" s="1041"/>
      <c r="FWJ46" s="1041"/>
      <c r="FWK46" s="1041"/>
      <c r="FWL46" s="1041"/>
      <c r="FWM46" s="1041"/>
      <c r="FWN46" s="1041"/>
      <c r="FWO46" s="1041"/>
      <c r="FWP46" s="1041"/>
      <c r="FWQ46" s="1041"/>
      <c r="FWR46" s="1041"/>
      <c r="FWS46" s="1041"/>
      <c r="FWT46" s="1041"/>
      <c r="FWU46" s="1041"/>
      <c r="FWV46" s="1041"/>
      <c r="FWW46" s="1041"/>
      <c r="FWX46" s="1041"/>
      <c r="FWY46" s="1041"/>
      <c r="FWZ46" s="1041"/>
      <c r="FXA46" s="1041"/>
      <c r="FXB46" s="1041"/>
      <c r="FXC46" s="1041"/>
      <c r="FXD46" s="1041"/>
      <c r="FXE46" s="1041"/>
      <c r="FXF46" s="1041"/>
      <c r="FXG46" s="1041"/>
      <c r="FXH46" s="1041"/>
      <c r="FXI46" s="1041"/>
      <c r="FXJ46" s="1041"/>
      <c r="FXK46" s="1041"/>
      <c r="FXL46" s="1041"/>
      <c r="FXM46" s="1041"/>
      <c r="FXN46" s="1041"/>
      <c r="FXO46" s="1041"/>
      <c r="FXP46" s="1041"/>
      <c r="FXQ46" s="1041"/>
      <c r="FXR46" s="1041"/>
      <c r="FXS46" s="1041"/>
      <c r="FXT46" s="1041"/>
      <c r="FXU46" s="1041"/>
      <c r="FXV46" s="1041"/>
      <c r="FXW46" s="1041"/>
      <c r="FXX46" s="1041"/>
      <c r="FXY46" s="1041"/>
      <c r="FXZ46" s="1041"/>
      <c r="FYA46" s="1041"/>
      <c r="FYB46" s="1041"/>
      <c r="FYC46" s="1041"/>
      <c r="FYD46" s="1041"/>
      <c r="FYE46" s="1041"/>
      <c r="FYF46" s="1041"/>
      <c r="FYG46" s="1041"/>
      <c r="FYH46" s="1041"/>
      <c r="FYI46" s="1041"/>
      <c r="FYJ46" s="1041"/>
      <c r="FYK46" s="1041"/>
      <c r="FYL46" s="1041"/>
      <c r="FYM46" s="1041"/>
      <c r="FYN46" s="1041"/>
      <c r="FYO46" s="1041"/>
      <c r="FYP46" s="1041"/>
      <c r="FYQ46" s="1041"/>
      <c r="FYR46" s="1041"/>
      <c r="FYS46" s="1041"/>
      <c r="FYT46" s="1041"/>
      <c r="FYU46" s="1041"/>
      <c r="FYV46" s="1041"/>
      <c r="FYW46" s="1041"/>
      <c r="FYX46" s="1041"/>
      <c r="FYY46" s="1041"/>
      <c r="FYZ46" s="1041"/>
      <c r="FZA46" s="1041"/>
      <c r="FZB46" s="1041"/>
      <c r="FZC46" s="1041"/>
      <c r="FZD46" s="1041"/>
      <c r="FZE46" s="1041"/>
      <c r="FZF46" s="1041"/>
      <c r="FZG46" s="1041"/>
      <c r="FZH46" s="1041"/>
      <c r="FZI46" s="1041"/>
      <c r="FZJ46" s="1041"/>
      <c r="FZK46" s="1041"/>
      <c r="FZL46" s="1041"/>
      <c r="FZM46" s="1041"/>
      <c r="FZN46" s="1041"/>
      <c r="FZO46" s="1041"/>
      <c r="FZP46" s="1041"/>
      <c r="FZQ46" s="1041"/>
      <c r="FZR46" s="1041"/>
      <c r="FZS46" s="1041"/>
      <c r="FZT46" s="1041"/>
      <c r="FZU46" s="1041"/>
      <c r="FZV46" s="1041"/>
      <c r="FZW46" s="1041"/>
      <c r="FZX46" s="1041"/>
      <c r="FZY46" s="1041"/>
      <c r="FZZ46" s="1041"/>
      <c r="GAA46" s="1041"/>
      <c r="GAB46" s="1041"/>
      <c r="GAC46" s="1041"/>
      <c r="GAD46" s="1041"/>
      <c r="GAE46" s="1041"/>
      <c r="GAF46" s="1041"/>
      <c r="GAG46" s="1041"/>
      <c r="GAH46" s="1041"/>
      <c r="GAI46" s="1041"/>
      <c r="GAJ46" s="1041"/>
      <c r="GAK46" s="1041"/>
      <c r="GAL46" s="1041"/>
      <c r="GAM46" s="1041"/>
      <c r="GAN46" s="1041"/>
      <c r="GAO46" s="1041"/>
      <c r="GAP46" s="1041"/>
      <c r="GAQ46" s="1041"/>
      <c r="GAR46" s="1041"/>
      <c r="GAS46" s="1041"/>
      <c r="GAT46" s="1041"/>
      <c r="GAU46" s="1041"/>
      <c r="GAV46" s="1041"/>
      <c r="GAW46" s="1041"/>
      <c r="GAX46" s="1041"/>
      <c r="GAY46" s="1041"/>
      <c r="GAZ46" s="1041"/>
      <c r="GBA46" s="1041"/>
      <c r="GBB46" s="1041"/>
      <c r="GBC46" s="1041"/>
      <c r="GBD46" s="1041"/>
      <c r="GBE46" s="1041"/>
      <c r="GBF46" s="1041"/>
      <c r="GBG46" s="1041"/>
      <c r="GBH46" s="1041"/>
      <c r="GBI46" s="1041"/>
      <c r="GBJ46" s="1041"/>
      <c r="GBK46" s="1041"/>
      <c r="GBL46" s="1041"/>
      <c r="GBM46" s="1041"/>
      <c r="GBN46" s="1041"/>
      <c r="GBO46" s="1041"/>
      <c r="GBP46" s="1041"/>
      <c r="GBQ46" s="1041"/>
      <c r="GBR46" s="1041"/>
      <c r="GBS46" s="1041"/>
      <c r="GBT46" s="1041"/>
      <c r="GBU46" s="1041"/>
      <c r="GBV46" s="1041"/>
      <c r="GBW46" s="1041"/>
      <c r="GBX46" s="1041"/>
      <c r="GBY46" s="1041"/>
      <c r="GBZ46" s="1041"/>
      <c r="GCA46" s="1041"/>
      <c r="GCB46" s="1041"/>
      <c r="GCC46" s="1041"/>
      <c r="GCD46" s="1041"/>
      <c r="GCE46" s="1041"/>
      <c r="GCF46" s="1041"/>
      <c r="GCG46" s="1041"/>
      <c r="GCH46" s="1041"/>
      <c r="GCI46" s="1041"/>
      <c r="GCJ46" s="1041"/>
      <c r="GCK46" s="1041"/>
      <c r="GCL46" s="1041"/>
      <c r="GCM46" s="1041"/>
      <c r="GCN46" s="1041"/>
      <c r="GCO46" s="1041"/>
      <c r="GCP46" s="1041"/>
      <c r="GCQ46" s="1041"/>
      <c r="GCR46" s="1041"/>
      <c r="GCS46" s="1041"/>
      <c r="GCT46" s="1041"/>
      <c r="GCU46" s="1041"/>
      <c r="GCV46" s="1041"/>
      <c r="GCW46" s="1041"/>
      <c r="GCX46" s="1041"/>
      <c r="GCY46" s="1041"/>
      <c r="GCZ46" s="1041"/>
      <c r="GDA46" s="1041"/>
      <c r="GDB46" s="1041"/>
      <c r="GDC46" s="1041"/>
      <c r="GDD46" s="1041"/>
      <c r="GDE46" s="1041"/>
      <c r="GDF46" s="1041"/>
      <c r="GDG46" s="1041"/>
      <c r="GDH46" s="1041"/>
      <c r="GDI46" s="1041"/>
      <c r="GDJ46" s="1041"/>
      <c r="GDK46" s="1041"/>
      <c r="GDL46" s="1041"/>
      <c r="GDM46" s="1041"/>
      <c r="GDN46" s="1041"/>
      <c r="GDO46" s="1041"/>
      <c r="GDP46" s="1041"/>
      <c r="GDQ46" s="1041"/>
      <c r="GDR46" s="1041"/>
      <c r="GDS46" s="1041"/>
      <c r="GDT46" s="1041"/>
      <c r="GDU46" s="1041"/>
      <c r="GDV46" s="1041"/>
      <c r="GDW46" s="1041"/>
      <c r="GDX46" s="1041"/>
      <c r="GDY46" s="1041"/>
      <c r="GDZ46" s="1041"/>
      <c r="GEA46" s="1041"/>
      <c r="GEB46" s="1041"/>
      <c r="GEC46" s="1041"/>
      <c r="GED46" s="1041"/>
      <c r="GEE46" s="1041"/>
      <c r="GEF46" s="1041"/>
      <c r="GEG46" s="1041"/>
      <c r="GEH46" s="1041"/>
      <c r="GEI46" s="1041"/>
      <c r="GEJ46" s="1041"/>
      <c r="GEK46" s="1041"/>
      <c r="GEL46" s="1041"/>
      <c r="GEM46" s="1041"/>
      <c r="GEN46" s="1041"/>
      <c r="GEO46" s="1041"/>
      <c r="GEP46" s="1041"/>
      <c r="GEQ46" s="1041"/>
      <c r="GER46" s="1041"/>
      <c r="GES46" s="1041"/>
      <c r="GET46" s="1041"/>
      <c r="GEU46" s="1041"/>
      <c r="GEV46" s="1041"/>
      <c r="GEW46" s="1041"/>
      <c r="GEX46" s="1041"/>
      <c r="GEY46" s="1041"/>
      <c r="GEZ46" s="1041"/>
      <c r="GFA46" s="1041"/>
      <c r="GFB46" s="1041"/>
      <c r="GFC46" s="1041"/>
      <c r="GFD46" s="1041"/>
      <c r="GFE46" s="1041"/>
      <c r="GFF46" s="1041"/>
      <c r="GFG46" s="1041"/>
      <c r="GFH46" s="1041"/>
      <c r="GFI46" s="1041"/>
      <c r="GFJ46" s="1041"/>
      <c r="GFK46" s="1041"/>
      <c r="GFL46" s="1041"/>
      <c r="GFM46" s="1041"/>
      <c r="GFN46" s="1041"/>
      <c r="GFO46" s="1041"/>
      <c r="GFP46" s="1041"/>
      <c r="GFQ46" s="1041"/>
      <c r="GFR46" s="1041"/>
      <c r="GFS46" s="1041"/>
      <c r="GFT46" s="1041"/>
      <c r="GFU46" s="1041"/>
      <c r="GFV46" s="1041"/>
      <c r="GFW46" s="1041"/>
      <c r="GFX46" s="1041"/>
      <c r="GFY46" s="1041"/>
      <c r="GFZ46" s="1041"/>
      <c r="GGA46" s="1041"/>
      <c r="GGB46" s="1041"/>
      <c r="GGC46" s="1041"/>
      <c r="GGD46" s="1041"/>
      <c r="GGE46" s="1041"/>
      <c r="GGF46" s="1041"/>
      <c r="GGG46" s="1041"/>
      <c r="GGH46" s="1041"/>
      <c r="GGI46" s="1041"/>
      <c r="GGJ46" s="1041"/>
      <c r="GGK46" s="1041"/>
      <c r="GGL46" s="1041"/>
      <c r="GGM46" s="1041"/>
      <c r="GGN46" s="1041"/>
      <c r="GGO46" s="1041"/>
      <c r="GGP46" s="1041"/>
      <c r="GGQ46" s="1041"/>
      <c r="GGR46" s="1041"/>
      <c r="GGS46" s="1041"/>
      <c r="GGT46" s="1041"/>
      <c r="GGU46" s="1041"/>
      <c r="GGV46" s="1041"/>
      <c r="GGW46" s="1041"/>
      <c r="GGX46" s="1041"/>
      <c r="GGY46" s="1041"/>
      <c r="GGZ46" s="1041"/>
      <c r="GHA46" s="1041"/>
      <c r="GHB46" s="1041"/>
      <c r="GHC46" s="1041"/>
      <c r="GHD46" s="1041"/>
      <c r="GHE46" s="1041"/>
      <c r="GHF46" s="1041"/>
      <c r="GHG46" s="1041"/>
      <c r="GHH46" s="1041"/>
      <c r="GHI46" s="1041"/>
      <c r="GHJ46" s="1041"/>
      <c r="GHK46" s="1041"/>
      <c r="GHL46" s="1041"/>
      <c r="GHM46" s="1041"/>
      <c r="GHN46" s="1041"/>
      <c r="GHO46" s="1041"/>
      <c r="GHP46" s="1041"/>
      <c r="GHQ46" s="1041"/>
      <c r="GHR46" s="1041"/>
      <c r="GHS46" s="1041"/>
      <c r="GHT46" s="1041"/>
      <c r="GHU46" s="1041"/>
      <c r="GHV46" s="1041"/>
      <c r="GHW46" s="1041"/>
      <c r="GHX46" s="1041"/>
      <c r="GHY46" s="1041"/>
      <c r="GHZ46" s="1041"/>
      <c r="GIA46" s="1041"/>
      <c r="GIB46" s="1041"/>
      <c r="GIC46" s="1041"/>
      <c r="GID46" s="1041"/>
      <c r="GIE46" s="1041"/>
      <c r="GIF46" s="1041"/>
      <c r="GIG46" s="1041"/>
      <c r="GIH46" s="1041"/>
      <c r="GII46" s="1041"/>
      <c r="GIJ46" s="1041"/>
      <c r="GIK46" s="1041"/>
      <c r="GIL46" s="1041"/>
      <c r="GIM46" s="1041"/>
      <c r="GIN46" s="1041"/>
      <c r="GIO46" s="1041"/>
      <c r="GIP46" s="1041"/>
      <c r="GIQ46" s="1041"/>
      <c r="GIR46" s="1041"/>
      <c r="GIS46" s="1041"/>
      <c r="GIT46" s="1041"/>
      <c r="GIU46" s="1041"/>
      <c r="GIV46" s="1041"/>
      <c r="GIW46" s="1041"/>
      <c r="GIX46" s="1041"/>
      <c r="GIY46" s="1041"/>
      <c r="GIZ46" s="1041"/>
      <c r="GJA46" s="1041"/>
      <c r="GJB46" s="1041"/>
      <c r="GJC46" s="1041"/>
      <c r="GJD46" s="1041"/>
      <c r="GJE46" s="1041"/>
      <c r="GJF46" s="1041"/>
      <c r="GJG46" s="1041"/>
      <c r="GJH46" s="1041"/>
      <c r="GJI46" s="1041"/>
      <c r="GJJ46" s="1041"/>
      <c r="GJK46" s="1041"/>
      <c r="GJL46" s="1041"/>
      <c r="GJM46" s="1041"/>
      <c r="GJN46" s="1041"/>
      <c r="GJO46" s="1041"/>
      <c r="GJP46" s="1041"/>
      <c r="GJQ46" s="1041"/>
      <c r="GJR46" s="1041"/>
      <c r="GJS46" s="1041"/>
      <c r="GJT46" s="1041"/>
      <c r="GJU46" s="1041"/>
      <c r="GJV46" s="1041"/>
      <c r="GJW46" s="1041"/>
      <c r="GJX46" s="1041"/>
      <c r="GJY46" s="1041"/>
      <c r="GJZ46" s="1041"/>
      <c r="GKA46" s="1041"/>
      <c r="GKB46" s="1041"/>
      <c r="GKC46" s="1041"/>
      <c r="GKD46" s="1041"/>
      <c r="GKE46" s="1041"/>
      <c r="GKF46" s="1041"/>
      <c r="GKG46" s="1041"/>
      <c r="GKH46" s="1041"/>
      <c r="GKI46" s="1041"/>
      <c r="GKJ46" s="1041"/>
      <c r="GKK46" s="1041"/>
      <c r="GKL46" s="1041"/>
      <c r="GKM46" s="1041"/>
      <c r="GKN46" s="1041"/>
      <c r="GKO46" s="1041"/>
      <c r="GKP46" s="1041"/>
      <c r="GKQ46" s="1041"/>
      <c r="GKR46" s="1041"/>
      <c r="GKS46" s="1041"/>
      <c r="GKT46" s="1041"/>
      <c r="GKU46" s="1041"/>
      <c r="GKV46" s="1041"/>
      <c r="GKW46" s="1041"/>
      <c r="GKX46" s="1041"/>
      <c r="GKY46" s="1041"/>
      <c r="GKZ46" s="1041"/>
      <c r="GLA46" s="1041"/>
      <c r="GLB46" s="1041"/>
      <c r="GLC46" s="1041"/>
      <c r="GLD46" s="1041"/>
      <c r="GLE46" s="1041"/>
      <c r="GLF46" s="1041"/>
      <c r="GLG46" s="1041"/>
      <c r="GLH46" s="1041"/>
      <c r="GLI46" s="1041"/>
      <c r="GLJ46" s="1041"/>
      <c r="GLK46" s="1041"/>
      <c r="GLL46" s="1041"/>
      <c r="GLM46" s="1041"/>
      <c r="GLN46" s="1041"/>
      <c r="GLO46" s="1041"/>
      <c r="GLP46" s="1041"/>
      <c r="GLQ46" s="1041"/>
      <c r="GLR46" s="1041"/>
      <c r="GLS46" s="1041"/>
      <c r="GLT46" s="1041"/>
      <c r="GLU46" s="1041"/>
      <c r="GLV46" s="1041"/>
      <c r="GLW46" s="1041"/>
      <c r="GLX46" s="1041"/>
      <c r="GLY46" s="1041"/>
      <c r="GLZ46" s="1041"/>
      <c r="GMA46" s="1041"/>
      <c r="GMB46" s="1041"/>
      <c r="GMC46" s="1041"/>
      <c r="GMD46" s="1041"/>
      <c r="GME46" s="1041"/>
      <c r="GMF46" s="1041"/>
      <c r="GMG46" s="1041"/>
      <c r="GMH46" s="1041"/>
      <c r="GMI46" s="1041"/>
      <c r="GMJ46" s="1041"/>
      <c r="GMK46" s="1041"/>
      <c r="GML46" s="1041"/>
      <c r="GMM46" s="1041"/>
      <c r="GMN46" s="1041"/>
      <c r="GMO46" s="1041"/>
      <c r="GMP46" s="1041"/>
      <c r="GMQ46" s="1041"/>
      <c r="GMR46" s="1041"/>
      <c r="GMS46" s="1041"/>
      <c r="GMT46" s="1041"/>
      <c r="GMU46" s="1041"/>
      <c r="GMV46" s="1041"/>
      <c r="GMW46" s="1041"/>
      <c r="GMX46" s="1041"/>
      <c r="GMY46" s="1041"/>
      <c r="GMZ46" s="1041"/>
      <c r="GNA46" s="1041"/>
      <c r="GNB46" s="1041"/>
      <c r="GNC46" s="1041"/>
      <c r="GND46" s="1041"/>
      <c r="GNE46" s="1041"/>
      <c r="GNF46" s="1041"/>
      <c r="GNG46" s="1041"/>
      <c r="GNH46" s="1041"/>
      <c r="GNI46" s="1041"/>
      <c r="GNJ46" s="1041"/>
      <c r="GNK46" s="1041"/>
      <c r="GNL46" s="1041"/>
      <c r="GNM46" s="1041"/>
      <c r="GNN46" s="1041"/>
      <c r="GNO46" s="1041"/>
      <c r="GNP46" s="1041"/>
      <c r="GNQ46" s="1041"/>
      <c r="GNR46" s="1041"/>
      <c r="GNS46" s="1041"/>
      <c r="GNT46" s="1041"/>
      <c r="GNU46" s="1041"/>
      <c r="GNV46" s="1041"/>
      <c r="GNW46" s="1041"/>
      <c r="GNX46" s="1041"/>
      <c r="GNY46" s="1041"/>
      <c r="GNZ46" s="1041"/>
      <c r="GOA46" s="1041"/>
      <c r="GOB46" s="1041"/>
      <c r="GOC46" s="1041"/>
      <c r="GOD46" s="1041"/>
      <c r="GOE46" s="1041"/>
      <c r="GOF46" s="1041"/>
      <c r="GOG46" s="1041"/>
      <c r="GOH46" s="1041"/>
      <c r="GOI46" s="1041"/>
      <c r="GOJ46" s="1041"/>
      <c r="GOK46" s="1041"/>
      <c r="GOL46" s="1041"/>
      <c r="GOM46" s="1041"/>
      <c r="GON46" s="1041"/>
      <c r="GOO46" s="1041"/>
      <c r="GOP46" s="1041"/>
      <c r="GOQ46" s="1041"/>
      <c r="GOR46" s="1041"/>
      <c r="GOS46" s="1041"/>
      <c r="GOT46" s="1041"/>
      <c r="GOU46" s="1041"/>
      <c r="GOV46" s="1041"/>
      <c r="GOW46" s="1041"/>
      <c r="GOX46" s="1041"/>
      <c r="GOY46" s="1041"/>
      <c r="GOZ46" s="1041"/>
      <c r="GPA46" s="1041"/>
      <c r="GPB46" s="1041"/>
      <c r="GPC46" s="1041"/>
      <c r="GPD46" s="1041"/>
      <c r="GPE46" s="1041"/>
      <c r="GPF46" s="1041"/>
      <c r="GPG46" s="1041"/>
      <c r="GPH46" s="1041"/>
      <c r="GPI46" s="1041"/>
      <c r="GPJ46" s="1041"/>
      <c r="GPK46" s="1041"/>
      <c r="GPL46" s="1041"/>
      <c r="GPM46" s="1041"/>
      <c r="GPN46" s="1041"/>
      <c r="GPO46" s="1041"/>
      <c r="GPP46" s="1041"/>
      <c r="GPQ46" s="1041"/>
      <c r="GPR46" s="1041"/>
      <c r="GPS46" s="1041"/>
      <c r="GPT46" s="1041"/>
      <c r="GPU46" s="1041"/>
      <c r="GPV46" s="1041"/>
      <c r="GPW46" s="1041"/>
      <c r="GPX46" s="1041"/>
      <c r="GPY46" s="1041"/>
      <c r="GPZ46" s="1041"/>
      <c r="GQA46" s="1041"/>
      <c r="GQB46" s="1041"/>
      <c r="GQC46" s="1041"/>
      <c r="GQD46" s="1041"/>
      <c r="GQE46" s="1041"/>
      <c r="GQF46" s="1041"/>
      <c r="GQG46" s="1041"/>
      <c r="GQH46" s="1041"/>
      <c r="GQI46" s="1041"/>
      <c r="GQJ46" s="1041"/>
      <c r="GQK46" s="1041"/>
      <c r="GQL46" s="1041"/>
      <c r="GQM46" s="1041"/>
      <c r="GQN46" s="1041"/>
      <c r="GQO46" s="1041"/>
      <c r="GQP46" s="1041"/>
      <c r="GQQ46" s="1041"/>
      <c r="GQR46" s="1041"/>
      <c r="GQS46" s="1041"/>
      <c r="GQT46" s="1041"/>
      <c r="GQU46" s="1041"/>
      <c r="GQV46" s="1041"/>
      <c r="GQW46" s="1041"/>
      <c r="GQX46" s="1041"/>
      <c r="GQY46" s="1041"/>
      <c r="GQZ46" s="1041"/>
      <c r="GRA46" s="1041"/>
      <c r="GRB46" s="1041"/>
      <c r="GRC46" s="1041"/>
      <c r="GRD46" s="1041"/>
      <c r="GRE46" s="1041"/>
      <c r="GRF46" s="1041"/>
      <c r="GRG46" s="1041"/>
      <c r="GRH46" s="1041"/>
      <c r="GRI46" s="1041"/>
      <c r="GRJ46" s="1041"/>
      <c r="GRK46" s="1041"/>
      <c r="GRL46" s="1041"/>
      <c r="GRM46" s="1041"/>
      <c r="GRN46" s="1041"/>
      <c r="GRO46" s="1041"/>
      <c r="GRP46" s="1041"/>
      <c r="GRQ46" s="1041"/>
      <c r="GRR46" s="1041"/>
      <c r="GRS46" s="1041"/>
      <c r="GRT46" s="1041"/>
      <c r="GRU46" s="1041"/>
      <c r="GRV46" s="1041"/>
      <c r="GRW46" s="1041"/>
      <c r="GRX46" s="1041"/>
      <c r="GRY46" s="1041"/>
      <c r="GRZ46" s="1041"/>
      <c r="GSA46" s="1041"/>
      <c r="GSB46" s="1041"/>
      <c r="GSC46" s="1041"/>
      <c r="GSD46" s="1041"/>
      <c r="GSE46" s="1041"/>
      <c r="GSF46" s="1041"/>
      <c r="GSG46" s="1041"/>
      <c r="GSH46" s="1041"/>
      <c r="GSI46" s="1041"/>
      <c r="GSJ46" s="1041"/>
      <c r="GSK46" s="1041"/>
      <c r="GSL46" s="1041"/>
      <c r="GSM46" s="1041"/>
      <c r="GSN46" s="1041"/>
      <c r="GSO46" s="1041"/>
      <c r="GSP46" s="1041"/>
      <c r="GSQ46" s="1041"/>
      <c r="GSR46" s="1041"/>
      <c r="GSS46" s="1041"/>
      <c r="GST46" s="1041"/>
      <c r="GSU46" s="1041"/>
      <c r="GSV46" s="1041"/>
      <c r="GSW46" s="1041"/>
      <c r="GSX46" s="1041"/>
      <c r="GSY46" s="1041"/>
      <c r="GSZ46" s="1041"/>
      <c r="GTA46" s="1041"/>
      <c r="GTB46" s="1041"/>
      <c r="GTC46" s="1041"/>
      <c r="GTD46" s="1041"/>
      <c r="GTE46" s="1041"/>
      <c r="GTF46" s="1041"/>
      <c r="GTG46" s="1041"/>
      <c r="GTH46" s="1041"/>
      <c r="GTI46" s="1041"/>
      <c r="GTJ46" s="1041"/>
      <c r="GTK46" s="1041"/>
      <c r="GTL46" s="1041"/>
      <c r="GTM46" s="1041"/>
      <c r="GTN46" s="1041"/>
      <c r="GTO46" s="1041"/>
      <c r="GTP46" s="1041"/>
      <c r="GTQ46" s="1041"/>
      <c r="GTR46" s="1041"/>
      <c r="GTS46" s="1041"/>
      <c r="GTT46" s="1041"/>
      <c r="GTU46" s="1041"/>
      <c r="GTV46" s="1041"/>
      <c r="GTW46" s="1041"/>
      <c r="GTX46" s="1041"/>
      <c r="GTY46" s="1041"/>
      <c r="GTZ46" s="1041"/>
      <c r="GUA46" s="1041"/>
      <c r="GUB46" s="1041"/>
      <c r="GUC46" s="1041"/>
      <c r="GUD46" s="1041"/>
      <c r="GUE46" s="1041"/>
      <c r="GUF46" s="1041"/>
      <c r="GUG46" s="1041"/>
      <c r="GUH46" s="1041"/>
      <c r="GUI46" s="1041"/>
      <c r="GUJ46" s="1041"/>
      <c r="GUK46" s="1041"/>
      <c r="GUL46" s="1041"/>
      <c r="GUM46" s="1041"/>
      <c r="GUN46" s="1041"/>
      <c r="GUO46" s="1041"/>
      <c r="GUP46" s="1041"/>
      <c r="GUQ46" s="1041"/>
      <c r="GUR46" s="1041"/>
      <c r="GUS46" s="1041"/>
      <c r="GUT46" s="1041"/>
      <c r="GUU46" s="1041"/>
      <c r="GUV46" s="1041"/>
      <c r="GUW46" s="1041"/>
      <c r="GUX46" s="1041"/>
      <c r="GUY46" s="1041"/>
      <c r="GUZ46" s="1041"/>
      <c r="GVA46" s="1041"/>
      <c r="GVB46" s="1041"/>
      <c r="GVC46" s="1041"/>
      <c r="GVD46" s="1041"/>
      <c r="GVE46" s="1041"/>
      <c r="GVF46" s="1041"/>
      <c r="GVG46" s="1041"/>
      <c r="GVH46" s="1041"/>
      <c r="GVI46" s="1041"/>
      <c r="GVJ46" s="1041"/>
      <c r="GVK46" s="1041"/>
      <c r="GVL46" s="1041"/>
      <c r="GVM46" s="1041"/>
      <c r="GVN46" s="1041"/>
      <c r="GVO46" s="1041"/>
      <c r="GVP46" s="1041"/>
      <c r="GVQ46" s="1041"/>
      <c r="GVR46" s="1041"/>
      <c r="GVS46" s="1041"/>
      <c r="GVT46" s="1041"/>
      <c r="GVU46" s="1041"/>
      <c r="GVV46" s="1041"/>
      <c r="GVW46" s="1041"/>
      <c r="GVX46" s="1041"/>
      <c r="GVY46" s="1041"/>
      <c r="GVZ46" s="1041"/>
      <c r="GWA46" s="1041"/>
      <c r="GWB46" s="1041"/>
      <c r="GWC46" s="1041"/>
      <c r="GWD46" s="1041"/>
      <c r="GWE46" s="1041"/>
      <c r="GWF46" s="1041"/>
      <c r="GWG46" s="1041"/>
      <c r="GWH46" s="1041"/>
      <c r="GWI46" s="1041"/>
      <c r="GWJ46" s="1041"/>
      <c r="GWK46" s="1041"/>
      <c r="GWL46" s="1041"/>
      <c r="GWM46" s="1041"/>
      <c r="GWN46" s="1041"/>
      <c r="GWO46" s="1041"/>
      <c r="GWP46" s="1041"/>
      <c r="GWQ46" s="1041"/>
      <c r="GWR46" s="1041"/>
      <c r="GWS46" s="1041"/>
      <c r="GWT46" s="1041"/>
      <c r="GWU46" s="1041"/>
      <c r="GWV46" s="1041"/>
      <c r="GWW46" s="1041"/>
      <c r="GWX46" s="1041"/>
      <c r="GWY46" s="1041"/>
      <c r="GWZ46" s="1041"/>
      <c r="GXA46" s="1041"/>
      <c r="GXB46" s="1041"/>
      <c r="GXC46" s="1041"/>
      <c r="GXD46" s="1041"/>
      <c r="GXE46" s="1041"/>
      <c r="GXF46" s="1041"/>
      <c r="GXG46" s="1041"/>
      <c r="GXH46" s="1041"/>
      <c r="GXI46" s="1041"/>
      <c r="GXJ46" s="1041"/>
      <c r="GXK46" s="1041"/>
      <c r="GXL46" s="1041"/>
      <c r="GXM46" s="1041"/>
      <c r="GXN46" s="1041"/>
      <c r="GXO46" s="1041"/>
      <c r="GXP46" s="1041"/>
      <c r="GXQ46" s="1041"/>
      <c r="GXR46" s="1041"/>
      <c r="GXS46" s="1041"/>
      <c r="GXT46" s="1041"/>
      <c r="GXU46" s="1041"/>
      <c r="GXV46" s="1041"/>
      <c r="GXW46" s="1041"/>
      <c r="GXX46" s="1041"/>
      <c r="GXY46" s="1041"/>
      <c r="GXZ46" s="1041"/>
      <c r="GYA46" s="1041"/>
      <c r="GYB46" s="1041"/>
      <c r="GYC46" s="1041"/>
      <c r="GYD46" s="1041"/>
      <c r="GYE46" s="1041"/>
      <c r="GYF46" s="1041"/>
      <c r="GYG46" s="1041"/>
      <c r="GYH46" s="1041"/>
      <c r="GYI46" s="1041"/>
      <c r="GYJ46" s="1041"/>
      <c r="GYK46" s="1041"/>
      <c r="GYL46" s="1041"/>
      <c r="GYM46" s="1041"/>
      <c r="GYN46" s="1041"/>
      <c r="GYO46" s="1041"/>
      <c r="GYP46" s="1041"/>
      <c r="GYQ46" s="1041"/>
      <c r="GYR46" s="1041"/>
      <c r="GYS46" s="1041"/>
      <c r="GYT46" s="1041"/>
      <c r="GYU46" s="1041"/>
      <c r="GYV46" s="1041"/>
      <c r="GYW46" s="1041"/>
      <c r="GYX46" s="1041"/>
      <c r="GYY46" s="1041"/>
      <c r="GYZ46" s="1041"/>
      <c r="GZA46" s="1041"/>
      <c r="GZB46" s="1041"/>
      <c r="GZC46" s="1041"/>
      <c r="GZD46" s="1041"/>
      <c r="GZE46" s="1041"/>
      <c r="GZF46" s="1041"/>
      <c r="GZG46" s="1041"/>
      <c r="GZH46" s="1041"/>
      <c r="GZI46" s="1041"/>
      <c r="GZJ46" s="1041"/>
      <c r="GZK46" s="1041"/>
      <c r="GZL46" s="1041"/>
      <c r="GZM46" s="1041"/>
      <c r="GZN46" s="1041"/>
      <c r="GZO46" s="1041"/>
      <c r="GZP46" s="1041"/>
      <c r="GZQ46" s="1041"/>
      <c r="GZR46" s="1041"/>
      <c r="GZS46" s="1041"/>
      <c r="GZT46" s="1041"/>
      <c r="GZU46" s="1041"/>
      <c r="GZV46" s="1041"/>
      <c r="GZW46" s="1041"/>
      <c r="GZX46" s="1041"/>
      <c r="GZY46" s="1041"/>
      <c r="GZZ46" s="1041"/>
      <c r="HAA46" s="1041"/>
      <c r="HAB46" s="1041"/>
      <c r="HAC46" s="1041"/>
      <c r="HAD46" s="1041"/>
      <c r="HAE46" s="1041"/>
      <c r="HAF46" s="1041"/>
      <c r="HAG46" s="1041"/>
      <c r="HAH46" s="1041"/>
      <c r="HAI46" s="1041"/>
      <c r="HAJ46" s="1041"/>
      <c r="HAK46" s="1041"/>
      <c r="HAL46" s="1041"/>
      <c r="HAM46" s="1041"/>
      <c r="HAN46" s="1041"/>
      <c r="HAO46" s="1041"/>
      <c r="HAP46" s="1041"/>
      <c r="HAQ46" s="1041"/>
      <c r="HAR46" s="1041"/>
      <c r="HAS46" s="1041"/>
      <c r="HAT46" s="1041"/>
      <c r="HAU46" s="1041"/>
      <c r="HAV46" s="1041"/>
      <c r="HAW46" s="1041"/>
      <c r="HAX46" s="1041"/>
      <c r="HAY46" s="1041"/>
      <c r="HAZ46" s="1041"/>
      <c r="HBA46" s="1041"/>
      <c r="HBB46" s="1041"/>
      <c r="HBC46" s="1041"/>
      <c r="HBD46" s="1041"/>
      <c r="HBE46" s="1041"/>
      <c r="HBF46" s="1041"/>
      <c r="HBG46" s="1041"/>
      <c r="HBH46" s="1041"/>
      <c r="HBI46" s="1041"/>
      <c r="HBJ46" s="1041"/>
      <c r="HBK46" s="1041"/>
      <c r="HBL46" s="1041"/>
      <c r="HBM46" s="1041"/>
      <c r="HBN46" s="1041"/>
      <c r="HBO46" s="1041"/>
      <c r="HBP46" s="1041"/>
      <c r="HBQ46" s="1041"/>
      <c r="HBR46" s="1041"/>
      <c r="HBS46" s="1041"/>
      <c r="HBT46" s="1041"/>
      <c r="HBU46" s="1041"/>
      <c r="HBV46" s="1041"/>
      <c r="HBW46" s="1041"/>
      <c r="HBX46" s="1041"/>
      <c r="HBY46" s="1041"/>
      <c r="HBZ46" s="1041"/>
      <c r="HCA46" s="1041"/>
      <c r="HCB46" s="1041"/>
      <c r="HCC46" s="1041"/>
      <c r="HCD46" s="1041"/>
      <c r="HCE46" s="1041"/>
      <c r="HCF46" s="1041"/>
      <c r="HCG46" s="1041"/>
      <c r="HCH46" s="1041"/>
      <c r="HCI46" s="1041"/>
      <c r="HCJ46" s="1041"/>
      <c r="HCK46" s="1041"/>
      <c r="HCL46" s="1041"/>
      <c r="HCM46" s="1041"/>
      <c r="HCN46" s="1041"/>
      <c r="HCO46" s="1041"/>
      <c r="HCP46" s="1041"/>
      <c r="HCQ46" s="1041"/>
      <c r="HCR46" s="1041"/>
      <c r="HCS46" s="1041"/>
      <c r="HCT46" s="1041"/>
      <c r="HCU46" s="1041"/>
      <c r="HCV46" s="1041"/>
      <c r="HCW46" s="1041"/>
      <c r="HCX46" s="1041"/>
      <c r="HCY46" s="1041"/>
      <c r="HCZ46" s="1041"/>
      <c r="HDA46" s="1041"/>
      <c r="HDB46" s="1041"/>
      <c r="HDC46" s="1041"/>
      <c r="HDD46" s="1041"/>
      <c r="HDE46" s="1041"/>
      <c r="HDF46" s="1041"/>
      <c r="HDG46" s="1041"/>
      <c r="HDH46" s="1041"/>
      <c r="HDI46" s="1041"/>
      <c r="HDJ46" s="1041"/>
      <c r="HDK46" s="1041"/>
      <c r="HDL46" s="1041"/>
      <c r="HDM46" s="1041"/>
      <c r="HDN46" s="1041"/>
      <c r="HDO46" s="1041"/>
      <c r="HDP46" s="1041"/>
      <c r="HDQ46" s="1041"/>
      <c r="HDR46" s="1041"/>
      <c r="HDS46" s="1041"/>
      <c r="HDT46" s="1041"/>
      <c r="HDU46" s="1041"/>
      <c r="HDV46" s="1041"/>
      <c r="HDW46" s="1041"/>
      <c r="HDX46" s="1041"/>
      <c r="HDY46" s="1041"/>
      <c r="HDZ46" s="1041"/>
      <c r="HEA46" s="1041"/>
      <c r="HEB46" s="1041"/>
      <c r="HEC46" s="1041"/>
      <c r="HED46" s="1041"/>
      <c r="HEE46" s="1041"/>
      <c r="HEF46" s="1041"/>
      <c r="HEG46" s="1041"/>
      <c r="HEH46" s="1041"/>
      <c r="HEI46" s="1041"/>
      <c r="HEJ46" s="1041"/>
      <c r="HEK46" s="1041"/>
      <c r="HEL46" s="1041"/>
      <c r="HEM46" s="1041"/>
      <c r="HEN46" s="1041"/>
      <c r="HEO46" s="1041"/>
      <c r="HEP46" s="1041"/>
      <c r="HEQ46" s="1041"/>
      <c r="HER46" s="1041"/>
      <c r="HES46" s="1041"/>
      <c r="HET46" s="1041"/>
      <c r="HEU46" s="1041"/>
      <c r="HEV46" s="1041"/>
      <c r="HEW46" s="1041"/>
      <c r="HEX46" s="1041"/>
      <c r="HEY46" s="1041"/>
      <c r="HEZ46" s="1041"/>
      <c r="HFA46" s="1041"/>
      <c r="HFB46" s="1041"/>
      <c r="HFC46" s="1041"/>
      <c r="HFD46" s="1041"/>
      <c r="HFE46" s="1041"/>
      <c r="HFF46" s="1041"/>
      <c r="HFG46" s="1041"/>
      <c r="HFH46" s="1041"/>
      <c r="HFI46" s="1041"/>
      <c r="HFJ46" s="1041"/>
      <c r="HFK46" s="1041"/>
      <c r="HFL46" s="1041"/>
      <c r="HFM46" s="1041"/>
      <c r="HFN46" s="1041"/>
      <c r="HFO46" s="1041"/>
      <c r="HFP46" s="1041"/>
      <c r="HFQ46" s="1041"/>
      <c r="HFR46" s="1041"/>
      <c r="HFS46" s="1041"/>
      <c r="HFT46" s="1041"/>
      <c r="HFU46" s="1041"/>
      <c r="HFV46" s="1041"/>
      <c r="HFW46" s="1041"/>
      <c r="HFX46" s="1041"/>
      <c r="HFY46" s="1041"/>
      <c r="HFZ46" s="1041"/>
      <c r="HGA46" s="1041"/>
      <c r="HGB46" s="1041"/>
      <c r="HGC46" s="1041"/>
      <c r="HGD46" s="1041"/>
      <c r="HGE46" s="1041"/>
      <c r="HGF46" s="1041"/>
      <c r="HGG46" s="1041"/>
      <c r="HGH46" s="1041"/>
      <c r="HGI46" s="1041"/>
      <c r="HGJ46" s="1041"/>
      <c r="HGK46" s="1041"/>
      <c r="HGL46" s="1041"/>
      <c r="HGM46" s="1041"/>
      <c r="HGN46" s="1041"/>
      <c r="HGO46" s="1041"/>
      <c r="HGP46" s="1041"/>
      <c r="HGQ46" s="1041"/>
      <c r="HGR46" s="1041"/>
      <c r="HGS46" s="1041"/>
      <c r="HGT46" s="1041"/>
      <c r="HGU46" s="1041"/>
      <c r="HGV46" s="1041"/>
      <c r="HGW46" s="1041"/>
      <c r="HGX46" s="1041"/>
      <c r="HGY46" s="1041"/>
      <c r="HGZ46" s="1041"/>
      <c r="HHA46" s="1041"/>
      <c r="HHB46" s="1041"/>
      <c r="HHC46" s="1041"/>
      <c r="HHD46" s="1041"/>
      <c r="HHE46" s="1041"/>
      <c r="HHF46" s="1041"/>
      <c r="HHG46" s="1041"/>
      <c r="HHH46" s="1041"/>
      <c r="HHI46" s="1041"/>
      <c r="HHJ46" s="1041"/>
      <c r="HHK46" s="1041"/>
      <c r="HHL46" s="1041"/>
      <c r="HHM46" s="1041"/>
      <c r="HHN46" s="1041"/>
      <c r="HHO46" s="1041"/>
      <c r="HHP46" s="1041"/>
      <c r="HHQ46" s="1041"/>
      <c r="HHR46" s="1041"/>
      <c r="HHS46" s="1041"/>
      <c r="HHT46" s="1041"/>
      <c r="HHU46" s="1041"/>
      <c r="HHV46" s="1041"/>
      <c r="HHW46" s="1041"/>
      <c r="HHX46" s="1041"/>
      <c r="HHY46" s="1041"/>
      <c r="HHZ46" s="1041"/>
      <c r="HIA46" s="1041"/>
      <c r="HIB46" s="1041"/>
      <c r="HIC46" s="1041"/>
      <c r="HID46" s="1041"/>
      <c r="HIE46" s="1041"/>
      <c r="HIF46" s="1041"/>
      <c r="HIG46" s="1041"/>
      <c r="HIH46" s="1041"/>
      <c r="HII46" s="1041"/>
      <c r="HIJ46" s="1041"/>
      <c r="HIK46" s="1041"/>
      <c r="HIL46" s="1041"/>
      <c r="HIM46" s="1041"/>
      <c r="HIN46" s="1041"/>
      <c r="HIO46" s="1041"/>
      <c r="HIP46" s="1041"/>
      <c r="HIQ46" s="1041"/>
      <c r="HIR46" s="1041"/>
      <c r="HIS46" s="1041"/>
      <c r="HIT46" s="1041"/>
      <c r="HIU46" s="1041"/>
      <c r="HIV46" s="1041"/>
      <c r="HIW46" s="1041"/>
      <c r="HIX46" s="1041"/>
      <c r="HIY46" s="1041"/>
      <c r="HIZ46" s="1041"/>
      <c r="HJA46" s="1041"/>
      <c r="HJB46" s="1041"/>
      <c r="HJC46" s="1041"/>
      <c r="HJD46" s="1041"/>
      <c r="HJE46" s="1041"/>
      <c r="HJF46" s="1041"/>
      <c r="HJG46" s="1041"/>
      <c r="HJH46" s="1041"/>
      <c r="HJI46" s="1041"/>
      <c r="HJJ46" s="1041"/>
      <c r="HJK46" s="1041"/>
      <c r="HJL46" s="1041"/>
      <c r="HJM46" s="1041"/>
      <c r="HJN46" s="1041"/>
      <c r="HJO46" s="1041"/>
      <c r="HJP46" s="1041"/>
      <c r="HJQ46" s="1041"/>
      <c r="HJR46" s="1041"/>
      <c r="HJS46" s="1041"/>
      <c r="HJT46" s="1041"/>
      <c r="HJU46" s="1041"/>
      <c r="HJV46" s="1041"/>
      <c r="HJW46" s="1041"/>
      <c r="HJX46" s="1041"/>
      <c r="HJY46" s="1041"/>
      <c r="HJZ46" s="1041"/>
      <c r="HKA46" s="1041"/>
      <c r="HKB46" s="1041"/>
      <c r="HKC46" s="1041"/>
      <c r="HKD46" s="1041"/>
      <c r="HKE46" s="1041"/>
      <c r="HKF46" s="1041"/>
      <c r="HKG46" s="1041"/>
      <c r="HKH46" s="1041"/>
      <c r="HKI46" s="1041"/>
      <c r="HKJ46" s="1041"/>
      <c r="HKK46" s="1041"/>
      <c r="HKL46" s="1041"/>
      <c r="HKM46" s="1041"/>
      <c r="HKN46" s="1041"/>
      <c r="HKO46" s="1041"/>
      <c r="HKP46" s="1041"/>
      <c r="HKQ46" s="1041"/>
      <c r="HKR46" s="1041"/>
      <c r="HKS46" s="1041"/>
      <c r="HKT46" s="1041"/>
      <c r="HKU46" s="1041"/>
      <c r="HKV46" s="1041"/>
      <c r="HKW46" s="1041"/>
      <c r="HKX46" s="1041"/>
      <c r="HKY46" s="1041"/>
      <c r="HKZ46" s="1041"/>
      <c r="HLA46" s="1041"/>
      <c r="HLB46" s="1041"/>
      <c r="HLC46" s="1041"/>
      <c r="HLD46" s="1041"/>
      <c r="HLE46" s="1041"/>
      <c r="HLF46" s="1041"/>
      <c r="HLG46" s="1041"/>
      <c r="HLH46" s="1041"/>
      <c r="HLI46" s="1041"/>
      <c r="HLJ46" s="1041"/>
      <c r="HLK46" s="1041"/>
      <c r="HLL46" s="1041"/>
      <c r="HLM46" s="1041"/>
      <c r="HLN46" s="1041"/>
      <c r="HLO46" s="1041"/>
      <c r="HLP46" s="1041"/>
      <c r="HLQ46" s="1041"/>
      <c r="HLR46" s="1041"/>
      <c r="HLS46" s="1041"/>
      <c r="HLT46" s="1041"/>
      <c r="HLU46" s="1041"/>
      <c r="HLV46" s="1041"/>
      <c r="HLW46" s="1041"/>
      <c r="HLX46" s="1041"/>
      <c r="HLY46" s="1041"/>
      <c r="HLZ46" s="1041"/>
      <c r="HMA46" s="1041"/>
      <c r="HMB46" s="1041"/>
      <c r="HMC46" s="1041"/>
      <c r="HMD46" s="1041"/>
      <c r="HME46" s="1041"/>
      <c r="HMF46" s="1041"/>
      <c r="HMG46" s="1041"/>
      <c r="HMH46" s="1041"/>
      <c r="HMI46" s="1041"/>
      <c r="HMJ46" s="1041"/>
      <c r="HMK46" s="1041"/>
      <c r="HML46" s="1041"/>
      <c r="HMM46" s="1041"/>
      <c r="HMN46" s="1041"/>
      <c r="HMO46" s="1041"/>
      <c r="HMP46" s="1041"/>
      <c r="HMQ46" s="1041"/>
      <c r="HMR46" s="1041"/>
      <c r="HMS46" s="1041"/>
      <c r="HMT46" s="1041"/>
      <c r="HMU46" s="1041"/>
      <c r="HMV46" s="1041"/>
      <c r="HMW46" s="1041"/>
      <c r="HMX46" s="1041"/>
      <c r="HMY46" s="1041"/>
      <c r="HMZ46" s="1041"/>
      <c r="HNA46" s="1041"/>
      <c r="HNB46" s="1041"/>
      <c r="HNC46" s="1041"/>
      <c r="HND46" s="1041"/>
      <c r="HNE46" s="1041"/>
      <c r="HNF46" s="1041"/>
      <c r="HNG46" s="1041"/>
      <c r="HNH46" s="1041"/>
      <c r="HNI46" s="1041"/>
      <c r="HNJ46" s="1041"/>
      <c r="HNK46" s="1041"/>
      <c r="HNL46" s="1041"/>
      <c r="HNM46" s="1041"/>
      <c r="HNN46" s="1041"/>
      <c r="HNO46" s="1041"/>
      <c r="HNP46" s="1041"/>
      <c r="HNQ46" s="1041"/>
      <c r="HNR46" s="1041"/>
      <c r="HNS46" s="1041"/>
      <c r="HNT46" s="1041"/>
      <c r="HNU46" s="1041"/>
      <c r="HNV46" s="1041"/>
      <c r="HNW46" s="1041"/>
      <c r="HNX46" s="1041"/>
      <c r="HNY46" s="1041"/>
      <c r="HNZ46" s="1041"/>
      <c r="HOA46" s="1041"/>
      <c r="HOB46" s="1041"/>
      <c r="HOC46" s="1041"/>
      <c r="HOD46" s="1041"/>
      <c r="HOE46" s="1041"/>
      <c r="HOF46" s="1041"/>
      <c r="HOG46" s="1041"/>
      <c r="HOH46" s="1041"/>
      <c r="HOI46" s="1041"/>
      <c r="HOJ46" s="1041"/>
      <c r="HOK46" s="1041"/>
      <c r="HOL46" s="1041"/>
      <c r="HOM46" s="1041"/>
      <c r="HON46" s="1041"/>
      <c r="HOO46" s="1041"/>
      <c r="HOP46" s="1041"/>
      <c r="HOQ46" s="1041"/>
      <c r="HOR46" s="1041"/>
      <c r="HOS46" s="1041"/>
      <c r="HOT46" s="1041"/>
      <c r="HOU46" s="1041"/>
      <c r="HOV46" s="1041"/>
      <c r="HOW46" s="1041"/>
      <c r="HOX46" s="1041"/>
      <c r="HOY46" s="1041"/>
      <c r="HOZ46" s="1041"/>
      <c r="HPA46" s="1041"/>
      <c r="HPB46" s="1041"/>
      <c r="HPC46" s="1041"/>
      <c r="HPD46" s="1041"/>
      <c r="HPE46" s="1041"/>
      <c r="HPF46" s="1041"/>
      <c r="HPG46" s="1041"/>
      <c r="HPH46" s="1041"/>
      <c r="HPI46" s="1041"/>
      <c r="HPJ46" s="1041"/>
      <c r="HPK46" s="1041"/>
      <c r="HPL46" s="1041"/>
      <c r="HPM46" s="1041"/>
      <c r="HPN46" s="1041"/>
      <c r="HPO46" s="1041"/>
      <c r="HPP46" s="1041"/>
      <c r="HPQ46" s="1041"/>
      <c r="HPR46" s="1041"/>
      <c r="HPS46" s="1041"/>
      <c r="HPT46" s="1041"/>
      <c r="HPU46" s="1041"/>
      <c r="HPV46" s="1041"/>
      <c r="HPW46" s="1041"/>
      <c r="HPX46" s="1041"/>
      <c r="HPY46" s="1041"/>
      <c r="HPZ46" s="1041"/>
      <c r="HQA46" s="1041"/>
      <c r="HQB46" s="1041"/>
      <c r="HQC46" s="1041"/>
      <c r="HQD46" s="1041"/>
      <c r="HQE46" s="1041"/>
      <c r="HQF46" s="1041"/>
      <c r="HQG46" s="1041"/>
      <c r="HQH46" s="1041"/>
      <c r="HQI46" s="1041"/>
      <c r="HQJ46" s="1041"/>
      <c r="HQK46" s="1041"/>
      <c r="HQL46" s="1041"/>
      <c r="HQM46" s="1041"/>
      <c r="HQN46" s="1041"/>
      <c r="HQO46" s="1041"/>
      <c r="HQP46" s="1041"/>
      <c r="HQQ46" s="1041"/>
      <c r="HQR46" s="1041"/>
      <c r="HQS46" s="1041"/>
      <c r="HQT46" s="1041"/>
      <c r="HQU46" s="1041"/>
      <c r="HQV46" s="1041"/>
      <c r="HQW46" s="1041"/>
      <c r="HQX46" s="1041"/>
      <c r="HQY46" s="1041"/>
      <c r="HQZ46" s="1041"/>
      <c r="HRA46" s="1041"/>
      <c r="HRB46" s="1041"/>
      <c r="HRC46" s="1041"/>
      <c r="HRD46" s="1041"/>
      <c r="HRE46" s="1041"/>
      <c r="HRF46" s="1041"/>
      <c r="HRG46" s="1041"/>
      <c r="HRH46" s="1041"/>
      <c r="HRI46" s="1041"/>
      <c r="HRJ46" s="1041"/>
      <c r="HRK46" s="1041"/>
      <c r="HRL46" s="1041"/>
      <c r="HRM46" s="1041"/>
      <c r="HRN46" s="1041"/>
      <c r="HRO46" s="1041"/>
      <c r="HRP46" s="1041"/>
      <c r="HRQ46" s="1041"/>
      <c r="HRR46" s="1041"/>
      <c r="HRS46" s="1041"/>
      <c r="HRT46" s="1041"/>
      <c r="HRU46" s="1041"/>
      <c r="HRV46" s="1041"/>
      <c r="HRW46" s="1041"/>
      <c r="HRX46" s="1041"/>
      <c r="HRY46" s="1041"/>
      <c r="HRZ46" s="1041"/>
      <c r="HSA46" s="1041"/>
      <c r="HSB46" s="1041"/>
      <c r="HSC46" s="1041"/>
      <c r="HSD46" s="1041"/>
      <c r="HSE46" s="1041"/>
      <c r="HSF46" s="1041"/>
      <c r="HSG46" s="1041"/>
      <c r="HSH46" s="1041"/>
      <c r="HSI46" s="1041"/>
      <c r="HSJ46" s="1041"/>
      <c r="HSK46" s="1041"/>
      <c r="HSL46" s="1041"/>
      <c r="HSM46" s="1041"/>
      <c r="HSN46" s="1041"/>
      <c r="HSO46" s="1041"/>
      <c r="HSP46" s="1041"/>
      <c r="HSQ46" s="1041"/>
      <c r="HSR46" s="1041"/>
      <c r="HSS46" s="1041"/>
      <c r="HST46" s="1041"/>
      <c r="HSU46" s="1041"/>
      <c r="HSV46" s="1041"/>
      <c r="HSW46" s="1041"/>
      <c r="HSX46" s="1041"/>
      <c r="HSY46" s="1041"/>
      <c r="HSZ46" s="1041"/>
      <c r="HTA46" s="1041"/>
      <c r="HTB46" s="1041"/>
      <c r="HTC46" s="1041"/>
      <c r="HTD46" s="1041"/>
      <c r="HTE46" s="1041"/>
      <c r="HTF46" s="1041"/>
      <c r="HTG46" s="1041"/>
      <c r="HTH46" s="1041"/>
      <c r="HTI46" s="1041"/>
      <c r="HTJ46" s="1041"/>
      <c r="HTK46" s="1041"/>
      <c r="HTL46" s="1041"/>
      <c r="HTM46" s="1041"/>
      <c r="HTN46" s="1041"/>
      <c r="HTO46" s="1041"/>
      <c r="HTP46" s="1041"/>
      <c r="HTQ46" s="1041"/>
      <c r="HTR46" s="1041"/>
      <c r="HTS46" s="1041"/>
      <c r="HTT46" s="1041"/>
      <c r="HTU46" s="1041"/>
      <c r="HTV46" s="1041"/>
      <c r="HTW46" s="1041"/>
      <c r="HTX46" s="1041"/>
      <c r="HTY46" s="1041"/>
      <c r="HTZ46" s="1041"/>
      <c r="HUA46" s="1041"/>
      <c r="HUB46" s="1041"/>
      <c r="HUC46" s="1041"/>
      <c r="HUD46" s="1041"/>
      <c r="HUE46" s="1041"/>
      <c r="HUF46" s="1041"/>
      <c r="HUG46" s="1041"/>
      <c r="HUH46" s="1041"/>
      <c r="HUI46" s="1041"/>
      <c r="HUJ46" s="1041"/>
      <c r="HUK46" s="1041"/>
      <c r="HUL46" s="1041"/>
      <c r="HUM46" s="1041"/>
      <c r="HUN46" s="1041"/>
      <c r="HUO46" s="1041"/>
      <c r="HUP46" s="1041"/>
      <c r="HUQ46" s="1041"/>
      <c r="HUR46" s="1041"/>
      <c r="HUS46" s="1041"/>
      <c r="HUT46" s="1041"/>
      <c r="HUU46" s="1041"/>
      <c r="HUV46" s="1041"/>
      <c r="HUW46" s="1041"/>
      <c r="HUX46" s="1041"/>
      <c r="HUY46" s="1041"/>
      <c r="HUZ46" s="1041"/>
      <c r="HVA46" s="1041"/>
      <c r="HVB46" s="1041"/>
      <c r="HVC46" s="1041"/>
      <c r="HVD46" s="1041"/>
      <c r="HVE46" s="1041"/>
      <c r="HVF46" s="1041"/>
      <c r="HVG46" s="1041"/>
      <c r="HVH46" s="1041"/>
      <c r="HVI46" s="1041"/>
      <c r="HVJ46" s="1041"/>
      <c r="HVK46" s="1041"/>
      <c r="HVL46" s="1041"/>
      <c r="HVM46" s="1041"/>
      <c r="HVN46" s="1041"/>
      <c r="HVO46" s="1041"/>
      <c r="HVP46" s="1041"/>
      <c r="HVQ46" s="1041"/>
      <c r="HVR46" s="1041"/>
      <c r="HVS46" s="1041"/>
      <c r="HVT46" s="1041"/>
      <c r="HVU46" s="1041"/>
      <c r="HVV46" s="1041"/>
      <c r="HVW46" s="1041"/>
      <c r="HVX46" s="1041"/>
      <c r="HVY46" s="1041"/>
      <c r="HVZ46" s="1041"/>
      <c r="HWA46" s="1041"/>
      <c r="HWB46" s="1041"/>
      <c r="HWC46" s="1041"/>
      <c r="HWD46" s="1041"/>
      <c r="HWE46" s="1041"/>
      <c r="HWF46" s="1041"/>
      <c r="HWG46" s="1041"/>
      <c r="HWH46" s="1041"/>
      <c r="HWI46" s="1041"/>
      <c r="HWJ46" s="1041"/>
      <c r="HWK46" s="1041"/>
      <c r="HWL46" s="1041"/>
      <c r="HWM46" s="1041"/>
      <c r="HWN46" s="1041"/>
      <c r="HWO46" s="1041"/>
      <c r="HWP46" s="1041"/>
      <c r="HWQ46" s="1041"/>
      <c r="HWR46" s="1041"/>
      <c r="HWS46" s="1041"/>
      <c r="HWT46" s="1041"/>
      <c r="HWU46" s="1041"/>
      <c r="HWV46" s="1041"/>
      <c r="HWW46" s="1041"/>
      <c r="HWX46" s="1041"/>
      <c r="HWY46" s="1041"/>
      <c r="HWZ46" s="1041"/>
      <c r="HXA46" s="1041"/>
      <c r="HXB46" s="1041"/>
      <c r="HXC46" s="1041"/>
      <c r="HXD46" s="1041"/>
      <c r="HXE46" s="1041"/>
      <c r="HXF46" s="1041"/>
      <c r="HXG46" s="1041"/>
      <c r="HXH46" s="1041"/>
      <c r="HXI46" s="1041"/>
      <c r="HXJ46" s="1041"/>
      <c r="HXK46" s="1041"/>
      <c r="HXL46" s="1041"/>
      <c r="HXM46" s="1041"/>
      <c r="HXN46" s="1041"/>
      <c r="HXO46" s="1041"/>
      <c r="HXP46" s="1041"/>
      <c r="HXQ46" s="1041"/>
      <c r="HXR46" s="1041"/>
      <c r="HXS46" s="1041"/>
      <c r="HXT46" s="1041"/>
      <c r="HXU46" s="1041"/>
      <c r="HXV46" s="1041"/>
      <c r="HXW46" s="1041"/>
      <c r="HXX46" s="1041"/>
      <c r="HXY46" s="1041"/>
      <c r="HXZ46" s="1041"/>
      <c r="HYA46" s="1041"/>
      <c r="HYB46" s="1041"/>
      <c r="HYC46" s="1041"/>
      <c r="HYD46" s="1041"/>
      <c r="HYE46" s="1041"/>
      <c r="HYF46" s="1041"/>
      <c r="HYG46" s="1041"/>
      <c r="HYH46" s="1041"/>
      <c r="HYI46" s="1041"/>
      <c r="HYJ46" s="1041"/>
      <c r="HYK46" s="1041"/>
      <c r="HYL46" s="1041"/>
      <c r="HYM46" s="1041"/>
      <c r="HYN46" s="1041"/>
      <c r="HYO46" s="1041"/>
      <c r="HYP46" s="1041"/>
      <c r="HYQ46" s="1041"/>
      <c r="HYR46" s="1041"/>
      <c r="HYS46" s="1041"/>
      <c r="HYT46" s="1041"/>
      <c r="HYU46" s="1041"/>
      <c r="HYV46" s="1041"/>
      <c r="HYW46" s="1041"/>
      <c r="HYX46" s="1041"/>
      <c r="HYY46" s="1041"/>
      <c r="HYZ46" s="1041"/>
      <c r="HZA46" s="1041"/>
      <c r="HZB46" s="1041"/>
      <c r="HZC46" s="1041"/>
      <c r="HZD46" s="1041"/>
      <c r="HZE46" s="1041"/>
      <c r="HZF46" s="1041"/>
      <c r="HZG46" s="1041"/>
      <c r="HZH46" s="1041"/>
      <c r="HZI46" s="1041"/>
      <c r="HZJ46" s="1041"/>
      <c r="HZK46" s="1041"/>
      <c r="HZL46" s="1041"/>
      <c r="HZM46" s="1041"/>
      <c r="HZN46" s="1041"/>
      <c r="HZO46" s="1041"/>
      <c r="HZP46" s="1041"/>
      <c r="HZQ46" s="1041"/>
      <c r="HZR46" s="1041"/>
      <c r="HZS46" s="1041"/>
      <c r="HZT46" s="1041"/>
      <c r="HZU46" s="1041"/>
      <c r="HZV46" s="1041"/>
      <c r="HZW46" s="1041"/>
      <c r="HZX46" s="1041"/>
      <c r="HZY46" s="1041"/>
      <c r="HZZ46" s="1041"/>
      <c r="IAA46" s="1041"/>
      <c r="IAB46" s="1041"/>
      <c r="IAC46" s="1041"/>
      <c r="IAD46" s="1041"/>
      <c r="IAE46" s="1041"/>
      <c r="IAF46" s="1041"/>
      <c r="IAG46" s="1041"/>
      <c r="IAH46" s="1041"/>
      <c r="IAI46" s="1041"/>
      <c r="IAJ46" s="1041"/>
      <c r="IAK46" s="1041"/>
      <c r="IAL46" s="1041"/>
      <c r="IAM46" s="1041"/>
      <c r="IAN46" s="1041"/>
      <c r="IAO46" s="1041"/>
      <c r="IAP46" s="1041"/>
      <c r="IAQ46" s="1041"/>
      <c r="IAR46" s="1041"/>
      <c r="IAS46" s="1041"/>
      <c r="IAT46" s="1041"/>
      <c r="IAU46" s="1041"/>
      <c r="IAV46" s="1041"/>
      <c r="IAW46" s="1041"/>
      <c r="IAX46" s="1041"/>
      <c r="IAY46" s="1041"/>
      <c r="IAZ46" s="1041"/>
      <c r="IBA46" s="1041"/>
      <c r="IBB46" s="1041"/>
      <c r="IBC46" s="1041"/>
      <c r="IBD46" s="1041"/>
      <c r="IBE46" s="1041"/>
      <c r="IBF46" s="1041"/>
      <c r="IBG46" s="1041"/>
      <c r="IBH46" s="1041"/>
      <c r="IBI46" s="1041"/>
      <c r="IBJ46" s="1041"/>
      <c r="IBK46" s="1041"/>
      <c r="IBL46" s="1041"/>
      <c r="IBM46" s="1041"/>
      <c r="IBN46" s="1041"/>
      <c r="IBO46" s="1041"/>
      <c r="IBP46" s="1041"/>
      <c r="IBQ46" s="1041"/>
      <c r="IBR46" s="1041"/>
      <c r="IBS46" s="1041"/>
      <c r="IBT46" s="1041"/>
      <c r="IBU46" s="1041"/>
      <c r="IBV46" s="1041"/>
      <c r="IBW46" s="1041"/>
      <c r="IBX46" s="1041"/>
      <c r="IBY46" s="1041"/>
      <c r="IBZ46" s="1041"/>
      <c r="ICA46" s="1041"/>
      <c r="ICB46" s="1041"/>
      <c r="ICC46" s="1041"/>
      <c r="ICD46" s="1041"/>
      <c r="ICE46" s="1041"/>
      <c r="ICF46" s="1041"/>
      <c r="ICG46" s="1041"/>
      <c r="ICH46" s="1041"/>
      <c r="ICI46" s="1041"/>
      <c r="ICJ46" s="1041"/>
      <c r="ICK46" s="1041"/>
      <c r="ICL46" s="1041"/>
      <c r="ICM46" s="1041"/>
      <c r="ICN46" s="1041"/>
      <c r="ICO46" s="1041"/>
      <c r="ICP46" s="1041"/>
      <c r="ICQ46" s="1041"/>
      <c r="ICR46" s="1041"/>
      <c r="ICS46" s="1041"/>
      <c r="ICT46" s="1041"/>
      <c r="ICU46" s="1041"/>
      <c r="ICV46" s="1041"/>
      <c r="ICW46" s="1041"/>
      <c r="ICX46" s="1041"/>
      <c r="ICY46" s="1041"/>
      <c r="ICZ46" s="1041"/>
      <c r="IDA46" s="1041"/>
      <c r="IDB46" s="1041"/>
      <c r="IDC46" s="1041"/>
      <c r="IDD46" s="1041"/>
      <c r="IDE46" s="1041"/>
      <c r="IDF46" s="1041"/>
      <c r="IDG46" s="1041"/>
      <c r="IDH46" s="1041"/>
      <c r="IDI46" s="1041"/>
      <c r="IDJ46" s="1041"/>
      <c r="IDK46" s="1041"/>
      <c r="IDL46" s="1041"/>
      <c r="IDM46" s="1041"/>
      <c r="IDN46" s="1041"/>
      <c r="IDO46" s="1041"/>
      <c r="IDP46" s="1041"/>
      <c r="IDQ46" s="1041"/>
      <c r="IDR46" s="1041"/>
      <c r="IDS46" s="1041"/>
      <c r="IDT46" s="1041"/>
      <c r="IDU46" s="1041"/>
      <c r="IDV46" s="1041"/>
      <c r="IDW46" s="1041"/>
      <c r="IDX46" s="1041"/>
      <c r="IDY46" s="1041"/>
      <c r="IDZ46" s="1041"/>
      <c r="IEA46" s="1041"/>
      <c r="IEB46" s="1041"/>
      <c r="IEC46" s="1041"/>
      <c r="IED46" s="1041"/>
      <c r="IEE46" s="1041"/>
      <c r="IEF46" s="1041"/>
      <c r="IEG46" s="1041"/>
      <c r="IEH46" s="1041"/>
      <c r="IEI46" s="1041"/>
      <c r="IEJ46" s="1041"/>
      <c r="IEK46" s="1041"/>
      <c r="IEL46" s="1041"/>
      <c r="IEM46" s="1041"/>
      <c r="IEN46" s="1041"/>
      <c r="IEO46" s="1041"/>
      <c r="IEP46" s="1041"/>
      <c r="IEQ46" s="1041"/>
      <c r="IER46" s="1041"/>
      <c r="IES46" s="1041"/>
      <c r="IET46" s="1041"/>
      <c r="IEU46" s="1041"/>
      <c r="IEV46" s="1041"/>
      <c r="IEW46" s="1041"/>
      <c r="IEX46" s="1041"/>
      <c r="IEY46" s="1041"/>
      <c r="IEZ46" s="1041"/>
      <c r="IFA46" s="1041"/>
      <c r="IFB46" s="1041"/>
      <c r="IFC46" s="1041"/>
      <c r="IFD46" s="1041"/>
      <c r="IFE46" s="1041"/>
      <c r="IFF46" s="1041"/>
      <c r="IFG46" s="1041"/>
      <c r="IFH46" s="1041"/>
      <c r="IFI46" s="1041"/>
      <c r="IFJ46" s="1041"/>
      <c r="IFK46" s="1041"/>
      <c r="IFL46" s="1041"/>
      <c r="IFM46" s="1041"/>
      <c r="IFN46" s="1041"/>
      <c r="IFO46" s="1041"/>
      <c r="IFP46" s="1041"/>
      <c r="IFQ46" s="1041"/>
      <c r="IFR46" s="1041"/>
      <c r="IFS46" s="1041"/>
      <c r="IFT46" s="1041"/>
      <c r="IFU46" s="1041"/>
      <c r="IFV46" s="1041"/>
      <c r="IFW46" s="1041"/>
      <c r="IFX46" s="1041"/>
      <c r="IFY46" s="1041"/>
      <c r="IFZ46" s="1041"/>
      <c r="IGA46" s="1041"/>
      <c r="IGB46" s="1041"/>
      <c r="IGC46" s="1041"/>
      <c r="IGD46" s="1041"/>
      <c r="IGE46" s="1041"/>
      <c r="IGF46" s="1041"/>
      <c r="IGG46" s="1041"/>
      <c r="IGH46" s="1041"/>
      <c r="IGI46" s="1041"/>
      <c r="IGJ46" s="1041"/>
      <c r="IGK46" s="1041"/>
      <c r="IGL46" s="1041"/>
      <c r="IGM46" s="1041"/>
      <c r="IGN46" s="1041"/>
      <c r="IGO46" s="1041"/>
      <c r="IGP46" s="1041"/>
      <c r="IGQ46" s="1041"/>
      <c r="IGR46" s="1041"/>
      <c r="IGS46" s="1041"/>
      <c r="IGT46" s="1041"/>
      <c r="IGU46" s="1041"/>
      <c r="IGV46" s="1041"/>
      <c r="IGW46" s="1041"/>
      <c r="IGX46" s="1041"/>
      <c r="IGY46" s="1041"/>
      <c r="IGZ46" s="1041"/>
      <c r="IHA46" s="1041"/>
      <c r="IHB46" s="1041"/>
      <c r="IHC46" s="1041"/>
      <c r="IHD46" s="1041"/>
      <c r="IHE46" s="1041"/>
      <c r="IHF46" s="1041"/>
      <c r="IHG46" s="1041"/>
      <c r="IHH46" s="1041"/>
      <c r="IHI46" s="1041"/>
      <c r="IHJ46" s="1041"/>
      <c r="IHK46" s="1041"/>
      <c r="IHL46" s="1041"/>
      <c r="IHM46" s="1041"/>
      <c r="IHN46" s="1041"/>
      <c r="IHO46" s="1041"/>
      <c r="IHP46" s="1041"/>
      <c r="IHQ46" s="1041"/>
      <c r="IHR46" s="1041"/>
      <c r="IHS46" s="1041"/>
      <c r="IHT46" s="1041"/>
      <c r="IHU46" s="1041"/>
      <c r="IHV46" s="1041"/>
      <c r="IHW46" s="1041"/>
      <c r="IHX46" s="1041"/>
      <c r="IHY46" s="1041"/>
      <c r="IHZ46" s="1041"/>
      <c r="IIA46" s="1041"/>
      <c r="IIB46" s="1041"/>
      <c r="IIC46" s="1041"/>
      <c r="IID46" s="1041"/>
      <c r="IIE46" s="1041"/>
      <c r="IIF46" s="1041"/>
      <c r="IIG46" s="1041"/>
      <c r="IIH46" s="1041"/>
      <c r="III46" s="1041"/>
      <c r="IIJ46" s="1041"/>
      <c r="IIK46" s="1041"/>
      <c r="IIL46" s="1041"/>
      <c r="IIM46" s="1041"/>
      <c r="IIN46" s="1041"/>
      <c r="IIO46" s="1041"/>
      <c r="IIP46" s="1041"/>
      <c r="IIQ46" s="1041"/>
      <c r="IIR46" s="1041"/>
      <c r="IIS46" s="1041"/>
      <c r="IIT46" s="1041"/>
      <c r="IIU46" s="1041"/>
      <c r="IIV46" s="1041"/>
      <c r="IIW46" s="1041"/>
      <c r="IIX46" s="1041"/>
      <c r="IIY46" s="1041"/>
      <c r="IIZ46" s="1041"/>
      <c r="IJA46" s="1041"/>
      <c r="IJB46" s="1041"/>
      <c r="IJC46" s="1041"/>
      <c r="IJD46" s="1041"/>
      <c r="IJE46" s="1041"/>
      <c r="IJF46" s="1041"/>
      <c r="IJG46" s="1041"/>
      <c r="IJH46" s="1041"/>
      <c r="IJI46" s="1041"/>
      <c r="IJJ46" s="1041"/>
      <c r="IJK46" s="1041"/>
      <c r="IJL46" s="1041"/>
      <c r="IJM46" s="1041"/>
      <c r="IJN46" s="1041"/>
      <c r="IJO46" s="1041"/>
      <c r="IJP46" s="1041"/>
      <c r="IJQ46" s="1041"/>
      <c r="IJR46" s="1041"/>
      <c r="IJS46" s="1041"/>
      <c r="IJT46" s="1041"/>
      <c r="IJU46" s="1041"/>
      <c r="IJV46" s="1041"/>
      <c r="IJW46" s="1041"/>
      <c r="IJX46" s="1041"/>
      <c r="IJY46" s="1041"/>
      <c r="IJZ46" s="1041"/>
      <c r="IKA46" s="1041"/>
      <c r="IKB46" s="1041"/>
      <c r="IKC46" s="1041"/>
      <c r="IKD46" s="1041"/>
      <c r="IKE46" s="1041"/>
      <c r="IKF46" s="1041"/>
      <c r="IKG46" s="1041"/>
      <c r="IKH46" s="1041"/>
      <c r="IKI46" s="1041"/>
      <c r="IKJ46" s="1041"/>
      <c r="IKK46" s="1041"/>
      <c r="IKL46" s="1041"/>
      <c r="IKM46" s="1041"/>
      <c r="IKN46" s="1041"/>
      <c r="IKO46" s="1041"/>
      <c r="IKP46" s="1041"/>
      <c r="IKQ46" s="1041"/>
      <c r="IKR46" s="1041"/>
      <c r="IKS46" s="1041"/>
      <c r="IKT46" s="1041"/>
      <c r="IKU46" s="1041"/>
      <c r="IKV46" s="1041"/>
      <c r="IKW46" s="1041"/>
      <c r="IKX46" s="1041"/>
      <c r="IKY46" s="1041"/>
      <c r="IKZ46" s="1041"/>
      <c r="ILA46" s="1041"/>
      <c r="ILB46" s="1041"/>
      <c r="ILC46" s="1041"/>
      <c r="ILD46" s="1041"/>
      <c r="ILE46" s="1041"/>
      <c r="ILF46" s="1041"/>
      <c r="ILG46" s="1041"/>
      <c r="ILH46" s="1041"/>
      <c r="ILI46" s="1041"/>
      <c r="ILJ46" s="1041"/>
      <c r="ILK46" s="1041"/>
      <c r="ILL46" s="1041"/>
      <c r="ILM46" s="1041"/>
      <c r="ILN46" s="1041"/>
      <c r="ILO46" s="1041"/>
      <c r="ILP46" s="1041"/>
      <c r="ILQ46" s="1041"/>
      <c r="ILR46" s="1041"/>
      <c r="ILS46" s="1041"/>
      <c r="ILT46" s="1041"/>
      <c r="ILU46" s="1041"/>
      <c r="ILV46" s="1041"/>
      <c r="ILW46" s="1041"/>
      <c r="ILX46" s="1041"/>
      <c r="ILY46" s="1041"/>
      <c r="ILZ46" s="1041"/>
      <c r="IMA46" s="1041"/>
      <c r="IMB46" s="1041"/>
      <c r="IMC46" s="1041"/>
      <c r="IMD46" s="1041"/>
      <c r="IME46" s="1041"/>
      <c r="IMF46" s="1041"/>
      <c r="IMG46" s="1041"/>
      <c r="IMH46" s="1041"/>
      <c r="IMI46" s="1041"/>
      <c r="IMJ46" s="1041"/>
      <c r="IMK46" s="1041"/>
      <c r="IML46" s="1041"/>
      <c r="IMM46" s="1041"/>
      <c r="IMN46" s="1041"/>
      <c r="IMO46" s="1041"/>
      <c r="IMP46" s="1041"/>
      <c r="IMQ46" s="1041"/>
      <c r="IMR46" s="1041"/>
      <c r="IMS46" s="1041"/>
      <c r="IMT46" s="1041"/>
      <c r="IMU46" s="1041"/>
      <c r="IMV46" s="1041"/>
      <c r="IMW46" s="1041"/>
      <c r="IMX46" s="1041"/>
      <c r="IMY46" s="1041"/>
      <c r="IMZ46" s="1041"/>
      <c r="INA46" s="1041"/>
      <c r="INB46" s="1041"/>
      <c r="INC46" s="1041"/>
      <c r="IND46" s="1041"/>
      <c r="INE46" s="1041"/>
      <c r="INF46" s="1041"/>
      <c r="ING46" s="1041"/>
      <c r="INH46" s="1041"/>
      <c r="INI46" s="1041"/>
      <c r="INJ46" s="1041"/>
      <c r="INK46" s="1041"/>
      <c r="INL46" s="1041"/>
      <c r="INM46" s="1041"/>
      <c r="INN46" s="1041"/>
      <c r="INO46" s="1041"/>
      <c r="INP46" s="1041"/>
      <c r="INQ46" s="1041"/>
      <c r="INR46" s="1041"/>
      <c r="INS46" s="1041"/>
      <c r="INT46" s="1041"/>
      <c r="INU46" s="1041"/>
      <c r="INV46" s="1041"/>
      <c r="INW46" s="1041"/>
      <c r="INX46" s="1041"/>
      <c r="INY46" s="1041"/>
      <c r="INZ46" s="1041"/>
      <c r="IOA46" s="1041"/>
      <c r="IOB46" s="1041"/>
      <c r="IOC46" s="1041"/>
      <c r="IOD46" s="1041"/>
      <c r="IOE46" s="1041"/>
      <c r="IOF46" s="1041"/>
      <c r="IOG46" s="1041"/>
      <c r="IOH46" s="1041"/>
      <c r="IOI46" s="1041"/>
      <c r="IOJ46" s="1041"/>
      <c r="IOK46" s="1041"/>
      <c r="IOL46" s="1041"/>
      <c r="IOM46" s="1041"/>
      <c r="ION46" s="1041"/>
      <c r="IOO46" s="1041"/>
      <c r="IOP46" s="1041"/>
      <c r="IOQ46" s="1041"/>
      <c r="IOR46" s="1041"/>
      <c r="IOS46" s="1041"/>
      <c r="IOT46" s="1041"/>
      <c r="IOU46" s="1041"/>
      <c r="IOV46" s="1041"/>
      <c r="IOW46" s="1041"/>
      <c r="IOX46" s="1041"/>
      <c r="IOY46" s="1041"/>
      <c r="IOZ46" s="1041"/>
      <c r="IPA46" s="1041"/>
      <c r="IPB46" s="1041"/>
      <c r="IPC46" s="1041"/>
      <c r="IPD46" s="1041"/>
      <c r="IPE46" s="1041"/>
      <c r="IPF46" s="1041"/>
      <c r="IPG46" s="1041"/>
      <c r="IPH46" s="1041"/>
      <c r="IPI46" s="1041"/>
      <c r="IPJ46" s="1041"/>
      <c r="IPK46" s="1041"/>
      <c r="IPL46" s="1041"/>
      <c r="IPM46" s="1041"/>
      <c r="IPN46" s="1041"/>
      <c r="IPO46" s="1041"/>
      <c r="IPP46" s="1041"/>
      <c r="IPQ46" s="1041"/>
      <c r="IPR46" s="1041"/>
      <c r="IPS46" s="1041"/>
      <c r="IPT46" s="1041"/>
      <c r="IPU46" s="1041"/>
      <c r="IPV46" s="1041"/>
      <c r="IPW46" s="1041"/>
      <c r="IPX46" s="1041"/>
      <c r="IPY46" s="1041"/>
      <c r="IPZ46" s="1041"/>
      <c r="IQA46" s="1041"/>
      <c r="IQB46" s="1041"/>
      <c r="IQC46" s="1041"/>
      <c r="IQD46" s="1041"/>
      <c r="IQE46" s="1041"/>
      <c r="IQF46" s="1041"/>
      <c r="IQG46" s="1041"/>
      <c r="IQH46" s="1041"/>
      <c r="IQI46" s="1041"/>
      <c r="IQJ46" s="1041"/>
      <c r="IQK46" s="1041"/>
      <c r="IQL46" s="1041"/>
      <c r="IQM46" s="1041"/>
      <c r="IQN46" s="1041"/>
      <c r="IQO46" s="1041"/>
      <c r="IQP46" s="1041"/>
      <c r="IQQ46" s="1041"/>
      <c r="IQR46" s="1041"/>
      <c r="IQS46" s="1041"/>
      <c r="IQT46" s="1041"/>
      <c r="IQU46" s="1041"/>
      <c r="IQV46" s="1041"/>
      <c r="IQW46" s="1041"/>
      <c r="IQX46" s="1041"/>
      <c r="IQY46" s="1041"/>
      <c r="IQZ46" s="1041"/>
      <c r="IRA46" s="1041"/>
      <c r="IRB46" s="1041"/>
      <c r="IRC46" s="1041"/>
      <c r="IRD46" s="1041"/>
      <c r="IRE46" s="1041"/>
      <c r="IRF46" s="1041"/>
      <c r="IRG46" s="1041"/>
      <c r="IRH46" s="1041"/>
      <c r="IRI46" s="1041"/>
      <c r="IRJ46" s="1041"/>
      <c r="IRK46" s="1041"/>
      <c r="IRL46" s="1041"/>
      <c r="IRM46" s="1041"/>
      <c r="IRN46" s="1041"/>
      <c r="IRO46" s="1041"/>
      <c r="IRP46" s="1041"/>
      <c r="IRQ46" s="1041"/>
      <c r="IRR46" s="1041"/>
      <c r="IRS46" s="1041"/>
      <c r="IRT46" s="1041"/>
      <c r="IRU46" s="1041"/>
      <c r="IRV46" s="1041"/>
      <c r="IRW46" s="1041"/>
      <c r="IRX46" s="1041"/>
      <c r="IRY46" s="1041"/>
      <c r="IRZ46" s="1041"/>
      <c r="ISA46" s="1041"/>
      <c r="ISB46" s="1041"/>
      <c r="ISC46" s="1041"/>
      <c r="ISD46" s="1041"/>
      <c r="ISE46" s="1041"/>
      <c r="ISF46" s="1041"/>
      <c r="ISG46" s="1041"/>
      <c r="ISH46" s="1041"/>
      <c r="ISI46" s="1041"/>
      <c r="ISJ46" s="1041"/>
      <c r="ISK46" s="1041"/>
      <c r="ISL46" s="1041"/>
      <c r="ISM46" s="1041"/>
      <c r="ISN46" s="1041"/>
      <c r="ISO46" s="1041"/>
      <c r="ISP46" s="1041"/>
      <c r="ISQ46" s="1041"/>
      <c r="ISR46" s="1041"/>
      <c r="ISS46" s="1041"/>
      <c r="IST46" s="1041"/>
      <c r="ISU46" s="1041"/>
      <c r="ISV46" s="1041"/>
      <c r="ISW46" s="1041"/>
      <c r="ISX46" s="1041"/>
      <c r="ISY46" s="1041"/>
      <c r="ISZ46" s="1041"/>
      <c r="ITA46" s="1041"/>
      <c r="ITB46" s="1041"/>
      <c r="ITC46" s="1041"/>
      <c r="ITD46" s="1041"/>
      <c r="ITE46" s="1041"/>
      <c r="ITF46" s="1041"/>
      <c r="ITG46" s="1041"/>
      <c r="ITH46" s="1041"/>
      <c r="ITI46" s="1041"/>
      <c r="ITJ46" s="1041"/>
      <c r="ITK46" s="1041"/>
      <c r="ITL46" s="1041"/>
      <c r="ITM46" s="1041"/>
      <c r="ITN46" s="1041"/>
      <c r="ITO46" s="1041"/>
      <c r="ITP46" s="1041"/>
      <c r="ITQ46" s="1041"/>
      <c r="ITR46" s="1041"/>
      <c r="ITS46" s="1041"/>
      <c r="ITT46" s="1041"/>
      <c r="ITU46" s="1041"/>
      <c r="ITV46" s="1041"/>
      <c r="ITW46" s="1041"/>
      <c r="ITX46" s="1041"/>
      <c r="ITY46" s="1041"/>
      <c r="ITZ46" s="1041"/>
      <c r="IUA46" s="1041"/>
      <c r="IUB46" s="1041"/>
      <c r="IUC46" s="1041"/>
      <c r="IUD46" s="1041"/>
      <c r="IUE46" s="1041"/>
      <c r="IUF46" s="1041"/>
      <c r="IUG46" s="1041"/>
      <c r="IUH46" s="1041"/>
      <c r="IUI46" s="1041"/>
      <c r="IUJ46" s="1041"/>
      <c r="IUK46" s="1041"/>
      <c r="IUL46" s="1041"/>
      <c r="IUM46" s="1041"/>
      <c r="IUN46" s="1041"/>
      <c r="IUO46" s="1041"/>
      <c r="IUP46" s="1041"/>
      <c r="IUQ46" s="1041"/>
      <c r="IUR46" s="1041"/>
      <c r="IUS46" s="1041"/>
      <c r="IUT46" s="1041"/>
      <c r="IUU46" s="1041"/>
      <c r="IUV46" s="1041"/>
      <c r="IUW46" s="1041"/>
      <c r="IUX46" s="1041"/>
      <c r="IUY46" s="1041"/>
      <c r="IUZ46" s="1041"/>
      <c r="IVA46" s="1041"/>
      <c r="IVB46" s="1041"/>
      <c r="IVC46" s="1041"/>
      <c r="IVD46" s="1041"/>
      <c r="IVE46" s="1041"/>
      <c r="IVF46" s="1041"/>
      <c r="IVG46" s="1041"/>
      <c r="IVH46" s="1041"/>
      <c r="IVI46" s="1041"/>
      <c r="IVJ46" s="1041"/>
      <c r="IVK46" s="1041"/>
      <c r="IVL46" s="1041"/>
      <c r="IVM46" s="1041"/>
      <c r="IVN46" s="1041"/>
      <c r="IVO46" s="1041"/>
      <c r="IVP46" s="1041"/>
      <c r="IVQ46" s="1041"/>
      <c r="IVR46" s="1041"/>
      <c r="IVS46" s="1041"/>
      <c r="IVT46" s="1041"/>
      <c r="IVU46" s="1041"/>
      <c r="IVV46" s="1041"/>
      <c r="IVW46" s="1041"/>
      <c r="IVX46" s="1041"/>
      <c r="IVY46" s="1041"/>
      <c r="IVZ46" s="1041"/>
      <c r="IWA46" s="1041"/>
      <c r="IWB46" s="1041"/>
      <c r="IWC46" s="1041"/>
      <c r="IWD46" s="1041"/>
      <c r="IWE46" s="1041"/>
      <c r="IWF46" s="1041"/>
      <c r="IWG46" s="1041"/>
      <c r="IWH46" s="1041"/>
      <c r="IWI46" s="1041"/>
      <c r="IWJ46" s="1041"/>
      <c r="IWK46" s="1041"/>
      <c r="IWL46" s="1041"/>
      <c r="IWM46" s="1041"/>
      <c r="IWN46" s="1041"/>
      <c r="IWO46" s="1041"/>
      <c r="IWP46" s="1041"/>
      <c r="IWQ46" s="1041"/>
      <c r="IWR46" s="1041"/>
      <c r="IWS46" s="1041"/>
      <c r="IWT46" s="1041"/>
      <c r="IWU46" s="1041"/>
      <c r="IWV46" s="1041"/>
      <c r="IWW46" s="1041"/>
      <c r="IWX46" s="1041"/>
      <c r="IWY46" s="1041"/>
      <c r="IWZ46" s="1041"/>
      <c r="IXA46" s="1041"/>
      <c r="IXB46" s="1041"/>
      <c r="IXC46" s="1041"/>
      <c r="IXD46" s="1041"/>
      <c r="IXE46" s="1041"/>
      <c r="IXF46" s="1041"/>
      <c r="IXG46" s="1041"/>
      <c r="IXH46" s="1041"/>
      <c r="IXI46" s="1041"/>
      <c r="IXJ46" s="1041"/>
      <c r="IXK46" s="1041"/>
      <c r="IXL46" s="1041"/>
      <c r="IXM46" s="1041"/>
      <c r="IXN46" s="1041"/>
      <c r="IXO46" s="1041"/>
      <c r="IXP46" s="1041"/>
      <c r="IXQ46" s="1041"/>
      <c r="IXR46" s="1041"/>
      <c r="IXS46" s="1041"/>
      <c r="IXT46" s="1041"/>
      <c r="IXU46" s="1041"/>
      <c r="IXV46" s="1041"/>
      <c r="IXW46" s="1041"/>
      <c r="IXX46" s="1041"/>
      <c r="IXY46" s="1041"/>
      <c r="IXZ46" s="1041"/>
      <c r="IYA46" s="1041"/>
      <c r="IYB46" s="1041"/>
      <c r="IYC46" s="1041"/>
      <c r="IYD46" s="1041"/>
      <c r="IYE46" s="1041"/>
      <c r="IYF46" s="1041"/>
      <c r="IYG46" s="1041"/>
      <c r="IYH46" s="1041"/>
      <c r="IYI46" s="1041"/>
      <c r="IYJ46" s="1041"/>
      <c r="IYK46" s="1041"/>
      <c r="IYL46" s="1041"/>
      <c r="IYM46" s="1041"/>
      <c r="IYN46" s="1041"/>
      <c r="IYO46" s="1041"/>
      <c r="IYP46" s="1041"/>
      <c r="IYQ46" s="1041"/>
      <c r="IYR46" s="1041"/>
      <c r="IYS46" s="1041"/>
      <c r="IYT46" s="1041"/>
      <c r="IYU46" s="1041"/>
      <c r="IYV46" s="1041"/>
      <c r="IYW46" s="1041"/>
      <c r="IYX46" s="1041"/>
      <c r="IYY46" s="1041"/>
      <c r="IYZ46" s="1041"/>
      <c r="IZA46" s="1041"/>
      <c r="IZB46" s="1041"/>
      <c r="IZC46" s="1041"/>
      <c r="IZD46" s="1041"/>
      <c r="IZE46" s="1041"/>
      <c r="IZF46" s="1041"/>
      <c r="IZG46" s="1041"/>
      <c r="IZH46" s="1041"/>
      <c r="IZI46" s="1041"/>
      <c r="IZJ46" s="1041"/>
      <c r="IZK46" s="1041"/>
      <c r="IZL46" s="1041"/>
      <c r="IZM46" s="1041"/>
      <c r="IZN46" s="1041"/>
      <c r="IZO46" s="1041"/>
      <c r="IZP46" s="1041"/>
      <c r="IZQ46" s="1041"/>
      <c r="IZR46" s="1041"/>
      <c r="IZS46" s="1041"/>
      <c r="IZT46" s="1041"/>
      <c r="IZU46" s="1041"/>
      <c r="IZV46" s="1041"/>
      <c r="IZW46" s="1041"/>
      <c r="IZX46" s="1041"/>
      <c r="IZY46" s="1041"/>
      <c r="IZZ46" s="1041"/>
      <c r="JAA46" s="1041"/>
      <c r="JAB46" s="1041"/>
      <c r="JAC46" s="1041"/>
      <c r="JAD46" s="1041"/>
      <c r="JAE46" s="1041"/>
      <c r="JAF46" s="1041"/>
      <c r="JAG46" s="1041"/>
      <c r="JAH46" s="1041"/>
      <c r="JAI46" s="1041"/>
      <c r="JAJ46" s="1041"/>
      <c r="JAK46" s="1041"/>
      <c r="JAL46" s="1041"/>
      <c r="JAM46" s="1041"/>
      <c r="JAN46" s="1041"/>
      <c r="JAO46" s="1041"/>
      <c r="JAP46" s="1041"/>
      <c r="JAQ46" s="1041"/>
      <c r="JAR46" s="1041"/>
      <c r="JAS46" s="1041"/>
      <c r="JAT46" s="1041"/>
      <c r="JAU46" s="1041"/>
      <c r="JAV46" s="1041"/>
      <c r="JAW46" s="1041"/>
      <c r="JAX46" s="1041"/>
      <c r="JAY46" s="1041"/>
      <c r="JAZ46" s="1041"/>
      <c r="JBA46" s="1041"/>
      <c r="JBB46" s="1041"/>
      <c r="JBC46" s="1041"/>
      <c r="JBD46" s="1041"/>
      <c r="JBE46" s="1041"/>
      <c r="JBF46" s="1041"/>
      <c r="JBG46" s="1041"/>
      <c r="JBH46" s="1041"/>
      <c r="JBI46" s="1041"/>
      <c r="JBJ46" s="1041"/>
      <c r="JBK46" s="1041"/>
      <c r="JBL46" s="1041"/>
      <c r="JBM46" s="1041"/>
      <c r="JBN46" s="1041"/>
      <c r="JBO46" s="1041"/>
      <c r="JBP46" s="1041"/>
      <c r="JBQ46" s="1041"/>
      <c r="JBR46" s="1041"/>
      <c r="JBS46" s="1041"/>
      <c r="JBT46" s="1041"/>
      <c r="JBU46" s="1041"/>
      <c r="JBV46" s="1041"/>
      <c r="JBW46" s="1041"/>
      <c r="JBX46" s="1041"/>
      <c r="JBY46" s="1041"/>
      <c r="JBZ46" s="1041"/>
      <c r="JCA46" s="1041"/>
      <c r="JCB46" s="1041"/>
      <c r="JCC46" s="1041"/>
      <c r="JCD46" s="1041"/>
      <c r="JCE46" s="1041"/>
      <c r="JCF46" s="1041"/>
      <c r="JCG46" s="1041"/>
      <c r="JCH46" s="1041"/>
      <c r="JCI46" s="1041"/>
      <c r="JCJ46" s="1041"/>
      <c r="JCK46" s="1041"/>
      <c r="JCL46" s="1041"/>
      <c r="JCM46" s="1041"/>
      <c r="JCN46" s="1041"/>
      <c r="JCO46" s="1041"/>
      <c r="JCP46" s="1041"/>
      <c r="JCQ46" s="1041"/>
      <c r="JCR46" s="1041"/>
      <c r="JCS46" s="1041"/>
      <c r="JCT46" s="1041"/>
      <c r="JCU46" s="1041"/>
      <c r="JCV46" s="1041"/>
      <c r="JCW46" s="1041"/>
      <c r="JCX46" s="1041"/>
      <c r="JCY46" s="1041"/>
      <c r="JCZ46" s="1041"/>
      <c r="JDA46" s="1041"/>
      <c r="JDB46" s="1041"/>
      <c r="JDC46" s="1041"/>
      <c r="JDD46" s="1041"/>
      <c r="JDE46" s="1041"/>
      <c r="JDF46" s="1041"/>
      <c r="JDG46" s="1041"/>
      <c r="JDH46" s="1041"/>
      <c r="JDI46" s="1041"/>
      <c r="JDJ46" s="1041"/>
      <c r="JDK46" s="1041"/>
      <c r="JDL46" s="1041"/>
      <c r="JDM46" s="1041"/>
      <c r="JDN46" s="1041"/>
      <c r="JDO46" s="1041"/>
      <c r="JDP46" s="1041"/>
      <c r="JDQ46" s="1041"/>
      <c r="JDR46" s="1041"/>
      <c r="JDS46" s="1041"/>
      <c r="JDT46" s="1041"/>
      <c r="JDU46" s="1041"/>
      <c r="JDV46" s="1041"/>
      <c r="JDW46" s="1041"/>
      <c r="JDX46" s="1041"/>
      <c r="JDY46" s="1041"/>
      <c r="JDZ46" s="1041"/>
      <c r="JEA46" s="1041"/>
      <c r="JEB46" s="1041"/>
      <c r="JEC46" s="1041"/>
      <c r="JED46" s="1041"/>
      <c r="JEE46" s="1041"/>
      <c r="JEF46" s="1041"/>
      <c r="JEG46" s="1041"/>
      <c r="JEH46" s="1041"/>
      <c r="JEI46" s="1041"/>
      <c r="JEJ46" s="1041"/>
      <c r="JEK46" s="1041"/>
      <c r="JEL46" s="1041"/>
      <c r="JEM46" s="1041"/>
      <c r="JEN46" s="1041"/>
      <c r="JEO46" s="1041"/>
      <c r="JEP46" s="1041"/>
      <c r="JEQ46" s="1041"/>
      <c r="JER46" s="1041"/>
      <c r="JES46" s="1041"/>
      <c r="JET46" s="1041"/>
      <c r="JEU46" s="1041"/>
      <c r="JEV46" s="1041"/>
      <c r="JEW46" s="1041"/>
      <c r="JEX46" s="1041"/>
      <c r="JEY46" s="1041"/>
      <c r="JEZ46" s="1041"/>
      <c r="JFA46" s="1041"/>
      <c r="JFB46" s="1041"/>
      <c r="JFC46" s="1041"/>
      <c r="JFD46" s="1041"/>
      <c r="JFE46" s="1041"/>
      <c r="JFF46" s="1041"/>
      <c r="JFG46" s="1041"/>
      <c r="JFH46" s="1041"/>
      <c r="JFI46" s="1041"/>
      <c r="JFJ46" s="1041"/>
      <c r="JFK46" s="1041"/>
      <c r="JFL46" s="1041"/>
      <c r="JFM46" s="1041"/>
      <c r="JFN46" s="1041"/>
      <c r="JFO46" s="1041"/>
      <c r="JFP46" s="1041"/>
      <c r="JFQ46" s="1041"/>
      <c r="JFR46" s="1041"/>
      <c r="JFS46" s="1041"/>
      <c r="JFT46" s="1041"/>
      <c r="JFU46" s="1041"/>
      <c r="JFV46" s="1041"/>
      <c r="JFW46" s="1041"/>
      <c r="JFX46" s="1041"/>
      <c r="JFY46" s="1041"/>
      <c r="JFZ46" s="1041"/>
      <c r="JGA46" s="1041"/>
      <c r="JGB46" s="1041"/>
      <c r="JGC46" s="1041"/>
      <c r="JGD46" s="1041"/>
      <c r="JGE46" s="1041"/>
      <c r="JGF46" s="1041"/>
      <c r="JGG46" s="1041"/>
      <c r="JGH46" s="1041"/>
      <c r="JGI46" s="1041"/>
      <c r="JGJ46" s="1041"/>
      <c r="JGK46" s="1041"/>
      <c r="JGL46" s="1041"/>
      <c r="JGM46" s="1041"/>
      <c r="JGN46" s="1041"/>
      <c r="JGO46" s="1041"/>
      <c r="JGP46" s="1041"/>
      <c r="JGQ46" s="1041"/>
      <c r="JGR46" s="1041"/>
      <c r="JGS46" s="1041"/>
      <c r="JGT46" s="1041"/>
      <c r="JGU46" s="1041"/>
      <c r="JGV46" s="1041"/>
      <c r="JGW46" s="1041"/>
      <c r="JGX46" s="1041"/>
      <c r="JGY46" s="1041"/>
      <c r="JGZ46" s="1041"/>
      <c r="JHA46" s="1041"/>
      <c r="JHB46" s="1041"/>
      <c r="JHC46" s="1041"/>
      <c r="JHD46" s="1041"/>
      <c r="JHE46" s="1041"/>
      <c r="JHF46" s="1041"/>
      <c r="JHG46" s="1041"/>
      <c r="JHH46" s="1041"/>
      <c r="JHI46" s="1041"/>
      <c r="JHJ46" s="1041"/>
      <c r="JHK46" s="1041"/>
      <c r="JHL46" s="1041"/>
      <c r="JHM46" s="1041"/>
      <c r="JHN46" s="1041"/>
      <c r="JHO46" s="1041"/>
      <c r="JHP46" s="1041"/>
      <c r="JHQ46" s="1041"/>
      <c r="JHR46" s="1041"/>
      <c r="JHS46" s="1041"/>
      <c r="JHT46" s="1041"/>
      <c r="JHU46" s="1041"/>
      <c r="JHV46" s="1041"/>
      <c r="JHW46" s="1041"/>
      <c r="JHX46" s="1041"/>
      <c r="JHY46" s="1041"/>
      <c r="JHZ46" s="1041"/>
      <c r="JIA46" s="1041"/>
      <c r="JIB46" s="1041"/>
      <c r="JIC46" s="1041"/>
      <c r="JID46" s="1041"/>
      <c r="JIE46" s="1041"/>
      <c r="JIF46" s="1041"/>
      <c r="JIG46" s="1041"/>
      <c r="JIH46" s="1041"/>
      <c r="JII46" s="1041"/>
      <c r="JIJ46" s="1041"/>
      <c r="JIK46" s="1041"/>
      <c r="JIL46" s="1041"/>
      <c r="JIM46" s="1041"/>
      <c r="JIN46" s="1041"/>
      <c r="JIO46" s="1041"/>
      <c r="JIP46" s="1041"/>
      <c r="JIQ46" s="1041"/>
      <c r="JIR46" s="1041"/>
      <c r="JIS46" s="1041"/>
      <c r="JIT46" s="1041"/>
      <c r="JIU46" s="1041"/>
      <c r="JIV46" s="1041"/>
      <c r="JIW46" s="1041"/>
      <c r="JIX46" s="1041"/>
      <c r="JIY46" s="1041"/>
      <c r="JIZ46" s="1041"/>
      <c r="JJA46" s="1041"/>
      <c r="JJB46" s="1041"/>
      <c r="JJC46" s="1041"/>
      <c r="JJD46" s="1041"/>
      <c r="JJE46" s="1041"/>
      <c r="JJF46" s="1041"/>
      <c r="JJG46" s="1041"/>
      <c r="JJH46" s="1041"/>
      <c r="JJI46" s="1041"/>
      <c r="JJJ46" s="1041"/>
      <c r="JJK46" s="1041"/>
      <c r="JJL46" s="1041"/>
      <c r="JJM46" s="1041"/>
      <c r="JJN46" s="1041"/>
      <c r="JJO46" s="1041"/>
      <c r="JJP46" s="1041"/>
      <c r="JJQ46" s="1041"/>
      <c r="JJR46" s="1041"/>
      <c r="JJS46" s="1041"/>
      <c r="JJT46" s="1041"/>
      <c r="JJU46" s="1041"/>
      <c r="JJV46" s="1041"/>
      <c r="JJW46" s="1041"/>
      <c r="JJX46" s="1041"/>
      <c r="JJY46" s="1041"/>
      <c r="JJZ46" s="1041"/>
      <c r="JKA46" s="1041"/>
      <c r="JKB46" s="1041"/>
      <c r="JKC46" s="1041"/>
      <c r="JKD46" s="1041"/>
      <c r="JKE46" s="1041"/>
      <c r="JKF46" s="1041"/>
      <c r="JKG46" s="1041"/>
      <c r="JKH46" s="1041"/>
      <c r="JKI46" s="1041"/>
      <c r="JKJ46" s="1041"/>
      <c r="JKK46" s="1041"/>
      <c r="JKL46" s="1041"/>
      <c r="JKM46" s="1041"/>
      <c r="JKN46" s="1041"/>
      <c r="JKO46" s="1041"/>
      <c r="JKP46" s="1041"/>
      <c r="JKQ46" s="1041"/>
      <c r="JKR46" s="1041"/>
      <c r="JKS46" s="1041"/>
      <c r="JKT46" s="1041"/>
      <c r="JKU46" s="1041"/>
      <c r="JKV46" s="1041"/>
      <c r="JKW46" s="1041"/>
      <c r="JKX46" s="1041"/>
      <c r="JKY46" s="1041"/>
      <c r="JKZ46" s="1041"/>
      <c r="JLA46" s="1041"/>
      <c r="JLB46" s="1041"/>
      <c r="JLC46" s="1041"/>
      <c r="JLD46" s="1041"/>
      <c r="JLE46" s="1041"/>
      <c r="JLF46" s="1041"/>
      <c r="JLG46" s="1041"/>
      <c r="JLH46" s="1041"/>
      <c r="JLI46" s="1041"/>
      <c r="JLJ46" s="1041"/>
      <c r="JLK46" s="1041"/>
      <c r="JLL46" s="1041"/>
      <c r="JLM46" s="1041"/>
      <c r="JLN46" s="1041"/>
      <c r="JLO46" s="1041"/>
      <c r="JLP46" s="1041"/>
      <c r="JLQ46" s="1041"/>
      <c r="JLR46" s="1041"/>
      <c r="JLS46" s="1041"/>
      <c r="JLT46" s="1041"/>
      <c r="JLU46" s="1041"/>
      <c r="JLV46" s="1041"/>
      <c r="JLW46" s="1041"/>
      <c r="JLX46" s="1041"/>
      <c r="JLY46" s="1041"/>
      <c r="JLZ46" s="1041"/>
      <c r="JMA46" s="1041"/>
      <c r="JMB46" s="1041"/>
      <c r="JMC46" s="1041"/>
      <c r="JMD46" s="1041"/>
      <c r="JME46" s="1041"/>
      <c r="JMF46" s="1041"/>
      <c r="JMG46" s="1041"/>
      <c r="JMH46" s="1041"/>
      <c r="JMI46" s="1041"/>
      <c r="JMJ46" s="1041"/>
      <c r="JMK46" s="1041"/>
      <c r="JML46" s="1041"/>
      <c r="JMM46" s="1041"/>
      <c r="JMN46" s="1041"/>
      <c r="JMO46" s="1041"/>
      <c r="JMP46" s="1041"/>
      <c r="JMQ46" s="1041"/>
      <c r="JMR46" s="1041"/>
      <c r="JMS46" s="1041"/>
      <c r="JMT46" s="1041"/>
      <c r="JMU46" s="1041"/>
      <c r="JMV46" s="1041"/>
      <c r="JMW46" s="1041"/>
      <c r="JMX46" s="1041"/>
      <c r="JMY46" s="1041"/>
      <c r="JMZ46" s="1041"/>
      <c r="JNA46" s="1041"/>
      <c r="JNB46" s="1041"/>
      <c r="JNC46" s="1041"/>
      <c r="JND46" s="1041"/>
      <c r="JNE46" s="1041"/>
      <c r="JNF46" s="1041"/>
      <c r="JNG46" s="1041"/>
      <c r="JNH46" s="1041"/>
      <c r="JNI46" s="1041"/>
      <c r="JNJ46" s="1041"/>
      <c r="JNK46" s="1041"/>
      <c r="JNL46" s="1041"/>
      <c r="JNM46" s="1041"/>
      <c r="JNN46" s="1041"/>
      <c r="JNO46" s="1041"/>
      <c r="JNP46" s="1041"/>
      <c r="JNQ46" s="1041"/>
      <c r="JNR46" s="1041"/>
      <c r="JNS46" s="1041"/>
      <c r="JNT46" s="1041"/>
      <c r="JNU46" s="1041"/>
      <c r="JNV46" s="1041"/>
      <c r="JNW46" s="1041"/>
      <c r="JNX46" s="1041"/>
      <c r="JNY46" s="1041"/>
      <c r="JNZ46" s="1041"/>
      <c r="JOA46" s="1041"/>
      <c r="JOB46" s="1041"/>
      <c r="JOC46" s="1041"/>
      <c r="JOD46" s="1041"/>
      <c r="JOE46" s="1041"/>
      <c r="JOF46" s="1041"/>
      <c r="JOG46" s="1041"/>
      <c r="JOH46" s="1041"/>
      <c r="JOI46" s="1041"/>
      <c r="JOJ46" s="1041"/>
      <c r="JOK46" s="1041"/>
      <c r="JOL46" s="1041"/>
      <c r="JOM46" s="1041"/>
      <c r="JON46" s="1041"/>
      <c r="JOO46" s="1041"/>
      <c r="JOP46" s="1041"/>
      <c r="JOQ46" s="1041"/>
      <c r="JOR46" s="1041"/>
      <c r="JOS46" s="1041"/>
      <c r="JOT46" s="1041"/>
      <c r="JOU46" s="1041"/>
      <c r="JOV46" s="1041"/>
      <c r="JOW46" s="1041"/>
      <c r="JOX46" s="1041"/>
      <c r="JOY46" s="1041"/>
      <c r="JOZ46" s="1041"/>
      <c r="JPA46" s="1041"/>
      <c r="JPB46" s="1041"/>
      <c r="JPC46" s="1041"/>
      <c r="JPD46" s="1041"/>
      <c r="JPE46" s="1041"/>
      <c r="JPF46" s="1041"/>
      <c r="JPG46" s="1041"/>
      <c r="JPH46" s="1041"/>
      <c r="JPI46" s="1041"/>
      <c r="JPJ46" s="1041"/>
      <c r="JPK46" s="1041"/>
      <c r="JPL46" s="1041"/>
      <c r="JPM46" s="1041"/>
      <c r="JPN46" s="1041"/>
      <c r="JPO46" s="1041"/>
      <c r="JPP46" s="1041"/>
      <c r="JPQ46" s="1041"/>
      <c r="JPR46" s="1041"/>
      <c r="JPS46" s="1041"/>
      <c r="JPT46" s="1041"/>
      <c r="JPU46" s="1041"/>
      <c r="JPV46" s="1041"/>
      <c r="JPW46" s="1041"/>
      <c r="JPX46" s="1041"/>
      <c r="JPY46" s="1041"/>
      <c r="JPZ46" s="1041"/>
      <c r="JQA46" s="1041"/>
      <c r="JQB46" s="1041"/>
      <c r="JQC46" s="1041"/>
      <c r="JQD46" s="1041"/>
      <c r="JQE46" s="1041"/>
      <c r="JQF46" s="1041"/>
      <c r="JQG46" s="1041"/>
      <c r="JQH46" s="1041"/>
      <c r="JQI46" s="1041"/>
      <c r="JQJ46" s="1041"/>
      <c r="JQK46" s="1041"/>
      <c r="JQL46" s="1041"/>
      <c r="JQM46" s="1041"/>
      <c r="JQN46" s="1041"/>
      <c r="JQO46" s="1041"/>
      <c r="JQP46" s="1041"/>
      <c r="JQQ46" s="1041"/>
      <c r="JQR46" s="1041"/>
      <c r="JQS46" s="1041"/>
      <c r="JQT46" s="1041"/>
      <c r="JQU46" s="1041"/>
      <c r="JQV46" s="1041"/>
      <c r="JQW46" s="1041"/>
      <c r="JQX46" s="1041"/>
      <c r="JQY46" s="1041"/>
      <c r="JQZ46" s="1041"/>
      <c r="JRA46" s="1041"/>
      <c r="JRB46" s="1041"/>
      <c r="JRC46" s="1041"/>
      <c r="JRD46" s="1041"/>
      <c r="JRE46" s="1041"/>
      <c r="JRF46" s="1041"/>
      <c r="JRG46" s="1041"/>
      <c r="JRH46" s="1041"/>
      <c r="JRI46" s="1041"/>
      <c r="JRJ46" s="1041"/>
      <c r="JRK46" s="1041"/>
      <c r="JRL46" s="1041"/>
      <c r="JRM46" s="1041"/>
      <c r="JRN46" s="1041"/>
      <c r="JRO46" s="1041"/>
      <c r="JRP46" s="1041"/>
      <c r="JRQ46" s="1041"/>
      <c r="JRR46" s="1041"/>
      <c r="JRS46" s="1041"/>
      <c r="JRT46" s="1041"/>
      <c r="JRU46" s="1041"/>
      <c r="JRV46" s="1041"/>
      <c r="JRW46" s="1041"/>
      <c r="JRX46" s="1041"/>
      <c r="JRY46" s="1041"/>
      <c r="JRZ46" s="1041"/>
      <c r="JSA46" s="1041"/>
      <c r="JSB46" s="1041"/>
      <c r="JSC46" s="1041"/>
      <c r="JSD46" s="1041"/>
      <c r="JSE46" s="1041"/>
      <c r="JSF46" s="1041"/>
      <c r="JSG46" s="1041"/>
      <c r="JSH46" s="1041"/>
      <c r="JSI46" s="1041"/>
      <c r="JSJ46" s="1041"/>
      <c r="JSK46" s="1041"/>
      <c r="JSL46" s="1041"/>
      <c r="JSM46" s="1041"/>
      <c r="JSN46" s="1041"/>
      <c r="JSO46" s="1041"/>
      <c r="JSP46" s="1041"/>
      <c r="JSQ46" s="1041"/>
      <c r="JSR46" s="1041"/>
      <c r="JSS46" s="1041"/>
      <c r="JST46" s="1041"/>
      <c r="JSU46" s="1041"/>
      <c r="JSV46" s="1041"/>
      <c r="JSW46" s="1041"/>
      <c r="JSX46" s="1041"/>
      <c r="JSY46" s="1041"/>
      <c r="JSZ46" s="1041"/>
      <c r="JTA46" s="1041"/>
      <c r="JTB46" s="1041"/>
      <c r="JTC46" s="1041"/>
      <c r="JTD46" s="1041"/>
      <c r="JTE46" s="1041"/>
      <c r="JTF46" s="1041"/>
      <c r="JTG46" s="1041"/>
      <c r="JTH46" s="1041"/>
      <c r="JTI46" s="1041"/>
      <c r="JTJ46" s="1041"/>
      <c r="JTK46" s="1041"/>
      <c r="JTL46" s="1041"/>
      <c r="JTM46" s="1041"/>
      <c r="JTN46" s="1041"/>
      <c r="JTO46" s="1041"/>
      <c r="JTP46" s="1041"/>
      <c r="JTQ46" s="1041"/>
      <c r="JTR46" s="1041"/>
      <c r="JTS46" s="1041"/>
      <c r="JTT46" s="1041"/>
      <c r="JTU46" s="1041"/>
      <c r="JTV46" s="1041"/>
      <c r="JTW46" s="1041"/>
      <c r="JTX46" s="1041"/>
      <c r="JTY46" s="1041"/>
      <c r="JTZ46" s="1041"/>
      <c r="JUA46" s="1041"/>
      <c r="JUB46" s="1041"/>
      <c r="JUC46" s="1041"/>
      <c r="JUD46" s="1041"/>
      <c r="JUE46" s="1041"/>
      <c r="JUF46" s="1041"/>
      <c r="JUG46" s="1041"/>
      <c r="JUH46" s="1041"/>
      <c r="JUI46" s="1041"/>
      <c r="JUJ46" s="1041"/>
      <c r="JUK46" s="1041"/>
      <c r="JUL46" s="1041"/>
      <c r="JUM46" s="1041"/>
      <c r="JUN46" s="1041"/>
      <c r="JUO46" s="1041"/>
      <c r="JUP46" s="1041"/>
      <c r="JUQ46" s="1041"/>
      <c r="JUR46" s="1041"/>
      <c r="JUS46" s="1041"/>
      <c r="JUT46" s="1041"/>
      <c r="JUU46" s="1041"/>
      <c r="JUV46" s="1041"/>
      <c r="JUW46" s="1041"/>
      <c r="JUX46" s="1041"/>
      <c r="JUY46" s="1041"/>
      <c r="JUZ46" s="1041"/>
      <c r="JVA46" s="1041"/>
      <c r="JVB46" s="1041"/>
      <c r="JVC46" s="1041"/>
      <c r="JVD46" s="1041"/>
      <c r="JVE46" s="1041"/>
      <c r="JVF46" s="1041"/>
      <c r="JVG46" s="1041"/>
      <c r="JVH46" s="1041"/>
      <c r="JVI46" s="1041"/>
      <c r="JVJ46" s="1041"/>
      <c r="JVK46" s="1041"/>
      <c r="JVL46" s="1041"/>
      <c r="JVM46" s="1041"/>
      <c r="JVN46" s="1041"/>
      <c r="JVO46" s="1041"/>
      <c r="JVP46" s="1041"/>
      <c r="JVQ46" s="1041"/>
      <c r="JVR46" s="1041"/>
      <c r="JVS46" s="1041"/>
      <c r="JVT46" s="1041"/>
      <c r="JVU46" s="1041"/>
      <c r="JVV46" s="1041"/>
      <c r="JVW46" s="1041"/>
      <c r="JVX46" s="1041"/>
      <c r="JVY46" s="1041"/>
      <c r="JVZ46" s="1041"/>
      <c r="JWA46" s="1041"/>
      <c r="JWB46" s="1041"/>
      <c r="JWC46" s="1041"/>
      <c r="JWD46" s="1041"/>
      <c r="JWE46" s="1041"/>
      <c r="JWF46" s="1041"/>
      <c r="JWG46" s="1041"/>
      <c r="JWH46" s="1041"/>
      <c r="JWI46" s="1041"/>
      <c r="JWJ46" s="1041"/>
      <c r="JWK46" s="1041"/>
      <c r="JWL46" s="1041"/>
      <c r="JWM46" s="1041"/>
      <c r="JWN46" s="1041"/>
      <c r="JWO46" s="1041"/>
      <c r="JWP46" s="1041"/>
      <c r="JWQ46" s="1041"/>
      <c r="JWR46" s="1041"/>
      <c r="JWS46" s="1041"/>
      <c r="JWT46" s="1041"/>
      <c r="JWU46" s="1041"/>
      <c r="JWV46" s="1041"/>
      <c r="JWW46" s="1041"/>
      <c r="JWX46" s="1041"/>
      <c r="JWY46" s="1041"/>
      <c r="JWZ46" s="1041"/>
      <c r="JXA46" s="1041"/>
      <c r="JXB46" s="1041"/>
      <c r="JXC46" s="1041"/>
      <c r="JXD46" s="1041"/>
      <c r="JXE46" s="1041"/>
      <c r="JXF46" s="1041"/>
      <c r="JXG46" s="1041"/>
      <c r="JXH46" s="1041"/>
      <c r="JXI46" s="1041"/>
      <c r="JXJ46" s="1041"/>
      <c r="JXK46" s="1041"/>
      <c r="JXL46" s="1041"/>
      <c r="JXM46" s="1041"/>
      <c r="JXN46" s="1041"/>
      <c r="JXO46" s="1041"/>
      <c r="JXP46" s="1041"/>
      <c r="JXQ46" s="1041"/>
      <c r="JXR46" s="1041"/>
      <c r="JXS46" s="1041"/>
      <c r="JXT46" s="1041"/>
      <c r="JXU46" s="1041"/>
      <c r="JXV46" s="1041"/>
      <c r="JXW46" s="1041"/>
      <c r="JXX46" s="1041"/>
      <c r="JXY46" s="1041"/>
      <c r="JXZ46" s="1041"/>
      <c r="JYA46" s="1041"/>
      <c r="JYB46" s="1041"/>
      <c r="JYC46" s="1041"/>
      <c r="JYD46" s="1041"/>
      <c r="JYE46" s="1041"/>
      <c r="JYF46" s="1041"/>
      <c r="JYG46" s="1041"/>
      <c r="JYH46" s="1041"/>
      <c r="JYI46" s="1041"/>
      <c r="JYJ46" s="1041"/>
      <c r="JYK46" s="1041"/>
      <c r="JYL46" s="1041"/>
      <c r="JYM46" s="1041"/>
      <c r="JYN46" s="1041"/>
      <c r="JYO46" s="1041"/>
      <c r="JYP46" s="1041"/>
      <c r="JYQ46" s="1041"/>
      <c r="JYR46" s="1041"/>
      <c r="JYS46" s="1041"/>
      <c r="JYT46" s="1041"/>
      <c r="JYU46" s="1041"/>
      <c r="JYV46" s="1041"/>
      <c r="JYW46" s="1041"/>
      <c r="JYX46" s="1041"/>
      <c r="JYY46" s="1041"/>
      <c r="JYZ46" s="1041"/>
      <c r="JZA46" s="1041"/>
      <c r="JZB46" s="1041"/>
      <c r="JZC46" s="1041"/>
      <c r="JZD46" s="1041"/>
      <c r="JZE46" s="1041"/>
      <c r="JZF46" s="1041"/>
      <c r="JZG46" s="1041"/>
      <c r="JZH46" s="1041"/>
      <c r="JZI46" s="1041"/>
      <c r="JZJ46" s="1041"/>
      <c r="JZK46" s="1041"/>
      <c r="JZL46" s="1041"/>
      <c r="JZM46" s="1041"/>
      <c r="JZN46" s="1041"/>
      <c r="JZO46" s="1041"/>
      <c r="JZP46" s="1041"/>
      <c r="JZQ46" s="1041"/>
      <c r="JZR46" s="1041"/>
      <c r="JZS46" s="1041"/>
      <c r="JZT46" s="1041"/>
      <c r="JZU46" s="1041"/>
      <c r="JZV46" s="1041"/>
      <c r="JZW46" s="1041"/>
      <c r="JZX46" s="1041"/>
      <c r="JZY46" s="1041"/>
      <c r="JZZ46" s="1041"/>
      <c r="KAA46" s="1041"/>
      <c r="KAB46" s="1041"/>
      <c r="KAC46" s="1041"/>
      <c r="KAD46" s="1041"/>
      <c r="KAE46" s="1041"/>
      <c r="KAF46" s="1041"/>
      <c r="KAG46" s="1041"/>
      <c r="KAH46" s="1041"/>
      <c r="KAI46" s="1041"/>
      <c r="KAJ46" s="1041"/>
      <c r="KAK46" s="1041"/>
      <c r="KAL46" s="1041"/>
      <c r="KAM46" s="1041"/>
      <c r="KAN46" s="1041"/>
      <c r="KAO46" s="1041"/>
      <c r="KAP46" s="1041"/>
      <c r="KAQ46" s="1041"/>
      <c r="KAR46" s="1041"/>
      <c r="KAS46" s="1041"/>
      <c r="KAT46" s="1041"/>
      <c r="KAU46" s="1041"/>
      <c r="KAV46" s="1041"/>
      <c r="KAW46" s="1041"/>
      <c r="KAX46" s="1041"/>
      <c r="KAY46" s="1041"/>
      <c r="KAZ46" s="1041"/>
      <c r="KBA46" s="1041"/>
      <c r="KBB46" s="1041"/>
      <c r="KBC46" s="1041"/>
      <c r="KBD46" s="1041"/>
      <c r="KBE46" s="1041"/>
      <c r="KBF46" s="1041"/>
      <c r="KBG46" s="1041"/>
      <c r="KBH46" s="1041"/>
      <c r="KBI46" s="1041"/>
      <c r="KBJ46" s="1041"/>
      <c r="KBK46" s="1041"/>
      <c r="KBL46" s="1041"/>
      <c r="KBM46" s="1041"/>
      <c r="KBN46" s="1041"/>
      <c r="KBO46" s="1041"/>
      <c r="KBP46" s="1041"/>
      <c r="KBQ46" s="1041"/>
      <c r="KBR46" s="1041"/>
      <c r="KBS46" s="1041"/>
      <c r="KBT46" s="1041"/>
      <c r="KBU46" s="1041"/>
      <c r="KBV46" s="1041"/>
      <c r="KBW46" s="1041"/>
      <c r="KBX46" s="1041"/>
      <c r="KBY46" s="1041"/>
      <c r="KBZ46" s="1041"/>
      <c r="KCA46" s="1041"/>
      <c r="KCB46" s="1041"/>
      <c r="KCC46" s="1041"/>
      <c r="KCD46" s="1041"/>
      <c r="KCE46" s="1041"/>
      <c r="KCF46" s="1041"/>
      <c r="KCG46" s="1041"/>
      <c r="KCH46" s="1041"/>
      <c r="KCI46" s="1041"/>
      <c r="KCJ46" s="1041"/>
      <c r="KCK46" s="1041"/>
      <c r="KCL46" s="1041"/>
      <c r="KCM46" s="1041"/>
      <c r="KCN46" s="1041"/>
      <c r="KCO46" s="1041"/>
      <c r="KCP46" s="1041"/>
      <c r="KCQ46" s="1041"/>
      <c r="KCR46" s="1041"/>
      <c r="KCS46" s="1041"/>
      <c r="KCT46" s="1041"/>
      <c r="KCU46" s="1041"/>
      <c r="KCV46" s="1041"/>
      <c r="KCW46" s="1041"/>
      <c r="KCX46" s="1041"/>
      <c r="KCY46" s="1041"/>
      <c r="KCZ46" s="1041"/>
      <c r="KDA46" s="1041"/>
      <c r="KDB46" s="1041"/>
      <c r="KDC46" s="1041"/>
      <c r="KDD46" s="1041"/>
      <c r="KDE46" s="1041"/>
      <c r="KDF46" s="1041"/>
      <c r="KDG46" s="1041"/>
      <c r="KDH46" s="1041"/>
      <c r="KDI46" s="1041"/>
      <c r="KDJ46" s="1041"/>
      <c r="KDK46" s="1041"/>
      <c r="KDL46" s="1041"/>
      <c r="KDM46" s="1041"/>
      <c r="KDN46" s="1041"/>
      <c r="KDO46" s="1041"/>
      <c r="KDP46" s="1041"/>
      <c r="KDQ46" s="1041"/>
      <c r="KDR46" s="1041"/>
      <c r="KDS46" s="1041"/>
      <c r="KDT46" s="1041"/>
      <c r="KDU46" s="1041"/>
      <c r="KDV46" s="1041"/>
      <c r="KDW46" s="1041"/>
      <c r="KDX46" s="1041"/>
      <c r="KDY46" s="1041"/>
      <c r="KDZ46" s="1041"/>
      <c r="KEA46" s="1041"/>
      <c r="KEB46" s="1041"/>
      <c r="KEC46" s="1041"/>
      <c r="KED46" s="1041"/>
      <c r="KEE46" s="1041"/>
      <c r="KEF46" s="1041"/>
      <c r="KEG46" s="1041"/>
      <c r="KEH46" s="1041"/>
      <c r="KEI46" s="1041"/>
      <c r="KEJ46" s="1041"/>
      <c r="KEK46" s="1041"/>
      <c r="KEL46" s="1041"/>
      <c r="KEM46" s="1041"/>
      <c r="KEN46" s="1041"/>
      <c r="KEO46" s="1041"/>
      <c r="KEP46" s="1041"/>
      <c r="KEQ46" s="1041"/>
      <c r="KER46" s="1041"/>
      <c r="KES46" s="1041"/>
      <c r="KET46" s="1041"/>
      <c r="KEU46" s="1041"/>
      <c r="KEV46" s="1041"/>
      <c r="KEW46" s="1041"/>
      <c r="KEX46" s="1041"/>
      <c r="KEY46" s="1041"/>
      <c r="KEZ46" s="1041"/>
      <c r="KFA46" s="1041"/>
      <c r="KFB46" s="1041"/>
      <c r="KFC46" s="1041"/>
      <c r="KFD46" s="1041"/>
      <c r="KFE46" s="1041"/>
      <c r="KFF46" s="1041"/>
      <c r="KFG46" s="1041"/>
      <c r="KFH46" s="1041"/>
      <c r="KFI46" s="1041"/>
      <c r="KFJ46" s="1041"/>
      <c r="KFK46" s="1041"/>
      <c r="KFL46" s="1041"/>
      <c r="KFM46" s="1041"/>
      <c r="KFN46" s="1041"/>
      <c r="KFO46" s="1041"/>
      <c r="KFP46" s="1041"/>
      <c r="KFQ46" s="1041"/>
      <c r="KFR46" s="1041"/>
      <c r="KFS46" s="1041"/>
      <c r="KFT46" s="1041"/>
      <c r="KFU46" s="1041"/>
      <c r="KFV46" s="1041"/>
      <c r="KFW46" s="1041"/>
      <c r="KFX46" s="1041"/>
      <c r="KFY46" s="1041"/>
      <c r="KFZ46" s="1041"/>
      <c r="KGA46" s="1041"/>
      <c r="KGB46" s="1041"/>
      <c r="KGC46" s="1041"/>
      <c r="KGD46" s="1041"/>
      <c r="KGE46" s="1041"/>
      <c r="KGF46" s="1041"/>
      <c r="KGG46" s="1041"/>
      <c r="KGH46" s="1041"/>
      <c r="KGI46" s="1041"/>
      <c r="KGJ46" s="1041"/>
      <c r="KGK46" s="1041"/>
      <c r="KGL46" s="1041"/>
      <c r="KGM46" s="1041"/>
      <c r="KGN46" s="1041"/>
      <c r="KGO46" s="1041"/>
      <c r="KGP46" s="1041"/>
      <c r="KGQ46" s="1041"/>
      <c r="KGR46" s="1041"/>
      <c r="KGS46" s="1041"/>
      <c r="KGT46" s="1041"/>
      <c r="KGU46" s="1041"/>
      <c r="KGV46" s="1041"/>
      <c r="KGW46" s="1041"/>
      <c r="KGX46" s="1041"/>
      <c r="KGY46" s="1041"/>
      <c r="KGZ46" s="1041"/>
      <c r="KHA46" s="1041"/>
      <c r="KHB46" s="1041"/>
      <c r="KHC46" s="1041"/>
      <c r="KHD46" s="1041"/>
      <c r="KHE46" s="1041"/>
      <c r="KHF46" s="1041"/>
      <c r="KHG46" s="1041"/>
      <c r="KHH46" s="1041"/>
      <c r="KHI46" s="1041"/>
      <c r="KHJ46" s="1041"/>
      <c r="KHK46" s="1041"/>
      <c r="KHL46" s="1041"/>
      <c r="KHM46" s="1041"/>
      <c r="KHN46" s="1041"/>
      <c r="KHO46" s="1041"/>
      <c r="KHP46" s="1041"/>
      <c r="KHQ46" s="1041"/>
      <c r="KHR46" s="1041"/>
      <c r="KHS46" s="1041"/>
      <c r="KHT46" s="1041"/>
      <c r="KHU46" s="1041"/>
      <c r="KHV46" s="1041"/>
      <c r="KHW46" s="1041"/>
      <c r="KHX46" s="1041"/>
      <c r="KHY46" s="1041"/>
      <c r="KHZ46" s="1041"/>
      <c r="KIA46" s="1041"/>
      <c r="KIB46" s="1041"/>
      <c r="KIC46" s="1041"/>
      <c r="KID46" s="1041"/>
      <c r="KIE46" s="1041"/>
      <c r="KIF46" s="1041"/>
      <c r="KIG46" s="1041"/>
      <c r="KIH46" s="1041"/>
      <c r="KII46" s="1041"/>
      <c r="KIJ46" s="1041"/>
      <c r="KIK46" s="1041"/>
      <c r="KIL46" s="1041"/>
      <c r="KIM46" s="1041"/>
      <c r="KIN46" s="1041"/>
      <c r="KIO46" s="1041"/>
      <c r="KIP46" s="1041"/>
      <c r="KIQ46" s="1041"/>
      <c r="KIR46" s="1041"/>
      <c r="KIS46" s="1041"/>
      <c r="KIT46" s="1041"/>
      <c r="KIU46" s="1041"/>
      <c r="KIV46" s="1041"/>
      <c r="KIW46" s="1041"/>
      <c r="KIX46" s="1041"/>
      <c r="KIY46" s="1041"/>
      <c r="KIZ46" s="1041"/>
      <c r="KJA46" s="1041"/>
      <c r="KJB46" s="1041"/>
      <c r="KJC46" s="1041"/>
      <c r="KJD46" s="1041"/>
      <c r="KJE46" s="1041"/>
      <c r="KJF46" s="1041"/>
      <c r="KJG46" s="1041"/>
      <c r="KJH46" s="1041"/>
      <c r="KJI46" s="1041"/>
      <c r="KJJ46" s="1041"/>
      <c r="KJK46" s="1041"/>
      <c r="KJL46" s="1041"/>
      <c r="KJM46" s="1041"/>
      <c r="KJN46" s="1041"/>
      <c r="KJO46" s="1041"/>
      <c r="KJP46" s="1041"/>
      <c r="KJQ46" s="1041"/>
      <c r="KJR46" s="1041"/>
      <c r="KJS46" s="1041"/>
      <c r="KJT46" s="1041"/>
      <c r="KJU46" s="1041"/>
      <c r="KJV46" s="1041"/>
      <c r="KJW46" s="1041"/>
      <c r="KJX46" s="1041"/>
      <c r="KJY46" s="1041"/>
      <c r="KJZ46" s="1041"/>
      <c r="KKA46" s="1041"/>
      <c r="KKB46" s="1041"/>
      <c r="KKC46" s="1041"/>
      <c r="KKD46" s="1041"/>
      <c r="KKE46" s="1041"/>
      <c r="KKF46" s="1041"/>
      <c r="KKG46" s="1041"/>
      <c r="KKH46" s="1041"/>
      <c r="KKI46" s="1041"/>
      <c r="KKJ46" s="1041"/>
      <c r="KKK46" s="1041"/>
      <c r="KKL46" s="1041"/>
      <c r="KKM46" s="1041"/>
      <c r="KKN46" s="1041"/>
      <c r="KKO46" s="1041"/>
      <c r="KKP46" s="1041"/>
      <c r="KKQ46" s="1041"/>
      <c r="KKR46" s="1041"/>
      <c r="KKS46" s="1041"/>
      <c r="KKT46" s="1041"/>
      <c r="KKU46" s="1041"/>
      <c r="KKV46" s="1041"/>
      <c r="KKW46" s="1041"/>
      <c r="KKX46" s="1041"/>
      <c r="KKY46" s="1041"/>
      <c r="KKZ46" s="1041"/>
      <c r="KLA46" s="1041"/>
      <c r="KLB46" s="1041"/>
      <c r="KLC46" s="1041"/>
      <c r="KLD46" s="1041"/>
      <c r="KLE46" s="1041"/>
      <c r="KLF46" s="1041"/>
      <c r="KLG46" s="1041"/>
      <c r="KLH46" s="1041"/>
      <c r="KLI46" s="1041"/>
      <c r="KLJ46" s="1041"/>
      <c r="KLK46" s="1041"/>
      <c r="KLL46" s="1041"/>
      <c r="KLM46" s="1041"/>
      <c r="KLN46" s="1041"/>
      <c r="KLO46" s="1041"/>
      <c r="KLP46" s="1041"/>
      <c r="KLQ46" s="1041"/>
      <c r="KLR46" s="1041"/>
      <c r="KLS46" s="1041"/>
      <c r="KLT46" s="1041"/>
      <c r="KLU46" s="1041"/>
      <c r="KLV46" s="1041"/>
      <c r="KLW46" s="1041"/>
      <c r="KLX46" s="1041"/>
      <c r="KLY46" s="1041"/>
      <c r="KLZ46" s="1041"/>
      <c r="KMA46" s="1041"/>
      <c r="KMB46" s="1041"/>
      <c r="KMC46" s="1041"/>
      <c r="KMD46" s="1041"/>
      <c r="KME46" s="1041"/>
      <c r="KMF46" s="1041"/>
      <c r="KMG46" s="1041"/>
      <c r="KMH46" s="1041"/>
      <c r="KMI46" s="1041"/>
      <c r="KMJ46" s="1041"/>
      <c r="KMK46" s="1041"/>
      <c r="KML46" s="1041"/>
      <c r="KMM46" s="1041"/>
      <c r="KMN46" s="1041"/>
      <c r="KMO46" s="1041"/>
      <c r="KMP46" s="1041"/>
      <c r="KMQ46" s="1041"/>
      <c r="KMR46" s="1041"/>
      <c r="KMS46" s="1041"/>
      <c r="KMT46" s="1041"/>
      <c r="KMU46" s="1041"/>
      <c r="KMV46" s="1041"/>
      <c r="KMW46" s="1041"/>
      <c r="KMX46" s="1041"/>
      <c r="KMY46" s="1041"/>
      <c r="KMZ46" s="1041"/>
      <c r="KNA46" s="1041"/>
      <c r="KNB46" s="1041"/>
      <c r="KNC46" s="1041"/>
      <c r="KND46" s="1041"/>
      <c r="KNE46" s="1041"/>
      <c r="KNF46" s="1041"/>
      <c r="KNG46" s="1041"/>
      <c r="KNH46" s="1041"/>
      <c r="KNI46" s="1041"/>
      <c r="KNJ46" s="1041"/>
      <c r="KNK46" s="1041"/>
      <c r="KNL46" s="1041"/>
      <c r="KNM46" s="1041"/>
      <c r="KNN46" s="1041"/>
      <c r="KNO46" s="1041"/>
      <c r="KNP46" s="1041"/>
      <c r="KNQ46" s="1041"/>
      <c r="KNR46" s="1041"/>
      <c r="KNS46" s="1041"/>
      <c r="KNT46" s="1041"/>
      <c r="KNU46" s="1041"/>
      <c r="KNV46" s="1041"/>
      <c r="KNW46" s="1041"/>
      <c r="KNX46" s="1041"/>
      <c r="KNY46" s="1041"/>
      <c r="KNZ46" s="1041"/>
      <c r="KOA46" s="1041"/>
      <c r="KOB46" s="1041"/>
      <c r="KOC46" s="1041"/>
      <c r="KOD46" s="1041"/>
      <c r="KOE46" s="1041"/>
      <c r="KOF46" s="1041"/>
      <c r="KOG46" s="1041"/>
      <c r="KOH46" s="1041"/>
      <c r="KOI46" s="1041"/>
      <c r="KOJ46" s="1041"/>
      <c r="KOK46" s="1041"/>
      <c r="KOL46" s="1041"/>
      <c r="KOM46" s="1041"/>
      <c r="KON46" s="1041"/>
      <c r="KOO46" s="1041"/>
      <c r="KOP46" s="1041"/>
      <c r="KOQ46" s="1041"/>
      <c r="KOR46" s="1041"/>
      <c r="KOS46" s="1041"/>
      <c r="KOT46" s="1041"/>
      <c r="KOU46" s="1041"/>
      <c r="KOV46" s="1041"/>
      <c r="KOW46" s="1041"/>
      <c r="KOX46" s="1041"/>
      <c r="KOY46" s="1041"/>
      <c r="KOZ46" s="1041"/>
      <c r="KPA46" s="1041"/>
      <c r="KPB46" s="1041"/>
      <c r="KPC46" s="1041"/>
      <c r="KPD46" s="1041"/>
      <c r="KPE46" s="1041"/>
      <c r="KPF46" s="1041"/>
      <c r="KPG46" s="1041"/>
      <c r="KPH46" s="1041"/>
      <c r="KPI46" s="1041"/>
      <c r="KPJ46" s="1041"/>
      <c r="KPK46" s="1041"/>
      <c r="KPL46" s="1041"/>
      <c r="KPM46" s="1041"/>
      <c r="KPN46" s="1041"/>
      <c r="KPO46" s="1041"/>
      <c r="KPP46" s="1041"/>
      <c r="KPQ46" s="1041"/>
      <c r="KPR46" s="1041"/>
      <c r="KPS46" s="1041"/>
      <c r="KPT46" s="1041"/>
      <c r="KPU46" s="1041"/>
      <c r="KPV46" s="1041"/>
      <c r="KPW46" s="1041"/>
      <c r="KPX46" s="1041"/>
      <c r="KPY46" s="1041"/>
      <c r="KPZ46" s="1041"/>
      <c r="KQA46" s="1041"/>
      <c r="KQB46" s="1041"/>
      <c r="KQC46" s="1041"/>
      <c r="KQD46" s="1041"/>
      <c r="KQE46" s="1041"/>
      <c r="KQF46" s="1041"/>
      <c r="KQG46" s="1041"/>
      <c r="KQH46" s="1041"/>
      <c r="KQI46" s="1041"/>
      <c r="KQJ46" s="1041"/>
      <c r="KQK46" s="1041"/>
      <c r="KQL46" s="1041"/>
      <c r="KQM46" s="1041"/>
      <c r="KQN46" s="1041"/>
      <c r="KQO46" s="1041"/>
      <c r="KQP46" s="1041"/>
      <c r="KQQ46" s="1041"/>
      <c r="KQR46" s="1041"/>
      <c r="KQS46" s="1041"/>
      <c r="KQT46" s="1041"/>
      <c r="KQU46" s="1041"/>
      <c r="KQV46" s="1041"/>
      <c r="KQW46" s="1041"/>
      <c r="KQX46" s="1041"/>
      <c r="KQY46" s="1041"/>
      <c r="KQZ46" s="1041"/>
      <c r="KRA46" s="1041"/>
      <c r="KRB46" s="1041"/>
      <c r="KRC46" s="1041"/>
      <c r="KRD46" s="1041"/>
      <c r="KRE46" s="1041"/>
      <c r="KRF46" s="1041"/>
      <c r="KRG46" s="1041"/>
      <c r="KRH46" s="1041"/>
      <c r="KRI46" s="1041"/>
      <c r="KRJ46" s="1041"/>
      <c r="KRK46" s="1041"/>
      <c r="KRL46" s="1041"/>
      <c r="KRM46" s="1041"/>
      <c r="KRN46" s="1041"/>
      <c r="KRO46" s="1041"/>
      <c r="KRP46" s="1041"/>
      <c r="KRQ46" s="1041"/>
      <c r="KRR46" s="1041"/>
      <c r="KRS46" s="1041"/>
      <c r="KRT46" s="1041"/>
      <c r="KRU46" s="1041"/>
      <c r="KRV46" s="1041"/>
      <c r="KRW46" s="1041"/>
      <c r="KRX46" s="1041"/>
      <c r="KRY46" s="1041"/>
      <c r="KRZ46" s="1041"/>
      <c r="KSA46" s="1041"/>
      <c r="KSB46" s="1041"/>
      <c r="KSC46" s="1041"/>
      <c r="KSD46" s="1041"/>
      <c r="KSE46" s="1041"/>
      <c r="KSF46" s="1041"/>
      <c r="KSG46" s="1041"/>
      <c r="KSH46" s="1041"/>
      <c r="KSI46" s="1041"/>
      <c r="KSJ46" s="1041"/>
      <c r="KSK46" s="1041"/>
      <c r="KSL46" s="1041"/>
      <c r="KSM46" s="1041"/>
      <c r="KSN46" s="1041"/>
      <c r="KSO46" s="1041"/>
      <c r="KSP46" s="1041"/>
      <c r="KSQ46" s="1041"/>
      <c r="KSR46" s="1041"/>
      <c r="KSS46" s="1041"/>
      <c r="KST46" s="1041"/>
      <c r="KSU46" s="1041"/>
      <c r="KSV46" s="1041"/>
      <c r="KSW46" s="1041"/>
      <c r="KSX46" s="1041"/>
      <c r="KSY46" s="1041"/>
      <c r="KSZ46" s="1041"/>
      <c r="KTA46" s="1041"/>
      <c r="KTB46" s="1041"/>
      <c r="KTC46" s="1041"/>
      <c r="KTD46" s="1041"/>
      <c r="KTE46" s="1041"/>
      <c r="KTF46" s="1041"/>
      <c r="KTG46" s="1041"/>
      <c r="KTH46" s="1041"/>
      <c r="KTI46" s="1041"/>
      <c r="KTJ46" s="1041"/>
      <c r="KTK46" s="1041"/>
      <c r="KTL46" s="1041"/>
      <c r="KTM46" s="1041"/>
      <c r="KTN46" s="1041"/>
      <c r="KTO46" s="1041"/>
      <c r="KTP46" s="1041"/>
      <c r="KTQ46" s="1041"/>
      <c r="KTR46" s="1041"/>
      <c r="KTS46" s="1041"/>
      <c r="KTT46" s="1041"/>
      <c r="KTU46" s="1041"/>
      <c r="KTV46" s="1041"/>
      <c r="KTW46" s="1041"/>
      <c r="KTX46" s="1041"/>
      <c r="KTY46" s="1041"/>
      <c r="KTZ46" s="1041"/>
      <c r="KUA46" s="1041"/>
      <c r="KUB46" s="1041"/>
      <c r="KUC46" s="1041"/>
      <c r="KUD46" s="1041"/>
      <c r="KUE46" s="1041"/>
      <c r="KUF46" s="1041"/>
      <c r="KUG46" s="1041"/>
      <c r="KUH46" s="1041"/>
      <c r="KUI46" s="1041"/>
      <c r="KUJ46" s="1041"/>
      <c r="KUK46" s="1041"/>
      <c r="KUL46" s="1041"/>
      <c r="KUM46" s="1041"/>
      <c r="KUN46" s="1041"/>
      <c r="KUO46" s="1041"/>
      <c r="KUP46" s="1041"/>
      <c r="KUQ46" s="1041"/>
      <c r="KUR46" s="1041"/>
      <c r="KUS46" s="1041"/>
      <c r="KUT46" s="1041"/>
      <c r="KUU46" s="1041"/>
      <c r="KUV46" s="1041"/>
      <c r="KUW46" s="1041"/>
      <c r="KUX46" s="1041"/>
      <c r="KUY46" s="1041"/>
      <c r="KUZ46" s="1041"/>
      <c r="KVA46" s="1041"/>
      <c r="KVB46" s="1041"/>
      <c r="KVC46" s="1041"/>
      <c r="KVD46" s="1041"/>
      <c r="KVE46" s="1041"/>
      <c r="KVF46" s="1041"/>
      <c r="KVG46" s="1041"/>
      <c r="KVH46" s="1041"/>
      <c r="KVI46" s="1041"/>
      <c r="KVJ46" s="1041"/>
      <c r="KVK46" s="1041"/>
      <c r="KVL46" s="1041"/>
      <c r="KVM46" s="1041"/>
      <c r="KVN46" s="1041"/>
      <c r="KVO46" s="1041"/>
      <c r="KVP46" s="1041"/>
      <c r="KVQ46" s="1041"/>
      <c r="KVR46" s="1041"/>
      <c r="KVS46" s="1041"/>
      <c r="KVT46" s="1041"/>
      <c r="KVU46" s="1041"/>
      <c r="KVV46" s="1041"/>
      <c r="KVW46" s="1041"/>
      <c r="KVX46" s="1041"/>
      <c r="KVY46" s="1041"/>
      <c r="KVZ46" s="1041"/>
      <c r="KWA46" s="1041"/>
      <c r="KWB46" s="1041"/>
      <c r="KWC46" s="1041"/>
      <c r="KWD46" s="1041"/>
      <c r="KWE46" s="1041"/>
      <c r="KWF46" s="1041"/>
      <c r="KWG46" s="1041"/>
      <c r="KWH46" s="1041"/>
      <c r="KWI46" s="1041"/>
      <c r="KWJ46" s="1041"/>
      <c r="KWK46" s="1041"/>
      <c r="KWL46" s="1041"/>
      <c r="KWM46" s="1041"/>
      <c r="KWN46" s="1041"/>
      <c r="KWO46" s="1041"/>
      <c r="KWP46" s="1041"/>
      <c r="KWQ46" s="1041"/>
      <c r="KWR46" s="1041"/>
      <c r="KWS46" s="1041"/>
      <c r="KWT46" s="1041"/>
      <c r="KWU46" s="1041"/>
      <c r="KWV46" s="1041"/>
      <c r="KWW46" s="1041"/>
      <c r="KWX46" s="1041"/>
      <c r="KWY46" s="1041"/>
      <c r="KWZ46" s="1041"/>
      <c r="KXA46" s="1041"/>
      <c r="KXB46" s="1041"/>
      <c r="KXC46" s="1041"/>
      <c r="KXD46" s="1041"/>
      <c r="KXE46" s="1041"/>
      <c r="KXF46" s="1041"/>
      <c r="KXG46" s="1041"/>
      <c r="KXH46" s="1041"/>
      <c r="KXI46" s="1041"/>
      <c r="KXJ46" s="1041"/>
      <c r="KXK46" s="1041"/>
      <c r="KXL46" s="1041"/>
      <c r="KXM46" s="1041"/>
      <c r="KXN46" s="1041"/>
      <c r="KXO46" s="1041"/>
      <c r="KXP46" s="1041"/>
      <c r="KXQ46" s="1041"/>
      <c r="KXR46" s="1041"/>
      <c r="KXS46" s="1041"/>
      <c r="KXT46" s="1041"/>
      <c r="KXU46" s="1041"/>
      <c r="KXV46" s="1041"/>
      <c r="KXW46" s="1041"/>
      <c r="KXX46" s="1041"/>
      <c r="KXY46" s="1041"/>
      <c r="KXZ46" s="1041"/>
      <c r="KYA46" s="1041"/>
      <c r="KYB46" s="1041"/>
      <c r="KYC46" s="1041"/>
      <c r="KYD46" s="1041"/>
      <c r="KYE46" s="1041"/>
      <c r="KYF46" s="1041"/>
      <c r="KYG46" s="1041"/>
      <c r="KYH46" s="1041"/>
      <c r="KYI46" s="1041"/>
      <c r="KYJ46" s="1041"/>
      <c r="KYK46" s="1041"/>
      <c r="KYL46" s="1041"/>
      <c r="KYM46" s="1041"/>
      <c r="KYN46" s="1041"/>
      <c r="KYO46" s="1041"/>
      <c r="KYP46" s="1041"/>
      <c r="KYQ46" s="1041"/>
      <c r="KYR46" s="1041"/>
      <c r="KYS46" s="1041"/>
      <c r="KYT46" s="1041"/>
      <c r="KYU46" s="1041"/>
      <c r="KYV46" s="1041"/>
      <c r="KYW46" s="1041"/>
      <c r="KYX46" s="1041"/>
      <c r="KYY46" s="1041"/>
      <c r="KYZ46" s="1041"/>
      <c r="KZA46" s="1041"/>
      <c r="KZB46" s="1041"/>
      <c r="KZC46" s="1041"/>
      <c r="KZD46" s="1041"/>
      <c r="KZE46" s="1041"/>
      <c r="KZF46" s="1041"/>
      <c r="KZG46" s="1041"/>
      <c r="KZH46" s="1041"/>
      <c r="KZI46" s="1041"/>
      <c r="KZJ46" s="1041"/>
      <c r="KZK46" s="1041"/>
      <c r="KZL46" s="1041"/>
      <c r="KZM46" s="1041"/>
      <c r="KZN46" s="1041"/>
      <c r="KZO46" s="1041"/>
      <c r="KZP46" s="1041"/>
      <c r="KZQ46" s="1041"/>
      <c r="KZR46" s="1041"/>
      <c r="KZS46" s="1041"/>
      <c r="KZT46" s="1041"/>
      <c r="KZU46" s="1041"/>
      <c r="KZV46" s="1041"/>
      <c r="KZW46" s="1041"/>
      <c r="KZX46" s="1041"/>
      <c r="KZY46" s="1041"/>
      <c r="KZZ46" s="1041"/>
      <c r="LAA46" s="1041"/>
      <c r="LAB46" s="1041"/>
      <c r="LAC46" s="1041"/>
      <c r="LAD46" s="1041"/>
      <c r="LAE46" s="1041"/>
      <c r="LAF46" s="1041"/>
      <c r="LAG46" s="1041"/>
      <c r="LAH46" s="1041"/>
      <c r="LAI46" s="1041"/>
      <c r="LAJ46" s="1041"/>
      <c r="LAK46" s="1041"/>
      <c r="LAL46" s="1041"/>
      <c r="LAM46" s="1041"/>
      <c r="LAN46" s="1041"/>
      <c r="LAO46" s="1041"/>
      <c r="LAP46" s="1041"/>
      <c r="LAQ46" s="1041"/>
      <c r="LAR46" s="1041"/>
      <c r="LAS46" s="1041"/>
      <c r="LAT46" s="1041"/>
      <c r="LAU46" s="1041"/>
      <c r="LAV46" s="1041"/>
      <c r="LAW46" s="1041"/>
      <c r="LAX46" s="1041"/>
      <c r="LAY46" s="1041"/>
      <c r="LAZ46" s="1041"/>
      <c r="LBA46" s="1041"/>
      <c r="LBB46" s="1041"/>
      <c r="LBC46" s="1041"/>
      <c r="LBD46" s="1041"/>
      <c r="LBE46" s="1041"/>
      <c r="LBF46" s="1041"/>
      <c r="LBG46" s="1041"/>
      <c r="LBH46" s="1041"/>
      <c r="LBI46" s="1041"/>
      <c r="LBJ46" s="1041"/>
      <c r="LBK46" s="1041"/>
      <c r="LBL46" s="1041"/>
      <c r="LBM46" s="1041"/>
      <c r="LBN46" s="1041"/>
      <c r="LBO46" s="1041"/>
      <c r="LBP46" s="1041"/>
      <c r="LBQ46" s="1041"/>
      <c r="LBR46" s="1041"/>
      <c r="LBS46" s="1041"/>
      <c r="LBT46" s="1041"/>
      <c r="LBU46" s="1041"/>
      <c r="LBV46" s="1041"/>
      <c r="LBW46" s="1041"/>
      <c r="LBX46" s="1041"/>
      <c r="LBY46" s="1041"/>
      <c r="LBZ46" s="1041"/>
      <c r="LCA46" s="1041"/>
      <c r="LCB46" s="1041"/>
      <c r="LCC46" s="1041"/>
      <c r="LCD46" s="1041"/>
      <c r="LCE46" s="1041"/>
      <c r="LCF46" s="1041"/>
      <c r="LCG46" s="1041"/>
      <c r="LCH46" s="1041"/>
      <c r="LCI46" s="1041"/>
      <c r="LCJ46" s="1041"/>
      <c r="LCK46" s="1041"/>
      <c r="LCL46" s="1041"/>
      <c r="LCM46" s="1041"/>
      <c r="LCN46" s="1041"/>
      <c r="LCO46" s="1041"/>
      <c r="LCP46" s="1041"/>
      <c r="LCQ46" s="1041"/>
      <c r="LCR46" s="1041"/>
      <c r="LCS46" s="1041"/>
      <c r="LCT46" s="1041"/>
      <c r="LCU46" s="1041"/>
      <c r="LCV46" s="1041"/>
      <c r="LCW46" s="1041"/>
      <c r="LCX46" s="1041"/>
      <c r="LCY46" s="1041"/>
      <c r="LCZ46" s="1041"/>
      <c r="LDA46" s="1041"/>
      <c r="LDB46" s="1041"/>
      <c r="LDC46" s="1041"/>
      <c r="LDD46" s="1041"/>
      <c r="LDE46" s="1041"/>
      <c r="LDF46" s="1041"/>
      <c r="LDG46" s="1041"/>
      <c r="LDH46" s="1041"/>
      <c r="LDI46" s="1041"/>
      <c r="LDJ46" s="1041"/>
      <c r="LDK46" s="1041"/>
      <c r="LDL46" s="1041"/>
      <c r="LDM46" s="1041"/>
      <c r="LDN46" s="1041"/>
      <c r="LDO46" s="1041"/>
      <c r="LDP46" s="1041"/>
      <c r="LDQ46" s="1041"/>
      <c r="LDR46" s="1041"/>
      <c r="LDS46" s="1041"/>
      <c r="LDT46" s="1041"/>
      <c r="LDU46" s="1041"/>
      <c r="LDV46" s="1041"/>
      <c r="LDW46" s="1041"/>
      <c r="LDX46" s="1041"/>
      <c r="LDY46" s="1041"/>
      <c r="LDZ46" s="1041"/>
      <c r="LEA46" s="1041"/>
      <c r="LEB46" s="1041"/>
      <c r="LEC46" s="1041"/>
      <c r="LED46" s="1041"/>
      <c r="LEE46" s="1041"/>
      <c r="LEF46" s="1041"/>
      <c r="LEG46" s="1041"/>
      <c r="LEH46" s="1041"/>
      <c r="LEI46" s="1041"/>
      <c r="LEJ46" s="1041"/>
      <c r="LEK46" s="1041"/>
      <c r="LEL46" s="1041"/>
      <c r="LEM46" s="1041"/>
      <c r="LEN46" s="1041"/>
      <c r="LEO46" s="1041"/>
      <c r="LEP46" s="1041"/>
      <c r="LEQ46" s="1041"/>
      <c r="LER46" s="1041"/>
      <c r="LES46" s="1041"/>
      <c r="LET46" s="1041"/>
      <c r="LEU46" s="1041"/>
      <c r="LEV46" s="1041"/>
      <c r="LEW46" s="1041"/>
      <c r="LEX46" s="1041"/>
      <c r="LEY46" s="1041"/>
      <c r="LEZ46" s="1041"/>
      <c r="LFA46" s="1041"/>
      <c r="LFB46" s="1041"/>
      <c r="LFC46" s="1041"/>
      <c r="LFD46" s="1041"/>
      <c r="LFE46" s="1041"/>
      <c r="LFF46" s="1041"/>
      <c r="LFG46" s="1041"/>
      <c r="LFH46" s="1041"/>
      <c r="LFI46" s="1041"/>
      <c r="LFJ46" s="1041"/>
      <c r="LFK46" s="1041"/>
      <c r="LFL46" s="1041"/>
      <c r="LFM46" s="1041"/>
      <c r="LFN46" s="1041"/>
      <c r="LFO46" s="1041"/>
      <c r="LFP46" s="1041"/>
      <c r="LFQ46" s="1041"/>
      <c r="LFR46" s="1041"/>
      <c r="LFS46" s="1041"/>
      <c r="LFT46" s="1041"/>
      <c r="LFU46" s="1041"/>
      <c r="LFV46" s="1041"/>
      <c r="LFW46" s="1041"/>
      <c r="LFX46" s="1041"/>
      <c r="LFY46" s="1041"/>
      <c r="LFZ46" s="1041"/>
      <c r="LGA46" s="1041"/>
      <c r="LGB46" s="1041"/>
      <c r="LGC46" s="1041"/>
      <c r="LGD46" s="1041"/>
      <c r="LGE46" s="1041"/>
      <c r="LGF46" s="1041"/>
      <c r="LGG46" s="1041"/>
      <c r="LGH46" s="1041"/>
      <c r="LGI46" s="1041"/>
      <c r="LGJ46" s="1041"/>
      <c r="LGK46" s="1041"/>
      <c r="LGL46" s="1041"/>
      <c r="LGM46" s="1041"/>
      <c r="LGN46" s="1041"/>
      <c r="LGO46" s="1041"/>
      <c r="LGP46" s="1041"/>
      <c r="LGQ46" s="1041"/>
      <c r="LGR46" s="1041"/>
      <c r="LGS46" s="1041"/>
      <c r="LGT46" s="1041"/>
      <c r="LGU46" s="1041"/>
      <c r="LGV46" s="1041"/>
      <c r="LGW46" s="1041"/>
      <c r="LGX46" s="1041"/>
      <c r="LGY46" s="1041"/>
      <c r="LGZ46" s="1041"/>
      <c r="LHA46" s="1041"/>
      <c r="LHB46" s="1041"/>
      <c r="LHC46" s="1041"/>
      <c r="LHD46" s="1041"/>
      <c r="LHE46" s="1041"/>
      <c r="LHF46" s="1041"/>
      <c r="LHG46" s="1041"/>
      <c r="LHH46" s="1041"/>
      <c r="LHI46" s="1041"/>
      <c r="LHJ46" s="1041"/>
      <c r="LHK46" s="1041"/>
      <c r="LHL46" s="1041"/>
      <c r="LHM46" s="1041"/>
      <c r="LHN46" s="1041"/>
      <c r="LHO46" s="1041"/>
      <c r="LHP46" s="1041"/>
      <c r="LHQ46" s="1041"/>
      <c r="LHR46" s="1041"/>
      <c r="LHS46" s="1041"/>
      <c r="LHT46" s="1041"/>
      <c r="LHU46" s="1041"/>
      <c r="LHV46" s="1041"/>
      <c r="LHW46" s="1041"/>
      <c r="LHX46" s="1041"/>
      <c r="LHY46" s="1041"/>
      <c r="LHZ46" s="1041"/>
      <c r="LIA46" s="1041"/>
      <c r="LIB46" s="1041"/>
      <c r="LIC46" s="1041"/>
      <c r="LID46" s="1041"/>
      <c r="LIE46" s="1041"/>
      <c r="LIF46" s="1041"/>
      <c r="LIG46" s="1041"/>
      <c r="LIH46" s="1041"/>
      <c r="LII46" s="1041"/>
      <c r="LIJ46" s="1041"/>
      <c r="LIK46" s="1041"/>
      <c r="LIL46" s="1041"/>
      <c r="LIM46" s="1041"/>
      <c r="LIN46" s="1041"/>
      <c r="LIO46" s="1041"/>
      <c r="LIP46" s="1041"/>
      <c r="LIQ46" s="1041"/>
      <c r="LIR46" s="1041"/>
      <c r="LIS46" s="1041"/>
      <c r="LIT46" s="1041"/>
      <c r="LIU46" s="1041"/>
      <c r="LIV46" s="1041"/>
      <c r="LIW46" s="1041"/>
      <c r="LIX46" s="1041"/>
      <c r="LIY46" s="1041"/>
      <c r="LIZ46" s="1041"/>
      <c r="LJA46" s="1041"/>
      <c r="LJB46" s="1041"/>
      <c r="LJC46" s="1041"/>
      <c r="LJD46" s="1041"/>
      <c r="LJE46" s="1041"/>
      <c r="LJF46" s="1041"/>
      <c r="LJG46" s="1041"/>
      <c r="LJH46" s="1041"/>
      <c r="LJI46" s="1041"/>
      <c r="LJJ46" s="1041"/>
      <c r="LJK46" s="1041"/>
      <c r="LJL46" s="1041"/>
      <c r="LJM46" s="1041"/>
      <c r="LJN46" s="1041"/>
      <c r="LJO46" s="1041"/>
      <c r="LJP46" s="1041"/>
      <c r="LJQ46" s="1041"/>
      <c r="LJR46" s="1041"/>
      <c r="LJS46" s="1041"/>
      <c r="LJT46" s="1041"/>
      <c r="LJU46" s="1041"/>
      <c r="LJV46" s="1041"/>
      <c r="LJW46" s="1041"/>
      <c r="LJX46" s="1041"/>
      <c r="LJY46" s="1041"/>
      <c r="LJZ46" s="1041"/>
      <c r="LKA46" s="1041"/>
      <c r="LKB46" s="1041"/>
      <c r="LKC46" s="1041"/>
      <c r="LKD46" s="1041"/>
      <c r="LKE46" s="1041"/>
      <c r="LKF46" s="1041"/>
      <c r="LKG46" s="1041"/>
      <c r="LKH46" s="1041"/>
      <c r="LKI46" s="1041"/>
      <c r="LKJ46" s="1041"/>
      <c r="LKK46" s="1041"/>
      <c r="LKL46" s="1041"/>
      <c r="LKM46" s="1041"/>
      <c r="LKN46" s="1041"/>
      <c r="LKO46" s="1041"/>
      <c r="LKP46" s="1041"/>
      <c r="LKQ46" s="1041"/>
      <c r="LKR46" s="1041"/>
      <c r="LKS46" s="1041"/>
      <c r="LKT46" s="1041"/>
      <c r="LKU46" s="1041"/>
      <c r="LKV46" s="1041"/>
      <c r="LKW46" s="1041"/>
      <c r="LKX46" s="1041"/>
      <c r="LKY46" s="1041"/>
      <c r="LKZ46" s="1041"/>
      <c r="LLA46" s="1041"/>
      <c r="LLB46" s="1041"/>
      <c r="LLC46" s="1041"/>
      <c r="LLD46" s="1041"/>
      <c r="LLE46" s="1041"/>
      <c r="LLF46" s="1041"/>
      <c r="LLG46" s="1041"/>
      <c r="LLH46" s="1041"/>
      <c r="LLI46" s="1041"/>
      <c r="LLJ46" s="1041"/>
      <c r="LLK46" s="1041"/>
      <c r="LLL46" s="1041"/>
      <c r="LLM46" s="1041"/>
      <c r="LLN46" s="1041"/>
      <c r="LLO46" s="1041"/>
      <c r="LLP46" s="1041"/>
      <c r="LLQ46" s="1041"/>
      <c r="LLR46" s="1041"/>
      <c r="LLS46" s="1041"/>
      <c r="LLT46" s="1041"/>
      <c r="LLU46" s="1041"/>
      <c r="LLV46" s="1041"/>
      <c r="LLW46" s="1041"/>
      <c r="LLX46" s="1041"/>
      <c r="LLY46" s="1041"/>
      <c r="LLZ46" s="1041"/>
      <c r="LMA46" s="1041"/>
      <c r="LMB46" s="1041"/>
      <c r="LMC46" s="1041"/>
      <c r="LMD46" s="1041"/>
      <c r="LME46" s="1041"/>
      <c r="LMF46" s="1041"/>
      <c r="LMG46" s="1041"/>
      <c r="LMH46" s="1041"/>
      <c r="LMI46" s="1041"/>
      <c r="LMJ46" s="1041"/>
      <c r="LMK46" s="1041"/>
      <c r="LML46" s="1041"/>
      <c r="LMM46" s="1041"/>
      <c r="LMN46" s="1041"/>
      <c r="LMO46" s="1041"/>
      <c r="LMP46" s="1041"/>
      <c r="LMQ46" s="1041"/>
      <c r="LMR46" s="1041"/>
      <c r="LMS46" s="1041"/>
      <c r="LMT46" s="1041"/>
      <c r="LMU46" s="1041"/>
      <c r="LMV46" s="1041"/>
      <c r="LMW46" s="1041"/>
      <c r="LMX46" s="1041"/>
      <c r="LMY46" s="1041"/>
      <c r="LMZ46" s="1041"/>
      <c r="LNA46" s="1041"/>
      <c r="LNB46" s="1041"/>
      <c r="LNC46" s="1041"/>
      <c r="LND46" s="1041"/>
      <c r="LNE46" s="1041"/>
      <c r="LNF46" s="1041"/>
      <c r="LNG46" s="1041"/>
      <c r="LNH46" s="1041"/>
      <c r="LNI46" s="1041"/>
      <c r="LNJ46" s="1041"/>
      <c r="LNK46" s="1041"/>
      <c r="LNL46" s="1041"/>
      <c r="LNM46" s="1041"/>
      <c r="LNN46" s="1041"/>
      <c r="LNO46" s="1041"/>
      <c r="LNP46" s="1041"/>
      <c r="LNQ46" s="1041"/>
      <c r="LNR46" s="1041"/>
      <c r="LNS46" s="1041"/>
      <c r="LNT46" s="1041"/>
      <c r="LNU46" s="1041"/>
      <c r="LNV46" s="1041"/>
      <c r="LNW46" s="1041"/>
      <c r="LNX46" s="1041"/>
      <c r="LNY46" s="1041"/>
      <c r="LNZ46" s="1041"/>
      <c r="LOA46" s="1041"/>
      <c r="LOB46" s="1041"/>
      <c r="LOC46" s="1041"/>
      <c r="LOD46" s="1041"/>
      <c r="LOE46" s="1041"/>
      <c r="LOF46" s="1041"/>
      <c r="LOG46" s="1041"/>
      <c r="LOH46" s="1041"/>
      <c r="LOI46" s="1041"/>
      <c r="LOJ46" s="1041"/>
      <c r="LOK46" s="1041"/>
      <c r="LOL46" s="1041"/>
      <c r="LOM46" s="1041"/>
      <c r="LON46" s="1041"/>
      <c r="LOO46" s="1041"/>
      <c r="LOP46" s="1041"/>
      <c r="LOQ46" s="1041"/>
      <c r="LOR46" s="1041"/>
      <c r="LOS46" s="1041"/>
      <c r="LOT46" s="1041"/>
      <c r="LOU46" s="1041"/>
      <c r="LOV46" s="1041"/>
      <c r="LOW46" s="1041"/>
      <c r="LOX46" s="1041"/>
      <c r="LOY46" s="1041"/>
      <c r="LOZ46" s="1041"/>
      <c r="LPA46" s="1041"/>
      <c r="LPB46" s="1041"/>
      <c r="LPC46" s="1041"/>
      <c r="LPD46" s="1041"/>
      <c r="LPE46" s="1041"/>
      <c r="LPF46" s="1041"/>
      <c r="LPG46" s="1041"/>
      <c r="LPH46" s="1041"/>
      <c r="LPI46" s="1041"/>
      <c r="LPJ46" s="1041"/>
      <c r="LPK46" s="1041"/>
      <c r="LPL46" s="1041"/>
      <c r="LPM46" s="1041"/>
      <c r="LPN46" s="1041"/>
      <c r="LPO46" s="1041"/>
      <c r="LPP46" s="1041"/>
      <c r="LPQ46" s="1041"/>
      <c r="LPR46" s="1041"/>
      <c r="LPS46" s="1041"/>
      <c r="LPT46" s="1041"/>
      <c r="LPU46" s="1041"/>
      <c r="LPV46" s="1041"/>
      <c r="LPW46" s="1041"/>
      <c r="LPX46" s="1041"/>
      <c r="LPY46" s="1041"/>
      <c r="LPZ46" s="1041"/>
      <c r="LQA46" s="1041"/>
      <c r="LQB46" s="1041"/>
      <c r="LQC46" s="1041"/>
      <c r="LQD46" s="1041"/>
      <c r="LQE46" s="1041"/>
      <c r="LQF46" s="1041"/>
      <c r="LQG46" s="1041"/>
      <c r="LQH46" s="1041"/>
      <c r="LQI46" s="1041"/>
      <c r="LQJ46" s="1041"/>
      <c r="LQK46" s="1041"/>
      <c r="LQL46" s="1041"/>
      <c r="LQM46" s="1041"/>
      <c r="LQN46" s="1041"/>
      <c r="LQO46" s="1041"/>
      <c r="LQP46" s="1041"/>
      <c r="LQQ46" s="1041"/>
      <c r="LQR46" s="1041"/>
      <c r="LQS46" s="1041"/>
      <c r="LQT46" s="1041"/>
      <c r="LQU46" s="1041"/>
      <c r="LQV46" s="1041"/>
      <c r="LQW46" s="1041"/>
      <c r="LQX46" s="1041"/>
      <c r="LQY46" s="1041"/>
      <c r="LQZ46" s="1041"/>
      <c r="LRA46" s="1041"/>
      <c r="LRB46" s="1041"/>
      <c r="LRC46" s="1041"/>
      <c r="LRD46" s="1041"/>
      <c r="LRE46" s="1041"/>
      <c r="LRF46" s="1041"/>
      <c r="LRG46" s="1041"/>
      <c r="LRH46" s="1041"/>
      <c r="LRI46" s="1041"/>
      <c r="LRJ46" s="1041"/>
      <c r="LRK46" s="1041"/>
      <c r="LRL46" s="1041"/>
      <c r="LRM46" s="1041"/>
      <c r="LRN46" s="1041"/>
      <c r="LRO46" s="1041"/>
      <c r="LRP46" s="1041"/>
      <c r="LRQ46" s="1041"/>
      <c r="LRR46" s="1041"/>
      <c r="LRS46" s="1041"/>
      <c r="LRT46" s="1041"/>
      <c r="LRU46" s="1041"/>
      <c r="LRV46" s="1041"/>
      <c r="LRW46" s="1041"/>
      <c r="LRX46" s="1041"/>
      <c r="LRY46" s="1041"/>
      <c r="LRZ46" s="1041"/>
      <c r="LSA46" s="1041"/>
      <c r="LSB46" s="1041"/>
      <c r="LSC46" s="1041"/>
      <c r="LSD46" s="1041"/>
      <c r="LSE46" s="1041"/>
      <c r="LSF46" s="1041"/>
      <c r="LSG46" s="1041"/>
      <c r="LSH46" s="1041"/>
      <c r="LSI46" s="1041"/>
      <c r="LSJ46" s="1041"/>
      <c r="LSK46" s="1041"/>
      <c r="LSL46" s="1041"/>
      <c r="LSM46" s="1041"/>
      <c r="LSN46" s="1041"/>
      <c r="LSO46" s="1041"/>
      <c r="LSP46" s="1041"/>
      <c r="LSQ46" s="1041"/>
      <c r="LSR46" s="1041"/>
      <c r="LSS46" s="1041"/>
      <c r="LST46" s="1041"/>
      <c r="LSU46" s="1041"/>
      <c r="LSV46" s="1041"/>
      <c r="LSW46" s="1041"/>
      <c r="LSX46" s="1041"/>
      <c r="LSY46" s="1041"/>
      <c r="LSZ46" s="1041"/>
      <c r="LTA46" s="1041"/>
      <c r="LTB46" s="1041"/>
      <c r="LTC46" s="1041"/>
      <c r="LTD46" s="1041"/>
      <c r="LTE46" s="1041"/>
      <c r="LTF46" s="1041"/>
      <c r="LTG46" s="1041"/>
      <c r="LTH46" s="1041"/>
      <c r="LTI46" s="1041"/>
      <c r="LTJ46" s="1041"/>
      <c r="LTK46" s="1041"/>
      <c r="LTL46" s="1041"/>
      <c r="LTM46" s="1041"/>
      <c r="LTN46" s="1041"/>
      <c r="LTO46" s="1041"/>
      <c r="LTP46" s="1041"/>
      <c r="LTQ46" s="1041"/>
      <c r="LTR46" s="1041"/>
      <c r="LTS46" s="1041"/>
      <c r="LTT46" s="1041"/>
      <c r="LTU46" s="1041"/>
      <c r="LTV46" s="1041"/>
      <c r="LTW46" s="1041"/>
      <c r="LTX46" s="1041"/>
      <c r="LTY46" s="1041"/>
      <c r="LTZ46" s="1041"/>
      <c r="LUA46" s="1041"/>
      <c r="LUB46" s="1041"/>
      <c r="LUC46" s="1041"/>
      <c r="LUD46" s="1041"/>
      <c r="LUE46" s="1041"/>
      <c r="LUF46" s="1041"/>
      <c r="LUG46" s="1041"/>
      <c r="LUH46" s="1041"/>
      <c r="LUI46" s="1041"/>
      <c r="LUJ46" s="1041"/>
      <c r="LUK46" s="1041"/>
      <c r="LUL46" s="1041"/>
      <c r="LUM46" s="1041"/>
      <c r="LUN46" s="1041"/>
      <c r="LUO46" s="1041"/>
      <c r="LUP46" s="1041"/>
      <c r="LUQ46" s="1041"/>
      <c r="LUR46" s="1041"/>
      <c r="LUS46" s="1041"/>
      <c r="LUT46" s="1041"/>
      <c r="LUU46" s="1041"/>
      <c r="LUV46" s="1041"/>
      <c r="LUW46" s="1041"/>
      <c r="LUX46" s="1041"/>
      <c r="LUY46" s="1041"/>
      <c r="LUZ46" s="1041"/>
      <c r="LVA46" s="1041"/>
      <c r="LVB46" s="1041"/>
      <c r="LVC46" s="1041"/>
      <c r="LVD46" s="1041"/>
      <c r="LVE46" s="1041"/>
      <c r="LVF46" s="1041"/>
      <c r="LVG46" s="1041"/>
      <c r="LVH46" s="1041"/>
      <c r="LVI46" s="1041"/>
      <c r="LVJ46" s="1041"/>
      <c r="LVK46" s="1041"/>
      <c r="LVL46" s="1041"/>
      <c r="LVM46" s="1041"/>
      <c r="LVN46" s="1041"/>
      <c r="LVO46" s="1041"/>
      <c r="LVP46" s="1041"/>
      <c r="LVQ46" s="1041"/>
      <c r="LVR46" s="1041"/>
      <c r="LVS46" s="1041"/>
      <c r="LVT46" s="1041"/>
      <c r="LVU46" s="1041"/>
      <c r="LVV46" s="1041"/>
      <c r="LVW46" s="1041"/>
      <c r="LVX46" s="1041"/>
      <c r="LVY46" s="1041"/>
      <c r="LVZ46" s="1041"/>
      <c r="LWA46" s="1041"/>
      <c r="LWB46" s="1041"/>
      <c r="LWC46" s="1041"/>
      <c r="LWD46" s="1041"/>
      <c r="LWE46" s="1041"/>
      <c r="LWF46" s="1041"/>
      <c r="LWG46" s="1041"/>
      <c r="LWH46" s="1041"/>
      <c r="LWI46" s="1041"/>
      <c r="LWJ46" s="1041"/>
      <c r="LWK46" s="1041"/>
      <c r="LWL46" s="1041"/>
      <c r="LWM46" s="1041"/>
      <c r="LWN46" s="1041"/>
      <c r="LWO46" s="1041"/>
      <c r="LWP46" s="1041"/>
      <c r="LWQ46" s="1041"/>
      <c r="LWR46" s="1041"/>
      <c r="LWS46" s="1041"/>
      <c r="LWT46" s="1041"/>
      <c r="LWU46" s="1041"/>
      <c r="LWV46" s="1041"/>
      <c r="LWW46" s="1041"/>
      <c r="LWX46" s="1041"/>
      <c r="LWY46" s="1041"/>
      <c r="LWZ46" s="1041"/>
      <c r="LXA46" s="1041"/>
      <c r="LXB46" s="1041"/>
      <c r="LXC46" s="1041"/>
      <c r="LXD46" s="1041"/>
      <c r="LXE46" s="1041"/>
      <c r="LXF46" s="1041"/>
      <c r="LXG46" s="1041"/>
      <c r="LXH46" s="1041"/>
      <c r="LXI46" s="1041"/>
      <c r="LXJ46" s="1041"/>
      <c r="LXK46" s="1041"/>
      <c r="LXL46" s="1041"/>
      <c r="LXM46" s="1041"/>
      <c r="LXN46" s="1041"/>
      <c r="LXO46" s="1041"/>
      <c r="LXP46" s="1041"/>
      <c r="LXQ46" s="1041"/>
      <c r="LXR46" s="1041"/>
      <c r="LXS46" s="1041"/>
      <c r="LXT46" s="1041"/>
      <c r="LXU46" s="1041"/>
      <c r="LXV46" s="1041"/>
      <c r="LXW46" s="1041"/>
      <c r="LXX46" s="1041"/>
      <c r="LXY46" s="1041"/>
      <c r="LXZ46" s="1041"/>
      <c r="LYA46" s="1041"/>
      <c r="LYB46" s="1041"/>
      <c r="LYC46" s="1041"/>
      <c r="LYD46" s="1041"/>
      <c r="LYE46" s="1041"/>
      <c r="LYF46" s="1041"/>
      <c r="LYG46" s="1041"/>
      <c r="LYH46" s="1041"/>
      <c r="LYI46" s="1041"/>
      <c r="LYJ46" s="1041"/>
      <c r="LYK46" s="1041"/>
      <c r="LYL46" s="1041"/>
      <c r="LYM46" s="1041"/>
      <c r="LYN46" s="1041"/>
      <c r="LYO46" s="1041"/>
      <c r="LYP46" s="1041"/>
      <c r="LYQ46" s="1041"/>
      <c r="LYR46" s="1041"/>
      <c r="LYS46" s="1041"/>
      <c r="LYT46" s="1041"/>
      <c r="LYU46" s="1041"/>
      <c r="LYV46" s="1041"/>
      <c r="LYW46" s="1041"/>
      <c r="LYX46" s="1041"/>
      <c r="LYY46" s="1041"/>
      <c r="LYZ46" s="1041"/>
      <c r="LZA46" s="1041"/>
      <c r="LZB46" s="1041"/>
      <c r="LZC46" s="1041"/>
      <c r="LZD46" s="1041"/>
      <c r="LZE46" s="1041"/>
      <c r="LZF46" s="1041"/>
      <c r="LZG46" s="1041"/>
      <c r="LZH46" s="1041"/>
      <c r="LZI46" s="1041"/>
      <c r="LZJ46" s="1041"/>
      <c r="LZK46" s="1041"/>
      <c r="LZL46" s="1041"/>
      <c r="LZM46" s="1041"/>
      <c r="LZN46" s="1041"/>
      <c r="LZO46" s="1041"/>
      <c r="LZP46" s="1041"/>
      <c r="LZQ46" s="1041"/>
      <c r="LZR46" s="1041"/>
      <c r="LZS46" s="1041"/>
      <c r="LZT46" s="1041"/>
      <c r="LZU46" s="1041"/>
      <c r="LZV46" s="1041"/>
      <c r="LZW46" s="1041"/>
      <c r="LZX46" s="1041"/>
      <c r="LZY46" s="1041"/>
      <c r="LZZ46" s="1041"/>
      <c r="MAA46" s="1041"/>
      <c r="MAB46" s="1041"/>
      <c r="MAC46" s="1041"/>
      <c r="MAD46" s="1041"/>
      <c r="MAE46" s="1041"/>
      <c r="MAF46" s="1041"/>
      <c r="MAG46" s="1041"/>
      <c r="MAH46" s="1041"/>
      <c r="MAI46" s="1041"/>
      <c r="MAJ46" s="1041"/>
      <c r="MAK46" s="1041"/>
      <c r="MAL46" s="1041"/>
      <c r="MAM46" s="1041"/>
      <c r="MAN46" s="1041"/>
      <c r="MAO46" s="1041"/>
      <c r="MAP46" s="1041"/>
      <c r="MAQ46" s="1041"/>
      <c r="MAR46" s="1041"/>
      <c r="MAS46" s="1041"/>
      <c r="MAT46" s="1041"/>
      <c r="MAU46" s="1041"/>
      <c r="MAV46" s="1041"/>
      <c r="MAW46" s="1041"/>
      <c r="MAX46" s="1041"/>
      <c r="MAY46" s="1041"/>
      <c r="MAZ46" s="1041"/>
      <c r="MBA46" s="1041"/>
      <c r="MBB46" s="1041"/>
      <c r="MBC46" s="1041"/>
      <c r="MBD46" s="1041"/>
      <c r="MBE46" s="1041"/>
      <c r="MBF46" s="1041"/>
      <c r="MBG46" s="1041"/>
      <c r="MBH46" s="1041"/>
      <c r="MBI46" s="1041"/>
      <c r="MBJ46" s="1041"/>
      <c r="MBK46" s="1041"/>
      <c r="MBL46" s="1041"/>
      <c r="MBM46" s="1041"/>
      <c r="MBN46" s="1041"/>
      <c r="MBO46" s="1041"/>
      <c r="MBP46" s="1041"/>
      <c r="MBQ46" s="1041"/>
      <c r="MBR46" s="1041"/>
      <c r="MBS46" s="1041"/>
      <c r="MBT46" s="1041"/>
      <c r="MBU46" s="1041"/>
      <c r="MBV46" s="1041"/>
      <c r="MBW46" s="1041"/>
      <c r="MBX46" s="1041"/>
      <c r="MBY46" s="1041"/>
      <c r="MBZ46" s="1041"/>
      <c r="MCA46" s="1041"/>
      <c r="MCB46" s="1041"/>
      <c r="MCC46" s="1041"/>
      <c r="MCD46" s="1041"/>
      <c r="MCE46" s="1041"/>
      <c r="MCF46" s="1041"/>
      <c r="MCG46" s="1041"/>
      <c r="MCH46" s="1041"/>
      <c r="MCI46" s="1041"/>
      <c r="MCJ46" s="1041"/>
      <c r="MCK46" s="1041"/>
      <c r="MCL46" s="1041"/>
      <c r="MCM46" s="1041"/>
      <c r="MCN46" s="1041"/>
      <c r="MCO46" s="1041"/>
      <c r="MCP46" s="1041"/>
      <c r="MCQ46" s="1041"/>
      <c r="MCR46" s="1041"/>
      <c r="MCS46" s="1041"/>
      <c r="MCT46" s="1041"/>
      <c r="MCU46" s="1041"/>
      <c r="MCV46" s="1041"/>
      <c r="MCW46" s="1041"/>
      <c r="MCX46" s="1041"/>
      <c r="MCY46" s="1041"/>
      <c r="MCZ46" s="1041"/>
      <c r="MDA46" s="1041"/>
      <c r="MDB46" s="1041"/>
      <c r="MDC46" s="1041"/>
      <c r="MDD46" s="1041"/>
      <c r="MDE46" s="1041"/>
      <c r="MDF46" s="1041"/>
      <c r="MDG46" s="1041"/>
      <c r="MDH46" s="1041"/>
      <c r="MDI46" s="1041"/>
      <c r="MDJ46" s="1041"/>
      <c r="MDK46" s="1041"/>
      <c r="MDL46" s="1041"/>
      <c r="MDM46" s="1041"/>
      <c r="MDN46" s="1041"/>
      <c r="MDO46" s="1041"/>
      <c r="MDP46" s="1041"/>
      <c r="MDQ46" s="1041"/>
      <c r="MDR46" s="1041"/>
      <c r="MDS46" s="1041"/>
      <c r="MDT46" s="1041"/>
      <c r="MDU46" s="1041"/>
      <c r="MDV46" s="1041"/>
      <c r="MDW46" s="1041"/>
      <c r="MDX46" s="1041"/>
      <c r="MDY46" s="1041"/>
      <c r="MDZ46" s="1041"/>
      <c r="MEA46" s="1041"/>
      <c r="MEB46" s="1041"/>
      <c r="MEC46" s="1041"/>
      <c r="MED46" s="1041"/>
      <c r="MEE46" s="1041"/>
      <c r="MEF46" s="1041"/>
      <c r="MEG46" s="1041"/>
      <c r="MEH46" s="1041"/>
      <c r="MEI46" s="1041"/>
      <c r="MEJ46" s="1041"/>
      <c r="MEK46" s="1041"/>
      <c r="MEL46" s="1041"/>
      <c r="MEM46" s="1041"/>
      <c r="MEN46" s="1041"/>
      <c r="MEO46" s="1041"/>
      <c r="MEP46" s="1041"/>
      <c r="MEQ46" s="1041"/>
      <c r="MER46" s="1041"/>
      <c r="MES46" s="1041"/>
      <c r="MET46" s="1041"/>
      <c r="MEU46" s="1041"/>
      <c r="MEV46" s="1041"/>
      <c r="MEW46" s="1041"/>
      <c r="MEX46" s="1041"/>
      <c r="MEY46" s="1041"/>
      <c r="MEZ46" s="1041"/>
      <c r="MFA46" s="1041"/>
      <c r="MFB46" s="1041"/>
      <c r="MFC46" s="1041"/>
      <c r="MFD46" s="1041"/>
      <c r="MFE46" s="1041"/>
      <c r="MFF46" s="1041"/>
      <c r="MFG46" s="1041"/>
      <c r="MFH46" s="1041"/>
      <c r="MFI46" s="1041"/>
      <c r="MFJ46" s="1041"/>
      <c r="MFK46" s="1041"/>
      <c r="MFL46" s="1041"/>
      <c r="MFM46" s="1041"/>
      <c r="MFN46" s="1041"/>
      <c r="MFO46" s="1041"/>
      <c r="MFP46" s="1041"/>
      <c r="MFQ46" s="1041"/>
      <c r="MFR46" s="1041"/>
      <c r="MFS46" s="1041"/>
      <c r="MFT46" s="1041"/>
      <c r="MFU46" s="1041"/>
      <c r="MFV46" s="1041"/>
      <c r="MFW46" s="1041"/>
      <c r="MFX46" s="1041"/>
      <c r="MFY46" s="1041"/>
      <c r="MFZ46" s="1041"/>
      <c r="MGA46" s="1041"/>
      <c r="MGB46" s="1041"/>
      <c r="MGC46" s="1041"/>
      <c r="MGD46" s="1041"/>
      <c r="MGE46" s="1041"/>
      <c r="MGF46" s="1041"/>
      <c r="MGG46" s="1041"/>
      <c r="MGH46" s="1041"/>
      <c r="MGI46" s="1041"/>
      <c r="MGJ46" s="1041"/>
      <c r="MGK46" s="1041"/>
      <c r="MGL46" s="1041"/>
      <c r="MGM46" s="1041"/>
      <c r="MGN46" s="1041"/>
      <c r="MGO46" s="1041"/>
      <c r="MGP46" s="1041"/>
      <c r="MGQ46" s="1041"/>
      <c r="MGR46" s="1041"/>
      <c r="MGS46" s="1041"/>
      <c r="MGT46" s="1041"/>
      <c r="MGU46" s="1041"/>
      <c r="MGV46" s="1041"/>
      <c r="MGW46" s="1041"/>
      <c r="MGX46" s="1041"/>
      <c r="MGY46" s="1041"/>
      <c r="MGZ46" s="1041"/>
      <c r="MHA46" s="1041"/>
      <c r="MHB46" s="1041"/>
      <c r="MHC46" s="1041"/>
      <c r="MHD46" s="1041"/>
      <c r="MHE46" s="1041"/>
      <c r="MHF46" s="1041"/>
      <c r="MHG46" s="1041"/>
      <c r="MHH46" s="1041"/>
      <c r="MHI46" s="1041"/>
      <c r="MHJ46" s="1041"/>
      <c r="MHK46" s="1041"/>
      <c r="MHL46" s="1041"/>
      <c r="MHM46" s="1041"/>
      <c r="MHN46" s="1041"/>
      <c r="MHO46" s="1041"/>
      <c r="MHP46" s="1041"/>
      <c r="MHQ46" s="1041"/>
      <c r="MHR46" s="1041"/>
      <c r="MHS46" s="1041"/>
      <c r="MHT46" s="1041"/>
      <c r="MHU46" s="1041"/>
      <c r="MHV46" s="1041"/>
      <c r="MHW46" s="1041"/>
      <c r="MHX46" s="1041"/>
      <c r="MHY46" s="1041"/>
      <c r="MHZ46" s="1041"/>
      <c r="MIA46" s="1041"/>
      <c r="MIB46" s="1041"/>
      <c r="MIC46" s="1041"/>
      <c r="MID46" s="1041"/>
      <c r="MIE46" s="1041"/>
      <c r="MIF46" s="1041"/>
      <c r="MIG46" s="1041"/>
      <c r="MIH46" s="1041"/>
      <c r="MII46" s="1041"/>
      <c r="MIJ46" s="1041"/>
      <c r="MIK46" s="1041"/>
      <c r="MIL46" s="1041"/>
      <c r="MIM46" s="1041"/>
      <c r="MIN46" s="1041"/>
      <c r="MIO46" s="1041"/>
      <c r="MIP46" s="1041"/>
      <c r="MIQ46" s="1041"/>
      <c r="MIR46" s="1041"/>
      <c r="MIS46" s="1041"/>
      <c r="MIT46" s="1041"/>
      <c r="MIU46" s="1041"/>
      <c r="MIV46" s="1041"/>
      <c r="MIW46" s="1041"/>
      <c r="MIX46" s="1041"/>
      <c r="MIY46" s="1041"/>
      <c r="MIZ46" s="1041"/>
      <c r="MJA46" s="1041"/>
      <c r="MJB46" s="1041"/>
      <c r="MJC46" s="1041"/>
      <c r="MJD46" s="1041"/>
      <c r="MJE46" s="1041"/>
      <c r="MJF46" s="1041"/>
      <c r="MJG46" s="1041"/>
      <c r="MJH46" s="1041"/>
      <c r="MJI46" s="1041"/>
      <c r="MJJ46" s="1041"/>
      <c r="MJK46" s="1041"/>
      <c r="MJL46" s="1041"/>
      <c r="MJM46" s="1041"/>
      <c r="MJN46" s="1041"/>
      <c r="MJO46" s="1041"/>
      <c r="MJP46" s="1041"/>
      <c r="MJQ46" s="1041"/>
      <c r="MJR46" s="1041"/>
      <c r="MJS46" s="1041"/>
      <c r="MJT46" s="1041"/>
      <c r="MJU46" s="1041"/>
      <c r="MJV46" s="1041"/>
      <c r="MJW46" s="1041"/>
      <c r="MJX46" s="1041"/>
      <c r="MJY46" s="1041"/>
      <c r="MJZ46" s="1041"/>
      <c r="MKA46" s="1041"/>
      <c r="MKB46" s="1041"/>
      <c r="MKC46" s="1041"/>
      <c r="MKD46" s="1041"/>
      <c r="MKE46" s="1041"/>
      <c r="MKF46" s="1041"/>
      <c r="MKG46" s="1041"/>
      <c r="MKH46" s="1041"/>
      <c r="MKI46" s="1041"/>
      <c r="MKJ46" s="1041"/>
      <c r="MKK46" s="1041"/>
      <c r="MKL46" s="1041"/>
      <c r="MKM46" s="1041"/>
      <c r="MKN46" s="1041"/>
      <c r="MKO46" s="1041"/>
      <c r="MKP46" s="1041"/>
      <c r="MKQ46" s="1041"/>
      <c r="MKR46" s="1041"/>
      <c r="MKS46" s="1041"/>
      <c r="MKT46" s="1041"/>
      <c r="MKU46" s="1041"/>
      <c r="MKV46" s="1041"/>
      <c r="MKW46" s="1041"/>
      <c r="MKX46" s="1041"/>
      <c r="MKY46" s="1041"/>
      <c r="MKZ46" s="1041"/>
      <c r="MLA46" s="1041"/>
      <c r="MLB46" s="1041"/>
      <c r="MLC46" s="1041"/>
      <c r="MLD46" s="1041"/>
      <c r="MLE46" s="1041"/>
      <c r="MLF46" s="1041"/>
      <c r="MLG46" s="1041"/>
      <c r="MLH46" s="1041"/>
      <c r="MLI46" s="1041"/>
      <c r="MLJ46" s="1041"/>
      <c r="MLK46" s="1041"/>
      <c r="MLL46" s="1041"/>
      <c r="MLM46" s="1041"/>
      <c r="MLN46" s="1041"/>
      <c r="MLO46" s="1041"/>
      <c r="MLP46" s="1041"/>
      <c r="MLQ46" s="1041"/>
      <c r="MLR46" s="1041"/>
      <c r="MLS46" s="1041"/>
      <c r="MLT46" s="1041"/>
      <c r="MLU46" s="1041"/>
      <c r="MLV46" s="1041"/>
      <c r="MLW46" s="1041"/>
      <c r="MLX46" s="1041"/>
      <c r="MLY46" s="1041"/>
      <c r="MLZ46" s="1041"/>
      <c r="MMA46" s="1041"/>
      <c r="MMB46" s="1041"/>
      <c r="MMC46" s="1041"/>
      <c r="MMD46" s="1041"/>
      <c r="MME46" s="1041"/>
      <c r="MMF46" s="1041"/>
      <c r="MMG46" s="1041"/>
      <c r="MMH46" s="1041"/>
      <c r="MMI46" s="1041"/>
      <c r="MMJ46" s="1041"/>
      <c r="MMK46" s="1041"/>
      <c r="MML46" s="1041"/>
      <c r="MMM46" s="1041"/>
      <c r="MMN46" s="1041"/>
      <c r="MMO46" s="1041"/>
      <c r="MMP46" s="1041"/>
      <c r="MMQ46" s="1041"/>
      <c r="MMR46" s="1041"/>
      <c r="MMS46" s="1041"/>
      <c r="MMT46" s="1041"/>
      <c r="MMU46" s="1041"/>
      <c r="MMV46" s="1041"/>
      <c r="MMW46" s="1041"/>
      <c r="MMX46" s="1041"/>
      <c r="MMY46" s="1041"/>
      <c r="MMZ46" s="1041"/>
      <c r="MNA46" s="1041"/>
      <c r="MNB46" s="1041"/>
      <c r="MNC46" s="1041"/>
      <c r="MND46" s="1041"/>
      <c r="MNE46" s="1041"/>
      <c r="MNF46" s="1041"/>
      <c r="MNG46" s="1041"/>
      <c r="MNH46" s="1041"/>
      <c r="MNI46" s="1041"/>
      <c r="MNJ46" s="1041"/>
      <c r="MNK46" s="1041"/>
      <c r="MNL46" s="1041"/>
      <c r="MNM46" s="1041"/>
      <c r="MNN46" s="1041"/>
      <c r="MNO46" s="1041"/>
      <c r="MNP46" s="1041"/>
      <c r="MNQ46" s="1041"/>
      <c r="MNR46" s="1041"/>
      <c r="MNS46" s="1041"/>
      <c r="MNT46" s="1041"/>
      <c r="MNU46" s="1041"/>
      <c r="MNV46" s="1041"/>
      <c r="MNW46" s="1041"/>
      <c r="MNX46" s="1041"/>
      <c r="MNY46" s="1041"/>
      <c r="MNZ46" s="1041"/>
      <c r="MOA46" s="1041"/>
      <c r="MOB46" s="1041"/>
      <c r="MOC46" s="1041"/>
      <c r="MOD46" s="1041"/>
      <c r="MOE46" s="1041"/>
      <c r="MOF46" s="1041"/>
      <c r="MOG46" s="1041"/>
      <c r="MOH46" s="1041"/>
      <c r="MOI46" s="1041"/>
      <c r="MOJ46" s="1041"/>
      <c r="MOK46" s="1041"/>
      <c r="MOL46" s="1041"/>
      <c r="MOM46" s="1041"/>
      <c r="MON46" s="1041"/>
      <c r="MOO46" s="1041"/>
      <c r="MOP46" s="1041"/>
      <c r="MOQ46" s="1041"/>
      <c r="MOR46" s="1041"/>
      <c r="MOS46" s="1041"/>
      <c r="MOT46" s="1041"/>
      <c r="MOU46" s="1041"/>
      <c r="MOV46" s="1041"/>
      <c r="MOW46" s="1041"/>
      <c r="MOX46" s="1041"/>
      <c r="MOY46" s="1041"/>
      <c r="MOZ46" s="1041"/>
      <c r="MPA46" s="1041"/>
      <c r="MPB46" s="1041"/>
      <c r="MPC46" s="1041"/>
      <c r="MPD46" s="1041"/>
      <c r="MPE46" s="1041"/>
      <c r="MPF46" s="1041"/>
      <c r="MPG46" s="1041"/>
      <c r="MPH46" s="1041"/>
      <c r="MPI46" s="1041"/>
      <c r="MPJ46" s="1041"/>
      <c r="MPK46" s="1041"/>
      <c r="MPL46" s="1041"/>
      <c r="MPM46" s="1041"/>
      <c r="MPN46" s="1041"/>
      <c r="MPO46" s="1041"/>
      <c r="MPP46" s="1041"/>
      <c r="MPQ46" s="1041"/>
      <c r="MPR46" s="1041"/>
      <c r="MPS46" s="1041"/>
      <c r="MPT46" s="1041"/>
      <c r="MPU46" s="1041"/>
      <c r="MPV46" s="1041"/>
      <c r="MPW46" s="1041"/>
      <c r="MPX46" s="1041"/>
      <c r="MPY46" s="1041"/>
      <c r="MPZ46" s="1041"/>
      <c r="MQA46" s="1041"/>
      <c r="MQB46" s="1041"/>
      <c r="MQC46" s="1041"/>
      <c r="MQD46" s="1041"/>
      <c r="MQE46" s="1041"/>
      <c r="MQF46" s="1041"/>
      <c r="MQG46" s="1041"/>
      <c r="MQH46" s="1041"/>
      <c r="MQI46" s="1041"/>
      <c r="MQJ46" s="1041"/>
      <c r="MQK46" s="1041"/>
      <c r="MQL46" s="1041"/>
      <c r="MQM46" s="1041"/>
      <c r="MQN46" s="1041"/>
      <c r="MQO46" s="1041"/>
      <c r="MQP46" s="1041"/>
      <c r="MQQ46" s="1041"/>
      <c r="MQR46" s="1041"/>
      <c r="MQS46" s="1041"/>
      <c r="MQT46" s="1041"/>
      <c r="MQU46" s="1041"/>
      <c r="MQV46" s="1041"/>
      <c r="MQW46" s="1041"/>
      <c r="MQX46" s="1041"/>
      <c r="MQY46" s="1041"/>
      <c r="MQZ46" s="1041"/>
      <c r="MRA46" s="1041"/>
      <c r="MRB46" s="1041"/>
      <c r="MRC46" s="1041"/>
      <c r="MRD46" s="1041"/>
      <c r="MRE46" s="1041"/>
      <c r="MRF46" s="1041"/>
      <c r="MRG46" s="1041"/>
      <c r="MRH46" s="1041"/>
      <c r="MRI46" s="1041"/>
      <c r="MRJ46" s="1041"/>
      <c r="MRK46" s="1041"/>
      <c r="MRL46" s="1041"/>
      <c r="MRM46" s="1041"/>
      <c r="MRN46" s="1041"/>
      <c r="MRO46" s="1041"/>
      <c r="MRP46" s="1041"/>
      <c r="MRQ46" s="1041"/>
      <c r="MRR46" s="1041"/>
      <c r="MRS46" s="1041"/>
      <c r="MRT46" s="1041"/>
      <c r="MRU46" s="1041"/>
      <c r="MRV46" s="1041"/>
      <c r="MRW46" s="1041"/>
      <c r="MRX46" s="1041"/>
      <c r="MRY46" s="1041"/>
      <c r="MRZ46" s="1041"/>
      <c r="MSA46" s="1041"/>
      <c r="MSB46" s="1041"/>
      <c r="MSC46" s="1041"/>
      <c r="MSD46" s="1041"/>
      <c r="MSE46" s="1041"/>
      <c r="MSF46" s="1041"/>
      <c r="MSG46" s="1041"/>
      <c r="MSH46" s="1041"/>
      <c r="MSI46" s="1041"/>
      <c r="MSJ46" s="1041"/>
      <c r="MSK46" s="1041"/>
      <c r="MSL46" s="1041"/>
      <c r="MSM46" s="1041"/>
      <c r="MSN46" s="1041"/>
      <c r="MSO46" s="1041"/>
      <c r="MSP46" s="1041"/>
      <c r="MSQ46" s="1041"/>
      <c r="MSR46" s="1041"/>
      <c r="MSS46" s="1041"/>
      <c r="MST46" s="1041"/>
      <c r="MSU46" s="1041"/>
      <c r="MSV46" s="1041"/>
      <c r="MSW46" s="1041"/>
      <c r="MSX46" s="1041"/>
      <c r="MSY46" s="1041"/>
      <c r="MSZ46" s="1041"/>
      <c r="MTA46" s="1041"/>
      <c r="MTB46" s="1041"/>
      <c r="MTC46" s="1041"/>
      <c r="MTD46" s="1041"/>
      <c r="MTE46" s="1041"/>
      <c r="MTF46" s="1041"/>
      <c r="MTG46" s="1041"/>
      <c r="MTH46" s="1041"/>
      <c r="MTI46" s="1041"/>
      <c r="MTJ46" s="1041"/>
      <c r="MTK46" s="1041"/>
      <c r="MTL46" s="1041"/>
      <c r="MTM46" s="1041"/>
      <c r="MTN46" s="1041"/>
      <c r="MTO46" s="1041"/>
      <c r="MTP46" s="1041"/>
      <c r="MTQ46" s="1041"/>
      <c r="MTR46" s="1041"/>
      <c r="MTS46" s="1041"/>
      <c r="MTT46" s="1041"/>
      <c r="MTU46" s="1041"/>
      <c r="MTV46" s="1041"/>
      <c r="MTW46" s="1041"/>
      <c r="MTX46" s="1041"/>
      <c r="MTY46" s="1041"/>
      <c r="MTZ46" s="1041"/>
      <c r="MUA46" s="1041"/>
      <c r="MUB46" s="1041"/>
      <c r="MUC46" s="1041"/>
      <c r="MUD46" s="1041"/>
      <c r="MUE46" s="1041"/>
      <c r="MUF46" s="1041"/>
      <c r="MUG46" s="1041"/>
      <c r="MUH46" s="1041"/>
      <c r="MUI46" s="1041"/>
      <c r="MUJ46" s="1041"/>
      <c r="MUK46" s="1041"/>
      <c r="MUL46" s="1041"/>
      <c r="MUM46" s="1041"/>
      <c r="MUN46" s="1041"/>
      <c r="MUO46" s="1041"/>
      <c r="MUP46" s="1041"/>
      <c r="MUQ46" s="1041"/>
      <c r="MUR46" s="1041"/>
      <c r="MUS46" s="1041"/>
      <c r="MUT46" s="1041"/>
      <c r="MUU46" s="1041"/>
      <c r="MUV46" s="1041"/>
      <c r="MUW46" s="1041"/>
      <c r="MUX46" s="1041"/>
      <c r="MUY46" s="1041"/>
      <c r="MUZ46" s="1041"/>
      <c r="MVA46" s="1041"/>
      <c r="MVB46" s="1041"/>
      <c r="MVC46" s="1041"/>
      <c r="MVD46" s="1041"/>
      <c r="MVE46" s="1041"/>
      <c r="MVF46" s="1041"/>
      <c r="MVG46" s="1041"/>
      <c r="MVH46" s="1041"/>
      <c r="MVI46" s="1041"/>
      <c r="MVJ46" s="1041"/>
      <c r="MVK46" s="1041"/>
      <c r="MVL46" s="1041"/>
      <c r="MVM46" s="1041"/>
      <c r="MVN46" s="1041"/>
      <c r="MVO46" s="1041"/>
      <c r="MVP46" s="1041"/>
      <c r="MVQ46" s="1041"/>
      <c r="MVR46" s="1041"/>
      <c r="MVS46" s="1041"/>
      <c r="MVT46" s="1041"/>
      <c r="MVU46" s="1041"/>
      <c r="MVV46" s="1041"/>
      <c r="MVW46" s="1041"/>
      <c r="MVX46" s="1041"/>
      <c r="MVY46" s="1041"/>
      <c r="MVZ46" s="1041"/>
      <c r="MWA46" s="1041"/>
      <c r="MWB46" s="1041"/>
      <c r="MWC46" s="1041"/>
      <c r="MWD46" s="1041"/>
      <c r="MWE46" s="1041"/>
      <c r="MWF46" s="1041"/>
      <c r="MWG46" s="1041"/>
      <c r="MWH46" s="1041"/>
      <c r="MWI46" s="1041"/>
      <c r="MWJ46" s="1041"/>
      <c r="MWK46" s="1041"/>
      <c r="MWL46" s="1041"/>
      <c r="MWM46" s="1041"/>
      <c r="MWN46" s="1041"/>
      <c r="MWO46" s="1041"/>
      <c r="MWP46" s="1041"/>
      <c r="MWQ46" s="1041"/>
      <c r="MWR46" s="1041"/>
      <c r="MWS46" s="1041"/>
      <c r="MWT46" s="1041"/>
      <c r="MWU46" s="1041"/>
      <c r="MWV46" s="1041"/>
      <c r="MWW46" s="1041"/>
      <c r="MWX46" s="1041"/>
      <c r="MWY46" s="1041"/>
      <c r="MWZ46" s="1041"/>
      <c r="MXA46" s="1041"/>
      <c r="MXB46" s="1041"/>
      <c r="MXC46" s="1041"/>
      <c r="MXD46" s="1041"/>
      <c r="MXE46" s="1041"/>
      <c r="MXF46" s="1041"/>
      <c r="MXG46" s="1041"/>
      <c r="MXH46" s="1041"/>
      <c r="MXI46" s="1041"/>
      <c r="MXJ46" s="1041"/>
      <c r="MXK46" s="1041"/>
      <c r="MXL46" s="1041"/>
      <c r="MXM46" s="1041"/>
      <c r="MXN46" s="1041"/>
      <c r="MXO46" s="1041"/>
      <c r="MXP46" s="1041"/>
      <c r="MXQ46" s="1041"/>
      <c r="MXR46" s="1041"/>
      <c r="MXS46" s="1041"/>
      <c r="MXT46" s="1041"/>
      <c r="MXU46" s="1041"/>
      <c r="MXV46" s="1041"/>
      <c r="MXW46" s="1041"/>
      <c r="MXX46" s="1041"/>
      <c r="MXY46" s="1041"/>
      <c r="MXZ46" s="1041"/>
      <c r="MYA46" s="1041"/>
      <c r="MYB46" s="1041"/>
      <c r="MYC46" s="1041"/>
      <c r="MYD46" s="1041"/>
      <c r="MYE46" s="1041"/>
      <c r="MYF46" s="1041"/>
      <c r="MYG46" s="1041"/>
      <c r="MYH46" s="1041"/>
      <c r="MYI46" s="1041"/>
      <c r="MYJ46" s="1041"/>
      <c r="MYK46" s="1041"/>
      <c r="MYL46" s="1041"/>
      <c r="MYM46" s="1041"/>
      <c r="MYN46" s="1041"/>
      <c r="MYO46" s="1041"/>
      <c r="MYP46" s="1041"/>
      <c r="MYQ46" s="1041"/>
      <c r="MYR46" s="1041"/>
      <c r="MYS46" s="1041"/>
      <c r="MYT46" s="1041"/>
      <c r="MYU46" s="1041"/>
      <c r="MYV46" s="1041"/>
      <c r="MYW46" s="1041"/>
      <c r="MYX46" s="1041"/>
      <c r="MYY46" s="1041"/>
      <c r="MYZ46" s="1041"/>
      <c r="MZA46" s="1041"/>
      <c r="MZB46" s="1041"/>
      <c r="MZC46" s="1041"/>
      <c r="MZD46" s="1041"/>
      <c r="MZE46" s="1041"/>
      <c r="MZF46" s="1041"/>
      <c r="MZG46" s="1041"/>
      <c r="MZH46" s="1041"/>
      <c r="MZI46" s="1041"/>
      <c r="MZJ46" s="1041"/>
      <c r="MZK46" s="1041"/>
      <c r="MZL46" s="1041"/>
      <c r="MZM46" s="1041"/>
      <c r="MZN46" s="1041"/>
      <c r="MZO46" s="1041"/>
      <c r="MZP46" s="1041"/>
      <c r="MZQ46" s="1041"/>
      <c r="MZR46" s="1041"/>
      <c r="MZS46" s="1041"/>
      <c r="MZT46" s="1041"/>
      <c r="MZU46" s="1041"/>
      <c r="MZV46" s="1041"/>
      <c r="MZW46" s="1041"/>
      <c r="MZX46" s="1041"/>
      <c r="MZY46" s="1041"/>
      <c r="MZZ46" s="1041"/>
      <c r="NAA46" s="1041"/>
      <c r="NAB46" s="1041"/>
      <c r="NAC46" s="1041"/>
      <c r="NAD46" s="1041"/>
      <c r="NAE46" s="1041"/>
      <c r="NAF46" s="1041"/>
      <c r="NAG46" s="1041"/>
      <c r="NAH46" s="1041"/>
      <c r="NAI46" s="1041"/>
      <c r="NAJ46" s="1041"/>
      <c r="NAK46" s="1041"/>
      <c r="NAL46" s="1041"/>
      <c r="NAM46" s="1041"/>
      <c r="NAN46" s="1041"/>
      <c r="NAO46" s="1041"/>
      <c r="NAP46" s="1041"/>
      <c r="NAQ46" s="1041"/>
      <c r="NAR46" s="1041"/>
      <c r="NAS46" s="1041"/>
      <c r="NAT46" s="1041"/>
      <c r="NAU46" s="1041"/>
      <c r="NAV46" s="1041"/>
      <c r="NAW46" s="1041"/>
      <c r="NAX46" s="1041"/>
      <c r="NAY46" s="1041"/>
      <c r="NAZ46" s="1041"/>
      <c r="NBA46" s="1041"/>
      <c r="NBB46" s="1041"/>
      <c r="NBC46" s="1041"/>
      <c r="NBD46" s="1041"/>
      <c r="NBE46" s="1041"/>
      <c r="NBF46" s="1041"/>
      <c r="NBG46" s="1041"/>
      <c r="NBH46" s="1041"/>
      <c r="NBI46" s="1041"/>
      <c r="NBJ46" s="1041"/>
      <c r="NBK46" s="1041"/>
      <c r="NBL46" s="1041"/>
      <c r="NBM46" s="1041"/>
      <c r="NBN46" s="1041"/>
      <c r="NBO46" s="1041"/>
      <c r="NBP46" s="1041"/>
      <c r="NBQ46" s="1041"/>
      <c r="NBR46" s="1041"/>
      <c r="NBS46" s="1041"/>
      <c r="NBT46" s="1041"/>
      <c r="NBU46" s="1041"/>
      <c r="NBV46" s="1041"/>
      <c r="NBW46" s="1041"/>
      <c r="NBX46" s="1041"/>
      <c r="NBY46" s="1041"/>
      <c r="NBZ46" s="1041"/>
      <c r="NCA46" s="1041"/>
      <c r="NCB46" s="1041"/>
      <c r="NCC46" s="1041"/>
      <c r="NCD46" s="1041"/>
      <c r="NCE46" s="1041"/>
      <c r="NCF46" s="1041"/>
      <c r="NCG46" s="1041"/>
      <c r="NCH46" s="1041"/>
      <c r="NCI46" s="1041"/>
      <c r="NCJ46" s="1041"/>
      <c r="NCK46" s="1041"/>
      <c r="NCL46" s="1041"/>
      <c r="NCM46" s="1041"/>
      <c r="NCN46" s="1041"/>
      <c r="NCO46" s="1041"/>
      <c r="NCP46" s="1041"/>
      <c r="NCQ46" s="1041"/>
      <c r="NCR46" s="1041"/>
      <c r="NCS46" s="1041"/>
      <c r="NCT46" s="1041"/>
      <c r="NCU46" s="1041"/>
      <c r="NCV46" s="1041"/>
      <c r="NCW46" s="1041"/>
      <c r="NCX46" s="1041"/>
      <c r="NCY46" s="1041"/>
      <c r="NCZ46" s="1041"/>
      <c r="NDA46" s="1041"/>
      <c r="NDB46" s="1041"/>
      <c r="NDC46" s="1041"/>
      <c r="NDD46" s="1041"/>
      <c r="NDE46" s="1041"/>
      <c r="NDF46" s="1041"/>
      <c r="NDG46" s="1041"/>
      <c r="NDH46" s="1041"/>
      <c r="NDI46" s="1041"/>
      <c r="NDJ46" s="1041"/>
      <c r="NDK46" s="1041"/>
      <c r="NDL46" s="1041"/>
      <c r="NDM46" s="1041"/>
      <c r="NDN46" s="1041"/>
      <c r="NDO46" s="1041"/>
      <c r="NDP46" s="1041"/>
      <c r="NDQ46" s="1041"/>
      <c r="NDR46" s="1041"/>
      <c r="NDS46" s="1041"/>
      <c r="NDT46" s="1041"/>
      <c r="NDU46" s="1041"/>
      <c r="NDV46" s="1041"/>
      <c r="NDW46" s="1041"/>
      <c r="NDX46" s="1041"/>
      <c r="NDY46" s="1041"/>
      <c r="NDZ46" s="1041"/>
      <c r="NEA46" s="1041"/>
      <c r="NEB46" s="1041"/>
      <c r="NEC46" s="1041"/>
      <c r="NED46" s="1041"/>
      <c r="NEE46" s="1041"/>
      <c r="NEF46" s="1041"/>
      <c r="NEG46" s="1041"/>
      <c r="NEH46" s="1041"/>
      <c r="NEI46" s="1041"/>
      <c r="NEJ46" s="1041"/>
      <c r="NEK46" s="1041"/>
      <c r="NEL46" s="1041"/>
      <c r="NEM46" s="1041"/>
      <c r="NEN46" s="1041"/>
      <c r="NEO46" s="1041"/>
      <c r="NEP46" s="1041"/>
      <c r="NEQ46" s="1041"/>
      <c r="NER46" s="1041"/>
      <c r="NES46" s="1041"/>
      <c r="NET46" s="1041"/>
      <c r="NEU46" s="1041"/>
      <c r="NEV46" s="1041"/>
      <c r="NEW46" s="1041"/>
      <c r="NEX46" s="1041"/>
      <c r="NEY46" s="1041"/>
      <c r="NEZ46" s="1041"/>
      <c r="NFA46" s="1041"/>
      <c r="NFB46" s="1041"/>
      <c r="NFC46" s="1041"/>
      <c r="NFD46" s="1041"/>
      <c r="NFE46" s="1041"/>
      <c r="NFF46" s="1041"/>
      <c r="NFG46" s="1041"/>
      <c r="NFH46" s="1041"/>
      <c r="NFI46" s="1041"/>
      <c r="NFJ46" s="1041"/>
      <c r="NFK46" s="1041"/>
      <c r="NFL46" s="1041"/>
      <c r="NFM46" s="1041"/>
      <c r="NFN46" s="1041"/>
      <c r="NFO46" s="1041"/>
      <c r="NFP46" s="1041"/>
      <c r="NFQ46" s="1041"/>
      <c r="NFR46" s="1041"/>
      <c r="NFS46" s="1041"/>
      <c r="NFT46" s="1041"/>
      <c r="NFU46" s="1041"/>
      <c r="NFV46" s="1041"/>
      <c r="NFW46" s="1041"/>
      <c r="NFX46" s="1041"/>
      <c r="NFY46" s="1041"/>
      <c r="NFZ46" s="1041"/>
      <c r="NGA46" s="1041"/>
      <c r="NGB46" s="1041"/>
      <c r="NGC46" s="1041"/>
      <c r="NGD46" s="1041"/>
      <c r="NGE46" s="1041"/>
      <c r="NGF46" s="1041"/>
      <c r="NGG46" s="1041"/>
      <c r="NGH46" s="1041"/>
      <c r="NGI46" s="1041"/>
      <c r="NGJ46" s="1041"/>
      <c r="NGK46" s="1041"/>
      <c r="NGL46" s="1041"/>
      <c r="NGM46" s="1041"/>
      <c r="NGN46" s="1041"/>
      <c r="NGO46" s="1041"/>
      <c r="NGP46" s="1041"/>
      <c r="NGQ46" s="1041"/>
      <c r="NGR46" s="1041"/>
      <c r="NGS46" s="1041"/>
      <c r="NGT46" s="1041"/>
      <c r="NGU46" s="1041"/>
      <c r="NGV46" s="1041"/>
      <c r="NGW46" s="1041"/>
      <c r="NGX46" s="1041"/>
      <c r="NGY46" s="1041"/>
      <c r="NGZ46" s="1041"/>
      <c r="NHA46" s="1041"/>
      <c r="NHB46" s="1041"/>
      <c r="NHC46" s="1041"/>
      <c r="NHD46" s="1041"/>
      <c r="NHE46" s="1041"/>
      <c r="NHF46" s="1041"/>
      <c r="NHG46" s="1041"/>
      <c r="NHH46" s="1041"/>
      <c r="NHI46" s="1041"/>
      <c r="NHJ46" s="1041"/>
      <c r="NHK46" s="1041"/>
      <c r="NHL46" s="1041"/>
      <c r="NHM46" s="1041"/>
      <c r="NHN46" s="1041"/>
      <c r="NHO46" s="1041"/>
      <c r="NHP46" s="1041"/>
      <c r="NHQ46" s="1041"/>
      <c r="NHR46" s="1041"/>
      <c r="NHS46" s="1041"/>
      <c r="NHT46" s="1041"/>
      <c r="NHU46" s="1041"/>
      <c r="NHV46" s="1041"/>
      <c r="NHW46" s="1041"/>
      <c r="NHX46" s="1041"/>
      <c r="NHY46" s="1041"/>
      <c r="NHZ46" s="1041"/>
      <c r="NIA46" s="1041"/>
      <c r="NIB46" s="1041"/>
      <c r="NIC46" s="1041"/>
      <c r="NID46" s="1041"/>
      <c r="NIE46" s="1041"/>
      <c r="NIF46" s="1041"/>
      <c r="NIG46" s="1041"/>
      <c r="NIH46" s="1041"/>
      <c r="NII46" s="1041"/>
      <c r="NIJ46" s="1041"/>
      <c r="NIK46" s="1041"/>
      <c r="NIL46" s="1041"/>
      <c r="NIM46" s="1041"/>
      <c r="NIN46" s="1041"/>
      <c r="NIO46" s="1041"/>
      <c r="NIP46" s="1041"/>
      <c r="NIQ46" s="1041"/>
      <c r="NIR46" s="1041"/>
      <c r="NIS46" s="1041"/>
      <c r="NIT46" s="1041"/>
      <c r="NIU46" s="1041"/>
      <c r="NIV46" s="1041"/>
      <c r="NIW46" s="1041"/>
      <c r="NIX46" s="1041"/>
      <c r="NIY46" s="1041"/>
      <c r="NIZ46" s="1041"/>
      <c r="NJA46" s="1041"/>
      <c r="NJB46" s="1041"/>
      <c r="NJC46" s="1041"/>
      <c r="NJD46" s="1041"/>
      <c r="NJE46" s="1041"/>
      <c r="NJF46" s="1041"/>
      <c r="NJG46" s="1041"/>
      <c r="NJH46" s="1041"/>
      <c r="NJI46" s="1041"/>
      <c r="NJJ46" s="1041"/>
      <c r="NJK46" s="1041"/>
      <c r="NJL46" s="1041"/>
      <c r="NJM46" s="1041"/>
      <c r="NJN46" s="1041"/>
      <c r="NJO46" s="1041"/>
      <c r="NJP46" s="1041"/>
      <c r="NJQ46" s="1041"/>
      <c r="NJR46" s="1041"/>
      <c r="NJS46" s="1041"/>
      <c r="NJT46" s="1041"/>
      <c r="NJU46" s="1041"/>
      <c r="NJV46" s="1041"/>
      <c r="NJW46" s="1041"/>
      <c r="NJX46" s="1041"/>
      <c r="NJY46" s="1041"/>
      <c r="NJZ46" s="1041"/>
      <c r="NKA46" s="1041"/>
      <c r="NKB46" s="1041"/>
      <c r="NKC46" s="1041"/>
      <c r="NKD46" s="1041"/>
      <c r="NKE46" s="1041"/>
      <c r="NKF46" s="1041"/>
      <c r="NKG46" s="1041"/>
      <c r="NKH46" s="1041"/>
      <c r="NKI46" s="1041"/>
      <c r="NKJ46" s="1041"/>
      <c r="NKK46" s="1041"/>
      <c r="NKL46" s="1041"/>
      <c r="NKM46" s="1041"/>
      <c r="NKN46" s="1041"/>
      <c r="NKO46" s="1041"/>
      <c r="NKP46" s="1041"/>
      <c r="NKQ46" s="1041"/>
      <c r="NKR46" s="1041"/>
      <c r="NKS46" s="1041"/>
      <c r="NKT46" s="1041"/>
      <c r="NKU46" s="1041"/>
      <c r="NKV46" s="1041"/>
      <c r="NKW46" s="1041"/>
      <c r="NKX46" s="1041"/>
      <c r="NKY46" s="1041"/>
      <c r="NKZ46" s="1041"/>
      <c r="NLA46" s="1041"/>
      <c r="NLB46" s="1041"/>
      <c r="NLC46" s="1041"/>
      <c r="NLD46" s="1041"/>
      <c r="NLE46" s="1041"/>
      <c r="NLF46" s="1041"/>
      <c r="NLG46" s="1041"/>
      <c r="NLH46" s="1041"/>
      <c r="NLI46" s="1041"/>
      <c r="NLJ46" s="1041"/>
      <c r="NLK46" s="1041"/>
      <c r="NLL46" s="1041"/>
      <c r="NLM46" s="1041"/>
      <c r="NLN46" s="1041"/>
      <c r="NLO46" s="1041"/>
      <c r="NLP46" s="1041"/>
      <c r="NLQ46" s="1041"/>
      <c r="NLR46" s="1041"/>
      <c r="NLS46" s="1041"/>
      <c r="NLT46" s="1041"/>
      <c r="NLU46" s="1041"/>
      <c r="NLV46" s="1041"/>
      <c r="NLW46" s="1041"/>
      <c r="NLX46" s="1041"/>
      <c r="NLY46" s="1041"/>
      <c r="NLZ46" s="1041"/>
      <c r="NMA46" s="1041"/>
      <c r="NMB46" s="1041"/>
      <c r="NMC46" s="1041"/>
      <c r="NMD46" s="1041"/>
      <c r="NME46" s="1041"/>
      <c r="NMF46" s="1041"/>
      <c r="NMG46" s="1041"/>
      <c r="NMH46" s="1041"/>
      <c r="NMI46" s="1041"/>
      <c r="NMJ46" s="1041"/>
      <c r="NMK46" s="1041"/>
      <c r="NML46" s="1041"/>
      <c r="NMM46" s="1041"/>
      <c r="NMN46" s="1041"/>
      <c r="NMO46" s="1041"/>
      <c r="NMP46" s="1041"/>
      <c r="NMQ46" s="1041"/>
      <c r="NMR46" s="1041"/>
      <c r="NMS46" s="1041"/>
      <c r="NMT46" s="1041"/>
      <c r="NMU46" s="1041"/>
      <c r="NMV46" s="1041"/>
      <c r="NMW46" s="1041"/>
      <c r="NMX46" s="1041"/>
      <c r="NMY46" s="1041"/>
      <c r="NMZ46" s="1041"/>
      <c r="NNA46" s="1041"/>
      <c r="NNB46" s="1041"/>
      <c r="NNC46" s="1041"/>
      <c r="NND46" s="1041"/>
      <c r="NNE46" s="1041"/>
      <c r="NNF46" s="1041"/>
      <c r="NNG46" s="1041"/>
      <c r="NNH46" s="1041"/>
      <c r="NNI46" s="1041"/>
      <c r="NNJ46" s="1041"/>
      <c r="NNK46" s="1041"/>
      <c r="NNL46" s="1041"/>
      <c r="NNM46" s="1041"/>
      <c r="NNN46" s="1041"/>
      <c r="NNO46" s="1041"/>
      <c r="NNP46" s="1041"/>
      <c r="NNQ46" s="1041"/>
      <c r="NNR46" s="1041"/>
      <c r="NNS46" s="1041"/>
      <c r="NNT46" s="1041"/>
      <c r="NNU46" s="1041"/>
      <c r="NNV46" s="1041"/>
      <c r="NNW46" s="1041"/>
      <c r="NNX46" s="1041"/>
      <c r="NNY46" s="1041"/>
      <c r="NNZ46" s="1041"/>
      <c r="NOA46" s="1041"/>
      <c r="NOB46" s="1041"/>
      <c r="NOC46" s="1041"/>
      <c r="NOD46" s="1041"/>
      <c r="NOE46" s="1041"/>
      <c r="NOF46" s="1041"/>
      <c r="NOG46" s="1041"/>
      <c r="NOH46" s="1041"/>
      <c r="NOI46" s="1041"/>
      <c r="NOJ46" s="1041"/>
      <c r="NOK46" s="1041"/>
      <c r="NOL46" s="1041"/>
      <c r="NOM46" s="1041"/>
      <c r="NON46" s="1041"/>
      <c r="NOO46" s="1041"/>
      <c r="NOP46" s="1041"/>
      <c r="NOQ46" s="1041"/>
      <c r="NOR46" s="1041"/>
      <c r="NOS46" s="1041"/>
      <c r="NOT46" s="1041"/>
      <c r="NOU46" s="1041"/>
      <c r="NOV46" s="1041"/>
      <c r="NOW46" s="1041"/>
      <c r="NOX46" s="1041"/>
      <c r="NOY46" s="1041"/>
      <c r="NOZ46" s="1041"/>
      <c r="NPA46" s="1041"/>
      <c r="NPB46" s="1041"/>
      <c r="NPC46" s="1041"/>
      <c r="NPD46" s="1041"/>
      <c r="NPE46" s="1041"/>
      <c r="NPF46" s="1041"/>
      <c r="NPG46" s="1041"/>
      <c r="NPH46" s="1041"/>
      <c r="NPI46" s="1041"/>
      <c r="NPJ46" s="1041"/>
      <c r="NPK46" s="1041"/>
      <c r="NPL46" s="1041"/>
      <c r="NPM46" s="1041"/>
      <c r="NPN46" s="1041"/>
      <c r="NPO46" s="1041"/>
      <c r="NPP46" s="1041"/>
      <c r="NPQ46" s="1041"/>
      <c r="NPR46" s="1041"/>
      <c r="NPS46" s="1041"/>
      <c r="NPT46" s="1041"/>
      <c r="NPU46" s="1041"/>
      <c r="NPV46" s="1041"/>
      <c r="NPW46" s="1041"/>
      <c r="NPX46" s="1041"/>
      <c r="NPY46" s="1041"/>
      <c r="NPZ46" s="1041"/>
      <c r="NQA46" s="1041"/>
      <c r="NQB46" s="1041"/>
      <c r="NQC46" s="1041"/>
      <c r="NQD46" s="1041"/>
      <c r="NQE46" s="1041"/>
      <c r="NQF46" s="1041"/>
      <c r="NQG46" s="1041"/>
      <c r="NQH46" s="1041"/>
      <c r="NQI46" s="1041"/>
      <c r="NQJ46" s="1041"/>
      <c r="NQK46" s="1041"/>
      <c r="NQL46" s="1041"/>
      <c r="NQM46" s="1041"/>
      <c r="NQN46" s="1041"/>
      <c r="NQO46" s="1041"/>
      <c r="NQP46" s="1041"/>
      <c r="NQQ46" s="1041"/>
      <c r="NQR46" s="1041"/>
      <c r="NQS46" s="1041"/>
      <c r="NQT46" s="1041"/>
      <c r="NQU46" s="1041"/>
      <c r="NQV46" s="1041"/>
      <c r="NQW46" s="1041"/>
      <c r="NQX46" s="1041"/>
      <c r="NQY46" s="1041"/>
      <c r="NQZ46" s="1041"/>
      <c r="NRA46" s="1041"/>
      <c r="NRB46" s="1041"/>
      <c r="NRC46" s="1041"/>
      <c r="NRD46" s="1041"/>
      <c r="NRE46" s="1041"/>
      <c r="NRF46" s="1041"/>
      <c r="NRG46" s="1041"/>
      <c r="NRH46" s="1041"/>
      <c r="NRI46" s="1041"/>
      <c r="NRJ46" s="1041"/>
      <c r="NRK46" s="1041"/>
      <c r="NRL46" s="1041"/>
      <c r="NRM46" s="1041"/>
      <c r="NRN46" s="1041"/>
      <c r="NRO46" s="1041"/>
      <c r="NRP46" s="1041"/>
      <c r="NRQ46" s="1041"/>
      <c r="NRR46" s="1041"/>
      <c r="NRS46" s="1041"/>
      <c r="NRT46" s="1041"/>
      <c r="NRU46" s="1041"/>
      <c r="NRV46" s="1041"/>
      <c r="NRW46" s="1041"/>
      <c r="NRX46" s="1041"/>
      <c r="NRY46" s="1041"/>
      <c r="NRZ46" s="1041"/>
      <c r="NSA46" s="1041"/>
      <c r="NSB46" s="1041"/>
      <c r="NSC46" s="1041"/>
      <c r="NSD46" s="1041"/>
      <c r="NSE46" s="1041"/>
      <c r="NSF46" s="1041"/>
      <c r="NSG46" s="1041"/>
      <c r="NSH46" s="1041"/>
      <c r="NSI46" s="1041"/>
      <c r="NSJ46" s="1041"/>
      <c r="NSK46" s="1041"/>
      <c r="NSL46" s="1041"/>
      <c r="NSM46" s="1041"/>
      <c r="NSN46" s="1041"/>
      <c r="NSO46" s="1041"/>
      <c r="NSP46" s="1041"/>
      <c r="NSQ46" s="1041"/>
      <c r="NSR46" s="1041"/>
      <c r="NSS46" s="1041"/>
      <c r="NST46" s="1041"/>
      <c r="NSU46" s="1041"/>
      <c r="NSV46" s="1041"/>
      <c r="NSW46" s="1041"/>
      <c r="NSX46" s="1041"/>
      <c r="NSY46" s="1041"/>
      <c r="NSZ46" s="1041"/>
      <c r="NTA46" s="1041"/>
      <c r="NTB46" s="1041"/>
      <c r="NTC46" s="1041"/>
      <c r="NTD46" s="1041"/>
      <c r="NTE46" s="1041"/>
      <c r="NTF46" s="1041"/>
      <c r="NTG46" s="1041"/>
      <c r="NTH46" s="1041"/>
      <c r="NTI46" s="1041"/>
      <c r="NTJ46" s="1041"/>
      <c r="NTK46" s="1041"/>
      <c r="NTL46" s="1041"/>
      <c r="NTM46" s="1041"/>
      <c r="NTN46" s="1041"/>
      <c r="NTO46" s="1041"/>
      <c r="NTP46" s="1041"/>
      <c r="NTQ46" s="1041"/>
      <c r="NTR46" s="1041"/>
      <c r="NTS46" s="1041"/>
      <c r="NTT46" s="1041"/>
      <c r="NTU46" s="1041"/>
      <c r="NTV46" s="1041"/>
      <c r="NTW46" s="1041"/>
      <c r="NTX46" s="1041"/>
      <c r="NTY46" s="1041"/>
      <c r="NTZ46" s="1041"/>
      <c r="NUA46" s="1041"/>
      <c r="NUB46" s="1041"/>
      <c r="NUC46" s="1041"/>
      <c r="NUD46" s="1041"/>
      <c r="NUE46" s="1041"/>
      <c r="NUF46" s="1041"/>
      <c r="NUG46" s="1041"/>
      <c r="NUH46" s="1041"/>
      <c r="NUI46" s="1041"/>
      <c r="NUJ46" s="1041"/>
      <c r="NUK46" s="1041"/>
      <c r="NUL46" s="1041"/>
      <c r="NUM46" s="1041"/>
      <c r="NUN46" s="1041"/>
      <c r="NUO46" s="1041"/>
      <c r="NUP46" s="1041"/>
      <c r="NUQ46" s="1041"/>
      <c r="NUR46" s="1041"/>
      <c r="NUS46" s="1041"/>
      <c r="NUT46" s="1041"/>
      <c r="NUU46" s="1041"/>
      <c r="NUV46" s="1041"/>
      <c r="NUW46" s="1041"/>
      <c r="NUX46" s="1041"/>
      <c r="NUY46" s="1041"/>
      <c r="NUZ46" s="1041"/>
      <c r="NVA46" s="1041"/>
      <c r="NVB46" s="1041"/>
      <c r="NVC46" s="1041"/>
      <c r="NVD46" s="1041"/>
      <c r="NVE46" s="1041"/>
      <c r="NVF46" s="1041"/>
      <c r="NVG46" s="1041"/>
      <c r="NVH46" s="1041"/>
      <c r="NVI46" s="1041"/>
      <c r="NVJ46" s="1041"/>
      <c r="NVK46" s="1041"/>
      <c r="NVL46" s="1041"/>
      <c r="NVM46" s="1041"/>
      <c r="NVN46" s="1041"/>
      <c r="NVO46" s="1041"/>
      <c r="NVP46" s="1041"/>
      <c r="NVQ46" s="1041"/>
      <c r="NVR46" s="1041"/>
      <c r="NVS46" s="1041"/>
      <c r="NVT46" s="1041"/>
      <c r="NVU46" s="1041"/>
      <c r="NVV46" s="1041"/>
      <c r="NVW46" s="1041"/>
      <c r="NVX46" s="1041"/>
      <c r="NVY46" s="1041"/>
      <c r="NVZ46" s="1041"/>
      <c r="NWA46" s="1041"/>
      <c r="NWB46" s="1041"/>
      <c r="NWC46" s="1041"/>
      <c r="NWD46" s="1041"/>
      <c r="NWE46" s="1041"/>
      <c r="NWF46" s="1041"/>
      <c r="NWG46" s="1041"/>
      <c r="NWH46" s="1041"/>
      <c r="NWI46" s="1041"/>
      <c r="NWJ46" s="1041"/>
      <c r="NWK46" s="1041"/>
      <c r="NWL46" s="1041"/>
      <c r="NWM46" s="1041"/>
      <c r="NWN46" s="1041"/>
      <c r="NWO46" s="1041"/>
      <c r="NWP46" s="1041"/>
      <c r="NWQ46" s="1041"/>
      <c r="NWR46" s="1041"/>
      <c r="NWS46" s="1041"/>
      <c r="NWT46" s="1041"/>
      <c r="NWU46" s="1041"/>
      <c r="NWV46" s="1041"/>
      <c r="NWW46" s="1041"/>
      <c r="NWX46" s="1041"/>
      <c r="NWY46" s="1041"/>
      <c r="NWZ46" s="1041"/>
      <c r="NXA46" s="1041"/>
      <c r="NXB46" s="1041"/>
      <c r="NXC46" s="1041"/>
      <c r="NXD46" s="1041"/>
      <c r="NXE46" s="1041"/>
      <c r="NXF46" s="1041"/>
      <c r="NXG46" s="1041"/>
      <c r="NXH46" s="1041"/>
      <c r="NXI46" s="1041"/>
      <c r="NXJ46" s="1041"/>
      <c r="NXK46" s="1041"/>
      <c r="NXL46" s="1041"/>
      <c r="NXM46" s="1041"/>
      <c r="NXN46" s="1041"/>
      <c r="NXO46" s="1041"/>
      <c r="NXP46" s="1041"/>
      <c r="NXQ46" s="1041"/>
      <c r="NXR46" s="1041"/>
      <c r="NXS46" s="1041"/>
      <c r="NXT46" s="1041"/>
      <c r="NXU46" s="1041"/>
      <c r="NXV46" s="1041"/>
      <c r="NXW46" s="1041"/>
      <c r="NXX46" s="1041"/>
      <c r="NXY46" s="1041"/>
      <c r="NXZ46" s="1041"/>
      <c r="NYA46" s="1041"/>
      <c r="NYB46" s="1041"/>
      <c r="NYC46" s="1041"/>
      <c r="NYD46" s="1041"/>
      <c r="NYE46" s="1041"/>
      <c r="NYF46" s="1041"/>
      <c r="NYG46" s="1041"/>
      <c r="NYH46" s="1041"/>
      <c r="NYI46" s="1041"/>
      <c r="NYJ46" s="1041"/>
      <c r="NYK46" s="1041"/>
      <c r="NYL46" s="1041"/>
      <c r="NYM46" s="1041"/>
      <c r="NYN46" s="1041"/>
      <c r="NYO46" s="1041"/>
      <c r="NYP46" s="1041"/>
      <c r="NYQ46" s="1041"/>
      <c r="NYR46" s="1041"/>
      <c r="NYS46" s="1041"/>
      <c r="NYT46" s="1041"/>
      <c r="NYU46" s="1041"/>
      <c r="NYV46" s="1041"/>
      <c r="NYW46" s="1041"/>
      <c r="NYX46" s="1041"/>
      <c r="NYY46" s="1041"/>
      <c r="NYZ46" s="1041"/>
      <c r="NZA46" s="1041"/>
      <c r="NZB46" s="1041"/>
      <c r="NZC46" s="1041"/>
      <c r="NZD46" s="1041"/>
      <c r="NZE46" s="1041"/>
      <c r="NZF46" s="1041"/>
      <c r="NZG46" s="1041"/>
      <c r="NZH46" s="1041"/>
      <c r="NZI46" s="1041"/>
      <c r="NZJ46" s="1041"/>
      <c r="NZK46" s="1041"/>
      <c r="NZL46" s="1041"/>
      <c r="NZM46" s="1041"/>
      <c r="NZN46" s="1041"/>
      <c r="NZO46" s="1041"/>
      <c r="NZP46" s="1041"/>
      <c r="NZQ46" s="1041"/>
      <c r="NZR46" s="1041"/>
      <c r="NZS46" s="1041"/>
      <c r="NZT46" s="1041"/>
      <c r="NZU46" s="1041"/>
      <c r="NZV46" s="1041"/>
      <c r="NZW46" s="1041"/>
      <c r="NZX46" s="1041"/>
      <c r="NZY46" s="1041"/>
      <c r="NZZ46" s="1041"/>
      <c r="OAA46" s="1041"/>
      <c r="OAB46" s="1041"/>
      <c r="OAC46" s="1041"/>
      <c r="OAD46" s="1041"/>
      <c r="OAE46" s="1041"/>
      <c r="OAF46" s="1041"/>
      <c r="OAG46" s="1041"/>
      <c r="OAH46" s="1041"/>
      <c r="OAI46" s="1041"/>
      <c r="OAJ46" s="1041"/>
      <c r="OAK46" s="1041"/>
      <c r="OAL46" s="1041"/>
      <c r="OAM46" s="1041"/>
      <c r="OAN46" s="1041"/>
      <c r="OAO46" s="1041"/>
      <c r="OAP46" s="1041"/>
      <c r="OAQ46" s="1041"/>
      <c r="OAR46" s="1041"/>
      <c r="OAS46" s="1041"/>
      <c r="OAT46" s="1041"/>
      <c r="OAU46" s="1041"/>
      <c r="OAV46" s="1041"/>
      <c r="OAW46" s="1041"/>
      <c r="OAX46" s="1041"/>
      <c r="OAY46" s="1041"/>
      <c r="OAZ46" s="1041"/>
      <c r="OBA46" s="1041"/>
      <c r="OBB46" s="1041"/>
      <c r="OBC46" s="1041"/>
      <c r="OBD46" s="1041"/>
      <c r="OBE46" s="1041"/>
      <c r="OBF46" s="1041"/>
      <c r="OBG46" s="1041"/>
      <c r="OBH46" s="1041"/>
      <c r="OBI46" s="1041"/>
      <c r="OBJ46" s="1041"/>
      <c r="OBK46" s="1041"/>
      <c r="OBL46" s="1041"/>
      <c r="OBM46" s="1041"/>
      <c r="OBN46" s="1041"/>
      <c r="OBO46" s="1041"/>
      <c r="OBP46" s="1041"/>
      <c r="OBQ46" s="1041"/>
      <c r="OBR46" s="1041"/>
      <c r="OBS46" s="1041"/>
      <c r="OBT46" s="1041"/>
      <c r="OBU46" s="1041"/>
      <c r="OBV46" s="1041"/>
      <c r="OBW46" s="1041"/>
      <c r="OBX46" s="1041"/>
      <c r="OBY46" s="1041"/>
      <c r="OBZ46" s="1041"/>
      <c r="OCA46" s="1041"/>
      <c r="OCB46" s="1041"/>
      <c r="OCC46" s="1041"/>
      <c r="OCD46" s="1041"/>
      <c r="OCE46" s="1041"/>
      <c r="OCF46" s="1041"/>
      <c r="OCG46" s="1041"/>
      <c r="OCH46" s="1041"/>
      <c r="OCI46" s="1041"/>
      <c r="OCJ46" s="1041"/>
      <c r="OCK46" s="1041"/>
      <c r="OCL46" s="1041"/>
      <c r="OCM46" s="1041"/>
      <c r="OCN46" s="1041"/>
      <c r="OCO46" s="1041"/>
      <c r="OCP46" s="1041"/>
      <c r="OCQ46" s="1041"/>
      <c r="OCR46" s="1041"/>
      <c r="OCS46" s="1041"/>
      <c r="OCT46" s="1041"/>
      <c r="OCU46" s="1041"/>
      <c r="OCV46" s="1041"/>
      <c r="OCW46" s="1041"/>
      <c r="OCX46" s="1041"/>
      <c r="OCY46" s="1041"/>
      <c r="OCZ46" s="1041"/>
      <c r="ODA46" s="1041"/>
      <c r="ODB46" s="1041"/>
      <c r="ODC46" s="1041"/>
      <c r="ODD46" s="1041"/>
      <c r="ODE46" s="1041"/>
      <c r="ODF46" s="1041"/>
      <c r="ODG46" s="1041"/>
      <c r="ODH46" s="1041"/>
      <c r="ODI46" s="1041"/>
      <c r="ODJ46" s="1041"/>
      <c r="ODK46" s="1041"/>
      <c r="ODL46" s="1041"/>
      <c r="ODM46" s="1041"/>
      <c r="ODN46" s="1041"/>
      <c r="ODO46" s="1041"/>
      <c r="ODP46" s="1041"/>
      <c r="ODQ46" s="1041"/>
      <c r="ODR46" s="1041"/>
      <c r="ODS46" s="1041"/>
      <c r="ODT46" s="1041"/>
      <c r="ODU46" s="1041"/>
      <c r="ODV46" s="1041"/>
      <c r="ODW46" s="1041"/>
      <c r="ODX46" s="1041"/>
      <c r="ODY46" s="1041"/>
      <c r="ODZ46" s="1041"/>
      <c r="OEA46" s="1041"/>
      <c r="OEB46" s="1041"/>
      <c r="OEC46" s="1041"/>
      <c r="OED46" s="1041"/>
      <c r="OEE46" s="1041"/>
      <c r="OEF46" s="1041"/>
      <c r="OEG46" s="1041"/>
      <c r="OEH46" s="1041"/>
      <c r="OEI46" s="1041"/>
      <c r="OEJ46" s="1041"/>
      <c r="OEK46" s="1041"/>
      <c r="OEL46" s="1041"/>
      <c r="OEM46" s="1041"/>
      <c r="OEN46" s="1041"/>
      <c r="OEO46" s="1041"/>
      <c r="OEP46" s="1041"/>
      <c r="OEQ46" s="1041"/>
      <c r="OER46" s="1041"/>
      <c r="OES46" s="1041"/>
      <c r="OET46" s="1041"/>
      <c r="OEU46" s="1041"/>
      <c r="OEV46" s="1041"/>
      <c r="OEW46" s="1041"/>
      <c r="OEX46" s="1041"/>
      <c r="OEY46" s="1041"/>
      <c r="OEZ46" s="1041"/>
      <c r="OFA46" s="1041"/>
      <c r="OFB46" s="1041"/>
      <c r="OFC46" s="1041"/>
      <c r="OFD46" s="1041"/>
      <c r="OFE46" s="1041"/>
      <c r="OFF46" s="1041"/>
      <c r="OFG46" s="1041"/>
      <c r="OFH46" s="1041"/>
      <c r="OFI46" s="1041"/>
      <c r="OFJ46" s="1041"/>
      <c r="OFK46" s="1041"/>
      <c r="OFL46" s="1041"/>
      <c r="OFM46" s="1041"/>
      <c r="OFN46" s="1041"/>
      <c r="OFO46" s="1041"/>
      <c r="OFP46" s="1041"/>
      <c r="OFQ46" s="1041"/>
      <c r="OFR46" s="1041"/>
      <c r="OFS46" s="1041"/>
      <c r="OFT46" s="1041"/>
      <c r="OFU46" s="1041"/>
      <c r="OFV46" s="1041"/>
      <c r="OFW46" s="1041"/>
      <c r="OFX46" s="1041"/>
      <c r="OFY46" s="1041"/>
      <c r="OFZ46" s="1041"/>
      <c r="OGA46" s="1041"/>
      <c r="OGB46" s="1041"/>
      <c r="OGC46" s="1041"/>
      <c r="OGD46" s="1041"/>
      <c r="OGE46" s="1041"/>
      <c r="OGF46" s="1041"/>
      <c r="OGG46" s="1041"/>
      <c r="OGH46" s="1041"/>
      <c r="OGI46" s="1041"/>
      <c r="OGJ46" s="1041"/>
      <c r="OGK46" s="1041"/>
      <c r="OGL46" s="1041"/>
      <c r="OGM46" s="1041"/>
      <c r="OGN46" s="1041"/>
      <c r="OGO46" s="1041"/>
      <c r="OGP46" s="1041"/>
      <c r="OGQ46" s="1041"/>
      <c r="OGR46" s="1041"/>
      <c r="OGS46" s="1041"/>
      <c r="OGT46" s="1041"/>
      <c r="OGU46" s="1041"/>
      <c r="OGV46" s="1041"/>
      <c r="OGW46" s="1041"/>
      <c r="OGX46" s="1041"/>
      <c r="OGY46" s="1041"/>
      <c r="OGZ46" s="1041"/>
      <c r="OHA46" s="1041"/>
      <c r="OHB46" s="1041"/>
      <c r="OHC46" s="1041"/>
      <c r="OHD46" s="1041"/>
      <c r="OHE46" s="1041"/>
      <c r="OHF46" s="1041"/>
      <c r="OHG46" s="1041"/>
      <c r="OHH46" s="1041"/>
      <c r="OHI46" s="1041"/>
      <c r="OHJ46" s="1041"/>
      <c r="OHK46" s="1041"/>
      <c r="OHL46" s="1041"/>
      <c r="OHM46" s="1041"/>
      <c r="OHN46" s="1041"/>
      <c r="OHO46" s="1041"/>
      <c r="OHP46" s="1041"/>
      <c r="OHQ46" s="1041"/>
      <c r="OHR46" s="1041"/>
      <c r="OHS46" s="1041"/>
      <c r="OHT46" s="1041"/>
      <c r="OHU46" s="1041"/>
      <c r="OHV46" s="1041"/>
      <c r="OHW46" s="1041"/>
      <c r="OHX46" s="1041"/>
      <c r="OHY46" s="1041"/>
      <c r="OHZ46" s="1041"/>
      <c r="OIA46" s="1041"/>
      <c r="OIB46" s="1041"/>
      <c r="OIC46" s="1041"/>
      <c r="OID46" s="1041"/>
      <c r="OIE46" s="1041"/>
      <c r="OIF46" s="1041"/>
      <c r="OIG46" s="1041"/>
      <c r="OIH46" s="1041"/>
      <c r="OII46" s="1041"/>
      <c r="OIJ46" s="1041"/>
      <c r="OIK46" s="1041"/>
      <c r="OIL46" s="1041"/>
      <c r="OIM46" s="1041"/>
      <c r="OIN46" s="1041"/>
      <c r="OIO46" s="1041"/>
      <c r="OIP46" s="1041"/>
      <c r="OIQ46" s="1041"/>
      <c r="OIR46" s="1041"/>
      <c r="OIS46" s="1041"/>
      <c r="OIT46" s="1041"/>
      <c r="OIU46" s="1041"/>
      <c r="OIV46" s="1041"/>
      <c r="OIW46" s="1041"/>
      <c r="OIX46" s="1041"/>
      <c r="OIY46" s="1041"/>
      <c r="OIZ46" s="1041"/>
      <c r="OJA46" s="1041"/>
      <c r="OJB46" s="1041"/>
      <c r="OJC46" s="1041"/>
      <c r="OJD46" s="1041"/>
      <c r="OJE46" s="1041"/>
      <c r="OJF46" s="1041"/>
      <c r="OJG46" s="1041"/>
      <c r="OJH46" s="1041"/>
      <c r="OJI46" s="1041"/>
      <c r="OJJ46" s="1041"/>
      <c r="OJK46" s="1041"/>
      <c r="OJL46" s="1041"/>
      <c r="OJM46" s="1041"/>
      <c r="OJN46" s="1041"/>
      <c r="OJO46" s="1041"/>
      <c r="OJP46" s="1041"/>
      <c r="OJQ46" s="1041"/>
      <c r="OJR46" s="1041"/>
      <c r="OJS46" s="1041"/>
      <c r="OJT46" s="1041"/>
      <c r="OJU46" s="1041"/>
      <c r="OJV46" s="1041"/>
      <c r="OJW46" s="1041"/>
      <c r="OJX46" s="1041"/>
      <c r="OJY46" s="1041"/>
      <c r="OJZ46" s="1041"/>
      <c r="OKA46" s="1041"/>
      <c r="OKB46" s="1041"/>
      <c r="OKC46" s="1041"/>
      <c r="OKD46" s="1041"/>
      <c r="OKE46" s="1041"/>
      <c r="OKF46" s="1041"/>
      <c r="OKG46" s="1041"/>
      <c r="OKH46" s="1041"/>
      <c r="OKI46" s="1041"/>
      <c r="OKJ46" s="1041"/>
      <c r="OKK46" s="1041"/>
      <c r="OKL46" s="1041"/>
      <c r="OKM46" s="1041"/>
      <c r="OKN46" s="1041"/>
      <c r="OKO46" s="1041"/>
      <c r="OKP46" s="1041"/>
      <c r="OKQ46" s="1041"/>
      <c r="OKR46" s="1041"/>
      <c r="OKS46" s="1041"/>
      <c r="OKT46" s="1041"/>
      <c r="OKU46" s="1041"/>
      <c r="OKV46" s="1041"/>
      <c r="OKW46" s="1041"/>
      <c r="OKX46" s="1041"/>
      <c r="OKY46" s="1041"/>
      <c r="OKZ46" s="1041"/>
      <c r="OLA46" s="1041"/>
      <c r="OLB46" s="1041"/>
      <c r="OLC46" s="1041"/>
      <c r="OLD46" s="1041"/>
      <c r="OLE46" s="1041"/>
      <c r="OLF46" s="1041"/>
      <c r="OLG46" s="1041"/>
      <c r="OLH46" s="1041"/>
      <c r="OLI46" s="1041"/>
      <c r="OLJ46" s="1041"/>
      <c r="OLK46" s="1041"/>
      <c r="OLL46" s="1041"/>
      <c r="OLM46" s="1041"/>
      <c r="OLN46" s="1041"/>
      <c r="OLO46" s="1041"/>
      <c r="OLP46" s="1041"/>
      <c r="OLQ46" s="1041"/>
      <c r="OLR46" s="1041"/>
      <c r="OLS46" s="1041"/>
      <c r="OLT46" s="1041"/>
      <c r="OLU46" s="1041"/>
      <c r="OLV46" s="1041"/>
      <c r="OLW46" s="1041"/>
      <c r="OLX46" s="1041"/>
      <c r="OLY46" s="1041"/>
      <c r="OLZ46" s="1041"/>
      <c r="OMA46" s="1041"/>
      <c r="OMB46" s="1041"/>
      <c r="OMC46" s="1041"/>
      <c r="OMD46" s="1041"/>
      <c r="OME46" s="1041"/>
      <c r="OMF46" s="1041"/>
      <c r="OMG46" s="1041"/>
      <c r="OMH46" s="1041"/>
      <c r="OMI46" s="1041"/>
      <c r="OMJ46" s="1041"/>
      <c r="OMK46" s="1041"/>
      <c r="OML46" s="1041"/>
      <c r="OMM46" s="1041"/>
      <c r="OMN46" s="1041"/>
      <c r="OMO46" s="1041"/>
      <c r="OMP46" s="1041"/>
      <c r="OMQ46" s="1041"/>
      <c r="OMR46" s="1041"/>
      <c r="OMS46" s="1041"/>
      <c r="OMT46" s="1041"/>
      <c r="OMU46" s="1041"/>
      <c r="OMV46" s="1041"/>
      <c r="OMW46" s="1041"/>
      <c r="OMX46" s="1041"/>
      <c r="OMY46" s="1041"/>
      <c r="OMZ46" s="1041"/>
      <c r="ONA46" s="1041"/>
      <c r="ONB46" s="1041"/>
      <c r="ONC46" s="1041"/>
      <c r="OND46" s="1041"/>
      <c r="ONE46" s="1041"/>
      <c r="ONF46" s="1041"/>
      <c r="ONG46" s="1041"/>
      <c r="ONH46" s="1041"/>
      <c r="ONI46" s="1041"/>
      <c r="ONJ46" s="1041"/>
      <c r="ONK46" s="1041"/>
      <c r="ONL46" s="1041"/>
      <c r="ONM46" s="1041"/>
      <c r="ONN46" s="1041"/>
      <c r="ONO46" s="1041"/>
      <c r="ONP46" s="1041"/>
      <c r="ONQ46" s="1041"/>
      <c r="ONR46" s="1041"/>
      <c r="ONS46" s="1041"/>
      <c r="ONT46" s="1041"/>
      <c r="ONU46" s="1041"/>
      <c r="ONV46" s="1041"/>
      <c r="ONW46" s="1041"/>
      <c r="ONX46" s="1041"/>
      <c r="ONY46" s="1041"/>
      <c r="ONZ46" s="1041"/>
      <c r="OOA46" s="1041"/>
      <c r="OOB46" s="1041"/>
      <c r="OOC46" s="1041"/>
      <c r="OOD46" s="1041"/>
      <c r="OOE46" s="1041"/>
      <c r="OOF46" s="1041"/>
      <c r="OOG46" s="1041"/>
      <c r="OOH46" s="1041"/>
      <c r="OOI46" s="1041"/>
      <c r="OOJ46" s="1041"/>
      <c r="OOK46" s="1041"/>
      <c r="OOL46" s="1041"/>
      <c r="OOM46" s="1041"/>
      <c r="OON46" s="1041"/>
      <c r="OOO46" s="1041"/>
      <c r="OOP46" s="1041"/>
      <c r="OOQ46" s="1041"/>
      <c r="OOR46" s="1041"/>
      <c r="OOS46" s="1041"/>
      <c r="OOT46" s="1041"/>
      <c r="OOU46" s="1041"/>
      <c r="OOV46" s="1041"/>
      <c r="OOW46" s="1041"/>
      <c r="OOX46" s="1041"/>
      <c r="OOY46" s="1041"/>
      <c r="OOZ46" s="1041"/>
      <c r="OPA46" s="1041"/>
      <c r="OPB46" s="1041"/>
      <c r="OPC46" s="1041"/>
      <c r="OPD46" s="1041"/>
      <c r="OPE46" s="1041"/>
      <c r="OPF46" s="1041"/>
      <c r="OPG46" s="1041"/>
      <c r="OPH46" s="1041"/>
      <c r="OPI46" s="1041"/>
      <c r="OPJ46" s="1041"/>
      <c r="OPK46" s="1041"/>
      <c r="OPL46" s="1041"/>
      <c r="OPM46" s="1041"/>
      <c r="OPN46" s="1041"/>
      <c r="OPO46" s="1041"/>
      <c r="OPP46" s="1041"/>
      <c r="OPQ46" s="1041"/>
      <c r="OPR46" s="1041"/>
      <c r="OPS46" s="1041"/>
      <c r="OPT46" s="1041"/>
      <c r="OPU46" s="1041"/>
      <c r="OPV46" s="1041"/>
      <c r="OPW46" s="1041"/>
      <c r="OPX46" s="1041"/>
      <c r="OPY46" s="1041"/>
      <c r="OPZ46" s="1041"/>
      <c r="OQA46" s="1041"/>
      <c r="OQB46" s="1041"/>
      <c r="OQC46" s="1041"/>
      <c r="OQD46" s="1041"/>
      <c r="OQE46" s="1041"/>
      <c r="OQF46" s="1041"/>
      <c r="OQG46" s="1041"/>
      <c r="OQH46" s="1041"/>
      <c r="OQI46" s="1041"/>
      <c r="OQJ46" s="1041"/>
      <c r="OQK46" s="1041"/>
      <c r="OQL46" s="1041"/>
      <c r="OQM46" s="1041"/>
      <c r="OQN46" s="1041"/>
      <c r="OQO46" s="1041"/>
      <c r="OQP46" s="1041"/>
      <c r="OQQ46" s="1041"/>
      <c r="OQR46" s="1041"/>
      <c r="OQS46" s="1041"/>
      <c r="OQT46" s="1041"/>
      <c r="OQU46" s="1041"/>
      <c r="OQV46" s="1041"/>
      <c r="OQW46" s="1041"/>
      <c r="OQX46" s="1041"/>
      <c r="OQY46" s="1041"/>
      <c r="OQZ46" s="1041"/>
      <c r="ORA46" s="1041"/>
      <c r="ORB46" s="1041"/>
      <c r="ORC46" s="1041"/>
      <c r="ORD46" s="1041"/>
      <c r="ORE46" s="1041"/>
      <c r="ORF46" s="1041"/>
      <c r="ORG46" s="1041"/>
      <c r="ORH46" s="1041"/>
      <c r="ORI46" s="1041"/>
      <c r="ORJ46" s="1041"/>
      <c r="ORK46" s="1041"/>
      <c r="ORL46" s="1041"/>
      <c r="ORM46" s="1041"/>
      <c r="ORN46" s="1041"/>
      <c r="ORO46" s="1041"/>
      <c r="ORP46" s="1041"/>
      <c r="ORQ46" s="1041"/>
      <c r="ORR46" s="1041"/>
      <c r="ORS46" s="1041"/>
      <c r="ORT46" s="1041"/>
      <c r="ORU46" s="1041"/>
      <c r="ORV46" s="1041"/>
      <c r="ORW46" s="1041"/>
      <c r="ORX46" s="1041"/>
      <c r="ORY46" s="1041"/>
      <c r="ORZ46" s="1041"/>
      <c r="OSA46" s="1041"/>
      <c r="OSB46" s="1041"/>
      <c r="OSC46" s="1041"/>
      <c r="OSD46" s="1041"/>
      <c r="OSE46" s="1041"/>
      <c r="OSF46" s="1041"/>
      <c r="OSG46" s="1041"/>
      <c r="OSH46" s="1041"/>
      <c r="OSI46" s="1041"/>
      <c r="OSJ46" s="1041"/>
      <c r="OSK46" s="1041"/>
      <c r="OSL46" s="1041"/>
      <c r="OSM46" s="1041"/>
      <c r="OSN46" s="1041"/>
      <c r="OSO46" s="1041"/>
      <c r="OSP46" s="1041"/>
      <c r="OSQ46" s="1041"/>
      <c r="OSR46" s="1041"/>
      <c r="OSS46" s="1041"/>
      <c r="OST46" s="1041"/>
      <c r="OSU46" s="1041"/>
      <c r="OSV46" s="1041"/>
      <c r="OSW46" s="1041"/>
      <c r="OSX46" s="1041"/>
      <c r="OSY46" s="1041"/>
      <c r="OSZ46" s="1041"/>
      <c r="OTA46" s="1041"/>
      <c r="OTB46" s="1041"/>
      <c r="OTC46" s="1041"/>
      <c r="OTD46" s="1041"/>
      <c r="OTE46" s="1041"/>
      <c r="OTF46" s="1041"/>
      <c r="OTG46" s="1041"/>
      <c r="OTH46" s="1041"/>
      <c r="OTI46" s="1041"/>
      <c r="OTJ46" s="1041"/>
      <c r="OTK46" s="1041"/>
      <c r="OTL46" s="1041"/>
      <c r="OTM46" s="1041"/>
      <c r="OTN46" s="1041"/>
      <c r="OTO46" s="1041"/>
      <c r="OTP46" s="1041"/>
      <c r="OTQ46" s="1041"/>
      <c r="OTR46" s="1041"/>
      <c r="OTS46" s="1041"/>
      <c r="OTT46" s="1041"/>
      <c r="OTU46" s="1041"/>
      <c r="OTV46" s="1041"/>
      <c r="OTW46" s="1041"/>
      <c r="OTX46" s="1041"/>
      <c r="OTY46" s="1041"/>
      <c r="OTZ46" s="1041"/>
      <c r="OUA46" s="1041"/>
      <c r="OUB46" s="1041"/>
      <c r="OUC46" s="1041"/>
      <c r="OUD46" s="1041"/>
      <c r="OUE46" s="1041"/>
      <c r="OUF46" s="1041"/>
      <c r="OUG46" s="1041"/>
      <c r="OUH46" s="1041"/>
      <c r="OUI46" s="1041"/>
      <c r="OUJ46" s="1041"/>
      <c r="OUK46" s="1041"/>
      <c r="OUL46" s="1041"/>
      <c r="OUM46" s="1041"/>
      <c r="OUN46" s="1041"/>
      <c r="OUO46" s="1041"/>
      <c r="OUP46" s="1041"/>
      <c r="OUQ46" s="1041"/>
      <c r="OUR46" s="1041"/>
      <c r="OUS46" s="1041"/>
      <c r="OUT46" s="1041"/>
      <c r="OUU46" s="1041"/>
      <c r="OUV46" s="1041"/>
      <c r="OUW46" s="1041"/>
      <c r="OUX46" s="1041"/>
      <c r="OUY46" s="1041"/>
      <c r="OUZ46" s="1041"/>
      <c r="OVA46" s="1041"/>
      <c r="OVB46" s="1041"/>
      <c r="OVC46" s="1041"/>
      <c r="OVD46" s="1041"/>
      <c r="OVE46" s="1041"/>
      <c r="OVF46" s="1041"/>
      <c r="OVG46" s="1041"/>
      <c r="OVH46" s="1041"/>
      <c r="OVI46" s="1041"/>
      <c r="OVJ46" s="1041"/>
      <c r="OVK46" s="1041"/>
      <c r="OVL46" s="1041"/>
      <c r="OVM46" s="1041"/>
      <c r="OVN46" s="1041"/>
      <c r="OVO46" s="1041"/>
      <c r="OVP46" s="1041"/>
      <c r="OVQ46" s="1041"/>
      <c r="OVR46" s="1041"/>
      <c r="OVS46" s="1041"/>
      <c r="OVT46" s="1041"/>
      <c r="OVU46" s="1041"/>
      <c r="OVV46" s="1041"/>
      <c r="OVW46" s="1041"/>
      <c r="OVX46" s="1041"/>
      <c r="OVY46" s="1041"/>
      <c r="OVZ46" s="1041"/>
      <c r="OWA46" s="1041"/>
      <c r="OWB46" s="1041"/>
      <c r="OWC46" s="1041"/>
      <c r="OWD46" s="1041"/>
      <c r="OWE46" s="1041"/>
      <c r="OWF46" s="1041"/>
      <c r="OWG46" s="1041"/>
      <c r="OWH46" s="1041"/>
      <c r="OWI46" s="1041"/>
      <c r="OWJ46" s="1041"/>
      <c r="OWK46" s="1041"/>
      <c r="OWL46" s="1041"/>
      <c r="OWM46" s="1041"/>
      <c r="OWN46" s="1041"/>
      <c r="OWO46" s="1041"/>
      <c r="OWP46" s="1041"/>
      <c r="OWQ46" s="1041"/>
      <c r="OWR46" s="1041"/>
      <c r="OWS46" s="1041"/>
      <c r="OWT46" s="1041"/>
      <c r="OWU46" s="1041"/>
      <c r="OWV46" s="1041"/>
      <c r="OWW46" s="1041"/>
      <c r="OWX46" s="1041"/>
      <c r="OWY46" s="1041"/>
      <c r="OWZ46" s="1041"/>
      <c r="OXA46" s="1041"/>
      <c r="OXB46" s="1041"/>
      <c r="OXC46" s="1041"/>
      <c r="OXD46" s="1041"/>
      <c r="OXE46" s="1041"/>
      <c r="OXF46" s="1041"/>
      <c r="OXG46" s="1041"/>
      <c r="OXH46" s="1041"/>
      <c r="OXI46" s="1041"/>
      <c r="OXJ46" s="1041"/>
      <c r="OXK46" s="1041"/>
      <c r="OXL46" s="1041"/>
      <c r="OXM46" s="1041"/>
      <c r="OXN46" s="1041"/>
      <c r="OXO46" s="1041"/>
      <c r="OXP46" s="1041"/>
      <c r="OXQ46" s="1041"/>
      <c r="OXR46" s="1041"/>
      <c r="OXS46" s="1041"/>
      <c r="OXT46" s="1041"/>
      <c r="OXU46" s="1041"/>
      <c r="OXV46" s="1041"/>
      <c r="OXW46" s="1041"/>
      <c r="OXX46" s="1041"/>
      <c r="OXY46" s="1041"/>
      <c r="OXZ46" s="1041"/>
      <c r="OYA46" s="1041"/>
      <c r="OYB46" s="1041"/>
      <c r="OYC46" s="1041"/>
      <c r="OYD46" s="1041"/>
      <c r="OYE46" s="1041"/>
      <c r="OYF46" s="1041"/>
      <c r="OYG46" s="1041"/>
      <c r="OYH46" s="1041"/>
      <c r="OYI46" s="1041"/>
      <c r="OYJ46" s="1041"/>
      <c r="OYK46" s="1041"/>
      <c r="OYL46" s="1041"/>
      <c r="OYM46" s="1041"/>
      <c r="OYN46" s="1041"/>
      <c r="OYO46" s="1041"/>
      <c r="OYP46" s="1041"/>
      <c r="OYQ46" s="1041"/>
      <c r="OYR46" s="1041"/>
      <c r="OYS46" s="1041"/>
      <c r="OYT46" s="1041"/>
      <c r="OYU46" s="1041"/>
      <c r="OYV46" s="1041"/>
      <c r="OYW46" s="1041"/>
      <c r="OYX46" s="1041"/>
      <c r="OYY46" s="1041"/>
      <c r="OYZ46" s="1041"/>
      <c r="OZA46" s="1041"/>
      <c r="OZB46" s="1041"/>
      <c r="OZC46" s="1041"/>
      <c r="OZD46" s="1041"/>
      <c r="OZE46" s="1041"/>
      <c r="OZF46" s="1041"/>
      <c r="OZG46" s="1041"/>
      <c r="OZH46" s="1041"/>
      <c r="OZI46" s="1041"/>
      <c r="OZJ46" s="1041"/>
      <c r="OZK46" s="1041"/>
      <c r="OZL46" s="1041"/>
      <c r="OZM46" s="1041"/>
      <c r="OZN46" s="1041"/>
      <c r="OZO46" s="1041"/>
      <c r="OZP46" s="1041"/>
      <c r="OZQ46" s="1041"/>
      <c r="OZR46" s="1041"/>
      <c r="OZS46" s="1041"/>
      <c r="OZT46" s="1041"/>
      <c r="OZU46" s="1041"/>
      <c r="OZV46" s="1041"/>
      <c r="OZW46" s="1041"/>
      <c r="OZX46" s="1041"/>
      <c r="OZY46" s="1041"/>
      <c r="OZZ46" s="1041"/>
      <c r="PAA46" s="1041"/>
      <c r="PAB46" s="1041"/>
      <c r="PAC46" s="1041"/>
      <c r="PAD46" s="1041"/>
      <c r="PAE46" s="1041"/>
      <c r="PAF46" s="1041"/>
      <c r="PAG46" s="1041"/>
      <c r="PAH46" s="1041"/>
      <c r="PAI46" s="1041"/>
      <c r="PAJ46" s="1041"/>
      <c r="PAK46" s="1041"/>
      <c r="PAL46" s="1041"/>
      <c r="PAM46" s="1041"/>
      <c r="PAN46" s="1041"/>
      <c r="PAO46" s="1041"/>
      <c r="PAP46" s="1041"/>
      <c r="PAQ46" s="1041"/>
      <c r="PAR46" s="1041"/>
      <c r="PAS46" s="1041"/>
      <c r="PAT46" s="1041"/>
      <c r="PAU46" s="1041"/>
      <c r="PAV46" s="1041"/>
      <c r="PAW46" s="1041"/>
      <c r="PAX46" s="1041"/>
      <c r="PAY46" s="1041"/>
      <c r="PAZ46" s="1041"/>
      <c r="PBA46" s="1041"/>
      <c r="PBB46" s="1041"/>
      <c r="PBC46" s="1041"/>
      <c r="PBD46" s="1041"/>
      <c r="PBE46" s="1041"/>
      <c r="PBF46" s="1041"/>
      <c r="PBG46" s="1041"/>
      <c r="PBH46" s="1041"/>
      <c r="PBI46" s="1041"/>
      <c r="PBJ46" s="1041"/>
      <c r="PBK46" s="1041"/>
      <c r="PBL46" s="1041"/>
      <c r="PBM46" s="1041"/>
      <c r="PBN46" s="1041"/>
      <c r="PBO46" s="1041"/>
      <c r="PBP46" s="1041"/>
      <c r="PBQ46" s="1041"/>
      <c r="PBR46" s="1041"/>
      <c r="PBS46" s="1041"/>
      <c r="PBT46" s="1041"/>
      <c r="PBU46" s="1041"/>
      <c r="PBV46" s="1041"/>
      <c r="PBW46" s="1041"/>
      <c r="PBX46" s="1041"/>
      <c r="PBY46" s="1041"/>
      <c r="PBZ46" s="1041"/>
      <c r="PCA46" s="1041"/>
      <c r="PCB46" s="1041"/>
      <c r="PCC46" s="1041"/>
      <c r="PCD46" s="1041"/>
      <c r="PCE46" s="1041"/>
      <c r="PCF46" s="1041"/>
      <c r="PCG46" s="1041"/>
      <c r="PCH46" s="1041"/>
      <c r="PCI46" s="1041"/>
      <c r="PCJ46" s="1041"/>
      <c r="PCK46" s="1041"/>
      <c r="PCL46" s="1041"/>
      <c r="PCM46" s="1041"/>
      <c r="PCN46" s="1041"/>
      <c r="PCO46" s="1041"/>
      <c r="PCP46" s="1041"/>
      <c r="PCQ46" s="1041"/>
      <c r="PCR46" s="1041"/>
      <c r="PCS46" s="1041"/>
      <c r="PCT46" s="1041"/>
      <c r="PCU46" s="1041"/>
      <c r="PCV46" s="1041"/>
      <c r="PCW46" s="1041"/>
      <c r="PCX46" s="1041"/>
      <c r="PCY46" s="1041"/>
      <c r="PCZ46" s="1041"/>
      <c r="PDA46" s="1041"/>
      <c r="PDB46" s="1041"/>
      <c r="PDC46" s="1041"/>
      <c r="PDD46" s="1041"/>
      <c r="PDE46" s="1041"/>
      <c r="PDF46" s="1041"/>
      <c r="PDG46" s="1041"/>
      <c r="PDH46" s="1041"/>
      <c r="PDI46" s="1041"/>
      <c r="PDJ46" s="1041"/>
      <c r="PDK46" s="1041"/>
      <c r="PDL46" s="1041"/>
      <c r="PDM46" s="1041"/>
      <c r="PDN46" s="1041"/>
      <c r="PDO46" s="1041"/>
      <c r="PDP46" s="1041"/>
      <c r="PDQ46" s="1041"/>
      <c r="PDR46" s="1041"/>
      <c r="PDS46" s="1041"/>
      <c r="PDT46" s="1041"/>
      <c r="PDU46" s="1041"/>
      <c r="PDV46" s="1041"/>
      <c r="PDW46" s="1041"/>
      <c r="PDX46" s="1041"/>
      <c r="PDY46" s="1041"/>
      <c r="PDZ46" s="1041"/>
      <c r="PEA46" s="1041"/>
      <c r="PEB46" s="1041"/>
      <c r="PEC46" s="1041"/>
      <c r="PED46" s="1041"/>
      <c r="PEE46" s="1041"/>
      <c r="PEF46" s="1041"/>
      <c r="PEG46" s="1041"/>
      <c r="PEH46" s="1041"/>
      <c r="PEI46" s="1041"/>
      <c r="PEJ46" s="1041"/>
      <c r="PEK46" s="1041"/>
      <c r="PEL46" s="1041"/>
      <c r="PEM46" s="1041"/>
      <c r="PEN46" s="1041"/>
      <c r="PEO46" s="1041"/>
      <c r="PEP46" s="1041"/>
      <c r="PEQ46" s="1041"/>
      <c r="PER46" s="1041"/>
      <c r="PES46" s="1041"/>
      <c r="PET46" s="1041"/>
      <c r="PEU46" s="1041"/>
      <c r="PEV46" s="1041"/>
      <c r="PEW46" s="1041"/>
      <c r="PEX46" s="1041"/>
      <c r="PEY46" s="1041"/>
      <c r="PEZ46" s="1041"/>
      <c r="PFA46" s="1041"/>
      <c r="PFB46" s="1041"/>
      <c r="PFC46" s="1041"/>
      <c r="PFD46" s="1041"/>
      <c r="PFE46" s="1041"/>
      <c r="PFF46" s="1041"/>
      <c r="PFG46" s="1041"/>
      <c r="PFH46" s="1041"/>
      <c r="PFI46" s="1041"/>
      <c r="PFJ46" s="1041"/>
      <c r="PFK46" s="1041"/>
      <c r="PFL46" s="1041"/>
      <c r="PFM46" s="1041"/>
      <c r="PFN46" s="1041"/>
      <c r="PFO46" s="1041"/>
      <c r="PFP46" s="1041"/>
      <c r="PFQ46" s="1041"/>
      <c r="PFR46" s="1041"/>
      <c r="PFS46" s="1041"/>
      <c r="PFT46" s="1041"/>
      <c r="PFU46" s="1041"/>
      <c r="PFV46" s="1041"/>
      <c r="PFW46" s="1041"/>
      <c r="PFX46" s="1041"/>
      <c r="PFY46" s="1041"/>
      <c r="PFZ46" s="1041"/>
      <c r="PGA46" s="1041"/>
      <c r="PGB46" s="1041"/>
      <c r="PGC46" s="1041"/>
      <c r="PGD46" s="1041"/>
      <c r="PGE46" s="1041"/>
      <c r="PGF46" s="1041"/>
      <c r="PGG46" s="1041"/>
      <c r="PGH46" s="1041"/>
      <c r="PGI46" s="1041"/>
      <c r="PGJ46" s="1041"/>
      <c r="PGK46" s="1041"/>
      <c r="PGL46" s="1041"/>
      <c r="PGM46" s="1041"/>
      <c r="PGN46" s="1041"/>
      <c r="PGO46" s="1041"/>
      <c r="PGP46" s="1041"/>
      <c r="PGQ46" s="1041"/>
      <c r="PGR46" s="1041"/>
      <c r="PGS46" s="1041"/>
      <c r="PGT46" s="1041"/>
      <c r="PGU46" s="1041"/>
      <c r="PGV46" s="1041"/>
      <c r="PGW46" s="1041"/>
      <c r="PGX46" s="1041"/>
      <c r="PGY46" s="1041"/>
      <c r="PGZ46" s="1041"/>
      <c r="PHA46" s="1041"/>
      <c r="PHB46" s="1041"/>
      <c r="PHC46" s="1041"/>
      <c r="PHD46" s="1041"/>
      <c r="PHE46" s="1041"/>
      <c r="PHF46" s="1041"/>
      <c r="PHG46" s="1041"/>
      <c r="PHH46" s="1041"/>
      <c r="PHI46" s="1041"/>
      <c r="PHJ46" s="1041"/>
      <c r="PHK46" s="1041"/>
      <c r="PHL46" s="1041"/>
      <c r="PHM46" s="1041"/>
      <c r="PHN46" s="1041"/>
      <c r="PHO46" s="1041"/>
      <c r="PHP46" s="1041"/>
      <c r="PHQ46" s="1041"/>
      <c r="PHR46" s="1041"/>
      <c r="PHS46" s="1041"/>
      <c r="PHT46" s="1041"/>
      <c r="PHU46" s="1041"/>
      <c r="PHV46" s="1041"/>
      <c r="PHW46" s="1041"/>
      <c r="PHX46" s="1041"/>
      <c r="PHY46" s="1041"/>
      <c r="PHZ46" s="1041"/>
      <c r="PIA46" s="1041"/>
      <c r="PIB46" s="1041"/>
      <c r="PIC46" s="1041"/>
      <c r="PID46" s="1041"/>
      <c r="PIE46" s="1041"/>
      <c r="PIF46" s="1041"/>
      <c r="PIG46" s="1041"/>
      <c r="PIH46" s="1041"/>
      <c r="PII46" s="1041"/>
      <c r="PIJ46" s="1041"/>
      <c r="PIK46" s="1041"/>
      <c r="PIL46" s="1041"/>
      <c r="PIM46" s="1041"/>
      <c r="PIN46" s="1041"/>
      <c r="PIO46" s="1041"/>
      <c r="PIP46" s="1041"/>
      <c r="PIQ46" s="1041"/>
      <c r="PIR46" s="1041"/>
      <c r="PIS46" s="1041"/>
      <c r="PIT46" s="1041"/>
      <c r="PIU46" s="1041"/>
      <c r="PIV46" s="1041"/>
      <c r="PIW46" s="1041"/>
      <c r="PIX46" s="1041"/>
      <c r="PIY46" s="1041"/>
      <c r="PIZ46" s="1041"/>
      <c r="PJA46" s="1041"/>
      <c r="PJB46" s="1041"/>
      <c r="PJC46" s="1041"/>
      <c r="PJD46" s="1041"/>
      <c r="PJE46" s="1041"/>
      <c r="PJF46" s="1041"/>
      <c r="PJG46" s="1041"/>
      <c r="PJH46" s="1041"/>
      <c r="PJI46" s="1041"/>
      <c r="PJJ46" s="1041"/>
      <c r="PJK46" s="1041"/>
      <c r="PJL46" s="1041"/>
      <c r="PJM46" s="1041"/>
      <c r="PJN46" s="1041"/>
      <c r="PJO46" s="1041"/>
      <c r="PJP46" s="1041"/>
      <c r="PJQ46" s="1041"/>
      <c r="PJR46" s="1041"/>
      <c r="PJS46" s="1041"/>
      <c r="PJT46" s="1041"/>
      <c r="PJU46" s="1041"/>
      <c r="PJV46" s="1041"/>
      <c r="PJW46" s="1041"/>
      <c r="PJX46" s="1041"/>
      <c r="PJY46" s="1041"/>
      <c r="PJZ46" s="1041"/>
      <c r="PKA46" s="1041"/>
      <c r="PKB46" s="1041"/>
      <c r="PKC46" s="1041"/>
      <c r="PKD46" s="1041"/>
      <c r="PKE46" s="1041"/>
      <c r="PKF46" s="1041"/>
      <c r="PKG46" s="1041"/>
      <c r="PKH46" s="1041"/>
      <c r="PKI46" s="1041"/>
      <c r="PKJ46" s="1041"/>
      <c r="PKK46" s="1041"/>
      <c r="PKL46" s="1041"/>
      <c r="PKM46" s="1041"/>
      <c r="PKN46" s="1041"/>
      <c r="PKO46" s="1041"/>
      <c r="PKP46" s="1041"/>
      <c r="PKQ46" s="1041"/>
      <c r="PKR46" s="1041"/>
      <c r="PKS46" s="1041"/>
      <c r="PKT46" s="1041"/>
      <c r="PKU46" s="1041"/>
      <c r="PKV46" s="1041"/>
      <c r="PKW46" s="1041"/>
      <c r="PKX46" s="1041"/>
      <c r="PKY46" s="1041"/>
      <c r="PKZ46" s="1041"/>
      <c r="PLA46" s="1041"/>
      <c r="PLB46" s="1041"/>
      <c r="PLC46" s="1041"/>
      <c r="PLD46" s="1041"/>
      <c r="PLE46" s="1041"/>
      <c r="PLF46" s="1041"/>
      <c r="PLG46" s="1041"/>
      <c r="PLH46" s="1041"/>
      <c r="PLI46" s="1041"/>
      <c r="PLJ46" s="1041"/>
      <c r="PLK46" s="1041"/>
      <c r="PLL46" s="1041"/>
      <c r="PLM46" s="1041"/>
      <c r="PLN46" s="1041"/>
      <c r="PLO46" s="1041"/>
      <c r="PLP46" s="1041"/>
      <c r="PLQ46" s="1041"/>
      <c r="PLR46" s="1041"/>
      <c r="PLS46" s="1041"/>
      <c r="PLT46" s="1041"/>
      <c r="PLU46" s="1041"/>
      <c r="PLV46" s="1041"/>
      <c r="PLW46" s="1041"/>
      <c r="PLX46" s="1041"/>
      <c r="PLY46" s="1041"/>
      <c r="PLZ46" s="1041"/>
      <c r="PMA46" s="1041"/>
      <c r="PMB46" s="1041"/>
      <c r="PMC46" s="1041"/>
      <c r="PMD46" s="1041"/>
      <c r="PME46" s="1041"/>
      <c r="PMF46" s="1041"/>
      <c r="PMG46" s="1041"/>
      <c r="PMH46" s="1041"/>
      <c r="PMI46" s="1041"/>
      <c r="PMJ46" s="1041"/>
      <c r="PMK46" s="1041"/>
      <c r="PML46" s="1041"/>
      <c r="PMM46" s="1041"/>
      <c r="PMN46" s="1041"/>
      <c r="PMO46" s="1041"/>
      <c r="PMP46" s="1041"/>
      <c r="PMQ46" s="1041"/>
      <c r="PMR46" s="1041"/>
      <c r="PMS46" s="1041"/>
      <c r="PMT46" s="1041"/>
      <c r="PMU46" s="1041"/>
      <c r="PMV46" s="1041"/>
      <c r="PMW46" s="1041"/>
      <c r="PMX46" s="1041"/>
      <c r="PMY46" s="1041"/>
      <c r="PMZ46" s="1041"/>
      <c r="PNA46" s="1041"/>
      <c r="PNB46" s="1041"/>
      <c r="PNC46" s="1041"/>
      <c r="PND46" s="1041"/>
      <c r="PNE46" s="1041"/>
      <c r="PNF46" s="1041"/>
      <c r="PNG46" s="1041"/>
      <c r="PNH46" s="1041"/>
      <c r="PNI46" s="1041"/>
      <c r="PNJ46" s="1041"/>
      <c r="PNK46" s="1041"/>
      <c r="PNL46" s="1041"/>
      <c r="PNM46" s="1041"/>
      <c r="PNN46" s="1041"/>
      <c r="PNO46" s="1041"/>
      <c r="PNP46" s="1041"/>
      <c r="PNQ46" s="1041"/>
      <c r="PNR46" s="1041"/>
      <c r="PNS46" s="1041"/>
      <c r="PNT46" s="1041"/>
      <c r="PNU46" s="1041"/>
      <c r="PNV46" s="1041"/>
      <c r="PNW46" s="1041"/>
      <c r="PNX46" s="1041"/>
      <c r="PNY46" s="1041"/>
      <c r="PNZ46" s="1041"/>
      <c r="POA46" s="1041"/>
      <c r="POB46" s="1041"/>
      <c r="POC46" s="1041"/>
      <c r="POD46" s="1041"/>
      <c r="POE46" s="1041"/>
      <c r="POF46" s="1041"/>
      <c r="POG46" s="1041"/>
      <c r="POH46" s="1041"/>
      <c r="POI46" s="1041"/>
      <c r="POJ46" s="1041"/>
      <c r="POK46" s="1041"/>
      <c r="POL46" s="1041"/>
      <c r="POM46" s="1041"/>
      <c r="PON46" s="1041"/>
      <c r="POO46" s="1041"/>
      <c r="POP46" s="1041"/>
      <c r="POQ46" s="1041"/>
      <c r="POR46" s="1041"/>
      <c r="POS46" s="1041"/>
      <c r="POT46" s="1041"/>
      <c r="POU46" s="1041"/>
      <c r="POV46" s="1041"/>
      <c r="POW46" s="1041"/>
      <c r="POX46" s="1041"/>
      <c r="POY46" s="1041"/>
      <c r="POZ46" s="1041"/>
      <c r="PPA46" s="1041"/>
      <c r="PPB46" s="1041"/>
      <c r="PPC46" s="1041"/>
      <c r="PPD46" s="1041"/>
      <c r="PPE46" s="1041"/>
      <c r="PPF46" s="1041"/>
      <c r="PPG46" s="1041"/>
      <c r="PPH46" s="1041"/>
      <c r="PPI46" s="1041"/>
      <c r="PPJ46" s="1041"/>
      <c r="PPK46" s="1041"/>
      <c r="PPL46" s="1041"/>
      <c r="PPM46" s="1041"/>
      <c r="PPN46" s="1041"/>
      <c r="PPO46" s="1041"/>
      <c r="PPP46" s="1041"/>
      <c r="PPQ46" s="1041"/>
      <c r="PPR46" s="1041"/>
      <c r="PPS46" s="1041"/>
      <c r="PPT46" s="1041"/>
      <c r="PPU46" s="1041"/>
      <c r="PPV46" s="1041"/>
      <c r="PPW46" s="1041"/>
      <c r="PPX46" s="1041"/>
      <c r="PPY46" s="1041"/>
      <c r="PPZ46" s="1041"/>
      <c r="PQA46" s="1041"/>
      <c r="PQB46" s="1041"/>
      <c r="PQC46" s="1041"/>
      <c r="PQD46" s="1041"/>
      <c r="PQE46" s="1041"/>
      <c r="PQF46" s="1041"/>
      <c r="PQG46" s="1041"/>
      <c r="PQH46" s="1041"/>
      <c r="PQI46" s="1041"/>
      <c r="PQJ46" s="1041"/>
      <c r="PQK46" s="1041"/>
      <c r="PQL46" s="1041"/>
      <c r="PQM46" s="1041"/>
      <c r="PQN46" s="1041"/>
      <c r="PQO46" s="1041"/>
      <c r="PQP46" s="1041"/>
      <c r="PQQ46" s="1041"/>
      <c r="PQR46" s="1041"/>
      <c r="PQS46" s="1041"/>
      <c r="PQT46" s="1041"/>
      <c r="PQU46" s="1041"/>
      <c r="PQV46" s="1041"/>
      <c r="PQW46" s="1041"/>
      <c r="PQX46" s="1041"/>
      <c r="PQY46" s="1041"/>
      <c r="PQZ46" s="1041"/>
      <c r="PRA46" s="1041"/>
      <c r="PRB46" s="1041"/>
      <c r="PRC46" s="1041"/>
      <c r="PRD46" s="1041"/>
      <c r="PRE46" s="1041"/>
      <c r="PRF46" s="1041"/>
      <c r="PRG46" s="1041"/>
      <c r="PRH46" s="1041"/>
      <c r="PRI46" s="1041"/>
      <c r="PRJ46" s="1041"/>
      <c r="PRK46" s="1041"/>
      <c r="PRL46" s="1041"/>
      <c r="PRM46" s="1041"/>
      <c r="PRN46" s="1041"/>
      <c r="PRO46" s="1041"/>
      <c r="PRP46" s="1041"/>
      <c r="PRQ46" s="1041"/>
      <c r="PRR46" s="1041"/>
      <c r="PRS46" s="1041"/>
      <c r="PRT46" s="1041"/>
      <c r="PRU46" s="1041"/>
      <c r="PRV46" s="1041"/>
      <c r="PRW46" s="1041"/>
      <c r="PRX46" s="1041"/>
      <c r="PRY46" s="1041"/>
      <c r="PRZ46" s="1041"/>
      <c r="PSA46" s="1041"/>
      <c r="PSB46" s="1041"/>
      <c r="PSC46" s="1041"/>
      <c r="PSD46" s="1041"/>
      <c r="PSE46" s="1041"/>
      <c r="PSF46" s="1041"/>
      <c r="PSG46" s="1041"/>
      <c r="PSH46" s="1041"/>
      <c r="PSI46" s="1041"/>
      <c r="PSJ46" s="1041"/>
      <c r="PSK46" s="1041"/>
      <c r="PSL46" s="1041"/>
      <c r="PSM46" s="1041"/>
      <c r="PSN46" s="1041"/>
      <c r="PSO46" s="1041"/>
      <c r="PSP46" s="1041"/>
      <c r="PSQ46" s="1041"/>
      <c r="PSR46" s="1041"/>
      <c r="PSS46" s="1041"/>
      <c r="PST46" s="1041"/>
      <c r="PSU46" s="1041"/>
      <c r="PSV46" s="1041"/>
      <c r="PSW46" s="1041"/>
      <c r="PSX46" s="1041"/>
      <c r="PSY46" s="1041"/>
      <c r="PSZ46" s="1041"/>
      <c r="PTA46" s="1041"/>
      <c r="PTB46" s="1041"/>
      <c r="PTC46" s="1041"/>
      <c r="PTD46" s="1041"/>
      <c r="PTE46" s="1041"/>
      <c r="PTF46" s="1041"/>
      <c r="PTG46" s="1041"/>
      <c r="PTH46" s="1041"/>
      <c r="PTI46" s="1041"/>
      <c r="PTJ46" s="1041"/>
      <c r="PTK46" s="1041"/>
      <c r="PTL46" s="1041"/>
      <c r="PTM46" s="1041"/>
      <c r="PTN46" s="1041"/>
      <c r="PTO46" s="1041"/>
      <c r="PTP46" s="1041"/>
      <c r="PTQ46" s="1041"/>
      <c r="PTR46" s="1041"/>
      <c r="PTS46" s="1041"/>
      <c r="PTT46" s="1041"/>
      <c r="PTU46" s="1041"/>
      <c r="PTV46" s="1041"/>
      <c r="PTW46" s="1041"/>
      <c r="PTX46" s="1041"/>
      <c r="PTY46" s="1041"/>
      <c r="PTZ46" s="1041"/>
      <c r="PUA46" s="1041"/>
      <c r="PUB46" s="1041"/>
      <c r="PUC46" s="1041"/>
      <c r="PUD46" s="1041"/>
      <c r="PUE46" s="1041"/>
      <c r="PUF46" s="1041"/>
      <c r="PUG46" s="1041"/>
      <c r="PUH46" s="1041"/>
      <c r="PUI46" s="1041"/>
      <c r="PUJ46" s="1041"/>
      <c r="PUK46" s="1041"/>
      <c r="PUL46" s="1041"/>
      <c r="PUM46" s="1041"/>
      <c r="PUN46" s="1041"/>
      <c r="PUO46" s="1041"/>
      <c r="PUP46" s="1041"/>
      <c r="PUQ46" s="1041"/>
      <c r="PUR46" s="1041"/>
      <c r="PUS46" s="1041"/>
      <c r="PUT46" s="1041"/>
      <c r="PUU46" s="1041"/>
      <c r="PUV46" s="1041"/>
      <c r="PUW46" s="1041"/>
      <c r="PUX46" s="1041"/>
      <c r="PUY46" s="1041"/>
      <c r="PUZ46" s="1041"/>
      <c r="PVA46" s="1041"/>
      <c r="PVB46" s="1041"/>
      <c r="PVC46" s="1041"/>
      <c r="PVD46" s="1041"/>
      <c r="PVE46" s="1041"/>
      <c r="PVF46" s="1041"/>
      <c r="PVG46" s="1041"/>
      <c r="PVH46" s="1041"/>
      <c r="PVI46" s="1041"/>
      <c r="PVJ46" s="1041"/>
      <c r="PVK46" s="1041"/>
      <c r="PVL46" s="1041"/>
      <c r="PVM46" s="1041"/>
      <c r="PVN46" s="1041"/>
      <c r="PVO46" s="1041"/>
      <c r="PVP46" s="1041"/>
      <c r="PVQ46" s="1041"/>
      <c r="PVR46" s="1041"/>
      <c r="PVS46" s="1041"/>
      <c r="PVT46" s="1041"/>
      <c r="PVU46" s="1041"/>
      <c r="PVV46" s="1041"/>
      <c r="PVW46" s="1041"/>
      <c r="PVX46" s="1041"/>
      <c r="PVY46" s="1041"/>
      <c r="PVZ46" s="1041"/>
      <c r="PWA46" s="1041"/>
      <c r="PWB46" s="1041"/>
      <c r="PWC46" s="1041"/>
      <c r="PWD46" s="1041"/>
      <c r="PWE46" s="1041"/>
      <c r="PWF46" s="1041"/>
      <c r="PWG46" s="1041"/>
      <c r="PWH46" s="1041"/>
      <c r="PWI46" s="1041"/>
      <c r="PWJ46" s="1041"/>
      <c r="PWK46" s="1041"/>
      <c r="PWL46" s="1041"/>
      <c r="PWM46" s="1041"/>
      <c r="PWN46" s="1041"/>
      <c r="PWO46" s="1041"/>
      <c r="PWP46" s="1041"/>
      <c r="PWQ46" s="1041"/>
      <c r="PWR46" s="1041"/>
      <c r="PWS46" s="1041"/>
      <c r="PWT46" s="1041"/>
      <c r="PWU46" s="1041"/>
      <c r="PWV46" s="1041"/>
      <c r="PWW46" s="1041"/>
      <c r="PWX46" s="1041"/>
      <c r="PWY46" s="1041"/>
      <c r="PWZ46" s="1041"/>
      <c r="PXA46" s="1041"/>
      <c r="PXB46" s="1041"/>
      <c r="PXC46" s="1041"/>
      <c r="PXD46" s="1041"/>
      <c r="PXE46" s="1041"/>
      <c r="PXF46" s="1041"/>
      <c r="PXG46" s="1041"/>
      <c r="PXH46" s="1041"/>
      <c r="PXI46" s="1041"/>
      <c r="PXJ46" s="1041"/>
      <c r="PXK46" s="1041"/>
      <c r="PXL46" s="1041"/>
      <c r="PXM46" s="1041"/>
      <c r="PXN46" s="1041"/>
      <c r="PXO46" s="1041"/>
      <c r="PXP46" s="1041"/>
      <c r="PXQ46" s="1041"/>
      <c r="PXR46" s="1041"/>
      <c r="PXS46" s="1041"/>
      <c r="PXT46" s="1041"/>
      <c r="PXU46" s="1041"/>
      <c r="PXV46" s="1041"/>
      <c r="PXW46" s="1041"/>
      <c r="PXX46" s="1041"/>
      <c r="PXY46" s="1041"/>
      <c r="PXZ46" s="1041"/>
      <c r="PYA46" s="1041"/>
      <c r="PYB46" s="1041"/>
      <c r="PYC46" s="1041"/>
      <c r="PYD46" s="1041"/>
      <c r="PYE46" s="1041"/>
      <c r="PYF46" s="1041"/>
      <c r="PYG46" s="1041"/>
      <c r="PYH46" s="1041"/>
      <c r="PYI46" s="1041"/>
      <c r="PYJ46" s="1041"/>
      <c r="PYK46" s="1041"/>
      <c r="PYL46" s="1041"/>
      <c r="PYM46" s="1041"/>
      <c r="PYN46" s="1041"/>
      <c r="PYO46" s="1041"/>
      <c r="PYP46" s="1041"/>
      <c r="PYQ46" s="1041"/>
      <c r="PYR46" s="1041"/>
      <c r="PYS46" s="1041"/>
      <c r="PYT46" s="1041"/>
      <c r="PYU46" s="1041"/>
      <c r="PYV46" s="1041"/>
      <c r="PYW46" s="1041"/>
      <c r="PYX46" s="1041"/>
      <c r="PYY46" s="1041"/>
      <c r="PYZ46" s="1041"/>
      <c r="PZA46" s="1041"/>
      <c r="PZB46" s="1041"/>
      <c r="PZC46" s="1041"/>
      <c r="PZD46" s="1041"/>
      <c r="PZE46" s="1041"/>
      <c r="PZF46" s="1041"/>
      <c r="PZG46" s="1041"/>
      <c r="PZH46" s="1041"/>
      <c r="PZI46" s="1041"/>
      <c r="PZJ46" s="1041"/>
      <c r="PZK46" s="1041"/>
      <c r="PZL46" s="1041"/>
      <c r="PZM46" s="1041"/>
      <c r="PZN46" s="1041"/>
      <c r="PZO46" s="1041"/>
      <c r="PZP46" s="1041"/>
      <c r="PZQ46" s="1041"/>
      <c r="PZR46" s="1041"/>
      <c r="PZS46" s="1041"/>
      <c r="PZT46" s="1041"/>
      <c r="PZU46" s="1041"/>
      <c r="PZV46" s="1041"/>
      <c r="PZW46" s="1041"/>
      <c r="PZX46" s="1041"/>
      <c r="PZY46" s="1041"/>
      <c r="PZZ46" s="1041"/>
      <c r="QAA46" s="1041"/>
      <c r="QAB46" s="1041"/>
      <c r="QAC46" s="1041"/>
      <c r="QAD46" s="1041"/>
      <c r="QAE46" s="1041"/>
      <c r="QAF46" s="1041"/>
      <c r="QAG46" s="1041"/>
      <c r="QAH46" s="1041"/>
      <c r="QAI46" s="1041"/>
      <c r="QAJ46" s="1041"/>
      <c r="QAK46" s="1041"/>
      <c r="QAL46" s="1041"/>
      <c r="QAM46" s="1041"/>
      <c r="QAN46" s="1041"/>
      <c r="QAO46" s="1041"/>
      <c r="QAP46" s="1041"/>
      <c r="QAQ46" s="1041"/>
      <c r="QAR46" s="1041"/>
      <c r="QAS46" s="1041"/>
      <c r="QAT46" s="1041"/>
      <c r="QAU46" s="1041"/>
      <c r="QAV46" s="1041"/>
      <c r="QAW46" s="1041"/>
      <c r="QAX46" s="1041"/>
      <c r="QAY46" s="1041"/>
      <c r="QAZ46" s="1041"/>
      <c r="QBA46" s="1041"/>
      <c r="QBB46" s="1041"/>
      <c r="QBC46" s="1041"/>
      <c r="QBD46" s="1041"/>
      <c r="QBE46" s="1041"/>
      <c r="QBF46" s="1041"/>
      <c r="QBG46" s="1041"/>
      <c r="QBH46" s="1041"/>
      <c r="QBI46" s="1041"/>
      <c r="QBJ46" s="1041"/>
      <c r="QBK46" s="1041"/>
      <c r="QBL46" s="1041"/>
      <c r="QBM46" s="1041"/>
      <c r="QBN46" s="1041"/>
      <c r="QBO46" s="1041"/>
      <c r="QBP46" s="1041"/>
      <c r="QBQ46" s="1041"/>
      <c r="QBR46" s="1041"/>
      <c r="QBS46" s="1041"/>
      <c r="QBT46" s="1041"/>
      <c r="QBU46" s="1041"/>
      <c r="QBV46" s="1041"/>
      <c r="QBW46" s="1041"/>
      <c r="QBX46" s="1041"/>
      <c r="QBY46" s="1041"/>
      <c r="QBZ46" s="1041"/>
      <c r="QCA46" s="1041"/>
      <c r="QCB46" s="1041"/>
      <c r="QCC46" s="1041"/>
      <c r="QCD46" s="1041"/>
      <c r="QCE46" s="1041"/>
      <c r="QCF46" s="1041"/>
      <c r="QCG46" s="1041"/>
      <c r="QCH46" s="1041"/>
      <c r="QCI46" s="1041"/>
      <c r="QCJ46" s="1041"/>
      <c r="QCK46" s="1041"/>
      <c r="QCL46" s="1041"/>
      <c r="QCM46" s="1041"/>
      <c r="QCN46" s="1041"/>
      <c r="QCO46" s="1041"/>
      <c r="QCP46" s="1041"/>
      <c r="QCQ46" s="1041"/>
      <c r="QCR46" s="1041"/>
      <c r="QCS46" s="1041"/>
      <c r="QCT46" s="1041"/>
      <c r="QCU46" s="1041"/>
      <c r="QCV46" s="1041"/>
      <c r="QCW46" s="1041"/>
      <c r="QCX46" s="1041"/>
      <c r="QCY46" s="1041"/>
      <c r="QCZ46" s="1041"/>
      <c r="QDA46" s="1041"/>
      <c r="QDB46" s="1041"/>
      <c r="QDC46" s="1041"/>
      <c r="QDD46" s="1041"/>
      <c r="QDE46" s="1041"/>
      <c r="QDF46" s="1041"/>
      <c r="QDG46" s="1041"/>
      <c r="QDH46" s="1041"/>
      <c r="QDI46" s="1041"/>
      <c r="QDJ46" s="1041"/>
      <c r="QDK46" s="1041"/>
      <c r="QDL46" s="1041"/>
      <c r="QDM46" s="1041"/>
      <c r="QDN46" s="1041"/>
      <c r="QDO46" s="1041"/>
      <c r="QDP46" s="1041"/>
      <c r="QDQ46" s="1041"/>
      <c r="QDR46" s="1041"/>
      <c r="QDS46" s="1041"/>
      <c r="QDT46" s="1041"/>
      <c r="QDU46" s="1041"/>
      <c r="QDV46" s="1041"/>
      <c r="QDW46" s="1041"/>
      <c r="QDX46" s="1041"/>
      <c r="QDY46" s="1041"/>
      <c r="QDZ46" s="1041"/>
      <c r="QEA46" s="1041"/>
      <c r="QEB46" s="1041"/>
      <c r="QEC46" s="1041"/>
      <c r="QED46" s="1041"/>
      <c r="QEE46" s="1041"/>
      <c r="QEF46" s="1041"/>
      <c r="QEG46" s="1041"/>
      <c r="QEH46" s="1041"/>
      <c r="QEI46" s="1041"/>
      <c r="QEJ46" s="1041"/>
      <c r="QEK46" s="1041"/>
      <c r="QEL46" s="1041"/>
      <c r="QEM46" s="1041"/>
      <c r="QEN46" s="1041"/>
      <c r="QEO46" s="1041"/>
      <c r="QEP46" s="1041"/>
      <c r="QEQ46" s="1041"/>
      <c r="QER46" s="1041"/>
      <c r="QES46" s="1041"/>
      <c r="QET46" s="1041"/>
      <c r="QEU46" s="1041"/>
      <c r="QEV46" s="1041"/>
      <c r="QEW46" s="1041"/>
      <c r="QEX46" s="1041"/>
      <c r="QEY46" s="1041"/>
      <c r="QEZ46" s="1041"/>
      <c r="QFA46" s="1041"/>
      <c r="QFB46" s="1041"/>
      <c r="QFC46" s="1041"/>
      <c r="QFD46" s="1041"/>
      <c r="QFE46" s="1041"/>
      <c r="QFF46" s="1041"/>
      <c r="QFG46" s="1041"/>
      <c r="QFH46" s="1041"/>
      <c r="QFI46" s="1041"/>
      <c r="QFJ46" s="1041"/>
      <c r="QFK46" s="1041"/>
      <c r="QFL46" s="1041"/>
      <c r="QFM46" s="1041"/>
      <c r="QFN46" s="1041"/>
      <c r="QFO46" s="1041"/>
      <c r="QFP46" s="1041"/>
      <c r="QFQ46" s="1041"/>
      <c r="QFR46" s="1041"/>
      <c r="QFS46" s="1041"/>
      <c r="QFT46" s="1041"/>
      <c r="QFU46" s="1041"/>
      <c r="QFV46" s="1041"/>
      <c r="QFW46" s="1041"/>
      <c r="QFX46" s="1041"/>
      <c r="QFY46" s="1041"/>
      <c r="QFZ46" s="1041"/>
      <c r="QGA46" s="1041"/>
      <c r="QGB46" s="1041"/>
      <c r="QGC46" s="1041"/>
      <c r="QGD46" s="1041"/>
      <c r="QGE46" s="1041"/>
      <c r="QGF46" s="1041"/>
      <c r="QGG46" s="1041"/>
      <c r="QGH46" s="1041"/>
      <c r="QGI46" s="1041"/>
      <c r="QGJ46" s="1041"/>
      <c r="QGK46" s="1041"/>
      <c r="QGL46" s="1041"/>
      <c r="QGM46" s="1041"/>
      <c r="QGN46" s="1041"/>
      <c r="QGO46" s="1041"/>
      <c r="QGP46" s="1041"/>
      <c r="QGQ46" s="1041"/>
      <c r="QGR46" s="1041"/>
      <c r="QGS46" s="1041"/>
      <c r="QGT46" s="1041"/>
      <c r="QGU46" s="1041"/>
      <c r="QGV46" s="1041"/>
      <c r="QGW46" s="1041"/>
      <c r="QGX46" s="1041"/>
      <c r="QGY46" s="1041"/>
      <c r="QGZ46" s="1041"/>
      <c r="QHA46" s="1041"/>
      <c r="QHB46" s="1041"/>
      <c r="QHC46" s="1041"/>
      <c r="QHD46" s="1041"/>
      <c r="QHE46" s="1041"/>
      <c r="QHF46" s="1041"/>
      <c r="QHG46" s="1041"/>
      <c r="QHH46" s="1041"/>
      <c r="QHI46" s="1041"/>
      <c r="QHJ46" s="1041"/>
      <c r="QHK46" s="1041"/>
      <c r="QHL46" s="1041"/>
      <c r="QHM46" s="1041"/>
      <c r="QHN46" s="1041"/>
      <c r="QHO46" s="1041"/>
      <c r="QHP46" s="1041"/>
      <c r="QHQ46" s="1041"/>
      <c r="QHR46" s="1041"/>
      <c r="QHS46" s="1041"/>
      <c r="QHT46" s="1041"/>
      <c r="QHU46" s="1041"/>
      <c r="QHV46" s="1041"/>
      <c r="QHW46" s="1041"/>
      <c r="QHX46" s="1041"/>
      <c r="QHY46" s="1041"/>
      <c r="QHZ46" s="1041"/>
      <c r="QIA46" s="1041"/>
      <c r="QIB46" s="1041"/>
      <c r="QIC46" s="1041"/>
      <c r="QID46" s="1041"/>
      <c r="QIE46" s="1041"/>
      <c r="QIF46" s="1041"/>
      <c r="QIG46" s="1041"/>
      <c r="QIH46" s="1041"/>
      <c r="QII46" s="1041"/>
      <c r="QIJ46" s="1041"/>
      <c r="QIK46" s="1041"/>
      <c r="QIL46" s="1041"/>
      <c r="QIM46" s="1041"/>
      <c r="QIN46" s="1041"/>
      <c r="QIO46" s="1041"/>
      <c r="QIP46" s="1041"/>
      <c r="QIQ46" s="1041"/>
      <c r="QIR46" s="1041"/>
      <c r="QIS46" s="1041"/>
      <c r="QIT46" s="1041"/>
      <c r="QIU46" s="1041"/>
      <c r="QIV46" s="1041"/>
      <c r="QIW46" s="1041"/>
      <c r="QIX46" s="1041"/>
      <c r="QIY46" s="1041"/>
      <c r="QIZ46" s="1041"/>
      <c r="QJA46" s="1041"/>
      <c r="QJB46" s="1041"/>
      <c r="QJC46" s="1041"/>
      <c r="QJD46" s="1041"/>
      <c r="QJE46" s="1041"/>
      <c r="QJF46" s="1041"/>
      <c r="QJG46" s="1041"/>
      <c r="QJH46" s="1041"/>
      <c r="QJI46" s="1041"/>
      <c r="QJJ46" s="1041"/>
      <c r="QJK46" s="1041"/>
      <c r="QJL46" s="1041"/>
      <c r="QJM46" s="1041"/>
      <c r="QJN46" s="1041"/>
      <c r="QJO46" s="1041"/>
      <c r="QJP46" s="1041"/>
      <c r="QJQ46" s="1041"/>
      <c r="QJR46" s="1041"/>
      <c r="QJS46" s="1041"/>
      <c r="QJT46" s="1041"/>
      <c r="QJU46" s="1041"/>
      <c r="QJV46" s="1041"/>
      <c r="QJW46" s="1041"/>
      <c r="QJX46" s="1041"/>
      <c r="QJY46" s="1041"/>
      <c r="QJZ46" s="1041"/>
      <c r="QKA46" s="1041"/>
      <c r="QKB46" s="1041"/>
      <c r="QKC46" s="1041"/>
      <c r="QKD46" s="1041"/>
      <c r="QKE46" s="1041"/>
      <c r="QKF46" s="1041"/>
      <c r="QKG46" s="1041"/>
      <c r="QKH46" s="1041"/>
      <c r="QKI46" s="1041"/>
      <c r="QKJ46" s="1041"/>
      <c r="QKK46" s="1041"/>
      <c r="QKL46" s="1041"/>
      <c r="QKM46" s="1041"/>
      <c r="QKN46" s="1041"/>
      <c r="QKO46" s="1041"/>
      <c r="QKP46" s="1041"/>
      <c r="QKQ46" s="1041"/>
      <c r="QKR46" s="1041"/>
      <c r="QKS46" s="1041"/>
      <c r="QKT46" s="1041"/>
      <c r="QKU46" s="1041"/>
      <c r="QKV46" s="1041"/>
      <c r="QKW46" s="1041"/>
      <c r="QKX46" s="1041"/>
      <c r="QKY46" s="1041"/>
      <c r="QKZ46" s="1041"/>
      <c r="QLA46" s="1041"/>
      <c r="QLB46" s="1041"/>
      <c r="QLC46" s="1041"/>
      <c r="QLD46" s="1041"/>
      <c r="QLE46" s="1041"/>
      <c r="QLF46" s="1041"/>
      <c r="QLG46" s="1041"/>
      <c r="QLH46" s="1041"/>
      <c r="QLI46" s="1041"/>
      <c r="QLJ46" s="1041"/>
      <c r="QLK46" s="1041"/>
      <c r="QLL46" s="1041"/>
      <c r="QLM46" s="1041"/>
      <c r="QLN46" s="1041"/>
      <c r="QLO46" s="1041"/>
      <c r="QLP46" s="1041"/>
      <c r="QLQ46" s="1041"/>
      <c r="QLR46" s="1041"/>
      <c r="QLS46" s="1041"/>
      <c r="QLT46" s="1041"/>
      <c r="QLU46" s="1041"/>
      <c r="QLV46" s="1041"/>
      <c r="QLW46" s="1041"/>
      <c r="QLX46" s="1041"/>
      <c r="QLY46" s="1041"/>
      <c r="QLZ46" s="1041"/>
      <c r="QMA46" s="1041"/>
      <c r="QMB46" s="1041"/>
      <c r="QMC46" s="1041"/>
      <c r="QMD46" s="1041"/>
      <c r="QME46" s="1041"/>
      <c r="QMF46" s="1041"/>
      <c r="QMG46" s="1041"/>
      <c r="QMH46" s="1041"/>
      <c r="QMI46" s="1041"/>
      <c r="QMJ46" s="1041"/>
      <c r="QMK46" s="1041"/>
      <c r="QML46" s="1041"/>
      <c r="QMM46" s="1041"/>
      <c r="QMN46" s="1041"/>
      <c r="QMO46" s="1041"/>
      <c r="QMP46" s="1041"/>
      <c r="QMQ46" s="1041"/>
      <c r="QMR46" s="1041"/>
      <c r="QMS46" s="1041"/>
      <c r="QMT46" s="1041"/>
      <c r="QMU46" s="1041"/>
      <c r="QMV46" s="1041"/>
      <c r="QMW46" s="1041"/>
      <c r="QMX46" s="1041"/>
      <c r="QMY46" s="1041"/>
      <c r="QMZ46" s="1041"/>
      <c r="QNA46" s="1041"/>
      <c r="QNB46" s="1041"/>
      <c r="QNC46" s="1041"/>
      <c r="QND46" s="1041"/>
      <c r="QNE46" s="1041"/>
      <c r="QNF46" s="1041"/>
      <c r="QNG46" s="1041"/>
      <c r="QNH46" s="1041"/>
      <c r="QNI46" s="1041"/>
      <c r="QNJ46" s="1041"/>
      <c r="QNK46" s="1041"/>
      <c r="QNL46" s="1041"/>
      <c r="QNM46" s="1041"/>
      <c r="QNN46" s="1041"/>
      <c r="QNO46" s="1041"/>
      <c r="QNP46" s="1041"/>
      <c r="QNQ46" s="1041"/>
      <c r="QNR46" s="1041"/>
      <c r="QNS46" s="1041"/>
      <c r="QNT46" s="1041"/>
      <c r="QNU46" s="1041"/>
      <c r="QNV46" s="1041"/>
      <c r="QNW46" s="1041"/>
      <c r="QNX46" s="1041"/>
      <c r="QNY46" s="1041"/>
      <c r="QNZ46" s="1041"/>
      <c r="QOA46" s="1041"/>
      <c r="QOB46" s="1041"/>
      <c r="QOC46" s="1041"/>
      <c r="QOD46" s="1041"/>
      <c r="QOE46" s="1041"/>
      <c r="QOF46" s="1041"/>
      <c r="QOG46" s="1041"/>
      <c r="QOH46" s="1041"/>
      <c r="QOI46" s="1041"/>
      <c r="QOJ46" s="1041"/>
      <c r="QOK46" s="1041"/>
      <c r="QOL46" s="1041"/>
      <c r="QOM46" s="1041"/>
      <c r="QON46" s="1041"/>
      <c r="QOO46" s="1041"/>
      <c r="QOP46" s="1041"/>
      <c r="QOQ46" s="1041"/>
      <c r="QOR46" s="1041"/>
      <c r="QOS46" s="1041"/>
      <c r="QOT46" s="1041"/>
      <c r="QOU46" s="1041"/>
      <c r="QOV46" s="1041"/>
      <c r="QOW46" s="1041"/>
      <c r="QOX46" s="1041"/>
      <c r="QOY46" s="1041"/>
      <c r="QOZ46" s="1041"/>
      <c r="QPA46" s="1041"/>
      <c r="QPB46" s="1041"/>
      <c r="QPC46" s="1041"/>
      <c r="QPD46" s="1041"/>
      <c r="QPE46" s="1041"/>
      <c r="QPF46" s="1041"/>
      <c r="QPG46" s="1041"/>
      <c r="QPH46" s="1041"/>
      <c r="QPI46" s="1041"/>
      <c r="QPJ46" s="1041"/>
      <c r="QPK46" s="1041"/>
      <c r="QPL46" s="1041"/>
      <c r="QPM46" s="1041"/>
      <c r="QPN46" s="1041"/>
      <c r="QPO46" s="1041"/>
      <c r="QPP46" s="1041"/>
      <c r="QPQ46" s="1041"/>
      <c r="QPR46" s="1041"/>
      <c r="QPS46" s="1041"/>
      <c r="QPT46" s="1041"/>
      <c r="QPU46" s="1041"/>
      <c r="QPV46" s="1041"/>
      <c r="QPW46" s="1041"/>
      <c r="QPX46" s="1041"/>
      <c r="QPY46" s="1041"/>
      <c r="QPZ46" s="1041"/>
      <c r="QQA46" s="1041"/>
      <c r="QQB46" s="1041"/>
      <c r="QQC46" s="1041"/>
      <c r="QQD46" s="1041"/>
      <c r="QQE46" s="1041"/>
      <c r="QQF46" s="1041"/>
      <c r="QQG46" s="1041"/>
      <c r="QQH46" s="1041"/>
      <c r="QQI46" s="1041"/>
      <c r="QQJ46" s="1041"/>
      <c r="QQK46" s="1041"/>
      <c r="QQL46" s="1041"/>
      <c r="QQM46" s="1041"/>
      <c r="QQN46" s="1041"/>
      <c r="QQO46" s="1041"/>
      <c r="QQP46" s="1041"/>
      <c r="QQQ46" s="1041"/>
      <c r="QQR46" s="1041"/>
      <c r="QQS46" s="1041"/>
      <c r="QQT46" s="1041"/>
      <c r="QQU46" s="1041"/>
      <c r="QQV46" s="1041"/>
      <c r="QQW46" s="1041"/>
      <c r="QQX46" s="1041"/>
      <c r="QQY46" s="1041"/>
      <c r="QQZ46" s="1041"/>
      <c r="QRA46" s="1041"/>
      <c r="QRB46" s="1041"/>
      <c r="QRC46" s="1041"/>
      <c r="QRD46" s="1041"/>
      <c r="QRE46" s="1041"/>
      <c r="QRF46" s="1041"/>
      <c r="QRG46" s="1041"/>
      <c r="QRH46" s="1041"/>
      <c r="QRI46" s="1041"/>
      <c r="QRJ46" s="1041"/>
      <c r="QRK46" s="1041"/>
      <c r="QRL46" s="1041"/>
      <c r="QRM46" s="1041"/>
      <c r="QRN46" s="1041"/>
      <c r="QRO46" s="1041"/>
      <c r="QRP46" s="1041"/>
      <c r="QRQ46" s="1041"/>
      <c r="QRR46" s="1041"/>
      <c r="QRS46" s="1041"/>
      <c r="QRT46" s="1041"/>
      <c r="QRU46" s="1041"/>
      <c r="QRV46" s="1041"/>
      <c r="QRW46" s="1041"/>
      <c r="QRX46" s="1041"/>
      <c r="QRY46" s="1041"/>
      <c r="QRZ46" s="1041"/>
      <c r="QSA46" s="1041"/>
      <c r="QSB46" s="1041"/>
      <c r="QSC46" s="1041"/>
      <c r="QSD46" s="1041"/>
      <c r="QSE46" s="1041"/>
      <c r="QSF46" s="1041"/>
      <c r="QSG46" s="1041"/>
      <c r="QSH46" s="1041"/>
      <c r="QSI46" s="1041"/>
      <c r="QSJ46" s="1041"/>
      <c r="QSK46" s="1041"/>
      <c r="QSL46" s="1041"/>
      <c r="QSM46" s="1041"/>
      <c r="QSN46" s="1041"/>
      <c r="QSO46" s="1041"/>
      <c r="QSP46" s="1041"/>
      <c r="QSQ46" s="1041"/>
      <c r="QSR46" s="1041"/>
      <c r="QSS46" s="1041"/>
      <c r="QST46" s="1041"/>
      <c r="QSU46" s="1041"/>
      <c r="QSV46" s="1041"/>
      <c r="QSW46" s="1041"/>
      <c r="QSX46" s="1041"/>
      <c r="QSY46" s="1041"/>
      <c r="QSZ46" s="1041"/>
      <c r="QTA46" s="1041"/>
      <c r="QTB46" s="1041"/>
      <c r="QTC46" s="1041"/>
      <c r="QTD46" s="1041"/>
      <c r="QTE46" s="1041"/>
      <c r="QTF46" s="1041"/>
      <c r="QTG46" s="1041"/>
      <c r="QTH46" s="1041"/>
      <c r="QTI46" s="1041"/>
      <c r="QTJ46" s="1041"/>
      <c r="QTK46" s="1041"/>
      <c r="QTL46" s="1041"/>
      <c r="QTM46" s="1041"/>
      <c r="QTN46" s="1041"/>
      <c r="QTO46" s="1041"/>
      <c r="QTP46" s="1041"/>
      <c r="QTQ46" s="1041"/>
      <c r="QTR46" s="1041"/>
      <c r="QTS46" s="1041"/>
      <c r="QTT46" s="1041"/>
      <c r="QTU46" s="1041"/>
      <c r="QTV46" s="1041"/>
      <c r="QTW46" s="1041"/>
      <c r="QTX46" s="1041"/>
      <c r="QTY46" s="1041"/>
      <c r="QTZ46" s="1041"/>
      <c r="QUA46" s="1041"/>
      <c r="QUB46" s="1041"/>
      <c r="QUC46" s="1041"/>
      <c r="QUD46" s="1041"/>
      <c r="QUE46" s="1041"/>
      <c r="QUF46" s="1041"/>
      <c r="QUG46" s="1041"/>
      <c r="QUH46" s="1041"/>
      <c r="QUI46" s="1041"/>
      <c r="QUJ46" s="1041"/>
      <c r="QUK46" s="1041"/>
      <c r="QUL46" s="1041"/>
      <c r="QUM46" s="1041"/>
      <c r="QUN46" s="1041"/>
      <c r="QUO46" s="1041"/>
      <c r="QUP46" s="1041"/>
      <c r="QUQ46" s="1041"/>
      <c r="QUR46" s="1041"/>
      <c r="QUS46" s="1041"/>
      <c r="QUT46" s="1041"/>
      <c r="QUU46" s="1041"/>
      <c r="QUV46" s="1041"/>
      <c r="QUW46" s="1041"/>
      <c r="QUX46" s="1041"/>
      <c r="QUY46" s="1041"/>
      <c r="QUZ46" s="1041"/>
      <c r="QVA46" s="1041"/>
      <c r="QVB46" s="1041"/>
      <c r="QVC46" s="1041"/>
      <c r="QVD46" s="1041"/>
      <c r="QVE46" s="1041"/>
      <c r="QVF46" s="1041"/>
      <c r="QVG46" s="1041"/>
      <c r="QVH46" s="1041"/>
      <c r="QVI46" s="1041"/>
      <c r="QVJ46" s="1041"/>
      <c r="QVK46" s="1041"/>
      <c r="QVL46" s="1041"/>
      <c r="QVM46" s="1041"/>
      <c r="QVN46" s="1041"/>
      <c r="QVO46" s="1041"/>
      <c r="QVP46" s="1041"/>
      <c r="QVQ46" s="1041"/>
      <c r="QVR46" s="1041"/>
      <c r="QVS46" s="1041"/>
      <c r="QVT46" s="1041"/>
      <c r="QVU46" s="1041"/>
      <c r="QVV46" s="1041"/>
      <c r="QVW46" s="1041"/>
      <c r="QVX46" s="1041"/>
      <c r="QVY46" s="1041"/>
      <c r="QVZ46" s="1041"/>
      <c r="QWA46" s="1041"/>
      <c r="QWB46" s="1041"/>
      <c r="QWC46" s="1041"/>
      <c r="QWD46" s="1041"/>
      <c r="QWE46" s="1041"/>
      <c r="QWF46" s="1041"/>
      <c r="QWG46" s="1041"/>
      <c r="QWH46" s="1041"/>
      <c r="QWI46" s="1041"/>
      <c r="QWJ46" s="1041"/>
      <c r="QWK46" s="1041"/>
      <c r="QWL46" s="1041"/>
      <c r="QWM46" s="1041"/>
      <c r="QWN46" s="1041"/>
      <c r="QWO46" s="1041"/>
      <c r="QWP46" s="1041"/>
      <c r="QWQ46" s="1041"/>
      <c r="QWR46" s="1041"/>
      <c r="QWS46" s="1041"/>
      <c r="QWT46" s="1041"/>
      <c r="QWU46" s="1041"/>
      <c r="QWV46" s="1041"/>
      <c r="QWW46" s="1041"/>
      <c r="QWX46" s="1041"/>
      <c r="QWY46" s="1041"/>
      <c r="QWZ46" s="1041"/>
      <c r="QXA46" s="1041"/>
      <c r="QXB46" s="1041"/>
      <c r="QXC46" s="1041"/>
      <c r="QXD46" s="1041"/>
      <c r="QXE46" s="1041"/>
      <c r="QXF46" s="1041"/>
      <c r="QXG46" s="1041"/>
      <c r="QXH46" s="1041"/>
      <c r="QXI46" s="1041"/>
      <c r="QXJ46" s="1041"/>
      <c r="QXK46" s="1041"/>
      <c r="QXL46" s="1041"/>
      <c r="QXM46" s="1041"/>
      <c r="QXN46" s="1041"/>
      <c r="QXO46" s="1041"/>
      <c r="QXP46" s="1041"/>
      <c r="QXQ46" s="1041"/>
      <c r="QXR46" s="1041"/>
      <c r="QXS46" s="1041"/>
      <c r="QXT46" s="1041"/>
      <c r="QXU46" s="1041"/>
      <c r="QXV46" s="1041"/>
      <c r="QXW46" s="1041"/>
      <c r="QXX46" s="1041"/>
      <c r="QXY46" s="1041"/>
      <c r="QXZ46" s="1041"/>
      <c r="QYA46" s="1041"/>
      <c r="QYB46" s="1041"/>
      <c r="QYC46" s="1041"/>
      <c r="QYD46" s="1041"/>
      <c r="QYE46" s="1041"/>
      <c r="QYF46" s="1041"/>
      <c r="QYG46" s="1041"/>
      <c r="QYH46" s="1041"/>
      <c r="QYI46" s="1041"/>
      <c r="QYJ46" s="1041"/>
      <c r="QYK46" s="1041"/>
      <c r="QYL46" s="1041"/>
      <c r="QYM46" s="1041"/>
      <c r="QYN46" s="1041"/>
      <c r="QYO46" s="1041"/>
      <c r="QYP46" s="1041"/>
      <c r="QYQ46" s="1041"/>
      <c r="QYR46" s="1041"/>
      <c r="QYS46" s="1041"/>
      <c r="QYT46" s="1041"/>
      <c r="QYU46" s="1041"/>
      <c r="QYV46" s="1041"/>
      <c r="QYW46" s="1041"/>
      <c r="QYX46" s="1041"/>
      <c r="QYY46" s="1041"/>
      <c r="QYZ46" s="1041"/>
      <c r="QZA46" s="1041"/>
      <c r="QZB46" s="1041"/>
      <c r="QZC46" s="1041"/>
      <c r="QZD46" s="1041"/>
      <c r="QZE46" s="1041"/>
      <c r="QZF46" s="1041"/>
      <c r="QZG46" s="1041"/>
      <c r="QZH46" s="1041"/>
      <c r="QZI46" s="1041"/>
      <c r="QZJ46" s="1041"/>
      <c r="QZK46" s="1041"/>
      <c r="QZL46" s="1041"/>
      <c r="QZM46" s="1041"/>
      <c r="QZN46" s="1041"/>
      <c r="QZO46" s="1041"/>
      <c r="QZP46" s="1041"/>
      <c r="QZQ46" s="1041"/>
      <c r="QZR46" s="1041"/>
      <c r="QZS46" s="1041"/>
      <c r="QZT46" s="1041"/>
      <c r="QZU46" s="1041"/>
      <c r="QZV46" s="1041"/>
      <c r="QZW46" s="1041"/>
      <c r="QZX46" s="1041"/>
      <c r="QZY46" s="1041"/>
      <c r="QZZ46" s="1041"/>
      <c r="RAA46" s="1041"/>
      <c r="RAB46" s="1041"/>
      <c r="RAC46" s="1041"/>
      <c r="RAD46" s="1041"/>
      <c r="RAE46" s="1041"/>
      <c r="RAF46" s="1041"/>
      <c r="RAG46" s="1041"/>
      <c r="RAH46" s="1041"/>
      <c r="RAI46" s="1041"/>
      <c r="RAJ46" s="1041"/>
      <c r="RAK46" s="1041"/>
      <c r="RAL46" s="1041"/>
      <c r="RAM46" s="1041"/>
      <c r="RAN46" s="1041"/>
      <c r="RAO46" s="1041"/>
      <c r="RAP46" s="1041"/>
      <c r="RAQ46" s="1041"/>
      <c r="RAR46" s="1041"/>
      <c r="RAS46" s="1041"/>
      <c r="RAT46" s="1041"/>
      <c r="RAU46" s="1041"/>
      <c r="RAV46" s="1041"/>
      <c r="RAW46" s="1041"/>
      <c r="RAX46" s="1041"/>
      <c r="RAY46" s="1041"/>
      <c r="RAZ46" s="1041"/>
      <c r="RBA46" s="1041"/>
      <c r="RBB46" s="1041"/>
      <c r="RBC46" s="1041"/>
      <c r="RBD46" s="1041"/>
      <c r="RBE46" s="1041"/>
      <c r="RBF46" s="1041"/>
      <c r="RBG46" s="1041"/>
      <c r="RBH46" s="1041"/>
      <c r="RBI46" s="1041"/>
      <c r="RBJ46" s="1041"/>
      <c r="RBK46" s="1041"/>
      <c r="RBL46" s="1041"/>
      <c r="RBM46" s="1041"/>
      <c r="RBN46" s="1041"/>
      <c r="RBO46" s="1041"/>
      <c r="RBP46" s="1041"/>
      <c r="RBQ46" s="1041"/>
      <c r="RBR46" s="1041"/>
      <c r="RBS46" s="1041"/>
      <c r="RBT46" s="1041"/>
      <c r="RBU46" s="1041"/>
      <c r="RBV46" s="1041"/>
      <c r="RBW46" s="1041"/>
      <c r="RBX46" s="1041"/>
      <c r="RBY46" s="1041"/>
      <c r="RBZ46" s="1041"/>
      <c r="RCA46" s="1041"/>
      <c r="RCB46" s="1041"/>
      <c r="RCC46" s="1041"/>
      <c r="RCD46" s="1041"/>
      <c r="RCE46" s="1041"/>
      <c r="RCF46" s="1041"/>
      <c r="RCG46" s="1041"/>
      <c r="RCH46" s="1041"/>
      <c r="RCI46" s="1041"/>
      <c r="RCJ46" s="1041"/>
      <c r="RCK46" s="1041"/>
      <c r="RCL46" s="1041"/>
      <c r="RCM46" s="1041"/>
      <c r="RCN46" s="1041"/>
      <c r="RCO46" s="1041"/>
      <c r="RCP46" s="1041"/>
      <c r="RCQ46" s="1041"/>
      <c r="RCR46" s="1041"/>
      <c r="RCS46" s="1041"/>
      <c r="RCT46" s="1041"/>
      <c r="RCU46" s="1041"/>
      <c r="RCV46" s="1041"/>
      <c r="RCW46" s="1041"/>
      <c r="RCX46" s="1041"/>
      <c r="RCY46" s="1041"/>
      <c r="RCZ46" s="1041"/>
      <c r="RDA46" s="1041"/>
      <c r="RDB46" s="1041"/>
      <c r="RDC46" s="1041"/>
      <c r="RDD46" s="1041"/>
      <c r="RDE46" s="1041"/>
      <c r="RDF46" s="1041"/>
      <c r="RDG46" s="1041"/>
      <c r="RDH46" s="1041"/>
      <c r="RDI46" s="1041"/>
      <c r="RDJ46" s="1041"/>
      <c r="RDK46" s="1041"/>
      <c r="RDL46" s="1041"/>
      <c r="RDM46" s="1041"/>
      <c r="RDN46" s="1041"/>
      <c r="RDO46" s="1041"/>
      <c r="RDP46" s="1041"/>
      <c r="RDQ46" s="1041"/>
      <c r="RDR46" s="1041"/>
      <c r="RDS46" s="1041"/>
      <c r="RDT46" s="1041"/>
      <c r="RDU46" s="1041"/>
      <c r="RDV46" s="1041"/>
      <c r="RDW46" s="1041"/>
      <c r="RDX46" s="1041"/>
      <c r="RDY46" s="1041"/>
      <c r="RDZ46" s="1041"/>
      <c r="REA46" s="1041"/>
      <c r="REB46" s="1041"/>
      <c r="REC46" s="1041"/>
      <c r="RED46" s="1041"/>
      <c r="REE46" s="1041"/>
      <c r="REF46" s="1041"/>
      <c r="REG46" s="1041"/>
      <c r="REH46" s="1041"/>
      <c r="REI46" s="1041"/>
      <c r="REJ46" s="1041"/>
      <c r="REK46" s="1041"/>
      <c r="REL46" s="1041"/>
      <c r="REM46" s="1041"/>
      <c r="REN46" s="1041"/>
      <c r="REO46" s="1041"/>
      <c r="REP46" s="1041"/>
      <c r="REQ46" s="1041"/>
      <c r="RER46" s="1041"/>
      <c r="RES46" s="1041"/>
      <c r="RET46" s="1041"/>
      <c r="REU46" s="1041"/>
      <c r="REV46" s="1041"/>
      <c r="REW46" s="1041"/>
      <c r="REX46" s="1041"/>
      <c r="REY46" s="1041"/>
      <c r="REZ46" s="1041"/>
      <c r="RFA46" s="1041"/>
      <c r="RFB46" s="1041"/>
      <c r="RFC46" s="1041"/>
      <c r="RFD46" s="1041"/>
      <c r="RFE46" s="1041"/>
      <c r="RFF46" s="1041"/>
      <c r="RFG46" s="1041"/>
      <c r="RFH46" s="1041"/>
      <c r="RFI46" s="1041"/>
      <c r="RFJ46" s="1041"/>
      <c r="RFK46" s="1041"/>
      <c r="RFL46" s="1041"/>
      <c r="RFM46" s="1041"/>
      <c r="RFN46" s="1041"/>
      <c r="RFO46" s="1041"/>
      <c r="RFP46" s="1041"/>
      <c r="RFQ46" s="1041"/>
      <c r="RFR46" s="1041"/>
      <c r="RFS46" s="1041"/>
      <c r="RFT46" s="1041"/>
      <c r="RFU46" s="1041"/>
      <c r="RFV46" s="1041"/>
      <c r="RFW46" s="1041"/>
      <c r="RFX46" s="1041"/>
      <c r="RFY46" s="1041"/>
      <c r="RFZ46" s="1041"/>
      <c r="RGA46" s="1041"/>
      <c r="RGB46" s="1041"/>
      <c r="RGC46" s="1041"/>
      <c r="RGD46" s="1041"/>
      <c r="RGE46" s="1041"/>
      <c r="RGF46" s="1041"/>
      <c r="RGG46" s="1041"/>
      <c r="RGH46" s="1041"/>
      <c r="RGI46" s="1041"/>
      <c r="RGJ46" s="1041"/>
      <c r="RGK46" s="1041"/>
      <c r="RGL46" s="1041"/>
      <c r="RGM46" s="1041"/>
      <c r="RGN46" s="1041"/>
      <c r="RGO46" s="1041"/>
      <c r="RGP46" s="1041"/>
      <c r="RGQ46" s="1041"/>
      <c r="RGR46" s="1041"/>
      <c r="RGS46" s="1041"/>
      <c r="RGT46" s="1041"/>
      <c r="RGU46" s="1041"/>
      <c r="RGV46" s="1041"/>
      <c r="RGW46" s="1041"/>
      <c r="RGX46" s="1041"/>
      <c r="RGY46" s="1041"/>
      <c r="RGZ46" s="1041"/>
      <c r="RHA46" s="1041"/>
      <c r="RHB46" s="1041"/>
      <c r="RHC46" s="1041"/>
      <c r="RHD46" s="1041"/>
      <c r="RHE46" s="1041"/>
      <c r="RHF46" s="1041"/>
      <c r="RHG46" s="1041"/>
      <c r="RHH46" s="1041"/>
      <c r="RHI46" s="1041"/>
      <c r="RHJ46" s="1041"/>
      <c r="RHK46" s="1041"/>
      <c r="RHL46" s="1041"/>
      <c r="RHM46" s="1041"/>
      <c r="RHN46" s="1041"/>
      <c r="RHO46" s="1041"/>
      <c r="RHP46" s="1041"/>
      <c r="RHQ46" s="1041"/>
      <c r="RHR46" s="1041"/>
      <c r="RHS46" s="1041"/>
      <c r="RHT46" s="1041"/>
      <c r="RHU46" s="1041"/>
      <c r="RHV46" s="1041"/>
      <c r="RHW46" s="1041"/>
      <c r="RHX46" s="1041"/>
      <c r="RHY46" s="1041"/>
      <c r="RHZ46" s="1041"/>
      <c r="RIA46" s="1041"/>
      <c r="RIB46" s="1041"/>
      <c r="RIC46" s="1041"/>
      <c r="RID46" s="1041"/>
      <c r="RIE46" s="1041"/>
      <c r="RIF46" s="1041"/>
      <c r="RIG46" s="1041"/>
      <c r="RIH46" s="1041"/>
      <c r="RII46" s="1041"/>
      <c r="RIJ46" s="1041"/>
      <c r="RIK46" s="1041"/>
      <c r="RIL46" s="1041"/>
      <c r="RIM46" s="1041"/>
      <c r="RIN46" s="1041"/>
      <c r="RIO46" s="1041"/>
      <c r="RIP46" s="1041"/>
      <c r="RIQ46" s="1041"/>
      <c r="RIR46" s="1041"/>
      <c r="RIS46" s="1041"/>
      <c r="RIT46" s="1041"/>
      <c r="RIU46" s="1041"/>
      <c r="RIV46" s="1041"/>
      <c r="RIW46" s="1041"/>
      <c r="RIX46" s="1041"/>
      <c r="RIY46" s="1041"/>
      <c r="RIZ46" s="1041"/>
      <c r="RJA46" s="1041"/>
      <c r="RJB46" s="1041"/>
      <c r="RJC46" s="1041"/>
      <c r="RJD46" s="1041"/>
      <c r="RJE46" s="1041"/>
      <c r="RJF46" s="1041"/>
      <c r="RJG46" s="1041"/>
      <c r="RJH46" s="1041"/>
      <c r="RJI46" s="1041"/>
      <c r="RJJ46" s="1041"/>
      <c r="RJK46" s="1041"/>
      <c r="RJL46" s="1041"/>
      <c r="RJM46" s="1041"/>
      <c r="RJN46" s="1041"/>
      <c r="RJO46" s="1041"/>
      <c r="RJP46" s="1041"/>
      <c r="RJQ46" s="1041"/>
      <c r="RJR46" s="1041"/>
      <c r="RJS46" s="1041"/>
      <c r="RJT46" s="1041"/>
      <c r="RJU46" s="1041"/>
      <c r="RJV46" s="1041"/>
      <c r="RJW46" s="1041"/>
      <c r="RJX46" s="1041"/>
      <c r="RJY46" s="1041"/>
      <c r="RJZ46" s="1041"/>
      <c r="RKA46" s="1041"/>
      <c r="RKB46" s="1041"/>
      <c r="RKC46" s="1041"/>
      <c r="RKD46" s="1041"/>
      <c r="RKE46" s="1041"/>
      <c r="RKF46" s="1041"/>
      <c r="RKG46" s="1041"/>
      <c r="RKH46" s="1041"/>
      <c r="RKI46" s="1041"/>
      <c r="RKJ46" s="1041"/>
      <c r="RKK46" s="1041"/>
      <c r="RKL46" s="1041"/>
      <c r="RKM46" s="1041"/>
      <c r="RKN46" s="1041"/>
      <c r="RKO46" s="1041"/>
      <c r="RKP46" s="1041"/>
      <c r="RKQ46" s="1041"/>
      <c r="RKR46" s="1041"/>
      <c r="RKS46" s="1041"/>
      <c r="RKT46" s="1041"/>
      <c r="RKU46" s="1041"/>
      <c r="RKV46" s="1041"/>
      <c r="RKW46" s="1041"/>
      <c r="RKX46" s="1041"/>
      <c r="RKY46" s="1041"/>
      <c r="RKZ46" s="1041"/>
      <c r="RLA46" s="1041"/>
      <c r="RLB46" s="1041"/>
      <c r="RLC46" s="1041"/>
      <c r="RLD46" s="1041"/>
      <c r="RLE46" s="1041"/>
      <c r="RLF46" s="1041"/>
      <c r="RLG46" s="1041"/>
      <c r="RLH46" s="1041"/>
      <c r="RLI46" s="1041"/>
      <c r="RLJ46" s="1041"/>
      <c r="RLK46" s="1041"/>
      <c r="RLL46" s="1041"/>
      <c r="RLM46" s="1041"/>
      <c r="RLN46" s="1041"/>
      <c r="RLO46" s="1041"/>
      <c r="RLP46" s="1041"/>
      <c r="RLQ46" s="1041"/>
      <c r="RLR46" s="1041"/>
      <c r="RLS46" s="1041"/>
      <c r="RLT46" s="1041"/>
      <c r="RLU46" s="1041"/>
      <c r="RLV46" s="1041"/>
      <c r="RLW46" s="1041"/>
      <c r="RLX46" s="1041"/>
      <c r="RLY46" s="1041"/>
      <c r="RLZ46" s="1041"/>
      <c r="RMA46" s="1041"/>
      <c r="RMB46" s="1041"/>
      <c r="RMC46" s="1041"/>
      <c r="RMD46" s="1041"/>
      <c r="RME46" s="1041"/>
      <c r="RMF46" s="1041"/>
      <c r="RMG46" s="1041"/>
      <c r="RMH46" s="1041"/>
      <c r="RMI46" s="1041"/>
      <c r="RMJ46" s="1041"/>
      <c r="RMK46" s="1041"/>
      <c r="RML46" s="1041"/>
      <c r="RMM46" s="1041"/>
      <c r="RMN46" s="1041"/>
      <c r="RMO46" s="1041"/>
      <c r="RMP46" s="1041"/>
      <c r="RMQ46" s="1041"/>
      <c r="RMR46" s="1041"/>
      <c r="RMS46" s="1041"/>
      <c r="RMT46" s="1041"/>
      <c r="RMU46" s="1041"/>
      <c r="RMV46" s="1041"/>
      <c r="RMW46" s="1041"/>
      <c r="RMX46" s="1041"/>
      <c r="RMY46" s="1041"/>
      <c r="RMZ46" s="1041"/>
      <c r="RNA46" s="1041"/>
      <c r="RNB46" s="1041"/>
      <c r="RNC46" s="1041"/>
      <c r="RND46" s="1041"/>
      <c r="RNE46" s="1041"/>
      <c r="RNF46" s="1041"/>
      <c r="RNG46" s="1041"/>
      <c r="RNH46" s="1041"/>
      <c r="RNI46" s="1041"/>
      <c r="RNJ46" s="1041"/>
      <c r="RNK46" s="1041"/>
      <c r="RNL46" s="1041"/>
      <c r="RNM46" s="1041"/>
      <c r="RNN46" s="1041"/>
      <c r="RNO46" s="1041"/>
      <c r="RNP46" s="1041"/>
      <c r="RNQ46" s="1041"/>
      <c r="RNR46" s="1041"/>
      <c r="RNS46" s="1041"/>
      <c r="RNT46" s="1041"/>
      <c r="RNU46" s="1041"/>
      <c r="RNV46" s="1041"/>
      <c r="RNW46" s="1041"/>
      <c r="RNX46" s="1041"/>
      <c r="RNY46" s="1041"/>
      <c r="RNZ46" s="1041"/>
      <c r="ROA46" s="1041"/>
      <c r="ROB46" s="1041"/>
      <c r="ROC46" s="1041"/>
      <c r="ROD46" s="1041"/>
      <c r="ROE46" s="1041"/>
      <c r="ROF46" s="1041"/>
      <c r="ROG46" s="1041"/>
      <c r="ROH46" s="1041"/>
      <c r="ROI46" s="1041"/>
      <c r="ROJ46" s="1041"/>
      <c r="ROK46" s="1041"/>
      <c r="ROL46" s="1041"/>
      <c r="ROM46" s="1041"/>
      <c r="RON46" s="1041"/>
      <c r="ROO46" s="1041"/>
      <c r="ROP46" s="1041"/>
      <c r="ROQ46" s="1041"/>
      <c r="ROR46" s="1041"/>
      <c r="ROS46" s="1041"/>
      <c r="ROT46" s="1041"/>
      <c r="ROU46" s="1041"/>
      <c r="ROV46" s="1041"/>
      <c r="ROW46" s="1041"/>
      <c r="ROX46" s="1041"/>
      <c r="ROY46" s="1041"/>
      <c r="ROZ46" s="1041"/>
      <c r="RPA46" s="1041"/>
      <c r="RPB46" s="1041"/>
      <c r="RPC46" s="1041"/>
      <c r="RPD46" s="1041"/>
      <c r="RPE46" s="1041"/>
      <c r="RPF46" s="1041"/>
      <c r="RPG46" s="1041"/>
      <c r="RPH46" s="1041"/>
      <c r="RPI46" s="1041"/>
      <c r="RPJ46" s="1041"/>
      <c r="RPK46" s="1041"/>
      <c r="RPL46" s="1041"/>
      <c r="RPM46" s="1041"/>
      <c r="RPN46" s="1041"/>
      <c r="RPO46" s="1041"/>
      <c r="RPP46" s="1041"/>
      <c r="RPQ46" s="1041"/>
      <c r="RPR46" s="1041"/>
      <c r="RPS46" s="1041"/>
      <c r="RPT46" s="1041"/>
      <c r="RPU46" s="1041"/>
      <c r="RPV46" s="1041"/>
      <c r="RPW46" s="1041"/>
      <c r="RPX46" s="1041"/>
      <c r="RPY46" s="1041"/>
      <c r="RPZ46" s="1041"/>
      <c r="RQA46" s="1041"/>
      <c r="RQB46" s="1041"/>
      <c r="RQC46" s="1041"/>
      <c r="RQD46" s="1041"/>
      <c r="RQE46" s="1041"/>
      <c r="RQF46" s="1041"/>
      <c r="RQG46" s="1041"/>
      <c r="RQH46" s="1041"/>
      <c r="RQI46" s="1041"/>
      <c r="RQJ46" s="1041"/>
      <c r="RQK46" s="1041"/>
      <c r="RQL46" s="1041"/>
      <c r="RQM46" s="1041"/>
      <c r="RQN46" s="1041"/>
      <c r="RQO46" s="1041"/>
      <c r="RQP46" s="1041"/>
      <c r="RQQ46" s="1041"/>
      <c r="RQR46" s="1041"/>
      <c r="RQS46" s="1041"/>
      <c r="RQT46" s="1041"/>
      <c r="RQU46" s="1041"/>
      <c r="RQV46" s="1041"/>
      <c r="RQW46" s="1041"/>
      <c r="RQX46" s="1041"/>
      <c r="RQY46" s="1041"/>
      <c r="RQZ46" s="1041"/>
      <c r="RRA46" s="1041"/>
      <c r="RRB46" s="1041"/>
      <c r="RRC46" s="1041"/>
      <c r="RRD46" s="1041"/>
      <c r="RRE46" s="1041"/>
      <c r="RRF46" s="1041"/>
      <c r="RRG46" s="1041"/>
      <c r="RRH46" s="1041"/>
      <c r="RRI46" s="1041"/>
      <c r="RRJ46" s="1041"/>
      <c r="RRK46" s="1041"/>
      <c r="RRL46" s="1041"/>
      <c r="RRM46" s="1041"/>
      <c r="RRN46" s="1041"/>
      <c r="RRO46" s="1041"/>
      <c r="RRP46" s="1041"/>
      <c r="RRQ46" s="1041"/>
      <c r="RRR46" s="1041"/>
      <c r="RRS46" s="1041"/>
      <c r="RRT46" s="1041"/>
      <c r="RRU46" s="1041"/>
      <c r="RRV46" s="1041"/>
      <c r="RRW46" s="1041"/>
      <c r="RRX46" s="1041"/>
      <c r="RRY46" s="1041"/>
      <c r="RRZ46" s="1041"/>
      <c r="RSA46" s="1041"/>
      <c r="RSB46" s="1041"/>
      <c r="RSC46" s="1041"/>
      <c r="RSD46" s="1041"/>
      <c r="RSE46" s="1041"/>
      <c r="RSF46" s="1041"/>
      <c r="RSG46" s="1041"/>
      <c r="RSH46" s="1041"/>
      <c r="RSI46" s="1041"/>
      <c r="RSJ46" s="1041"/>
      <c r="RSK46" s="1041"/>
      <c r="RSL46" s="1041"/>
      <c r="RSM46" s="1041"/>
      <c r="RSN46" s="1041"/>
      <c r="RSO46" s="1041"/>
      <c r="RSP46" s="1041"/>
      <c r="RSQ46" s="1041"/>
      <c r="RSR46" s="1041"/>
      <c r="RSS46" s="1041"/>
      <c r="RST46" s="1041"/>
      <c r="RSU46" s="1041"/>
      <c r="RSV46" s="1041"/>
      <c r="RSW46" s="1041"/>
      <c r="RSX46" s="1041"/>
      <c r="RSY46" s="1041"/>
      <c r="RSZ46" s="1041"/>
      <c r="RTA46" s="1041"/>
      <c r="RTB46" s="1041"/>
      <c r="RTC46" s="1041"/>
      <c r="RTD46" s="1041"/>
      <c r="RTE46" s="1041"/>
      <c r="RTF46" s="1041"/>
      <c r="RTG46" s="1041"/>
      <c r="RTH46" s="1041"/>
      <c r="RTI46" s="1041"/>
      <c r="RTJ46" s="1041"/>
      <c r="RTK46" s="1041"/>
      <c r="RTL46" s="1041"/>
      <c r="RTM46" s="1041"/>
      <c r="RTN46" s="1041"/>
      <c r="RTO46" s="1041"/>
      <c r="RTP46" s="1041"/>
      <c r="RTQ46" s="1041"/>
      <c r="RTR46" s="1041"/>
      <c r="RTS46" s="1041"/>
      <c r="RTT46" s="1041"/>
      <c r="RTU46" s="1041"/>
      <c r="RTV46" s="1041"/>
      <c r="RTW46" s="1041"/>
      <c r="RTX46" s="1041"/>
      <c r="RTY46" s="1041"/>
      <c r="RTZ46" s="1041"/>
      <c r="RUA46" s="1041"/>
      <c r="RUB46" s="1041"/>
      <c r="RUC46" s="1041"/>
      <c r="RUD46" s="1041"/>
      <c r="RUE46" s="1041"/>
      <c r="RUF46" s="1041"/>
      <c r="RUG46" s="1041"/>
      <c r="RUH46" s="1041"/>
      <c r="RUI46" s="1041"/>
      <c r="RUJ46" s="1041"/>
      <c r="RUK46" s="1041"/>
      <c r="RUL46" s="1041"/>
      <c r="RUM46" s="1041"/>
      <c r="RUN46" s="1041"/>
      <c r="RUO46" s="1041"/>
      <c r="RUP46" s="1041"/>
      <c r="RUQ46" s="1041"/>
      <c r="RUR46" s="1041"/>
      <c r="RUS46" s="1041"/>
      <c r="RUT46" s="1041"/>
      <c r="RUU46" s="1041"/>
      <c r="RUV46" s="1041"/>
      <c r="RUW46" s="1041"/>
      <c r="RUX46" s="1041"/>
      <c r="RUY46" s="1041"/>
      <c r="RUZ46" s="1041"/>
      <c r="RVA46" s="1041"/>
      <c r="RVB46" s="1041"/>
      <c r="RVC46" s="1041"/>
      <c r="RVD46" s="1041"/>
      <c r="RVE46" s="1041"/>
      <c r="RVF46" s="1041"/>
      <c r="RVG46" s="1041"/>
      <c r="RVH46" s="1041"/>
      <c r="RVI46" s="1041"/>
      <c r="RVJ46" s="1041"/>
      <c r="RVK46" s="1041"/>
      <c r="RVL46" s="1041"/>
      <c r="RVM46" s="1041"/>
      <c r="RVN46" s="1041"/>
      <c r="RVO46" s="1041"/>
      <c r="RVP46" s="1041"/>
      <c r="RVQ46" s="1041"/>
      <c r="RVR46" s="1041"/>
      <c r="RVS46" s="1041"/>
      <c r="RVT46" s="1041"/>
      <c r="RVU46" s="1041"/>
      <c r="RVV46" s="1041"/>
      <c r="RVW46" s="1041"/>
      <c r="RVX46" s="1041"/>
      <c r="RVY46" s="1041"/>
      <c r="RVZ46" s="1041"/>
      <c r="RWA46" s="1041"/>
      <c r="RWB46" s="1041"/>
      <c r="RWC46" s="1041"/>
      <c r="RWD46" s="1041"/>
      <c r="RWE46" s="1041"/>
      <c r="RWF46" s="1041"/>
      <c r="RWG46" s="1041"/>
      <c r="RWH46" s="1041"/>
      <c r="RWI46" s="1041"/>
      <c r="RWJ46" s="1041"/>
      <c r="RWK46" s="1041"/>
      <c r="RWL46" s="1041"/>
      <c r="RWM46" s="1041"/>
      <c r="RWN46" s="1041"/>
      <c r="RWO46" s="1041"/>
      <c r="RWP46" s="1041"/>
      <c r="RWQ46" s="1041"/>
      <c r="RWR46" s="1041"/>
      <c r="RWS46" s="1041"/>
      <c r="RWT46" s="1041"/>
      <c r="RWU46" s="1041"/>
      <c r="RWV46" s="1041"/>
      <c r="RWW46" s="1041"/>
      <c r="RWX46" s="1041"/>
      <c r="RWY46" s="1041"/>
      <c r="RWZ46" s="1041"/>
      <c r="RXA46" s="1041"/>
      <c r="RXB46" s="1041"/>
      <c r="RXC46" s="1041"/>
      <c r="RXD46" s="1041"/>
      <c r="RXE46" s="1041"/>
      <c r="RXF46" s="1041"/>
      <c r="RXG46" s="1041"/>
      <c r="RXH46" s="1041"/>
      <c r="RXI46" s="1041"/>
      <c r="RXJ46" s="1041"/>
      <c r="RXK46" s="1041"/>
      <c r="RXL46" s="1041"/>
      <c r="RXM46" s="1041"/>
      <c r="RXN46" s="1041"/>
      <c r="RXO46" s="1041"/>
      <c r="RXP46" s="1041"/>
      <c r="RXQ46" s="1041"/>
      <c r="RXR46" s="1041"/>
      <c r="RXS46" s="1041"/>
      <c r="RXT46" s="1041"/>
      <c r="RXU46" s="1041"/>
      <c r="RXV46" s="1041"/>
      <c r="RXW46" s="1041"/>
      <c r="RXX46" s="1041"/>
      <c r="RXY46" s="1041"/>
      <c r="RXZ46" s="1041"/>
      <c r="RYA46" s="1041"/>
      <c r="RYB46" s="1041"/>
      <c r="RYC46" s="1041"/>
      <c r="RYD46" s="1041"/>
      <c r="RYE46" s="1041"/>
      <c r="RYF46" s="1041"/>
      <c r="RYG46" s="1041"/>
      <c r="RYH46" s="1041"/>
      <c r="RYI46" s="1041"/>
      <c r="RYJ46" s="1041"/>
      <c r="RYK46" s="1041"/>
      <c r="RYL46" s="1041"/>
      <c r="RYM46" s="1041"/>
      <c r="RYN46" s="1041"/>
      <c r="RYO46" s="1041"/>
      <c r="RYP46" s="1041"/>
      <c r="RYQ46" s="1041"/>
      <c r="RYR46" s="1041"/>
      <c r="RYS46" s="1041"/>
      <c r="RYT46" s="1041"/>
      <c r="RYU46" s="1041"/>
      <c r="RYV46" s="1041"/>
      <c r="RYW46" s="1041"/>
      <c r="RYX46" s="1041"/>
      <c r="RYY46" s="1041"/>
      <c r="RYZ46" s="1041"/>
      <c r="RZA46" s="1041"/>
      <c r="RZB46" s="1041"/>
      <c r="RZC46" s="1041"/>
      <c r="RZD46" s="1041"/>
      <c r="RZE46" s="1041"/>
      <c r="RZF46" s="1041"/>
      <c r="RZG46" s="1041"/>
      <c r="RZH46" s="1041"/>
      <c r="RZI46" s="1041"/>
      <c r="RZJ46" s="1041"/>
      <c r="RZK46" s="1041"/>
      <c r="RZL46" s="1041"/>
      <c r="RZM46" s="1041"/>
      <c r="RZN46" s="1041"/>
      <c r="RZO46" s="1041"/>
      <c r="RZP46" s="1041"/>
      <c r="RZQ46" s="1041"/>
      <c r="RZR46" s="1041"/>
      <c r="RZS46" s="1041"/>
      <c r="RZT46" s="1041"/>
      <c r="RZU46" s="1041"/>
      <c r="RZV46" s="1041"/>
      <c r="RZW46" s="1041"/>
      <c r="RZX46" s="1041"/>
      <c r="RZY46" s="1041"/>
      <c r="RZZ46" s="1041"/>
      <c r="SAA46" s="1041"/>
      <c r="SAB46" s="1041"/>
      <c r="SAC46" s="1041"/>
      <c r="SAD46" s="1041"/>
      <c r="SAE46" s="1041"/>
      <c r="SAF46" s="1041"/>
      <c r="SAG46" s="1041"/>
      <c r="SAH46" s="1041"/>
      <c r="SAI46" s="1041"/>
      <c r="SAJ46" s="1041"/>
      <c r="SAK46" s="1041"/>
      <c r="SAL46" s="1041"/>
      <c r="SAM46" s="1041"/>
      <c r="SAN46" s="1041"/>
      <c r="SAO46" s="1041"/>
      <c r="SAP46" s="1041"/>
      <c r="SAQ46" s="1041"/>
      <c r="SAR46" s="1041"/>
      <c r="SAS46" s="1041"/>
      <c r="SAT46" s="1041"/>
      <c r="SAU46" s="1041"/>
      <c r="SAV46" s="1041"/>
      <c r="SAW46" s="1041"/>
      <c r="SAX46" s="1041"/>
      <c r="SAY46" s="1041"/>
      <c r="SAZ46" s="1041"/>
      <c r="SBA46" s="1041"/>
      <c r="SBB46" s="1041"/>
      <c r="SBC46" s="1041"/>
      <c r="SBD46" s="1041"/>
      <c r="SBE46" s="1041"/>
      <c r="SBF46" s="1041"/>
      <c r="SBG46" s="1041"/>
      <c r="SBH46" s="1041"/>
      <c r="SBI46" s="1041"/>
      <c r="SBJ46" s="1041"/>
      <c r="SBK46" s="1041"/>
      <c r="SBL46" s="1041"/>
      <c r="SBM46" s="1041"/>
      <c r="SBN46" s="1041"/>
      <c r="SBO46" s="1041"/>
      <c r="SBP46" s="1041"/>
      <c r="SBQ46" s="1041"/>
      <c r="SBR46" s="1041"/>
      <c r="SBS46" s="1041"/>
      <c r="SBT46" s="1041"/>
      <c r="SBU46" s="1041"/>
      <c r="SBV46" s="1041"/>
      <c r="SBW46" s="1041"/>
      <c r="SBX46" s="1041"/>
      <c r="SBY46" s="1041"/>
      <c r="SBZ46" s="1041"/>
      <c r="SCA46" s="1041"/>
      <c r="SCB46" s="1041"/>
      <c r="SCC46" s="1041"/>
      <c r="SCD46" s="1041"/>
      <c r="SCE46" s="1041"/>
      <c r="SCF46" s="1041"/>
      <c r="SCG46" s="1041"/>
      <c r="SCH46" s="1041"/>
      <c r="SCI46" s="1041"/>
      <c r="SCJ46" s="1041"/>
      <c r="SCK46" s="1041"/>
      <c r="SCL46" s="1041"/>
      <c r="SCM46" s="1041"/>
      <c r="SCN46" s="1041"/>
      <c r="SCO46" s="1041"/>
      <c r="SCP46" s="1041"/>
      <c r="SCQ46" s="1041"/>
      <c r="SCR46" s="1041"/>
      <c r="SCS46" s="1041"/>
      <c r="SCT46" s="1041"/>
      <c r="SCU46" s="1041"/>
      <c r="SCV46" s="1041"/>
      <c r="SCW46" s="1041"/>
      <c r="SCX46" s="1041"/>
      <c r="SCY46" s="1041"/>
      <c r="SCZ46" s="1041"/>
      <c r="SDA46" s="1041"/>
      <c r="SDB46" s="1041"/>
      <c r="SDC46" s="1041"/>
      <c r="SDD46" s="1041"/>
      <c r="SDE46" s="1041"/>
      <c r="SDF46" s="1041"/>
      <c r="SDG46" s="1041"/>
      <c r="SDH46" s="1041"/>
      <c r="SDI46" s="1041"/>
      <c r="SDJ46" s="1041"/>
      <c r="SDK46" s="1041"/>
      <c r="SDL46" s="1041"/>
      <c r="SDM46" s="1041"/>
      <c r="SDN46" s="1041"/>
      <c r="SDO46" s="1041"/>
      <c r="SDP46" s="1041"/>
      <c r="SDQ46" s="1041"/>
      <c r="SDR46" s="1041"/>
      <c r="SDS46" s="1041"/>
      <c r="SDT46" s="1041"/>
      <c r="SDU46" s="1041"/>
      <c r="SDV46" s="1041"/>
      <c r="SDW46" s="1041"/>
      <c r="SDX46" s="1041"/>
      <c r="SDY46" s="1041"/>
      <c r="SDZ46" s="1041"/>
      <c r="SEA46" s="1041"/>
      <c r="SEB46" s="1041"/>
      <c r="SEC46" s="1041"/>
      <c r="SED46" s="1041"/>
      <c r="SEE46" s="1041"/>
      <c r="SEF46" s="1041"/>
      <c r="SEG46" s="1041"/>
      <c r="SEH46" s="1041"/>
      <c r="SEI46" s="1041"/>
      <c r="SEJ46" s="1041"/>
      <c r="SEK46" s="1041"/>
      <c r="SEL46" s="1041"/>
      <c r="SEM46" s="1041"/>
      <c r="SEN46" s="1041"/>
      <c r="SEO46" s="1041"/>
      <c r="SEP46" s="1041"/>
      <c r="SEQ46" s="1041"/>
      <c r="SER46" s="1041"/>
      <c r="SES46" s="1041"/>
      <c r="SET46" s="1041"/>
      <c r="SEU46" s="1041"/>
      <c r="SEV46" s="1041"/>
      <c r="SEW46" s="1041"/>
      <c r="SEX46" s="1041"/>
      <c r="SEY46" s="1041"/>
      <c r="SEZ46" s="1041"/>
      <c r="SFA46" s="1041"/>
      <c r="SFB46" s="1041"/>
      <c r="SFC46" s="1041"/>
      <c r="SFD46" s="1041"/>
      <c r="SFE46" s="1041"/>
      <c r="SFF46" s="1041"/>
      <c r="SFG46" s="1041"/>
      <c r="SFH46" s="1041"/>
      <c r="SFI46" s="1041"/>
      <c r="SFJ46" s="1041"/>
      <c r="SFK46" s="1041"/>
      <c r="SFL46" s="1041"/>
      <c r="SFM46" s="1041"/>
      <c r="SFN46" s="1041"/>
      <c r="SFO46" s="1041"/>
      <c r="SFP46" s="1041"/>
      <c r="SFQ46" s="1041"/>
      <c r="SFR46" s="1041"/>
      <c r="SFS46" s="1041"/>
      <c r="SFT46" s="1041"/>
      <c r="SFU46" s="1041"/>
      <c r="SFV46" s="1041"/>
      <c r="SFW46" s="1041"/>
      <c r="SFX46" s="1041"/>
      <c r="SFY46" s="1041"/>
      <c r="SFZ46" s="1041"/>
      <c r="SGA46" s="1041"/>
      <c r="SGB46" s="1041"/>
      <c r="SGC46" s="1041"/>
      <c r="SGD46" s="1041"/>
      <c r="SGE46" s="1041"/>
      <c r="SGF46" s="1041"/>
      <c r="SGG46" s="1041"/>
      <c r="SGH46" s="1041"/>
      <c r="SGI46" s="1041"/>
      <c r="SGJ46" s="1041"/>
      <c r="SGK46" s="1041"/>
      <c r="SGL46" s="1041"/>
      <c r="SGM46" s="1041"/>
      <c r="SGN46" s="1041"/>
      <c r="SGO46" s="1041"/>
      <c r="SGP46" s="1041"/>
      <c r="SGQ46" s="1041"/>
      <c r="SGR46" s="1041"/>
      <c r="SGS46" s="1041"/>
      <c r="SGT46" s="1041"/>
      <c r="SGU46" s="1041"/>
      <c r="SGV46" s="1041"/>
      <c r="SGW46" s="1041"/>
      <c r="SGX46" s="1041"/>
      <c r="SGY46" s="1041"/>
      <c r="SGZ46" s="1041"/>
      <c r="SHA46" s="1041"/>
      <c r="SHB46" s="1041"/>
      <c r="SHC46" s="1041"/>
      <c r="SHD46" s="1041"/>
      <c r="SHE46" s="1041"/>
      <c r="SHF46" s="1041"/>
      <c r="SHG46" s="1041"/>
      <c r="SHH46" s="1041"/>
      <c r="SHI46" s="1041"/>
      <c r="SHJ46" s="1041"/>
      <c r="SHK46" s="1041"/>
      <c r="SHL46" s="1041"/>
      <c r="SHM46" s="1041"/>
      <c r="SHN46" s="1041"/>
      <c r="SHO46" s="1041"/>
      <c r="SHP46" s="1041"/>
      <c r="SHQ46" s="1041"/>
      <c r="SHR46" s="1041"/>
      <c r="SHS46" s="1041"/>
      <c r="SHT46" s="1041"/>
      <c r="SHU46" s="1041"/>
      <c r="SHV46" s="1041"/>
      <c r="SHW46" s="1041"/>
      <c r="SHX46" s="1041"/>
      <c r="SHY46" s="1041"/>
      <c r="SHZ46" s="1041"/>
      <c r="SIA46" s="1041"/>
      <c r="SIB46" s="1041"/>
      <c r="SIC46" s="1041"/>
      <c r="SID46" s="1041"/>
      <c r="SIE46" s="1041"/>
      <c r="SIF46" s="1041"/>
      <c r="SIG46" s="1041"/>
      <c r="SIH46" s="1041"/>
      <c r="SII46" s="1041"/>
      <c r="SIJ46" s="1041"/>
      <c r="SIK46" s="1041"/>
      <c r="SIL46" s="1041"/>
      <c r="SIM46" s="1041"/>
      <c r="SIN46" s="1041"/>
      <c r="SIO46" s="1041"/>
      <c r="SIP46" s="1041"/>
      <c r="SIQ46" s="1041"/>
      <c r="SIR46" s="1041"/>
      <c r="SIS46" s="1041"/>
      <c r="SIT46" s="1041"/>
      <c r="SIU46" s="1041"/>
      <c r="SIV46" s="1041"/>
      <c r="SIW46" s="1041"/>
      <c r="SIX46" s="1041"/>
      <c r="SIY46" s="1041"/>
      <c r="SIZ46" s="1041"/>
      <c r="SJA46" s="1041"/>
      <c r="SJB46" s="1041"/>
      <c r="SJC46" s="1041"/>
      <c r="SJD46" s="1041"/>
      <c r="SJE46" s="1041"/>
      <c r="SJF46" s="1041"/>
      <c r="SJG46" s="1041"/>
      <c r="SJH46" s="1041"/>
      <c r="SJI46" s="1041"/>
      <c r="SJJ46" s="1041"/>
      <c r="SJK46" s="1041"/>
      <c r="SJL46" s="1041"/>
      <c r="SJM46" s="1041"/>
      <c r="SJN46" s="1041"/>
      <c r="SJO46" s="1041"/>
      <c r="SJP46" s="1041"/>
      <c r="SJQ46" s="1041"/>
      <c r="SJR46" s="1041"/>
      <c r="SJS46" s="1041"/>
      <c r="SJT46" s="1041"/>
      <c r="SJU46" s="1041"/>
      <c r="SJV46" s="1041"/>
      <c r="SJW46" s="1041"/>
      <c r="SJX46" s="1041"/>
      <c r="SJY46" s="1041"/>
      <c r="SJZ46" s="1041"/>
      <c r="SKA46" s="1041"/>
      <c r="SKB46" s="1041"/>
      <c r="SKC46" s="1041"/>
      <c r="SKD46" s="1041"/>
      <c r="SKE46" s="1041"/>
      <c r="SKF46" s="1041"/>
      <c r="SKG46" s="1041"/>
      <c r="SKH46" s="1041"/>
      <c r="SKI46" s="1041"/>
      <c r="SKJ46" s="1041"/>
      <c r="SKK46" s="1041"/>
      <c r="SKL46" s="1041"/>
      <c r="SKM46" s="1041"/>
      <c r="SKN46" s="1041"/>
      <c r="SKO46" s="1041"/>
      <c r="SKP46" s="1041"/>
      <c r="SKQ46" s="1041"/>
      <c r="SKR46" s="1041"/>
      <c r="SKS46" s="1041"/>
      <c r="SKT46" s="1041"/>
      <c r="SKU46" s="1041"/>
      <c r="SKV46" s="1041"/>
      <c r="SKW46" s="1041"/>
      <c r="SKX46" s="1041"/>
      <c r="SKY46" s="1041"/>
      <c r="SKZ46" s="1041"/>
      <c r="SLA46" s="1041"/>
      <c r="SLB46" s="1041"/>
      <c r="SLC46" s="1041"/>
      <c r="SLD46" s="1041"/>
      <c r="SLE46" s="1041"/>
      <c r="SLF46" s="1041"/>
      <c r="SLG46" s="1041"/>
      <c r="SLH46" s="1041"/>
      <c r="SLI46" s="1041"/>
      <c r="SLJ46" s="1041"/>
      <c r="SLK46" s="1041"/>
      <c r="SLL46" s="1041"/>
      <c r="SLM46" s="1041"/>
      <c r="SLN46" s="1041"/>
      <c r="SLO46" s="1041"/>
      <c r="SLP46" s="1041"/>
      <c r="SLQ46" s="1041"/>
      <c r="SLR46" s="1041"/>
      <c r="SLS46" s="1041"/>
      <c r="SLT46" s="1041"/>
      <c r="SLU46" s="1041"/>
      <c r="SLV46" s="1041"/>
      <c r="SLW46" s="1041"/>
      <c r="SLX46" s="1041"/>
      <c r="SLY46" s="1041"/>
      <c r="SLZ46" s="1041"/>
      <c r="SMA46" s="1041"/>
      <c r="SMB46" s="1041"/>
      <c r="SMC46" s="1041"/>
      <c r="SMD46" s="1041"/>
      <c r="SME46" s="1041"/>
      <c r="SMF46" s="1041"/>
      <c r="SMG46" s="1041"/>
      <c r="SMH46" s="1041"/>
      <c r="SMI46" s="1041"/>
      <c r="SMJ46" s="1041"/>
      <c r="SMK46" s="1041"/>
      <c r="SML46" s="1041"/>
      <c r="SMM46" s="1041"/>
      <c r="SMN46" s="1041"/>
      <c r="SMO46" s="1041"/>
      <c r="SMP46" s="1041"/>
      <c r="SMQ46" s="1041"/>
      <c r="SMR46" s="1041"/>
      <c r="SMS46" s="1041"/>
      <c r="SMT46" s="1041"/>
      <c r="SMU46" s="1041"/>
      <c r="SMV46" s="1041"/>
      <c r="SMW46" s="1041"/>
      <c r="SMX46" s="1041"/>
      <c r="SMY46" s="1041"/>
      <c r="SMZ46" s="1041"/>
      <c r="SNA46" s="1041"/>
      <c r="SNB46" s="1041"/>
      <c r="SNC46" s="1041"/>
      <c r="SND46" s="1041"/>
      <c r="SNE46" s="1041"/>
      <c r="SNF46" s="1041"/>
      <c r="SNG46" s="1041"/>
      <c r="SNH46" s="1041"/>
      <c r="SNI46" s="1041"/>
      <c r="SNJ46" s="1041"/>
      <c r="SNK46" s="1041"/>
      <c r="SNL46" s="1041"/>
      <c r="SNM46" s="1041"/>
      <c r="SNN46" s="1041"/>
      <c r="SNO46" s="1041"/>
      <c r="SNP46" s="1041"/>
      <c r="SNQ46" s="1041"/>
      <c r="SNR46" s="1041"/>
      <c r="SNS46" s="1041"/>
      <c r="SNT46" s="1041"/>
      <c r="SNU46" s="1041"/>
      <c r="SNV46" s="1041"/>
      <c r="SNW46" s="1041"/>
      <c r="SNX46" s="1041"/>
      <c r="SNY46" s="1041"/>
      <c r="SNZ46" s="1041"/>
      <c r="SOA46" s="1041"/>
      <c r="SOB46" s="1041"/>
      <c r="SOC46" s="1041"/>
      <c r="SOD46" s="1041"/>
      <c r="SOE46" s="1041"/>
      <c r="SOF46" s="1041"/>
      <c r="SOG46" s="1041"/>
      <c r="SOH46" s="1041"/>
      <c r="SOI46" s="1041"/>
      <c r="SOJ46" s="1041"/>
      <c r="SOK46" s="1041"/>
      <c r="SOL46" s="1041"/>
      <c r="SOM46" s="1041"/>
      <c r="SON46" s="1041"/>
      <c r="SOO46" s="1041"/>
      <c r="SOP46" s="1041"/>
      <c r="SOQ46" s="1041"/>
      <c r="SOR46" s="1041"/>
      <c r="SOS46" s="1041"/>
      <c r="SOT46" s="1041"/>
      <c r="SOU46" s="1041"/>
      <c r="SOV46" s="1041"/>
      <c r="SOW46" s="1041"/>
      <c r="SOX46" s="1041"/>
      <c r="SOY46" s="1041"/>
      <c r="SOZ46" s="1041"/>
      <c r="SPA46" s="1041"/>
      <c r="SPB46" s="1041"/>
      <c r="SPC46" s="1041"/>
      <c r="SPD46" s="1041"/>
      <c r="SPE46" s="1041"/>
      <c r="SPF46" s="1041"/>
      <c r="SPG46" s="1041"/>
      <c r="SPH46" s="1041"/>
      <c r="SPI46" s="1041"/>
      <c r="SPJ46" s="1041"/>
      <c r="SPK46" s="1041"/>
      <c r="SPL46" s="1041"/>
      <c r="SPM46" s="1041"/>
      <c r="SPN46" s="1041"/>
      <c r="SPO46" s="1041"/>
      <c r="SPP46" s="1041"/>
      <c r="SPQ46" s="1041"/>
      <c r="SPR46" s="1041"/>
      <c r="SPS46" s="1041"/>
      <c r="SPT46" s="1041"/>
      <c r="SPU46" s="1041"/>
      <c r="SPV46" s="1041"/>
      <c r="SPW46" s="1041"/>
      <c r="SPX46" s="1041"/>
      <c r="SPY46" s="1041"/>
      <c r="SPZ46" s="1041"/>
      <c r="SQA46" s="1041"/>
      <c r="SQB46" s="1041"/>
      <c r="SQC46" s="1041"/>
      <c r="SQD46" s="1041"/>
      <c r="SQE46" s="1041"/>
      <c r="SQF46" s="1041"/>
      <c r="SQG46" s="1041"/>
      <c r="SQH46" s="1041"/>
      <c r="SQI46" s="1041"/>
      <c r="SQJ46" s="1041"/>
      <c r="SQK46" s="1041"/>
      <c r="SQL46" s="1041"/>
      <c r="SQM46" s="1041"/>
      <c r="SQN46" s="1041"/>
      <c r="SQO46" s="1041"/>
      <c r="SQP46" s="1041"/>
      <c r="SQQ46" s="1041"/>
      <c r="SQR46" s="1041"/>
      <c r="SQS46" s="1041"/>
      <c r="SQT46" s="1041"/>
      <c r="SQU46" s="1041"/>
      <c r="SQV46" s="1041"/>
      <c r="SQW46" s="1041"/>
      <c r="SQX46" s="1041"/>
      <c r="SQY46" s="1041"/>
      <c r="SQZ46" s="1041"/>
      <c r="SRA46" s="1041"/>
      <c r="SRB46" s="1041"/>
      <c r="SRC46" s="1041"/>
      <c r="SRD46" s="1041"/>
      <c r="SRE46" s="1041"/>
      <c r="SRF46" s="1041"/>
      <c r="SRG46" s="1041"/>
      <c r="SRH46" s="1041"/>
      <c r="SRI46" s="1041"/>
      <c r="SRJ46" s="1041"/>
      <c r="SRK46" s="1041"/>
      <c r="SRL46" s="1041"/>
      <c r="SRM46" s="1041"/>
      <c r="SRN46" s="1041"/>
      <c r="SRO46" s="1041"/>
      <c r="SRP46" s="1041"/>
      <c r="SRQ46" s="1041"/>
      <c r="SRR46" s="1041"/>
      <c r="SRS46" s="1041"/>
      <c r="SRT46" s="1041"/>
      <c r="SRU46" s="1041"/>
      <c r="SRV46" s="1041"/>
      <c r="SRW46" s="1041"/>
      <c r="SRX46" s="1041"/>
      <c r="SRY46" s="1041"/>
      <c r="SRZ46" s="1041"/>
      <c r="SSA46" s="1041"/>
      <c r="SSB46" s="1041"/>
      <c r="SSC46" s="1041"/>
      <c r="SSD46" s="1041"/>
      <c r="SSE46" s="1041"/>
      <c r="SSF46" s="1041"/>
      <c r="SSG46" s="1041"/>
      <c r="SSH46" s="1041"/>
      <c r="SSI46" s="1041"/>
      <c r="SSJ46" s="1041"/>
      <c r="SSK46" s="1041"/>
      <c r="SSL46" s="1041"/>
      <c r="SSM46" s="1041"/>
      <c r="SSN46" s="1041"/>
      <c r="SSO46" s="1041"/>
      <c r="SSP46" s="1041"/>
      <c r="SSQ46" s="1041"/>
      <c r="SSR46" s="1041"/>
      <c r="SSS46" s="1041"/>
      <c r="SST46" s="1041"/>
      <c r="SSU46" s="1041"/>
      <c r="SSV46" s="1041"/>
      <c r="SSW46" s="1041"/>
      <c r="SSX46" s="1041"/>
      <c r="SSY46" s="1041"/>
      <c r="SSZ46" s="1041"/>
      <c r="STA46" s="1041"/>
      <c r="STB46" s="1041"/>
      <c r="STC46" s="1041"/>
      <c r="STD46" s="1041"/>
      <c r="STE46" s="1041"/>
      <c r="STF46" s="1041"/>
      <c r="STG46" s="1041"/>
      <c r="STH46" s="1041"/>
      <c r="STI46" s="1041"/>
      <c r="STJ46" s="1041"/>
      <c r="STK46" s="1041"/>
      <c r="STL46" s="1041"/>
      <c r="STM46" s="1041"/>
      <c r="STN46" s="1041"/>
      <c r="STO46" s="1041"/>
      <c r="STP46" s="1041"/>
      <c r="STQ46" s="1041"/>
      <c r="STR46" s="1041"/>
      <c r="STS46" s="1041"/>
      <c r="STT46" s="1041"/>
      <c r="STU46" s="1041"/>
      <c r="STV46" s="1041"/>
      <c r="STW46" s="1041"/>
      <c r="STX46" s="1041"/>
      <c r="STY46" s="1041"/>
      <c r="STZ46" s="1041"/>
      <c r="SUA46" s="1041"/>
      <c r="SUB46" s="1041"/>
      <c r="SUC46" s="1041"/>
      <c r="SUD46" s="1041"/>
      <c r="SUE46" s="1041"/>
      <c r="SUF46" s="1041"/>
      <c r="SUG46" s="1041"/>
      <c r="SUH46" s="1041"/>
      <c r="SUI46" s="1041"/>
      <c r="SUJ46" s="1041"/>
      <c r="SUK46" s="1041"/>
      <c r="SUL46" s="1041"/>
      <c r="SUM46" s="1041"/>
      <c r="SUN46" s="1041"/>
      <c r="SUO46" s="1041"/>
      <c r="SUP46" s="1041"/>
      <c r="SUQ46" s="1041"/>
      <c r="SUR46" s="1041"/>
      <c r="SUS46" s="1041"/>
      <c r="SUT46" s="1041"/>
      <c r="SUU46" s="1041"/>
      <c r="SUV46" s="1041"/>
      <c r="SUW46" s="1041"/>
      <c r="SUX46" s="1041"/>
      <c r="SUY46" s="1041"/>
      <c r="SUZ46" s="1041"/>
      <c r="SVA46" s="1041"/>
      <c r="SVB46" s="1041"/>
      <c r="SVC46" s="1041"/>
      <c r="SVD46" s="1041"/>
      <c r="SVE46" s="1041"/>
      <c r="SVF46" s="1041"/>
      <c r="SVG46" s="1041"/>
      <c r="SVH46" s="1041"/>
      <c r="SVI46" s="1041"/>
      <c r="SVJ46" s="1041"/>
      <c r="SVK46" s="1041"/>
      <c r="SVL46" s="1041"/>
      <c r="SVM46" s="1041"/>
      <c r="SVN46" s="1041"/>
      <c r="SVO46" s="1041"/>
      <c r="SVP46" s="1041"/>
      <c r="SVQ46" s="1041"/>
      <c r="SVR46" s="1041"/>
      <c r="SVS46" s="1041"/>
      <c r="SVT46" s="1041"/>
      <c r="SVU46" s="1041"/>
      <c r="SVV46" s="1041"/>
      <c r="SVW46" s="1041"/>
      <c r="SVX46" s="1041"/>
      <c r="SVY46" s="1041"/>
      <c r="SVZ46" s="1041"/>
      <c r="SWA46" s="1041"/>
      <c r="SWB46" s="1041"/>
      <c r="SWC46" s="1041"/>
      <c r="SWD46" s="1041"/>
      <c r="SWE46" s="1041"/>
      <c r="SWF46" s="1041"/>
      <c r="SWG46" s="1041"/>
      <c r="SWH46" s="1041"/>
      <c r="SWI46" s="1041"/>
      <c r="SWJ46" s="1041"/>
      <c r="SWK46" s="1041"/>
      <c r="SWL46" s="1041"/>
      <c r="SWM46" s="1041"/>
      <c r="SWN46" s="1041"/>
      <c r="SWO46" s="1041"/>
      <c r="SWP46" s="1041"/>
      <c r="SWQ46" s="1041"/>
      <c r="SWR46" s="1041"/>
      <c r="SWS46" s="1041"/>
      <c r="SWT46" s="1041"/>
      <c r="SWU46" s="1041"/>
      <c r="SWV46" s="1041"/>
      <c r="SWW46" s="1041"/>
      <c r="SWX46" s="1041"/>
      <c r="SWY46" s="1041"/>
      <c r="SWZ46" s="1041"/>
      <c r="SXA46" s="1041"/>
      <c r="SXB46" s="1041"/>
      <c r="SXC46" s="1041"/>
      <c r="SXD46" s="1041"/>
      <c r="SXE46" s="1041"/>
      <c r="SXF46" s="1041"/>
      <c r="SXG46" s="1041"/>
      <c r="SXH46" s="1041"/>
      <c r="SXI46" s="1041"/>
      <c r="SXJ46" s="1041"/>
      <c r="SXK46" s="1041"/>
      <c r="SXL46" s="1041"/>
      <c r="SXM46" s="1041"/>
      <c r="SXN46" s="1041"/>
      <c r="SXO46" s="1041"/>
      <c r="SXP46" s="1041"/>
      <c r="SXQ46" s="1041"/>
      <c r="SXR46" s="1041"/>
      <c r="SXS46" s="1041"/>
      <c r="SXT46" s="1041"/>
      <c r="SXU46" s="1041"/>
      <c r="SXV46" s="1041"/>
      <c r="SXW46" s="1041"/>
      <c r="SXX46" s="1041"/>
      <c r="SXY46" s="1041"/>
      <c r="SXZ46" s="1041"/>
      <c r="SYA46" s="1041"/>
      <c r="SYB46" s="1041"/>
      <c r="SYC46" s="1041"/>
      <c r="SYD46" s="1041"/>
      <c r="SYE46" s="1041"/>
      <c r="SYF46" s="1041"/>
      <c r="SYG46" s="1041"/>
      <c r="SYH46" s="1041"/>
      <c r="SYI46" s="1041"/>
      <c r="SYJ46" s="1041"/>
      <c r="SYK46" s="1041"/>
      <c r="SYL46" s="1041"/>
      <c r="SYM46" s="1041"/>
      <c r="SYN46" s="1041"/>
      <c r="SYO46" s="1041"/>
      <c r="SYP46" s="1041"/>
      <c r="SYQ46" s="1041"/>
      <c r="SYR46" s="1041"/>
      <c r="SYS46" s="1041"/>
      <c r="SYT46" s="1041"/>
      <c r="SYU46" s="1041"/>
      <c r="SYV46" s="1041"/>
      <c r="SYW46" s="1041"/>
      <c r="SYX46" s="1041"/>
      <c r="SYY46" s="1041"/>
      <c r="SYZ46" s="1041"/>
      <c r="SZA46" s="1041"/>
      <c r="SZB46" s="1041"/>
      <c r="SZC46" s="1041"/>
      <c r="SZD46" s="1041"/>
      <c r="SZE46" s="1041"/>
      <c r="SZF46" s="1041"/>
      <c r="SZG46" s="1041"/>
      <c r="SZH46" s="1041"/>
      <c r="SZI46" s="1041"/>
      <c r="SZJ46" s="1041"/>
      <c r="SZK46" s="1041"/>
      <c r="SZL46" s="1041"/>
      <c r="SZM46" s="1041"/>
      <c r="SZN46" s="1041"/>
      <c r="SZO46" s="1041"/>
      <c r="SZP46" s="1041"/>
      <c r="SZQ46" s="1041"/>
      <c r="SZR46" s="1041"/>
      <c r="SZS46" s="1041"/>
      <c r="SZT46" s="1041"/>
      <c r="SZU46" s="1041"/>
      <c r="SZV46" s="1041"/>
      <c r="SZW46" s="1041"/>
      <c r="SZX46" s="1041"/>
      <c r="SZY46" s="1041"/>
      <c r="SZZ46" s="1041"/>
      <c r="TAA46" s="1041"/>
      <c r="TAB46" s="1041"/>
      <c r="TAC46" s="1041"/>
      <c r="TAD46" s="1041"/>
      <c r="TAE46" s="1041"/>
      <c r="TAF46" s="1041"/>
      <c r="TAG46" s="1041"/>
      <c r="TAH46" s="1041"/>
      <c r="TAI46" s="1041"/>
      <c r="TAJ46" s="1041"/>
      <c r="TAK46" s="1041"/>
      <c r="TAL46" s="1041"/>
      <c r="TAM46" s="1041"/>
      <c r="TAN46" s="1041"/>
      <c r="TAO46" s="1041"/>
      <c r="TAP46" s="1041"/>
      <c r="TAQ46" s="1041"/>
      <c r="TAR46" s="1041"/>
      <c r="TAS46" s="1041"/>
      <c r="TAT46" s="1041"/>
      <c r="TAU46" s="1041"/>
      <c r="TAV46" s="1041"/>
      <c r="TAW46" s="1041"/>
      <c r="TAX46" s="1041"/>
      <c r="TAY46" s="1041"/>
      <c r="TAZ46" s="1041"/>
      <c r="TBA46" s="1041"/>
      <c r="TBB46" s="1041"/>
      <c r="TBC46" s="1041"/>
      <c r="TBD46" s="1041"/>
      <c r="TBE46" s="1041"/>
      <c r="TBF46" s="1041"/>
      <c r="TBG46" s="1041"/>
      <c r="TBH46" s="1041"/>
      <c r="TBI46" s="1041"/>
      <c r="TBJ46" s="1041"/>
      <c r="TBK46" s="1041"/>
      <c r="TBL46" s="1041"/>
      <c r="TBM46" s="1041"/>
      <c r="TBN46" s="1041"/>
      <c r="TBO46" s="1041"/>
      <c r="TBP46" s="1041"/>
      <c r="TBQ46" s="1041"/>
      <c r="TBR46" s="1041"/>
      <c r="TBS46" s="1041"/>
      <c r="TBT46" s="1041"/>
      <c r="TBU46" s="1041"/>
      <c r="TBV46" s="1041"/>
      <c r="TBW46" s="1041"/>
      <c r="TBX46" s="1041"/>
      <c r="TBY46" s="1041"/>
      <c r="TBZ46" s="1041"/>
      <c r="TCA46" s="1041"/>
      <c r="TCB46" s="1041"/>
      <c r="TCC46" s="1041"/>
      <c r="TCD46" s="1041"/>
      <c r="TCE46" s="1041"/>
      <c r="TCF46" s="1041"/>
      <c r="TCG46" s="1041"/>
      <c r="TCH46" s="1041"/>
      <c r="TCI46" s="1041"/>
      <c r="TCJ46" s="1041"/>
      <c r="TCK46" s="1041"/>
      <c r="TCL46" s="1041"/>
      <c r="TCM46" s="1041"/>
      <c r="TCN46" s="1041"/>
      <c r="TCO46" s="1041"/>
      <c r="TCP46" s="1041"/>
      <c r="TCQ46" s="1041"/>
      <c r="TCR46" s="1041"/>
      <c r="TCS46" s="1041"/>
      <c r="TCT46" s="1041"/>
      <c r="TCU46" s="1041"/>
      <c r="TCV46" s="1041"/>
      <c r="TCW46" s="1041"/>
      <c r="TCX46" s="1041"/>
      <c r="TCY46" s="1041"/>
      <c r="TCZ46" s="1041"/>
      <c r="TDA46" s="1041"/>
      <c r="TDB46" s="1041"/>
      <c r="TDC46" s="1041"/>
      <c r="TDD46" s="1041"/>
      <c r="TDE46" s="1041"/>
      <c r="TDF46" s="1041"/>
      <c r="TDG46" s="1041"/>
      <c r="TDH46" s="1041"/>
      <c r="TDI46" s="1041"/>
      <c r="TDJ46" s="1041"/>
      <c r="TDK46" s="1041"/>
      <c r="TDL46" s="1041"/>
      <c r="TDM46" s="1041"/>
      <c r="TDN46" s="1041"/>
      <c r="TDO46" s="1041"/>
      <c r="TDP46" s="1041"/>
      <c r="TDQ46" s="1041"/>
      <c r="TDR46" s="1041"/>
      <c r="TDS46" s="1041"/>
      <c r="TDT46" s="1041"/>
      <c r="TDU46" s="1041"/>
      <c r="TDV46" s="1041"/>
      <c r="TDW46" s="1041"/>
      <c r="TDX46" s="1041"/>
      <c r="TDY46" s="1041"/>
      <c r="TDZ46" s="1041"/>
      <c r="TEA46" s="1041"/>
      <c r="TEB46" s="1041"/>
      <c r="TEC46" s="1041"/>
      <c r="TED46" s="1041"/>
      <c r="TEE46" s="1041"/>
      <c r="TEF46" s="1041"/>
      <c r="TEG46" s="1041"/>
      <c r="TEH46" s="1041"/>
      <c r="TEI46" s="1041"/>
      <c r="TEJ46" s="1041"/>
      <c r="TEK46" s="1041"/>
      <c r="TEL46" s="1041"/>
      <c r="TEM46" s="1041"/>
      <c r="TEN46" s="1041"/>
      <c r="TEO46" s="1041"/>
      <c r="TEP46" s="1041"/>
      <c r="TEQ46" s="1041"/>
      <c r="TER46" s="1041"/>
      <c r="TES46" s="1041"/>
      <c r="TET46" s="1041"/>
      <c r="TEU46" s="1041"/>
      <c r="TEV46" s="1041"/>
      <c r="TEW46" s="1041"/>
      <c r="TEX46" s="1041"/>
      <c r="TEY46" s="1041"/>
      <c r="TEZ46" s="1041"/>
      <c r="TFA46" s="1041"/>
      <c r="TFB46" s="1041"/>
      <c r="TFC46" s="1041"/>
      <c r="TFD46" s="1041"/>
      <c r="TFE46" s="1041"/>
      <c r="TFF46" s="1041"/>
      <c r="TFG46" s="1041"/>
      <c r="TFH46" s="1041"/>
      <c r="TFI46" s="1041"/>
      <c r="TFJ46" s="1041"/>
      <c r="TFK46" s="1041"/>
      <c r="TFL46" s="1041"/>
      <c r="TFM46" s="1041"/>
      <c r="TFN46" s="1041"/>
      <c r="TFO46" s="1041"/>
      <c r="TFP46" s="1041"/>
      <c r="TFQ46" s="1041"/>
      <c r="TFR46" s="1041"/>
      <c r="TFS46" s="1041"/>
      <c r="TFT46" s="1041"/>
      <c r="TFU46" s="1041"/>
      <c r="TFV46" s="1041"/>
      <c r="TFW46" s="1041"/>
      <c r="TFX46" s="1041"/>
      <c r="TFY46" s="1041"/>
      <c r="TFZ46" s="1041"/>
      <c r="TGA46" s="1041"/>
      <c r="TGB46" s="1041"/>
      <c r="TGC46" s="1041"/>
      <c r="TGD46" s="1041"/>
      <c r="TGE46" s="1041"/>
      <c r="TGF46" s="1041"/>
      <c r="TGG46" s="1041"/>
      <c r="TGH46" s="1041"/>
      <c r="TGI46" s="1041"/>
      <c r="TGJ46" s="1041"/>
      <c r="TGK46" s="1041"/>
      <c r="TGL46" s="1041"/>
      <c r="TGM46" s="1041"/>
      <c r="TGN46" s="1041"/>
      <c r="TGO46" s="1041"/>
      <c r="TGP46" s="1041"/>
      <c r="TGQ46" s="1041"/>
      <c r="TGR46" s="1041"/>
      <c r="TGS46" s="1041"/>
      <c r="TGT46" s="1041"/>
      <c r="TGU46" s="1041"/>
      <c r="TGV46" s="1041"/>
      <c r="TGW46" s="1041"/>
      <c r="TGX46" s="1041"/>
      <c r="TGY46" s="1041"/>
      <c r="TGZ46" s="1041"/>
      <c r="THA46" s="1041"/>
      <c r="THB46" s="1041"/>
      <c r="THC46" s="1041"/>
      <c r="THD46" s="1041"/>
      <c r="THE46" s="1041"/>
      <c r="THF46" s="1041"/>
      <c r="THG46" s="1041"/>
      <c r="THH46" s="1041"/>
      <c r="THI46" s="1041"/>
      <c r="THJ46" s="1041"/>
      <c r="THK46" s="1041"/>
      <c r="THL46" s="1041"/>
      <c r="THM46" s="1041"/>
      <c r="THN46" s="1041"/>
      <c r="THO46" s="1041"/>
      <c r="THP46" s="1041"/>
      <c r="THQ46" s="1041"/>
      <c r="THR46" s="1041"/>
      <c r="THS46" s="1041"/>
      <c r="THT46" s="1041"/>
      <c r="THU46" s="1041"/>
      <c r="THV46" s="1041"/>
      <c r="THW46" s="1041"/>
      <c r="THX46" s="1041"/>
      <c r="THY46" s="1041"/>
      <c r="THZ46" s="1041"/>
      <c r="TIA46" s="1041"/>
      <c r="TIB46" s="1041"/>
      <c r="TIC46" s="1041"/>
      <c r="TID46" s="1041"/>
      <c r="TIE46" s="1041"/>
      <c r="TIF46" s="1041"/>
      <c r="TIG46" s="1041"/>
      <c r="TIH46" s="1041"/>
      <c r="TII46" s="1041"/>
      <c r="TIJ46" s="1041"/>
      <c r="TIK46" s="1041"/>
      <c r="TIL46" s="1041"/>
      <c r="TIM46" s="1041"/>
      <c r="TIN46" s="1041"/>
      <c r="TIO46" s="1041"/>
      <c r="TIP46" s="1041"/>
      <c r="TIQ46" s="1041"/>
      <c r="TIR46" s="1041"/>
      <c r="TIS46" s="1041"/>
      <c r="TIT46" s="1041"/>
      <c r="TIU46" s="1041"/>
      <c r="TIV46" s="1041"/>
      <c r="TIW46" s="1041"/>
      <c r="TIX46" s="1041"/>
      <c r="TIY46" s="1041"/>
      <c r="TIZ46" s="1041"/>
      <c r="TJA46" s="1041"/>
      <c r="TJB46" s="1041"/>
      <c r="TJC46" s="1041"/>
      <c r="TJD46" s="1041"/>
      <c r="TJE46" s="1041"/>
      <c r="TJF46" s="1041"/>
      <c r="TJG46" s="1041"/>
      <c r="TJH46" s="1041"/>
      <c r="TJI46" s="1041"/>
      <c r="TJJ46" s="1041"/>
      <c r="TJK46" s="1041"/>
      <c r="TJL46" s="1041"/>
      <c r="TJM46" s="1041"/>
      <c r="TJN46" s="1041"/>
      <c r="TJO46" s="1041"/>
      <c r="TJP46" s="1041"/>
      <c r="TJQ46" s="1041"/>
      <c r="TJR46" s="1041"/>
      <c r="TJS46" s="1041"/>
      <c r="TJT46" s="1041"/>
      <c r="TJU46" s="1041"/>
      <c r="TJV46" s="1041"/>
      <c r="TJW46" s="1041"/>
      <c r="TJX46" s="1041"/>
      <c r="TJY46" s="1041"/>
      <c r="TJZ46" s="1041"/>
      <c r="TKA46" s="1041"/>
      <c r="TKB46" s="1041"/>
      <c r="TKC46" s="1041"/>
      <c r="TKD46" s="1041"/>
      <c r="TKE46" s="1041"/>
      <c r="TKF46" s="1041"/>
      <c r="TKG46" s="1041"/>
      <c r="TKH46" s="1041"/>
      <c r="TKI46" s="1041"/>
      <c r="TKJ46" s="1041"/>
      <c r="TKK46" s="1041"/>
      <c r="TKL46" s="1041"/>
      <c r="TKM46" s="1041"/>
      <c r="TKN46" s="1041"/>
      <c r="TKO46" s="1041"/>
      <c r="TKP46" s="1041"/>
      <c r="TKQ46" s="1041"/>
      <c r="TKR46" s="1041"/>
      <c r="TKS46" s="1041"/>
      <c r="TKT46" s="1041"/>
      <c r="TKU46" s="1041"/>
      <c r="TKV46" s="1041"/>
      <c r="TKW46" s="1041"/>
      <c r="TKX46" s="1041"/>
      <c r="TKY46" s="1041"/>
      <c r="TKZ46" s="1041"/>
      <c r="TLA46" s="1041"/>
      <c r="TLB46" s="1041"/>
      <c r="TLC46" s="1041"/>
      <c r="TLD46" s="1041"/>
      <c r="TLE46" s="1041"/>
      <c r="TLF46" s="1041"/>
      <c r="TLG46" s="1041"/>
      <c r="TLH46" s="1041"/>
      <c r="TLI46" s="1041"/>
      <c r="TLJ46" s="1041"/>
      <c r="TLK46" s="1041"/>
      <c r="TLL46" s="1041"/>
      <c r="TLM46" s="1041"/>
      <c r="TLN46" s="1041"/>
      <c r="TLO46" s="1041"/>
      <c r="TLP46" s="1041"/>
      <c r="TLQ46" s="1041"/>
      <c r="TLR46" s="1041"/>
      <c r="TLS46" s="1041"/>
      <c r="TLT46" s="1041"/>
      <c r="TLU46" s="1041"/>
      <c r="TLV46" s="1041"/>
      <c r="TLW46" s="1041"/>
      <c r="TLX46" s="1041"/>
      <c r="TLY46" s="1041"/>
      <c r="TLZ46" s="1041"/>
      <c r="TMA46" s="1041"/>
      <c r="TMB46" s="1041"/>
      <c r="TMC46" s="1041"/>
      <c r="TMD46" s="1041"/>
      <c r="TME46" s="1041"/>
      <c r="TMF46" s="1041"/>
      <c r="TMG46" s="1041"/>
      <c r="TMH46" s="1041"/>
      <c r="TMI46" s="1041"/>
      <c r="TMJ46" s="1041"/>
      <c r="TMK46" s="1041"/>
      <c r="TML46" s="1041"/>
      <c r="TMM46" s="1041"/>
      <c r="TMN46" s="1041"/>
      <c r="TMO46" s="1041"/>
      <c r="TMP46" s="1041"/>
      <c r="TMQ46" s="1041"/>
      <c r="TMR46" s="1041"/>
      <c r="TMS46" s="1041"/>
      <c r="TMT46" s="1041"/>
      <c r="TMU46" s="1041"/>
      <c r="TMV46" s="1041"/>
      <c r="TMW46" s="1041"/>
      <c r="TMX46" s="1041"/>
      <c r="TMY46" s="1041"/>
      <c r="TMZ46" s="1041"/>
      <c r="TNA46" s="1041"/>
      <c r="TNB46" s="1041"/>
      <c r="TNC46" s="1041"/>
      <c r="TND46" s="1041"/>
      <c r="TNE46" s="1041"/>
      <c r="TNF46" s="1041"/>
      <c r="TNG46" s="1041"/>
      <c r="TNH46" s="1041"/>
      <c r="TNI46" s="1041"/>
      <c r="TNJ46" s="1041"/>
      <c r="TNK46" s="1041"/>
      <c r="TNL46" s="1041"/>
      <c r="TNM46" s="1041"/>
      <c r="TNN46" s="1041"/>
      <c r="TNO46" s="1041"/>
      <c r="TNP46" s="1041"/>
      <c r="TNQ46" s="1041"/>
      <c r="TNR46" s="1041"/>
      <c r="TNS46" s="1041"/>
      <c r="TNT46" s="1041"/>
      <c r="TNU46" s="1041"/>
      <c r="TNV46" s="1041"/>
      <c r="TNW46" s="1041"/>
      <c r="TNX46" s="1041"/>
      <c r="TNY46" s="1041"/>
      <c r="TNZ46" s="1041"/>
      <c r="TOA46" s="1041"/>
      <c r="TOB46" s="1041"/>
      <c r="TOC46" s="1041"/>
      <c r="TOD46" s="1041"/>
      <c r="TOE46" s="1041"/>
      <c r="TOF46" s="1041"/>
      <c r="TOG46" s="1041"/>
      <c r="TOH46" s="1041"/>
      <c r="TOI46" s="1041"/>
      <c r="TOJ46" s="1041"/>
      <c r="TOK46" s="1041"/>
      <c r="TOL46" s="1041"/>
      <c r="TOM46" s="1041"/>
      <c r="TON46" s="1041"/>
      <c r="TOO46" s="1041"/>
      <c r="TOP46" s="1041"/>
      <c r="TOQ46" s="1041"/>
      <c r="TOR46" s="1041"/>
      <c r="TOS46" s="1041"/>
      <c r="TOT46" s="1041"/>
      <c r="TOU46" s="1041"/>
      <c r="TOV46" s="1041"/>
      <c r="TOW46" s="1041"/>
      <c r="TOX46" s="1041"/>
      <c r="TOY46" s="1041"/>
      <c r="TOZ46" s="1041"/>
      <c r="TPA46" s="1041"/>
      <c r="TPB46" s="1041"/>
      <c r="TPC46" s="1041"/>
      <c r="TPD46" s="1041"/>
      <c r="TPE46" s="1041"/>
      <c r="TPF46" s="1041"/>
      <c r="TPG46" s="1041"/>
      <c r="TPH46" s="1041"/>
      <c r="TPI46" s="1041"/>
      <c r="TPJ46" s="1041"/>
      <c r="TPK46" s="1041"/>
      <c r="TPL46" s="1041"/>
      <c r="TPM46" s="1041"/>
      <c r="TPN46" s="1041"/>
      <c r="TPO46" s="1041"/>
      <c r="TPP46" s="1041"/>
      <c r="TPQ46" s="1041"/>
      <c r="TPR46" s="1041"/>
      <c r="TPS46" s="1041"/>
      <c r="TPT46" s="1041"/>
      <c r="TPU46" s="1041"/>
      <c r="TPV46" s="1041"/>
      <c r="TPW46" s="1041"/>
      <c r="TPX46" s="1041"/>
      <c r="TPY46" s="1041"/>
      <c r="TPZ46" s="1041"/>
      <c r="TQA46" s="1041"/>
      <c r="TQB46" s="1041"/>
      <c r="TQC46" s="1041"/>
      <c r="TQD46" s="1041"/>
      <c r="TQE46" s="1041"/>
      <c r="TQF46" s="1041"/>
      <c r="TQG46" s="1041"/>
      <c r="TQH46" s="1041"/>
      <c r="TQI46" s="1041"/>
      <c r="TQJ46" s="1041"/>
      <c r="TQK46" s="1041"/>
      <c r="TQL46" s="1041"/>
      <c r="TQM46" s="1041"/>
      <c r="TQN46" s="1041"/>
      <c r="TQO46" s="1041"/>
      <c r="TQP46" s="1041"/>
      <c r="TQQ46" s="1041"/>
      <c r="TQR46" s="1041"/>
      <c r="TQS46" s="1041"/>
      <c r="TQT46" s="1041"/>
      <c r="TQU46" s="1041"/>
      <c r="TQV46" s="1041"/>
      <c r="TQW46" s="1041"/>
      <c r="TQX46" s="1041"/>
      <c r="TQY46" s="1041"/>
      <c r="TQZ46" s="1041"/>
      <c r="TRA46" s="1041"/>
      <c r="TRB46" s="1041"/>
      <c r="TRC46" s="1041"/>
      <c r="TRD46" s="1041"/>
      <c r="TRE46" s="1041"/>
      <c r="TRF46" s="1041"/>
      <c r="TRG46" s="1041"/>
      <c r="TRH46" s="1041"/>
      <c r="TRI46" s="1041"/>
      <c r="TRJ46" s="1041"/>
      <c r="TRK46" s="1041"/>
      <c r="TRL46" s="1041"/>
      <c r="TRM46" s="1041"/>
      <c r="TRN46" s="1041"/>
      <c r="TRO46" s="1041"/>
      <c r="TRP46" s="1041"/>
      <c r="TRQ46" s="1041"/>
      <c r="TRR46" s="1041"/>
      <c r="TRS46" s="1041"/>
      <c r="TRT46" s="1041"/>
      <c r="TRU46" s="1041"/>
      <c r="TRV46" s="1041"/>
      <c r="TRW46" s="1041"/>
      <c r="TRX46" s="1041"/>
      <c r="TRY46" s="1041"/>
      <c r="TRZ46" s="1041"/>
      <c r="TSA46" s="1041"/>
      <c r="TSB46" s="1041"/>
      <c r="TSC46" s="1041"/>
      <c r="TSD46" s="1041"/>
      <c r="TSE46" s="1041"/>
      <c r="TSF46" s="1041"/>
      <c r="TSG46" s="1041"/>
      <c r="TSH46" s="1041"/>
      <c r="TSI46" s="1041"/>
      <c r="TSJ46" s="1041"/>
      <c r="TSK46" s="1041"/>
      <c r="TSL46" s="1041"/>
      <c r="TSM46" s="1041"/>
      <c r="TSN46" s="1041"/>
      <c r="TSO46" s="1041"/>
      <c r="TSP46" s="1041"/>
      <c r="TSQ46" s="1041"/>
      <c r="TSR46" s="1041"/>
      <c r="TSS46" s="1041"/>
      <c r="TST46" s="1041"/>
      <c r="TSU46" s="1041"/>
      <c r="TSV46" s="1041"/>
      <c r="TSW46" s="1041"/>
      <c r="TSX46" s="1041"/>
      <c r="TSY46" s="1041"/>
      <c r="TSZ46" s="1041"/>
      <c r="TTA46" s="1041"/>
      <c r="TTB46" s="1041"/>
      <c r="TTC46" s="1041"/>
      <c r="TTD46" s="1041"/>
      <c r="TTE46" s="1041"/>
      <c r="TTF46" s="1041"/>
      <c r="TTG46" s="1041"/>
      <c r="TTH46" s="1041"/>
      <c r="TTI46" s="1041"/>
      <c r="TTJ46" s="1041"/>
      <c r="TTK46" s="1041"/>
      <c r="TTL46" s="1041"/>
      <c r="TTM46" s="1041"/>
      <c r="TTN46" s="1041"/>
      <c r="TTO46" s="1041"/>
      <c r="TTP46" s="1041"/>
      <c r="TTQ46" s="1041"/>
      <c r="TTR46" s="1041"/>
      <c r="TTS46" s="1041"/>
      <c r="TTT46" s="1041"/>
      <c r="TTU46" s="1041"/>
      <c r="TTV46" s="1041"/>
      <c r="TTW46" s="1041"/>
      <c r="TTX46" s="1041"/>
      <c r="TTY46" s="1041"/>
      <c r="TTZ46" s="1041"/>
      <c r="TUA46" s="1041"/>
      <c r="TUB46" s="1041"/>
      <c r="TUC46" s="1041"/>
      <c r="TUD46" s="1041"/>
      <c r="TUE46" s="1041"/>
      <c r="TUF46" s="1041"/>
      <c r="TUG46" s="1041"/>
      <c r="TUH46" s="1041"/>
      <c r="TUI46" s="1041"/>
      <c r="TUJ46" s="1041"/>
      <c r="TUK46" s="1041"/>
      <c r="TUL46" s="1041"/>
      <c r="TUM46" s="1041"/>
      <c r="TUN46" s="1041"/>
      <c r="TUO46" s="1041"/>
      <c r="TUP46" s="1041"/>
      <c r="TUQ46" s="1041"/>
      <c r="TUR46" s="1041"/>
      <c r="TUS46" s="1041"/>
      <c r="TUT46" s="1041"/>
      <c r="TUU46" s="1041"/>
      <c r="TUV46" s="1041"/>
      <c r="TUW46" s="1041"/>
      <c r="TUX46" s="1041"/>
      <c r="TUY46" s="1041"/>
      <c r="TUZ46" s="1041"/>
      <c r="TVA46" s="1041"/>
      <c r="TVB46" s="1041"/>
      <c r="TVC46" s="1041"/>
      <c r="TVD46" s="1041"/>
      <c r="TVE46" s="1041"/>
      <c r="TVF46" s="1041"/>
      <c r="TVG46" s="1041"/>
      <c r="TVH46" s="1041"/>
      <c r="TVI46" s="1041"/>
      <c r="TVJ46" s="1041"/>
      <c r="TVK46" s="1041"/>
      <c r="TVL46" s="1041"/>
      <c r="TVM46" s="1041"/>
      <c r="TVN46" s="1041"/>
      <c r="TVO46" s="1041"/>
      <c r="TVP46" s="1041"/>
      <c r="TVQ46" s="1041"/>
      <c r="TVR46" s="1041"/>
      <c r="TVS46" s="1041"/>
      <c r="TVT46" s="1041"/>
      <c r="TVU46" s="1041"/>
      <c r="TVV46" s="1041"/>
      <c r="TVW46" s="1041"/>
      <c r="TVX46" s="1041"/>
      <c r="TVY46" s="1041"/>
      <c r="TVZ46" s="1041"/>
      <c r="TWA46" s="1041"/>
      <c r="TWB46" s="1041"/>
      <c r="TWC46" s="1041"/>
      <c r="TWD46" s="1041"/>
      <c r="TWE46" s="1041"/>
      <c r="TWF46" s="1041"/>
      <c r="TWG46" s="1041"/>
      <c r="TWH46" s="1041"/>
      <c r="TWI46" s="1041"/>
      <c r="TWJ46" s="1041"/>
      <c r="TWK46" s="1041"/>
      <c r="TWL46" s="1041"/>
      <c r="TWM46" s="1041"/>
      <c r="TWN46" s="1041"/>
      <c r="TWO46" s="1041"/>
      <c r="TWP46" s="1041"/>
      <c r="TWQ46" s="1041"/>
      <c r="TWR46" s="1041"/>
      <c r="TWS46" s="1041"/>
      <c r="TWT46" s="1041"/>
      <c r="TWU46" s="1041"/>
      <c r="TWV46" s="1041"/>
      <c r="TWW46" s="1041"/>
      <c r="TWX46" s="1041"/>
      <c r="TWY46" s="1041"/>
      <c r="TWZ46" s="1041"/>
      <c r="TXA46" s="1041"/>
      <c r="TXB46" s="1041"/>
      <c r="TXC46" s="1041"/>
      <c r="TXD46" s="1041"/>
      <c r="TXE46" s="1041"/>
      <c r="TXF46" s="1041"/>
      <c r="TXG46" s="1041"/>
      <c r="TXH46" s="1041"/>
      <c r="TXI46" s="1041"/>
      <c r="TXJ46" s="1041"/>
      <c r="TXK46" s="1041"/>
      <c r="TXL46" s="1041"/>
      <c r="TXM46" s="1041"/>
      <c r="TXN46" s="1041"/>
      <c r="TXO46" s="1041"/>
      <c r="TXP46" s="1041"/>
      <c r="TXQ46" s="1041"/>
      <c r="TXR46" s="1041"/>
      <c r="TXS46" s="1041"/>
      <c r="TXT46" s="1041"/>
      <c r="TXU46" s="1041"/>
      <c r="TXV46" s="1041"/>
      <c r="TXW46" s="1041"/>
      <c r="TXX46" s="1041"/>
      <c r="TXY46" s="1041"/>
      <c r="TXZ46" s="1041"/>
      <c r="TYA46" s="1041"/>
      <c r="TYB46" s="1041"/>
      <c r="TYC46" s="1041"/>
      <c r="TYD46" s="1041"/>
      <c r="TYE46" s="1041"/>
      <c r="TYF46" s="1041"/>
      <c r="TYG46" s="1041"/>
      <c r="TYH46" s="1041"/>
      <c r="TYI46" s="1041"/>
      <c r="TYJ46" s="1041"/>
      <c r="TYK46" s="1041"/>
      <c r="TYL46" s="1041"/>
      <c r="TYM46" s="1041"/>
      <c r="TYN46" s="1041"/>
      <c r="TYO46" s="1041"/>
      <c r="TYP46" s="1041"/>
      <c r="TYQ46" s="1041"/>
      <c r="TYR46" s="1041"/>
      <c r="TYS46" s="1041"/>
      <c r="TYT46" s="1041"/>
      <c r="TYU46" s="1041"/>
      <c r="TYV46" s="1041"/>
      <c r="TYW46" s="1041"/>
      <c r="TYX46" s="1041"/>
      <c r="TYY46" s="1041"/>
      <c r="TYZ46" s="1041"/>
      <c r="TZA46" s="1041"/>
      <c r="TZB46" s="1041"/>
      <c r="TZC46" s="1041"/>
      <c r="TZD46" s="1041"/>
      <c r="TZE46" s="1041"/>
      <c r="TZF46" s="1041"/>
      <c r="TZG46" s="1041"/>
      <c r="TZH46" s="1041"/>
      <c r="TZI46" s="1041"/>
      <c r="TZJ46" s="1041"/>
      <c r="TZK46" s="1041"/>
      <c r="TZL46" s="1041"/>
      <c r="TZM46" s="1041"/>
      <c r="TZN46" s="1041"/>
      <c r="TZO46" s="1041"/>
      <c r="TZP46" s="1041"/>
      <c r="TZQ46" s="1041"/>
      <c r="TZR46" s="1041"/>
      <c r="TZS46" s="1041"/>
      <c r="TZT46" s="1041"/>
      <c r="TZU46" s="1041"/>
      <c r="TZV46" s="1041"/>
      <c r="TZW46" s="1041"/>
      <c r="TZX46" s="1041"/>
      <c r="TZY46" s="1041"/>
      <c r="TZZ46" s="1041"/>
      <c r="UAA46" s="1041"/>
      <c r="UAB46" s="1041"/>
      <c r="UAC46" s="1041"/>
      <c r="UAD46" s="1041"/>
      <c r="UAE46" s="1041"/>
      <c r="UAF46" s="1041"/>
      <c r="UAG46" s="1041"/>
      <c r="UAH46" s="1041"/>
      <c r="UAI46" s="1041"/>
      <c r="UAJ46" s="1041"/>
      <c r="UAK46" s="1041"/>
      <c r="UAL46" s="1041"/>
      <c r="UAM46" s="1041"/>
      <c r="UAN46" s="1041"/>
      <c r="UAO46" s="1041"/>
      <c r="UAP46" s="1041"/>
      <c r="UAQ46" s="1041"/>
      <c r="UAR46" s="1041"/>
      <c r="UAS46" s="1041"/>
      <c r="UAT46" s="1041"/>
      <c r="UAU46" s="1041"/>
      <c r="UAV46" s="1041"/>
      <c r="UAW46" s="1041"/>
      <c r="UAX46" s="1041"/>
      <c r="UAY46" s="1041"/>
      <c r="UAZ46" s="1041"/>
      <c r="UBA46" s="1041"/>
      <c r="UBB46" s="1041"/>
      <c r="UBC46" s="1041"/>
      <c r="UBD46" s="1041"/>
      <c r="UBE46" s="1041"/>
      <c r="UBF46" s="1041"/>
      <c r="UBG46" s="1041"/>
      <c r="UBH46" s="1041"/>
      <c r="UBI46" s="1041"/>
      <c r="UBJ46" s="1041"/>
      <c r="UBK46" s="1041"/>
      <c r="UBL46" s="1041"/>
      <c r="UBM46" s="1041"/>
      <c r="UBN46" s="1041"/>
      <c r="UBO46" s="1041"/>
      <c r="UBP46" s="1041"/>
      <c r="UBQ46" s="1041"/>
      <c r="UBR46" s="1041"/>
      <c r="UBS46" s="1041"/>
      <c r="UBT46" s="1041"/>
      <c r="UBU46" s="1041"/>
      <c r="UBV46" s="1041"/>
      <c r="UBW46" s="1041"/>
      <c r="UBX46" s="1041"/>
      <c r="UBY46" s="1041"/>
      <c r="UBZ46" s="1041"/>
      <c r="UCA46" s="1041"/>
      <c r="UCB46" s="1041"/>
      <c r="UCC46" s="1041"/>
      <c r="UCD46" s="1041"/>
      <c r="UCE46" s="1041"/>
      <c r="UCF46" s="1041"/>
      <c r="UCG46" s="1041"/>
      <c r="UCH46" s="1041"/>
      <c r="UCI46" s="1041"/>
      <c r="UCJ46" s="1041"/>
      <c r="UCK46" s="1041"/>
      <c r="UCL46" s="1041"/>
      <c r="UCM46" s="1041"/>
      <c r="UCN46" s="1041"/>
      <c r="UCO46" s="1041"/>
      <c r="UCP46" s="1041"/>
      <c r="UCQ46" s="1041"/>
      <c r="UCR46" s="1041"/>
      <c r="UCS46" s="1041"/>
      <c r="UCT46" s="1041"/>
      <c r="UCU46" s="1041"/>
      <c r="UCV46" s="1041"/>
      <c r="UCW46" s="1041"/>
      <c r="UCX46" s="1041"/>
      <c r="UCY46" s="1041"/>
      <c r="UCZ46" s="1041"/>
      <c r="UDA46" s="1041"/>
      <c r="UDB46" s="1041"/>
      <c r="UDC46" s="1041"/>
      <c r="UDD46" s="1041"/>
      <c r="UDE46" s="1041"/>
      <c r="UDF46" s="1041"/>
      <c r="UDG46" s="1041"/>
      <c r="UDH46" s="1041"/>
      <c r="UDI46" s="1041"/>
      <c r="UDJ46" s="1041"/>
      <c r="UDK46" s="1041"/>
      <c r="UDL46" s="1041"/>
      <c r="UDM46" s="1041"/>
      <c r="UDN46" s="1041"/>
      <c r="UDO46" s="1041"/>
      <c r="UDP46" s="1041"/>
      <c r="UDQ46" s="1041"/>
      <c r="UDR46" s="1041"/>
      <c r="UDS46" s="1041"/>
      <c r="UDT46" s="1041"/>
      <c r="UDU46" s="1041"/>
      <c r="UDV46" s="1041"/>
      <c r="UDW46" s="1041"/>
      <c r="UDX46" s="1041"/>
      <c r="UDY46" s="1041"/>
      <c r="UDZ46" s="1041"/>
      <c r="UEA46" s="1041"/>
      <c r="UEB46" s="1041"/>
      <c r="UEC46" s="1041"/>
      <c r="UED46" s="1041"/>
      <c r="UEE46" s="1041"/>
      <c r="UEF46" s="1041"/>
      <c r="UEG46" s="1041"/>
      <c r="UEH46" s="1041"/>
      <c r="UEI46" s="1041"/>
      <c r="UEJ46" s="1041"/>
      <c r="UEK46" s="1041"/>
      <c r="UEL46" s="1041"/>
      <c r="UEM46" s="1041"/>
      <c r="UEN46" s="1041"/>
      <c r="UEO46" s="1041"/>
      <c r="UEP46" s="1041"/>
      <c r="UEQ46" s="1041"/>
      <c r="UER46" s="1041"/>
      <c r="UES46" s="1041"/>
      <c r="UET46" s="1041"/>
      <c r="UEU46" s="1041"/>
      <c r="UEV46" s="1041"/>
      <c r="UEW46" s="1041"/>
      <c r="UEX46" s="1041"/>
      <c r="UEY46" s="1041"/>
      <c r="UEZ46" s="1041"/>
      <c r="UFA46" s="1041"/>
      <c r="UFB46" s="1041"/>
      <c r="UFC46" s="1041"/>
      <c r="UFD46" s="1041"/>
      <c r="UFE46" s="1041"/>
      <c r="UFF46" s="1041"/>
      <c r="UFG46" s="1041"/>
      <c r="UFH46" s="1041"/>
      <c r="UFI46" s="1041"/>
      <c r="UFJ46" s="1041"/>
      <c r="UFK46" s="1041"/>
      <c r="UFL46" s="1041"/>
      <c r="UFM46" s="1041"/>
      <c r="UFN46" s="1041"/>
      <c r="UFO46" s="1041"/>
      <c r="UFP46" s="1041"/>
      <c r="UFQ46" s="1041"/>
      <c r="UFR46" s="1041"/>
      <c r="UFS46" s="1041"/>
      <c r="UFT46" s="1041"/>
      <c r="UFU46" s="1041"/>
      <c r="UFV46" s="1041"/>
      <c r="UFW46" s="1041"/>
      <c r="UFX46" s="1041"/>
      <c r="UFY46" s="1041"/>
      <c r="UFZ46" s="1041"/>
      <c r="UGA46" s="1041"/>
      <c r="UGB46" s="1041"/>
      <c r="UGC46" s="1041"/>
      <c r="UGD46" s="1041"/>
      <c r="UGE46" s="1041"/>
      <c r="UGF46" s="1041"/>
      <c r="UGG46" s="1041"/>
      <c r="UGH46" s="1041"/>
      <c r="UGI46" s="1041"/>
      <c r="UGJ46" s="1041"/>
      <c r="UGK46" s="1041"/>
      <c r="UGL46" s="1041"/>
      <c r="UGM46" s="1041"/>
      <c r="UGN46" s="1041"/>
      <c r="UGO46" s="1041"/>
      <c r="UGP46" s="1041"/>
      <c r="UGQ46" s="1041"/>
      <c r="UGR46" s="1041"/>
      <c r="UGS46" s="1041"/>
      <c r="UGT46" s="1041"/>
      <c r="UGU46" s="1041"/>
      <c r="UGV46" s="1041"/>
      <c r="UGW46" s="1041"/>
      <c r="UGX46" s="1041"/>
      <c r="UGY46" s="1041"/>
      <c r="UGZ46" s="1041"/>
      <c r="UHA46" s="1041"/>
      <c r="UHB46" s="1041"/>
      <c r="UHC46" s="1041"/>
      <c r="UHD46" s="1041"/>
      <c r="UHE46" s="1041"/>
      <c r="UHF46" s="1041"/>
      <c r="UHG46" s="1041"/>
      <c r="UHH46" s="1041"/>
      <c r="UHI46" s="1041"/>
      <c r="UHJ46" s="1041"/>
      <c r="UHK46" s="1041"/>
      <c r="UHL46" s="1041"/>
      <c r="UHM46" s="1041"/>
      <c r="UHN46" s="1041"/>
      <c r="UHO46" s="1041"/>
      <c r="UHP46" s="1041"/>
      <c r="UHQ46" s="1041"/>
      <c r="UHR46" s="1041"/>
      <c r="UHS46" s="1041"/>
      <c r="UHT46" s="1041"/>
      <c r="UHU46" s="1041"/>
      <c r="UHV46" s="1041"/>
      <c r="UHW46" s="1041"/>
      <c r="UHX46" s="1041"/>
      <c r="UHY46" s="1041"/>
      <c r="UHZ46" s="1041"/>
      <c r="UIA46" s="1041"/>
      <c r="UIB46" s="1041"/>
      <c r="UIC46" s="1041"/>
      <c r="UID46" s="1041"/>
      <c r="UIE46" s="1041"/>
      <c r="UIF46" s="1041"/>
      <c r="UIG46" s="1041"/>
      <c r="UIH46" s="1041"/>
      <c r="UII46" s="1041"/>
      <c r="UIJ46" s="1041"/>
      <c r="UIK46" s="1041"/>
      <c r="UIL46" s="1041"/>
      <c r="UIM46" s="1041"/>
      <c r="UIN46" s="1041"/>
      <c r="UIO46" s="1041"/>
      <c r="UIP46" s="1041"/>
      <c r="UIQ46" s="1041"/>
      <c r="UIR46" s="1041"/>
      <c r="UIS46" s="1041"/>
      <c r="UIT46" s="1041"/>
      <c r="UIU46" s="1041"/>
      <c r="UIV46" s="1041"/>
      <c r="UIW46" s="1041"/>
      <c r="UIX46" s="1041"/>
      <c r="UIY46" s="1041"/>
      <c r="UIZ46" s="1041"/>
      <c r="UJA46" s="1041"/>
      <c r="UJB46" s="1041"/>
      <c r="UJC46" s="1041"/>
      <c r="UJD46" s="1041"/>
      <c r="UJE46" s="1041"/>
      <c r="UJF46" s="1041"/>
      <c r="UJG46" s="1041"/>
      <c r="UJH46" s="1041"/>
      <c r="UJI46" s="1041"/>
      <c r="UJJ46" s="1041"/>
      <c r="UJK46" s="1041"/>
      <c r="UJL46" s="1041"/>
      <c r="UJM46" s="1041"/>
      <c r="UJN46" s="1041"/>
      <c r="UJO46" s="1041"/>
      <c r="UJP46" s="1041"/>
      <c r="UJQ46" s="1041"/>
      <c r="UJR46" s="1041"/>
      <c r="UJS46" s="1041"/>
      <c r="UJT46" s="1041"/>
      <c r="UJU46" s="1041"/>
      <c r="UJV46" s="1041"/>
      <c r="UJW46" s="1041"/>
      <c r="UJX46" s="1041"/>
      <c r="UJY46" s="1041"/>
      <c r="UJZ46" s="1041"/>
      <c r="UKA46" s="1041"/>
      <c r="UKB46" s="1041"/>
      <c r="UKC46" s="1041"/>
      <c r="UKD46" s="1041"/>
      <c r="UKE46" s="1041"/>
      <c r="UKF46" s="1041"/>
      <c r="UKG46" s="1041"/>
      <c r="UKH46" s="1041"/>
      <c r="UKI46" s="1041"/>
      <c r="UKJ46" s="1041"/>
      <c r="UKK46" s="1041"/>
      <c r="UKL46" s="1041"/>
      <c r="UKM46" s="1041"/>
      <c r="UKN46" s="1041"/>
      <c r="UKO46" s="1041"/>
      <c r="UKP46" s="1041"/>
      <c r="UKQ46" s="1041"/>
      <c r="UKR46" s="1041"/>
      <c r="UKS46" s="1041"/>
      <c r="UKT46" s="1041"/>
      <c r="UKU46" s="1041"/>
      <c r="UKV46" s="1041"/>
      <c r="UKW46" s="1041"/>
      <c r="UKX46" s="1041"/>
      <c r="UKY46" s="1041"/>
      <c r="UKZ46" s="1041"/>
      <c r="ULA46" s="1041"/>
      <c r="ULB46" s="1041"/>
      <c r="ULC46" s="1041"/>
      <c r="ULD46" s="1041"/>
      <c r="ULE46" s="1041"/>
      <c r="ULF46" s="1041"/>
      <c r="ULG46" s="1041"/>
      <c r="ULH46" s="1041"/>
      <c r="ULI46" s="1041"/>
      <c r="ULJ46" s="1041"/>
      <c r="ULK46" s="1041"/>
      <c r="ULL46" s="1041"/>
      <c r="ULM46" s="1041"/>
      <c r="ULN46" s="1041"/>
      <c r="ULO46" s="1041"/>
      <c r="ULP46" s="1041"/>
      <c r="ULQ46" s="1041"/>
      <c r="ULR46" s="1041"/>
      <c r="ULS46" s="1041"/>
      <c r="ULT46" s="1041"/>
      <c r="ULU46" s="1041"/>
      <c r="ULV46" s="1041"/>
      <c r="ULW46" s="1041"/>
      <c r="ULX46" s="1041"/>
      <c r="ULY46" s="1041"/>
      <c r="ULZ46" s="1041"/>
      <c r="UMA46" s="1041"/>
      <c r="UMB46" s="1041"/>
      <c r="UMC46" s="1041"/>
      <c r="UMD46" s="1041"/>
      <c r="UME46" s="1041"/>
      <c r="UMF46" s="1041"/>
      <c r="UMG46" s="1041"/>
      <c r="UMH46" s="1041"/>
      <c r="UMI46" s="1041"/>
      <c r="UMJ46" s="1041"/>
      <c r="UMK46" s="1041"/>
      <c r="UML46" s="1041"/>
      <c r="UMM46" s="1041"/>
      <c r="UMN46" s="1041"/>
      <c r="UMO46" s="1041"/>
      <c r="UMP46" s="1041"/>
      <c r="UMQ46" s="1041"/>
      <c r="UMR46" s="1041"/>
      <c r="UMS46" s="1041"/>
      <c r="UMT46" s="1041"/>
      <c r="UMU46" s="1041"/>
      <c r="UMV46" s="1041"/>
      <c r="UMW46" s="1041"/>
      <c r="UMX46" s="1041"/>
      <c r="UMY46" s="1041"/>
      <c r="UMZ46" s="1041"/>
      <c r="UNA46" s="1041"/>
      <c r="UNB46" s="1041"/>
      <c r="UNC46" s="1041"/>
      <c r="UND46" s="1041"/>
      <c r="UNE46" s="1041"/>
      <c r="UNF46" s="1041"/>
      <c r="UNG46" s="1041"/>
      <c r="UNH46" s="1041"/>
      <c r="UNI46" s="1041"/>
      <c r="UNJ46" s="1041"/>
      <c r="UNK46" s="1041"/>
      <c r="UNL46" s="1041"/>
      <c r="UNM46" s="1041"/>
      <c r="UNN46" s="1041"/>
      <c r="UNO46" s="1041"/>
      <c r="UNP46" s="1041"/>
      <c r="UNQ46" s="1041"/>
      <c r="UNR46" s="1041"/>
      <c r="UNS46" s="1041"/>
      <c r="UNT46" s="1041"/>
      <c r="UNU46" s="1041"/>
      <c r="UNV46" s="1041"/>
      <c r="UNW46" s="1041"/>
      <c r="UNX46" s="1041"/>
      <c r="UNY46" s="1041"/>
      <c r="UNZ46" s="1041"/>
      <c r="UOA46" s="1041"/>
      <c r="UOB46" s="1041"/>
      <c r="UOC46" s="1041"/>
      <c r="UOD46" s="1041"/>
      <c r="UOE46" s="1041"/>
      <c r="UOF46" s="1041"/>
      <c r="UOG46" s="1041"/>
      <c r="UOH46" s="1041"/>
      <c r="UOI46" s="1041"/>
      <c r="UOJ46" s="1041"/>
      <c r="UOK46" s="1041"/>
      <c r="UOL46" s="1041"/>
      <c r="UOM46" s="1041"/>
      <c r="UON46" s="1041"/>
      <c r="UOO46" s="1041"/>
      <c r="UOP46" s="1041"/>
      <c r="UOQ46" s="1041"/>
      <c r="UOR46" s="1041"/>
      <c r="UOS46" s="1041"/>
      <c r="UOT46" s="1041"/>
      <c r="UOU46" s="1041"/>
      <c r="UOV46" s="1041"/>
      <c r="UOW46" s="1041"/>
      <c r="UOX46" s="1041"/>
      <c r="UOY46" s="1041"/>
      <c r="UOZ46" s="1041"/>
      <c r="UPA46" s="1041"/>
      <c r="UPB46" s="1041"/>
      <c r="UPC46" s="1041"/>
      <c r="UPD46" s="1041"/>
      <c r="UPE46" s="1041"/>
      <c r="UPF46" s="1041"/>
      <c r="UPG46" s="1041"/>
      <c r="UPH46" s="1041"/>
      <c r="UPI46" s="1041"/>
      <c r="UPJ46" s="1041"/>
      <c r="UPK46" s="1041"/>
      <c r="UPL46" s="1041"/>
      <c r="UPM46" s="1041"/>
      <c r="UPN46" s="1041"/>
      <c r="UPO46" s="1041"/>
      <c r="UPP46" s="1041"/>
      <c r="UPQ46" s="1041"/>
      <c r="UPR46" s="1041"/>
      <c r="UPS46" s="1041"/>
      <c r="UPT46" s="1041"/>
      <c r="UPU46" s="1041"/>
      <c r="UPV46" s="1041"/>
      <c r="UPW46" s="1041"/>
      <c r="UPX46" s="1041"/>
      <c r="UPY46" s="1041"/>
      <c r="UPZ46" s="1041"/>
      <c r="UQA46" s="1041"/>
      <c r="UQB46" s="1041"/>
      <c r="UQC46" s="1041"/>
      <c r="UQD46" s="1041"/>
      <c r="UQE46" s="1041"/>
      <c r="UQF46" s="1041"/>
      <c r="UQG46" s="1041"/>
      <c r="UQH46" s="1041"/>
      <c r="UQI46" s="1041"/>
      <c r="UQJ46" s="1041"/>
      <c r="UQK46" s="1041"/>
      <c r="UQL46" s="1041"/>
      <c r="UQM46" s="1041"/>
      <c r="UQN46" s="1041"/>
      <c r="UQO46" s="1041"/>
      <c r="UQP46" s="1041"/>
      <c r="UQQ46" s="1041"/>
      <c r="UQR46" s="1041"/>
      <c r="UQS46" s="1041"/>
      <c r="UQT46" s="1041"/>
      <c r="UQU46" s="1041"/>
      <c r="UQV46" s="1041"/>
      <c r="UQW46" s="1041"/>
      <c r="UQX46" s="1041"/>
      <c r="UQY46" s="1041"/>
      <c r="UQZ46" s="1041"/>
      <c r="URA46" s="1041"/>
      <c r="URB46" s="1041"/>
      <c r="URC46" s="1041"/>
      <c r="URD46" s="1041"/>
      <c r="URE46" s="1041"/>
      <c r="URF46" s="1041"/>
      <c r="URG46" s="1041"/>
      <c r="URH46" s="1041"/>
      <c r="URI46" s="1041"/>
      <c r="URJ46" s="1041"/>
      <c r="URK46" s="1041"/>
      <c r="URL46" s="1041"/>
      <c r="URM46" s="1041"/>
      <c r="URN46" s="1041"/>
      <c r="URO46" s="1041"/>
      <c r="URP46" s="1041"/>
      <c r="URQ46" s="1041"/>
      <c r="URR46" s="1041"/>
      <c r="URS46" s="1041"/>
      <c r="URT46" s="1041"/>
      <c r="URU46" s="1041"/>
      <c r="URV46" s="1041"/>
      <c r="URW46" s="1041"/>
      <c r="URX46" s="1041"/>
      <c r="URY46" s="1041"/>
      <c r="URZ46" s="1041"/>
      <c r="USA46" s="1041"/>
      <c r="USB46" s="1041"/>
      <c r="USC46" s="1041"/>
      <c r="USD46" s="1041"/>
      <c r="USE46" s="1041"/>
      <c r="USF46" s="1041"/>
      <c r="USG46" s="1041"/>
      <c r="USH46" s="1041"/>
      <c r="USI46" s="1041"/>
      <c r="USJ46" s="1041"/>
      <c r="USK46" s="1041"/>
      <c r="USL46" s="1041"/>
      <c r="USM46" s="1041"/>
      <c r="USN46" s="1041"/>
      <c r="USO46" s="1041"/>
      <c r="USP46" s="1041"/>
      <c r="USQ46" s="1041"/>
      <c r="USR46" s="1041"/>
      <c r="USS46" s="1041"/>
      <c r="UST46" s="1041"/>
      <c r="USU46" s="1041"/>
      <c r="USV46" s="1041"/>
      <c r="USW46" s="1041"/>
      <c r="USX46" s="1041"/>
      <c r="USY46" s="1041"/>
      <c r="USZ46" s="1041"/>
      <c r="UTA46" s="1041"/>
      <c r="UTB46" s="1041"/>
      <c r="UTC46" s="1041"/>
      <c r="UTD46" s="1041"/>
      <c r="UTE46" s="1041"/>
      <c r="UTF46" s="1041"/>
      <c r="UTG46" s="1041"/>
      <c r="UTH46" s="1041"/>
      <c r="UTI46" s="1041"/>
      <c r="UTJ46" s="1041"/>
      <c r="UTK46" s="1041"/>
      <c r="UTL46" s="1041"/>
      <c r="UTM46" s="1041"/>
      <c r="UTN46" s="1041"/>
      <c r="UTO46" s="1041"/>
      <c r="UTP46" s="1041"/>
      <c r="UTQ46" s="1041"/>
      <c r="UTR46" s="1041"/>
      <c r="UTS46" s="1041"/>
      <c r="UTT46" s="1041"/>
      <c r="UTU46" s="1041"/>
      <c r="UTV46" s="1041"/>
      <c r="UTW46" s="1041"/>
      <c r="UTX46" s="1041"/>
      <c r="UTY46" s="1041"/>
      <c r="UTZ46" s="1041"/>
      <c r="UUA46" s="1041"/>
      <c r="UUB46" s="1041"/>
      <c r="UUC46" s="1041"/>
      <c r="UUD46" s="1041"/>
      <c r="UUE46" s="1041"/>
      <c r="UUF46" s="1041"/>
      <c r="UUG46" s="1041"/>
      <c r="UUH46" s="1041"/>
      <c r="UUI46" s="1041"/>
      <c r="UUJ46" s="1041"/>
      <c r="UUK46" s="1041"/>
      <c r="UUL46" s="1041"/>
      <c r="UUM46" s="1041"/>
      <c r="UUN46" s="1041"/>
      <c r="UUO46" s="1041"/>
      <c r="UUP46" s="1041"/>
      <c r="UUQ46" s="1041"/>
      <c r="UUR46" s="1041"/>
      <c r="UUS46" s="1041"/>
      <c r="UUT46" s="1041"/>
      <c r="UUU46" s="1041"/>
      <c r="UUV46" s="1041"/>
      <c r="UUW46" s="1041"/>
      <c r="UUX46" s="1041"/>
      <c r="UUY46" s="1041"/>
      <c r="UUZ46" s="1041"/>
      <c r="UVA46" s="1041"/>
      <c r="UVB46" s="1041"/>
      <c r="UVC46" s="1041"/>
      <c r="UVD46" s="1041"/>
      <c r="UVE46" s="1041"/>
      <c r="UVF46" s="1041"/>
      <c r="UVG46" s="1041"/>
      <c r="UVH46" s="1041"/>
      <c r="UVI46" s="1041"/>
      <c r="UVJ46" s="1041"/>
      <c r="UVK46" s="1041"/>
      <c r="UVL46" s="1041"/>
      <c r="UVM46" s="1041"/>
      <c r="UVN46" s="1041"/>
      <c r="UVO46" s="1041"/>
      <c r="UVP46" s="1041"/>
      <c r="UVQ46" s="1041"/>
      <c r="UVR46" s="1041"/>
      <c r="UVS46" s="1041"/>
      <c r="UVT46" s="1041"/>
      <c r="UVU46" s="1041"/>
      <c r="UVV46" s="1041"/>
      <c r="UVW46" s="1041"/>
      <c r="UVX46" s="1041"/>
      <c r="UVY46" s="1041"/>
      <c r="UVZ46" s="1041"/>
      <c r="UWA46" s="1041"/>
      <c r="UWB46" s="1041"/>
      <c r="UWC46" s="1041"/>
      <c r="UWD46" s="1041"/>
      <c r="UWE46" s="1041"/>
      <c r="UWF46" s="1041"/>
      <c r="UWG46" s="1041"/>
      <c r="UWH46" s="1041"/>
      <c r="UWI46" s="1041"/>
      <c r="UWJ46" s="1041"/>
      <c r="UWK46" s="1041"/>
      <c r="UWL46" s="1041"/>
      <c r="UWM46" s="1041"/>
      <c r="UWN46" s="1041"/>
      <c r="UWO46" s="1041"/>
      <c r="UWP46" s="1041"/>
      <c r="UWQ46" s="1041"/>
      <c r="UWR46" s="1041"/>
      <c r="UWS46" s="1041"/>
      <c r="UWT46" s="1041"/>
      <c r="UWU46" s="1041"/>
      <c r="UWV46" s="1041"/>
      <c r="UWW46" s="1041"/>
      <c r="UWX46" s="1041"/>
      <c r="UWY46" s="1041"/>
      <c r="UWZ46" s="1041"/>
      <c r="UXA46" s="1041"/>
      <c r="UXB46" s="1041"/>
      <c r="UXC46" s="1041"/>
      <c r="UXD46" s="1041"/>
      <c r="UXE46" s="1041"/>
      <c r="UXF46" s="1041"/>
      <c r="UXG46" s="1041"/>
      <c r="UXH46" s="1041"/>
      <c r="UXI46" s="1041"/>
      <c r="UXJ46" s="1041"/>
      <c r="UXK46" s="1041"/>
      <c r="UXL46" s="1041"/>
      <c r="UXM46" s="1041"/>
      <c r="UXN46" s="1041"/>
      <c r="UXO46" s="1041"/>
      <c r="UXP46" s="1041"/>
      <c r="UXQ46" s="1041"/>
      <c r="UXR46" s="1041"/>
      <c r="UXS46" s="1041"/>
      <c r="UXT46" s="1041"/>
      <c r="UXU46" s="1041"/>
      <c r="UXV46" s="1041"/>
      <c r="UXW46" s="1041"/>
      <c r="UXX46" s="1041"/>
      <c r="UXY46" s="1041"/>
      <c r="UXZ46" s="1041"/>
      <c r="UYA46" s="1041"/>
      <c r="UYB46" s="1041"/>
      <c r="UYC46" s="1041"/>
      <c r="UYD46" s="1041"/>
      <c r="UYE46" s="1041"/>
      <c r="UYF46" s="1041"/>
      <c r="UYG46" s="1041"/>
      <c r="UYH46" s="1041"/>
      <c r="UYI46" s="1041"/>
      <c r="UYJ46" s="1041"/>
      <c r="UYK46" s="1041"/>
      <c r="UYL46" s="1041"/>
      <c r="UYM46" s="1041"/>
      <c r="UYN46" s="1041"/>
      <c r="UYO46" s="1041"/>
      <c r="UYP46" s="1041"/>
      <c r="UYQ46" s="1041"/>
      <c r="UYR46" s="1041"/>
      <c r="UYS46" s="1041"/>
      <c r="UYT46" s="1041"/>
      <c r="UYU46" s="1041"/>
      <c r="UYV46" s="1041"/>
      <c r="UYW46" s="1041"/>
      <c r="UYX46" s="1041"/>
      <c r="UYY46" s="1041"/>
      <c r="UYZ46" s="1041"/>
      <c r="UZA46" s="1041"/>
      <c r="UZB46" s="1041"/>
      <c r="UZC46" s="1041"/>
      <c r="UZD46" s="1041"/>
      <c r="UZE46" s="1041"/>
      <c r="UZF46" s="1041"/>
      <c r="UZG46" s="1041"/>
      <c r="UZH46" s="1041"/>
      <c r="UZI46" s="1041"/>
      <c r="UZJ46" s="1041"/>
      <c r="UZK46" s="1041"/>
      <c r="UZL46" s="1041"/>
      <c r="UZM46" s="1041"/>
      <c r="UZN46" s="1041"/>
      <c r="UZO46" s="1041"/>
      <c r="UZP46" s="1041"/>
      <c r="UZQ46" s="1041"/>
      <c r="UZR46" s="1041"/>
      <c r="UZS46" s="1041"/>
      <c r="UZT46" s="1041"/>
      <c r="UZU46" s="1041"/>
      <c r="UZV46" s="1041"/>
      <c r="UZW46" s="1041"/>
      <c r="UZX46" s="1041"/>
      <c r="UZY46" s="1041"/>
      <c r="UZZ46" s="1041"/>
      <c r="VAA46" s="1041"/>
      <c r="VAB46" s="1041"/>
      <c r="VAC46" s="1041"/>
      <c r="VAD46" s="1041"/>
      <c r="VAE46" s="1041"/>
      <c r="VAF46" s="1041"/>
      <c r="VAG46" s="1041"/>
      <c r="VAH46" s="1041"/>
      <c r="VAI46" s="1041"/>
      <c r="VAJ46" s="1041"/>
      <c r="VAK46" s="1041"/>
      <c r="VAL46" s="1041"/>
      <c r="VAM46" s="1041"/>
      <c r="VAN46" s="1041"/>
      <c r="VAO46" s="1041"/>
      <c r="VAP46" s="1041"/>
      <c r="VAQ46" s="1041"/>
      <c r="VAR46" s="1041"/>
      <c r="VAS46" s="1041"/>
      <c r="VAT46" s="1041"/>
      <c r="VAU46" s="1041"/>
      <c r="VAV46" s="1041"/>
      <c r="VAW46" s="1041"/>
      <c r="VAX46" s="1041"/>
      <c r="VAY46" s="1041"/>
      <c r="VAZ46" s="1041"/>
      <c r="VBA46" s="1041"/>
      <c r="VBB46" s="1041"/>
      <c r="VBC46" s="1041"/>
      <c r="VBD46" s="1041"/>
      <c r="VBE46" s="1041"/>
      <c r="VBF46" s="1041"/>
      <c r="VBG46" s="1041"/>
      <c r="VBH46" s="1041"/>
      <c r="VBI46" s="1041"/>
      <c r="VBJ46" s="1041"/>
      <c r="VBK46" s="1041"/>
      <c r="VBL46" s="1041"/>
      <c r="VBM46" s="1041"/>
      <c r="VBN46" s="1041"/>
      <c r="VBO46" s="1041"/>
      <c r="VBP46" s="1041"/>
      <c r="VBQ46" s="1041"/>
      <c r="VBR46" s="1041"/>
      <c r="VBS46" s="1041"/>
      <c r="VBT46" s="1041"/>
      <c r="VBU46" s="1041"/>
      <c r="VBV46" s="1041"/>
      <c r="VBW46" s="1041"/>
      <c r="VBX46" s="1041"/>
      <c r="VBY46" s="1041"/>
      <c r="VBZ46" s="1041"/>
      <c r="VCA46" s="1041"/>
      <c r="VCB46" s="1041"/>
      <c r="VCC46" s="1041"/>
      <c r="VCD46" s="1041"/>
      <c r="VCE46" s="1041"/>
      <c r="VCF46" s="1041"/>
      <c r="VCG46" s="1041"/>
      <c r="VCH46" s="1041"/>
      <c r="VCI46" s="1041"/>
      <c r="VCJ46" s="1041"/>
      <c r="VCK46" s="1041"/>
      <c r="VCL46" s="1041"/>
      <c r="VCM46" s="1041"/>
      <c r="VCN46" s="1041"/>
      <c r="VCO46" s="1041"/>
      <c r="VCP46" s="1041"/>
      <c r="VCQ46" s="1041"/>
      <c r="VCR46" s="1041"/>
      <c r="VCS46" s="1041"/>
      <c r="VCT46" s="1041"/>
      <c r="VCU46" s="1041"/>
      <c r="VCV46" s="1041"/>
      <c r="VCW46" s="1041"/>
      <c r="VCX46" s="1041"/>
      <c r="VCY46" s="1041"/>
      <c r="VCZ46" s="1041"/>
      <c r="VDA46" s="1041"/>
      <c r="VDB46" s="1041"/>
      <c r="VDC46" s="1041"/>
      <c r="VDD46" s="1041"/>
      <c r="VDE46" s="1041"/>
      <c r="VDF46" s="1041"/>
      <c r="VDG46" s="1041"/>
      <c r="VDH46" s="1041"/>
      <c r="VDI46" s="1041"/>
      <c r="VDJ46" s="1041"/>
      <c r="VDK46" s="1041"/>
      <c r="VDL46" s="1041"/>
      <c r="VDM46" s="1041"/>
      <c r="VDN46" s="1041"/>
      <c r="VDO46" s="1041"/>
      <c r="VDP46" s="1041"/>
      <c r="VDQ46" s="1041"/>
      <c r="VDR46" s="1041"/>
      <c r="VDS46" s="1041"/>
      <c r="VDT46" s="1041"/>
      <c r="VDU46" s="1041"/>
      <c r="VDV46" s="1041"/>
      <c r="VDW46" s="1041"/>
      <c r="VDX46" s="1041"/>
      <c r="VDY46" s="1041"/>
      <c r="VDZ46" s="1041"/>
      <c r="VEA46" s="1041"/>
      <c r="VEB46" s="1041"/>
      <c r="VEC46" s="1041"/>
      <c r="VED46" s="1041"/>
      <c r="VEE46" s="1041"/>
      <c r="VEF46" s="1041"/>
      <c r="VEG46" s="1041"/>
      <c r="VEH46" s="1041"/>
      <c r="VEI46" s="1041"/>
      <c r="VEJ46" s="1041"/>
      <c r="VEK46" s="1041"/>
      <c r="VEL46" s="1041"/>
      <c r="VEM46" s="1041"/>
      <c r="VEN46" s="1041"/>
      <c r="VEO46" s="1041"/>
      <c r="VEP46" s="1041"/>
      <c r="VEQ46" s="1041"/>
      <c r="VER46" s="1041"/>
      <c r="VES46" s="1041"/>
      <c r="VET46" s="1041"/>
      <c r="VEU46" s="1041"/>
      <c r="VEV46" s="1041"/>
      <c r="VEW46" s="1041"/>
      <c r="VEX46" s="1041"/>
      <c r="VEY46" s="1041"/>
      <c r="VEZ46" s="1041"/>
      <c r="VFA46" s="1041"/>
      <c r="VFB46" s="1041"/>
      <c r="VFC46" s="1041"/>
      <c r="VFD46" s="1041"/>
      <c r="VFE46" s="1041"/>
      <c r="VFF46" s="1041"/>
      <c r="VFG46" s="1041"/>
      <c r="VFH46" s="1041"/>
      <c r="VFI46" s="1041"/>
      <c r="VFJ46" s="1041"/>
      <c r="VFK46" s="1041"/>
      <c r="VFL46" s="1041"/>
      <c r="VFM46" s="1041"/>
      <c r="VFN46" s="1041"/>
      <c r="VFO46" s="1041"/>
      <c r="VFP46" s="1041"/>
      <c r="VFQ46" s="1041"/>
      <c r="VFR46" s="1041"/>
      <c r="VFS46" s="1041"/>
      <c r="VFT46" s="1041"/>
      <c r="VFU46" s="1041"/>
      <c r="VFV46" s="1041"/>
      <c r="VFW46" s="1041"/>
      <c r="VFX46" s="1041"/>
      <c r="VFY46" s="1041"/>
      <c r="VFZ46" s="1041"/>
      <c r="VGA46" s="1041"/>
      <c r="VGB46" s="1041"/>
      <c r="VGC46" s="1041"/>
      <c r="VGD46" s="1041"/>
      <c r="VGE46" s="1041"/>
      <c r="VGF46" s="1041"/>
      <c r="VGG46" s="1041"/>
      <c r="VGH46" s="1041"/>
      <c r="VGI46" s="1041"/>
      <c r="VGJ46" s="1041"/>
      <c r="VGK46" s="1041"/>
      <c r="VGL46" s="1041"/>
      <c r="VGM46" s="1041"/>
      <c r="VGN46" s="1041"/>
      <c r="VGO46" s="1041"/>
      <c r="VGP46" s="1041"/>
      <c r="VGQ46" s="1041"/>
      <c r="VGR46" s="1041"/>
      <c r="VGS46" s="1041"/>
      <c r="VGT46" s="1041"/>
      <c r="VGU46" s="1041"/>
      <c r="VGV46" s="1041"/>
      <c r="VGW46" s="1041"/>
      <c r="VGX46" s="1041"/>
      <c r="VGY46" s="1041"/>
      <c r="VGZ46" s="1041"/>
      <c r="VHA46" s="1041"/>
      <c r="VHB46" s="1041"/>
      <c r="VHC46" s="1041"/>
      <c r="VHD46" s="1041"/>
      <c r="VHE46" s="1041"/>
      <c r="VHF46" s="1041"/>
      <c r="VHG46" s="1041"/>
      <c r="VHH46" s="1041"/>
      <c r="VHI46" s="1041"/>
      <c r="VHJ46" s="1041"/>
      <c r="VHK46" s="1041"/>
      <c r="VHL46" s="1041"/>
      <c r="VHM46" s="1041"/>
      <c r="VHN46" s="1041"/>
      <c r="VHO46" s="1041"/>
      <c r="VHP46" s="1041"/>
      <c r="VHQ46" s="1041"/>
      <c r="VHR46" s="1041"/>
      <c r="VHS46" s="1041"/>
      <c r="VHT46" s="1041"/>
      <c r="VHU46" s="1041"/>
      <c r="VHV46" s="1041"/>
      <c r="VHW46" s="1041"/>
      <c r="VHX46" s="1041"/>
      <c r="VHY46" s="1041"/>
      <c r="VHZ46" s="1041"/>
      <c r="VIA46" s="1041"/>
      <c r="VIB46" s="1041"/>
      <c r="VIC46" s="1041"/>
      <c r="VID46" s="1041"/>
      <c r="VIE46" s="1041"/>
      <c r="VIF46" s="1041"/>
      <c r="VIG46" s="1041"/>
      <c r="VIH46" s="1041"/>
      <c r="VII46" s="1041"/>
      <c r="VIJ46" s="1041"/>
      <c r="VIK46" s="1041"/>
      <c r="VIL46" s="1041"/>
      <c r="VIM46" s="1041"/>
      <c r="VIN46" s="1041"/>
      <c r="VIO46" s="1041"/>
      <c r="VIP46" s="1041"/>
      <c r="VIQ46" s="1041"/>
      <c r="VIR46" s="1041"/>
      <c r="VIS46" s="1041"/>
      <c r="VIT46" s="1041"/>
      <c r="VIU46" s="1041"/>
      <c r="VIV46" s="1041"/>
      <c r="VIW46" s="1041"/>
      <c r="VIX46" s="1041"/>
      <c r="VIY46" s="1041"/>
      <c r="VIZ46" s="1041"/>
      <c r="VJA46" s="1041"/>
      <c r="VJB46" s="1041"/>
      <c r="VJC46" s="1041"/>
      <c r="VJD46" s="1041"/>
      <c r="VJE46" s="1041"/>
      <c r="VJF46" s="1041"/>
      <c r="VJG46" s="1041"/>
      <c r="VJH46" s="1041"/>
      <c r="VJI46" s="1041"/>
      <c r="VJJ46" s="1041"/>
      <c r="VJK46" s="1041"/>
      <c r="VJL46" s="1041"/>
      <c r="VJM46" s="1041"/>
      <c r="VJN46" s="1041"/>
      <c r="VJO46" s="1041"/>
      <c r="VJP46" s="1041"/>
      <c r="VJQ46" s="1041"/>
      <c r="VJR46" s="1041"/>
      <c r="VJS46" s="1041"/>
      <c r="VJT46" s="1041"/>
      <c r="VJU46" s="1041"/>
      <c r="VJV46" s="1041"/>
      <c r="VJW46" s="1041"/>
      <c r="VJX46" s="1041"/>
      <c r="VJY46" s="1041"/>
      <c r="VJZ46" s="1041"/>
      <c r="VKA46" s="1041"/>
      <c r="VKB46" s="1041"/>
      <c r="VKC46" s="1041"/>
      <c r="VKD46" s="1041"/>
      <c r="VKE46" s="1041"/>
      <c r="VKF46" s="1041"/>
      <c r="VKG46" s="1041"/>
      <c r="VKH46" s="1041"/>
      <c r="VKI46" s="1041"/>
      <c r="VKJ46" s="1041"/>
      <c r="VKK46" s="1041"/>
      <c r="VKL46" s="1041"/>
      <c r="VKM46" s="1041"/>
      <c r="VKN46" s="1041"/>
      <c r="VKO46" s="1041"/>
      <c r="VKP46" s="1041"/>
      <c r="VKQ46" s="1041"/>
      <c r="VKR46" s="1041"/>
      <c r="VKS46" s="1041"/>
      <c r="VKT46" s="1041"/>
      <c r="VKU46" s="1041"/>
      <c r="VKV46" s="1041"/>
      <c r="VKW46" s="1041"/>
      <c r="VKX46" s="1041"/>
      <c r="VKY46" s="1041"/>
      <c r="VKZ46" s="1041"/>
      <c r="VLA46" s="1041"/>
      <c r="VLB46" s="1041"/>
      <c r="VLC46" s="1041"/>
      <c r="VLD46" s="1041"/>
      <c r="VLE46" s="1041"/>
      <c r="VLF46" s="1041"/>
      <c r="VLG46" s="1041"/>
      <c r="VLH46" s="1041"/>
      <c r="VLI46" s="1041"/>
      <c r="VLJ46" s="1041"/>
      <c r="VLK46" s="1041"/>
      <c r="VLL46" s="1041"/>
      <c r="VLM46" s="1041"/>
      <c r="VLN46" s="1041"/>
      <c r="VLO46" s="1041"/>
      <c r="VLP46" s="1041"/>
      <c r="VLQ46" s="1041"/>
      <c r="VLR46" s="1041"/>
      <c r="VLS46" s="1041"/>
      <c r="VLT46" s="1041"/>
      <c r="VLU46" s="1041"/>
      <c r="VLV46" s="1041"/>
      <c r="VLW46" s="1041"/>
      <c r="VLX46" s="1041"/>
      <c r="VLY46" s="1041"/>
      <c r="VLZ46" s="1041"/>
      <c r="VMA46" s="1041"/>
      <c r="VMB46" s="1041"/>
      <c r="VMC46" s="1041"/>
      <c r="VMD46" s="1041"/>
      <c r="VME46" s="1041"/>
      <c r="VMF46" s="1041"/>
      <c r="VMG46" s="1041"/>
      <c r="VMH46" s="1041"/>
      <c r="VMI46" s="1041"/>
      <c r="VMJ46" s="1041"/>
      <c r="VMK46" s="1041"/>
      <c r="VML46" s="1041"/>
      <c r="VMM46" s="1041"/>
      <c r="VMN46" s="1041"/>
      <c r="VMO46" s="1041"/>
      <c r="VMP46" s="1041"/>
      <c r="VMQ46" s="1041"/>
      <c r="VMR46" s="1041"/>
      <c r="VMS46" s="1041"/>
      <c r="VMT46" s="1041"/>
      <c r="VMU46" s="1041"/>
      <c r="VMV46" s="1041"/>
      <c r="VMW46" s="1041"/>
      <c r="VMX46" s="1041"/>
      <c r="VMY46" s="1041"/>
      <c r="VMZ46" s="1041"/>
      <c r="VNA46" s="1041"/>
      <c r="VNB46" s="1041"/>
      <c r="VNC46" s="1041"/>
      <c r="VND46" s="1041"/>
      <c r="VNE46" s="1041"/>
      <c r="VNF46" s="1041"/>
      <c r="VNG46" s="1041"/>
      <c r="VNH46" s="1041"/>
      <c r="VNI46" s="1041"/>
      <c r="VNJ46" s="1041"/>
      <c r="VNK46" s="1041"/>
      <c r="VNL46" s="1041"/>
      <c r="VNM46" s="1041"/>
      <c r="VNN46" s="1041"/>
      <c r="VNO46" s="1041"/>
      <c r="VNP46" s="1041"/>
      <c r="VNQ46" s="1041"/>
      <c r="VNR46" s="1041"/>
      <c r="VNS46" s="1041"/>
      <c r="VNT46" s="1041"/>
      <c r="VNU46" s="1041"/>
      <c r="VNV46" s="1041"/>
      <c r="VNW46" s="1041"/>
      <c r="VNX46" s="1041"/>
      <c r="VNY46" s="1041"/>
      <c r="VNZ46" s="1041"/>
      <c r="VOA46" s="1041"/>
      <c r="VOB46" s="1041"/>
      <c r="VOC46" s="1041"/>
      <c r="VOD46" s="1041"/>
      <c r="VOE46" s="1041"/>
      <c r="VOF46" s="1041"/>
      <c r="VOG46" s="1041"/>
      <c r="VOH46" s="1041"/>
      <c r="VOI46" s="1041"/>
      <c r="VOJ46" s="1041"/>
      <c r="VOK46" s="1041"/>
      <c r="VOL46" s="1041"/>
      <c r="VOM46" s="1041"/>
      <c r="VON46" s="1041"/>
      <c r="VOO46" s="1041"/>
      <c r="VOP46" s="1041"/>
      <c r="VOQ46" s="1041"/>
      <c r="VOR46" s="1041"/>
      <c r="VOS46" s="1041"/>
      <c r="VOT46" s="1041"/>
      <c r="VOU46" s="1041"/>
      <c r="VOV46" s="1041"/>
      <c r="VOW46" s="1041"/>
      <c r="VOX46" s="1041"/>
      <c r="VOY46" s="1041"/>
      <c r="VOZ46" s="1041"/>
      <c r="VPA46" s="1041"/>
      <c r="VPB46" s="1041"/>
      <c r="VPC46" s="1041"/>
      <c r="VPD46" s="1041"/>
      <c r="VPE46" s="1041"/>
      <c r="VPF46" s="1041"/>
      <c r="VPG46" s="1041"/>
      <c r="VPH46" s="1041"/>
      <c r="VPI46" s="1041"/>
      <c r="VPJ46" s="1041"/>
      <c r="VPK46" s="1041"/>
      <c r="VPL46" s="1041"/>
      <c r="VPM46" s="1041"/>
      <c r="VPN46" s="1041"/>
      <c r="VPO46" s="1041"/>
      <c r="VPP46" s="1041"/>
      <c r="VPQ46" s="1041"/>
      <c r="VPR46" s="1041"/>
      <c r="VPS46" s="1041"/>
      <c r="VPT46" s="1041"/>
      <c r="VPU46" s="1041"/>
      <c r="VPV46" s="1041"/>
      <c r="VPW46" s="1041"/>
      <c r="VPX46" s="1041"/>
      <c r="VPY46" s="1041"/>
      <c r="VPZ46" s="1041"/>
      <c r="VQA46" s="1041"/>
      <c r="VQB46" s="1041"/>
      <c r="VQC46" s="1041"/>
      <c r="VQD46" s="1041"/>
      <c r="VQE46" s="1041"/>
      <c r="VQF46" s="1041"/>
      <c r="VQG46" s="1041"/>
      <c r="VQH46" s="1041"/>
      <c r="VQI46" s="1041"/>
      <c r="VQJ46" s="1041"/>
      <c r="VQK46" s="1041"/>
      <c r="VQL46" s="1041"/>
      <c r="VQM46" s="1041"/>
      <c r="VQN46" s="1041"/>
      <c r="VQO46" s="1041"/>
      <c r="VQP46" s="1041"/>
      <c r="VQQ46" s="1041"/>
      <c r="VQR46" s="1041"/>
      <c r="VQS46" s="1041"/>
      <c r="VQT46" s="1041"/>
      <c r="VQU46" s="1041"/>
      <c r="VQV46" s="1041"/>
      <c r="VQW46" s="1041"/>
      <c r="VQX46" s="1041"/>
      <c r="VQY46" s="1041"/>
      <c r="VQZ46" s="1041"/>
      <c r="VRA46" s="1041"/>
      <c r="VRB46" s="1041"/>
      <c r="VRC46" s="1041"/>
      <c r="VRD46" s="1041"/>
      <c r="VRE46" s="1041"/>
      <c r="VRF46" s="1041"/>
      <c r="VRG46" s="1041"/>
      <c r="VRH46" s="1041"/>
      <c r="VRI46" s="1041"/>
      <c r="VRJ46" s="1041"/>
      <c r="VRK46" s="1041"/>
      <c r="VRL46" s="1041"/>
      <c r="VRM46" s="1041"/>
      <c r="VRN46" s="1041"/>
      <c r="VRO46" s="1041"/>
      <c r="VRP46" s="1041"/>
      <c r="VRQ46" s="1041"/>
      <c r="VRR46" s="1041"/>
      <c r="VRS46" s="1041"/>
      <c r="VRT46" s="1041"/>
      <c r="VRU46" s="1041"/>
      <c r="VRV46" s="1041"/>
      <c r="VRW46" s="1041"/>
      <c r="VRX46" s="1041"/>
      <c r="VRY46" s="1041"/>
      <c r="VRZ46" s="1041"/>
      <c r="VSA46" s="1041"/>
      <c r="VSB46" s="1041"/>
      <c r="VSC46" s="1041"/>
      <c r="VSD46" s="1041"/>
      <c r="VSE46" s="1041"/>
      <c r="VSF46" s="1041"/>
      <c r="VSG46" s="1041"/>
      <c r="VSH46" s="1041"/>
      <c r="VSI46" s="1041"/>
      <c r="VSJ46" s="1041"/>
      <c r="VSK46" s="1041"/>
      <c r="VSL46" s="1041"/>
      <c r="VSM46" s="1041"/>
      <c r="VSN46" s="1041"/>
      <c r="VSO46" s="1041"/>
      <c r="VSP46" s="1041"/>
      <c r="VSQ46" s="1041"/>
      <c r="VSR46" s="1041"/>
      <c r="VSS46" s="1041"/>
      <c r="VST46" s="1041"/>
      <c r="VSU46" s="1041"/>
      <c r="VSV46" s="1041"/>
      <c r="VSW46" s="1041"/>
      <c r="VSX46" s="1041"/>
      <c r="VSY46" s="1041"/>
      <c r="VSZ46" s="1041"/>
      <c r="VTA46" s="1041"/>
      <c r="VTB46" s="1041"/>
      <c r="VTC46" s="1041"/>
      <c r="VTD46" s="1041"/>
      <c r="VTE46" s="1041"/>
      <c r="VTF46" s="1041"/>
      <c r="VTG46" s="1041"/>
      <c r="VTH46" s="1041"/>
      <c r="VTI46" s="1041"/>
      <c r="VTJ46" s="1041"/>
      <c r="VTK46" s="1041"/>
      <c r="VTL46" s="1041"/>
      <c r="VTM46" s="1041"/>
      <c r="VTN46" s="1041"/>
      <c r="VTO46" s="1041"/>
      <c r="VTP46" s="1041"/>
      <c r="VTQ46" s="1041"/>
      <c r="VTR46" s="1041"/>
      <c r="VTS46" s="1041"/>
      <c r="VTT46" s="1041"/>
      <c r="VTU46" s="1041"/>
      <c r="VTV46" s="1041"/>
      <c r="VTW46" s="1041"/>
      <c r="VTX46" s="1041"/>
      <c r="VTY46" s="1041"/>
      <c r="VTZ46" s="1041"/>
      <c r="VUA46" s="1041"/>
      <c r="VUB46" s="1041"/>
      <c r="VUC46" s="1041"/>
      <c r="VUD46" s="1041"/>
      <c r="VUE46" s="1041"/>
      <c r="VUF46" s="1041"/>
      <c r="VUG46" s="1041"/>
      <c r="VUH46" s="1041"/>
      <c r="VUI46" s="1041"/>
      <c r="VUJ46" s="1041"/>
      <c r="VUK46" s="1041"/>
      <c r="VUL46" s="1041"/>
      <c r="VUM46" s="1041"/>
      <c r="VUN46" s="1041"/>
      <c r="VUO46" s="1041"/>
      <c r="VUP46" s="1041"/>
      <c r="VUQ46" s="1041"/>
      <c r="VUR46" s="1041"/>
      <c r="VUS46" s="1041"/>
      <c r="VUT46" s="1041"/>
      <c r="VUU46" s="1041"/>
      <c r="VUV46" s="1041"/>
      <c r="VUW46" s="1041"/>
      <c r="VUX46" s="1041"/>
      <c r="VUY46" s="1041"/>
      <c r="VUZ46" s="1041"/>
      <c r="VVA46" s="1041"/>
      <c r="VVB46" s="1041"/>
      <c r="VVC46" s="1041"/>
      <c r="VVD46" s="1041"/>
      <c r="VVE46" s="1041"/>
      <c r="VVF46" s="1041"/>
      <c r="VVG46" s="1041"/>
      <c r="VVH46" s="1041"/>
      <c r="VVI46" s="1041"/>
      <c r="VVJ46" s="1041"/>
      <c r="VVK46" s="1041"/>
      <c r="VVL46" s="1041"/>
      <c r="VVM46" s="1041"/>
      <c r="VVN46" s="1041"/>
      <c r="VVO46" s="1041"/>
      <c r="VVP46" s="1041"/>
      <c r="VVQ46" s="1041"/>
      <c r="VVR46" s="1041"/>
      <c r="VVS46" s="1041"/>
      <c r="VVT46" s="1041"/>
      <c r="VVU46" s="1041"/>
      <c r="VVV46" s="1041"/>
      <c r="VVW46" s="1041"/>
      <c r="VVX46" s="1041"/>
      <c r="VVY46" s="1041"/>
      <c r="VVZ46" s="1041"/>
      <c r="VWA46" s="1041"/>
      <c r="VWB46" s="1041"/>
      <c r="VWC46" s="1041"/>
      <c r="VWD46" s="1041"/>
      <c r="VWE46" s="1041"/>
      <c r="VWF46" s="1041"/>
      <c r="VWG46" s="1041"/>
      <c r="VWH46" s="1041"/>
      <c r="VWI46" s="1041"/>
      <c r="VWJ46" s="1041"/>
      <c r="VWK46" s="1041"/>
      <c r="VWL46" s="1041"/>
      <c r="VWM46" s="1041"/>
      <c r="VWN46" s="1041"/>
      <c r="VWO46" s="1041"/>
      <c r="VWP46" s="1041"/>
      <c r="VWQ46" s="1041"/>
      <c r="VWR46" s="1041"/>
      <c r="VWS46" s="1041"/>
      <c r="VWT46" s="1041"/>
      <c r="VWU46" s="1041"/>
      <c r="VWV46" s="1041"/>
      <c r="VWW46" s="1041"/>
      <c r="VWX46" s="1041"/>
      <c r="VWY46" s="1041"/>
      <c r="VWZ46" s="1041"/>
      <c r="VXA46" s="1041"/>
      <c r="VXB46" s="1041"/>
      <c r="VXC46" s="1041"/>
      <c r="VXD46" s="1041"/>
      <c r="VXE46" s="1041"/>
      <c r="VXF46" s="1041"/>
      <c r="VXG46" s="1041"/>
      <c r="VXH46" s="1041"/>
      <c r="VXI46" s="1041"/>
      <c r="VXJ46" s="1041"/>
      <c r="VXK46" s="1041"/>
      <c r="VXL46" s="1041"/>
      <c r="VXM46" s="1041"/>
      <c r="VXN46" s="1041"/>
      <c r="VXO46" s="1041"/>
      <c r="VXP46" s="1041"/>
      <c r="VXQ46" s="1041"/>
      <c r="VXR46" s="1041"/>
      <c r="VXS46" s="1041"/>
      <c r="VXT46" s="1041"/>
      <c r="VXU46" s="1041"/>
      <c r="VXV46" s="1041"/>
      <c r="VXW46" s="1041"/>
      <c r="VXX46" s="1041"/>
      <c r="VXY46" s="1041"/>
      <c r="VXZ46" s="1041"/>
      <c r="VYA46" s="1041"/>
      <c r="VYB46" s="1041"/>
      <c r="VYC46" s="1041"/>
      <c r="VYD46" s="1041"/>
      <c r="VYE46" s="1041"/>
      <c r="VYF46" s="1041"/>
      <c r="VYG46" s="1041"/>
      <c r="VYH46" s="1041"/>
      <c r="VYI46" s="1041"/>
      <c r="VYJ46" s="1041"/>
      <c r="VYK46" s="1041"/>
      <c r="VYL46" s="1041"/>
      <c r="VYM46" s="1041"/>
      <c r="VYN46" s="1041"/>
      <c r="VYO46" s="1041"/>
      <c r="VYP46" s="1041"/>
      <c r="VYQ46" s="1041"/>
      <c r="VYR46" s="1041"/>
      <c r="VYS46" s="1041"/>
      <c r="VYT46" s="1041"/>
      <c r="VYU46" s="1041"/>
      <c r="VYV46" s="1041"/>
      <c r="VYW46" s="1041"/>
      <c r="VYX46" s="1041"/>
      <c r="VYY46" s="1041"/>
      <c r="VYZ46" s="1041"/>
      <c r="VZA46" s="1041"/>
      <c r="VZB46" s="1041"/>
      <c r="VZC46" s="1041"/>
      <c r="VZD46" s="1041"/>
      <c r="VZE46" s="1041"/>
      <c r="VZF46" s="1041"/>
      <c r="VZG46" s="1041"/>
      <c r="VZH46" s="1041"/>
      <c r="VZI46" s="1041"/>
      <c r="VZJ46" s="1041"/>
      <c r="VZK46" s="1041"/>
      <c r="VZL46" s="1041"/>
      <c r="VZM46" s="1041"/>
      <c r="VZN46" s="1041"/>
      <c r="VZO46" s="1041"/>
      <c r="VZP46" s="1041"/>
      <c r="VZQ46" s="1041"/>
      <c r="VZR46" s="1041"/>
      <c r="VZS46" s="1041"/>
      <c r="VZT46" s="1041"/>
      <c r="VZU46" s="1041"/>
      <c r="VZV46" s="1041"/>
      <c r="VZW46" s="1041"/>
      <c r="VZX46" s="1041"/>
      <c r="VZY46" s="1041"/>
      <c r="VZZ46" s="1041"/>
      <c r="WAA46" s="1041"/>
      <c r="WAB46" s="1041"/>
      <c r="WAC46" s="1041"/>
      <c r="WAD46" s="1041"/>
      <c r="WAE46" s="1041"/>
      <c r="WAF46" s="1041"/>
      <c r="WAG46" s="1041"/>
      <c r="WAH46" s="1041"/>
      <c r="WAI46" s="1041"/>
      <c r="WAJ46" s="1041"/>
      <c r="WAK46" s="1041"/>
      <c r="WAL46" s="1041"/>
      <c r="WAM46" s="1041"/>
      <c r="WAN46" s="1041"/>
      <c r="WAO46" s="1041"/>
      <c r="WAP46" s="1041"/>
      <c r="WAQ46" s="1041"/>
      <c r="WAR46" s="1041"/>
      <c r="WAS46" s="1041"/>
      <c r="WAT46" s="1041"/>
      <c r="WAU46" s="1041"/>
      <c r="WAV46" s="1041"/>
      <c r="WAW46" s="1041"/>
      <c r="WAX46" s="1041"/>
      <c r="WAY46" s="1041"/>
      <c r="WAZ46" s="1041"/>
      <c r="WBA46" s="1041"/>
      <c r="WBB46" s="1041"/>
      <c r="WBC46" s="1041"/>
      <c r="WBD46" s="1041"/>
      <c r="WBE46" s="1041"/>
      <c r="WBF46" s="1041"/>
      <c r="WBG46" s="1041"/>
      <c r="WBH46" s="1041"/>
      <c r="WBI46" s="1041"/>
      <c r="WBJ46" s="1041"/>
      <c r="WBK46" s="1041"/>
      <c r="WBL46" s="1041"/>
      <c r="WBM46" s="1041"/>
      <c r="WBN46" s="1041"/>
      <c r="WBO46" s="1041"/>
      <c r="WBP46" s="1041"/>
      <c r="WBQ46" s="1041"/>
      <c r="WBR46" s="1041"/>
      <c r="WBS46" s="1041"/>
      <c r="WBT46" s="1041"/>
      <c r="WBU46" s="1041"/>
      <c r="WBV46" s="1041"/>
      <c r="WBW46" s="1041"/>
      <c r="WBX46" s="1041"/>
      <c r="WBY46" s="1041"/>
      <c r="WBZ46" s="1041"/>
      <c r="WCA46" s="1041"/>
      <c r="WCB46" s="1041"/>
      <c r="WCC46" s="1041"/>
      <c r="WCD46" s="1041"/>
      <c r="WCE46" s="1041"/>
      <c r="WCF46" s="1041"/>
      <c r="WCG46" s="1041"/>
      <c r="WCH46" s="1041"/>
      <c r="WCI46" s="1041"/>
      <c r="WCJ46" s="1041"/>
      <c r="WCK46" s="1041"/>
      <c r="WCL46" s="1041"/>
      <c r="WCM46" s="1041"/>
      <c r="WCN46" s="1041"/>
      <c r="WCO46" s="1041"/>
      <c r="WCP46" s="1041"/>
      <c r="WCQ46" s="1041"/>
      <c r="WCR46" s="1041"/>
      <c r="WCS46" s="1041"/>
      <c r="WCT46" s="1041"/>
      <c r="WCU46" s="1041"/>
      <c r="WCV46" s="1041"/>
      <c r="WCW46" s="1041"/>
      <c r="WCX46" s="1041"/>
      <c r="WCY46" s="1041"/>
      <c r="WCZ46" s="1041"/>
      <c r="WDA46" s="1041"/>
      <c r="WDB46" s="1041"/>
      <c r="WDC46" s="1041"/>
      <c r="WDD46" s="1041"/>
      <c r="WDE46" s="1041"/>
      <c r="WDF46" s="1041"/>
      <c r="WDG46" s="1041"/>
      <c r="WDH46" s="1041"/>
      <c r="WDI46" s="1041"/>
      <c r="WDJ46" s="1041"/>
      <c r="WDK46" s="1041"/>
      <c r="WDL46" s="1041"/>
      <c r="WDM46" s="1041"/>
      <c r="WDN46" s="1041"/>
      <c r="WDO46" s="1041"/>
      <c r="WDP46" s="1041"/>
      <c r="WDQ46" s="1041"/>
      <c r="WDR46" s="1041"/>
      <c r="WDS46" s="1041"/>
      <c r="WDT46" s="1041"/>
      <c r="WDU46" s="1041"/>
      <c r="WDV46" s="1041"/>
      <c r="WDW46" s="1041"/>
      <c r="WDX46" s="1041"/>
      <c r="WDY46" s="1041"/>
      <c r="WDZ46" s="1041"/>
      <c r="WEA46" s="1041"/>
      <c r="WEB46" s="1041"/>
      <c r="WEC46" s="1041"/>
      <c r="WED46" s="1041"/>
      <c r="WEE46" s="1041"/>
      <c r="WEF46" s="1041"/>
      <c r="WEG46" s="1041"/>
      <c r="WEH46" s="1041"/>
      <c r="WEI46" s="1041"/>
      <c r="WEJ46" s="1041"/>
      <c r="WEK46" s="1041"/>
      <c r="WEL46" s="1041"/>
      <c r="WEM46" s="1041"/>
      <c r="WEN46" s="1041"/>
      <c r="WEO46" s="1041"/>
      <c r="WEP46" s="1041"/>
      <c r="WEQ46" s="1041"/>
      <c r="WER46" s="1041"/>
      <c r="WES46" s="1041"/>
      <c r="WET46" s="1041"/>
      <c r="WEU46" s="1041"/>
      <c r="WEV46" s="1041"/>
      <c r="WEW46" s="1041"/>
      <c r="WEX46" s="1041"/>
      <c r="WEY46" s="1041"/>
      <c r="WEZ46" s="1041"/>
      <c r="WFA46" s="1041"/>
      <c r="WFB46" s="1041"/>
      <c r="WFC46" s="1041"/>
      <c r="WFD46" s="1041"/>
      <c r="WFE46" s="1041"/>
      <c r="WFF46" s="1041"/>
      <c r="WFG46" s="1041"/>
      <c r="WFH46" s="1041"/>
      <c r="WFI46" s="1041"/>
      <c r="WFJ46" s="1041"/>
      <c r="WFK46" s="1041"/>
      <c r="WFL46" s="1041"/>
      <c r="WFM46" s="1041"/>
      <c r="WFN46" s="1041"/>
      <c r="WFO46" s="1041"/>
      <c r="WFP46" s="1041"/>
      <c r="WFQ46" s="1041"/>
      <c r="WFR46" s="1041"/>
      <c r="WFS46" s="1041"/>
      <c r="WFT46" s="1041"/>
      <c r="WFU46" s="1041"/>
      <c r="WFV46" s="1041"/>
      <c r="WFW46" s="1041"/>
      <c r="WFX46" s="1041"/>
      <c r="WFY46" s="1041"/>
      <c r="WFZ46" s="1041"/>
      <c r="WGA46" s="1041"/>
      <c r="WGB46" s="1041"/>
      <c r="WGC46" s="1041"/>
      <c r="WGD46" s="1041"/>
      <c r="WGE46" s="1041"/>
      <c r="WGF46" s="1041"/>
      <c r="WGG46" s="1041"/>
      <c r="WGH46" s="1041"/>
      <c r="WGI46" s="1041"/>
      <c r="WGJ46" s="1041"/>
      <c r="WGK46" s="1041"/>
      <c r="WGL46" s="1041"/>
      <c r="WGM46" s="1041"/>
      <c r="WGN46" s="1041"/>
      <c r="WGO46" s="1041"/>
      <c r="WGP46" s="1041"/>
      <c r="WGQ46" s="1041"/>
      <c r="WGR46" s="1041"/>
      <c r="WGS46" s="1041"/>
      <c r="WGT46" s="1041"/>
      <c r="WGU46" s="1041"/>
      <c r="WGV46" s="1041"/>
      <c r="WGW46" s="1041"/>
      <c r="WGX46" s="1041"/>
      <c r="WGY46" s="1041"/>
      <c r="WGZ46" s="1041"/>
      <c r="WHA46" s="1041"/>
      <c r="WHB46" s="1041"/>
      <c r="WHC46" s="1041"/>
      <c r="WHD46" s="1041"/>
      <c r="WHE46" s="1041"/>
      <c r="WHF46" s="1041"/>
      <c r="WHG46" s="1041"/>
      <c r="WHH46" s="1041"/>
      <c r="WHI46" s="1041"/>
      <c r="WHJ46" s="1041"/>
      <c r="WHK46" s="1041"/>
      <c r="WHL46" s="1041"/>
      <c r="WHM46" s="1041"/>
      <c r="WHN46" s="1041"/>
      <c r="WHO46" s="1041"/>
      <c r="WHP46" s="1041"/>
      <c r="WHQ46" s="1041"/>
      <c r="WHR46" s="1041"/>
      <c r="WHS46" s="1041"/>
      <c r="WHT46" s="1041"/>
      <c r="WHU46" s="1041"/>
      <c r="WHV46" s="1041"/>
      <c r="WHW46" s="1041"/>
      <c r="WHX46" s="1041"/>
      <c r="WHY46" s="1041"/>
      <c r="WHZ46" s="1041"/>
      <c r="WIA46" s="1041"/>
      <c r="WIB46" s="1041"/>
      <c r="WIC46" s="1041"/>
      <c r="WID46" s="1041"/>
      <c r="WIE46" s="1041"/>
      <c r="WIF46" s="1041"/>
      <c r="WIG46" s="1041"/>
      <c r="WIH46" s="1041"/>
      <c r="WII46" s="1041"/>
      <c r="WIJ46" s="1041"/>
      <c r="WIK46" s="1041"/>
      <c r="WIL46" s="1041"/>
      <c r="WIM46" s="1041"/>
      <c r="WIN46" s="1041"/>
      <c r="WIO46" s="1041"/>
      <c r="WIP46" s="1041"/>
      <c r="WIQ46" s="1041"/>
      <c r="WIR46" s="1041"/>
      <c r="WIS46" s="1041"/>
      <c r="WIT46" s="1041"/>
      <c r="WIU46" s="1041"/>
      <c r="WIV46" s="1041"/>
      <c r="WIW46" s="1041"/>
      <c r="WIX46" s="1041"/>
      <c r="WIY46" s="1041"/>
      <c r="WIZ46" s="1041"/>
      <c r="WJA46" s="1041"/>
      <c r="WJB46" s="1041"/>
      <c r="WJC46" s="1041"/>
      <c r="WJD46" s="1041"/>
      <c r="WJE46" s="1041"/>
      <c r="WJF46" s="1041"/>
      <c r="WJG46" s="1041"/>
      <c r="WJH46" s="1041"/>
      <c r="WJI46" s="1041"/>
      <c r="WJJ46" s="1041"/>
      <c r="WJK46" s="1041"/>
      <c r="WJL46" s="1041"/>
      <c r="WJM46" s="1041"/>
      <c r="WJN46" s="1041"/>
      <c r="WJO46" s="1041"/>
      <c r="WJP46" s="1041"/>
      <c r="WJQ46" s="1041"/>
      <c r="WJR46" s="1041"/>
      <c r="WJS46" s="1041"/>
      <c r="WJT46" s="1041"/>
      <c r="WJU46" s="1041"/>
      <c r="WJV46" s="1041"/>
      <c r="WJW46" s="1041"/>
      <c r="WJX46" s="1041"/>
      <c r="WJY46" s="1041"/>
      <c r="WJZ46" s="1041"/>
      <c r="WKA46" s="1041"/>
      <c r="WKB46" s="1041"/>
      <c r="WKC46" s="1041"/>
      <c r="WKD46" s="1041"/>
      <c r="WKE46" s="1041"/>
      <c r="WKF46" s="1041"/>
      <c r="WKG46" s="1041"/>
      <c r="WKH46" s="1041"/>
      <c r="WKI46" s="1041"/>
      <c r="WKJ46" s="1041"/>
      <c r="WKK46" s="1041"/>
      <c r="WKL46" s="1041"/>
      <c r="WKM46" s="1041"/>
      <c r="WKN46" s="1041"/>
      <c r="WKO46" s="1041"/>
      <c r="WKP46" s="1041"/>
      <c r="WKQ46" s="1041"/>
      <c r="WKR46" s="1041"/>
      <c r="WKS46" s="1041"/>
      <c r="WKT46" s="1041"/>
      <c r="WKU46" s="1041"/>
      <c r="WKV46" s="1041"/>
      <c r="WKW46" s="1041"/>
      <c r="WKX46" s="1041"/>
      <c r="WKY46" s="1041"/>
      <c r="WKZ46" s="1041"/>
      <c r="WLA46" s="1041"/>
      <c r="WLB46" s="1041"/>
      <c r="WLC46" s="1041"/>
      <c r="WLD46" s="1041"/>
      <c r="WLE46" s="1041"/>
      <c r="WLF46" s="1041"/>
      <c r="WLG46" s="1041"/>
      <c r="WLH46" s="1041"/>
      <c r="WLI46" s="1041"/>
      <c r="WLJ46" s="1041"/>
      <c r="WLK46" s="1041"/>
      <c r="WLL46" s="1041"/>
      <c r="WLM46" s="1041"/>
      <c r="WLN46" s="1041"/>
      <c r="WLO46" s="1041"/>
      <c r="WLP46" s="1041"/>
      <c r="WLQ46" s="1041"/>
      <c r="WLR46" s="1041"/>
      <c r="WLS46" s="1041"/>
      <c r="WLT46" s="1041"/>
      <c r="WLU46" s="1041"/>
      <c r="WLV46" s="1041"/>
      <c r="WLW46" s="1041"/>
      <c r="WLX46" s="1041"/>
      <c r="WLY46" s="1041"/>
      <c r="WLZ46" s="1041"/>
      <c r="WMA46" s="1041"/>
      <c r="WMB46" s="1041"/>
      <c r="WMC46" s="1041"/>
      <c r="WMD46" s="1041"/>
      <c r="WME46" s="1041"/>
      <c r="WMF46" s="1041"/>
      <c r="WMG46" s="1041"/>
      <c r="WMH46" s="1041"/>
      <c r="WMI46" s="1041"/>
      <c r="WMJ46" s="1041"/>
      <c r="WMK46" s="1041"/>
      <c r="WML46" s="1041"/>
      <c r="WMM46" s="1041"/>
      <c r="WMN46" s="1041"/>
      <c r="WMO46" s="1041"/>
      <c r="WMP46" s="1041"/>
      <c r="WMQ46" s="1041"/>
      <c r="WMR46" s="1041"/>
      <c r="WMS46" s="1041"/>
      <c r="WMT46" s="1041"/>
      <c r="WMU46" s="1041"/>
      <c r="WMV46" s="1041"/>
      <c r="WMW46" s="1041"/>
      <c r="WMX46" s="1041"/>
      <c r="WMY46" s="1041"/>
      <c r="WMZ46" s="1041"/>
      <c r="WNA46" s="1041"/>
      <c r="WNB46" s="1041"/>
      <c r="WNC46" s="1041"/>
      <c r="WND46" s="1041"/>
      <c r="WNE46" s="1041"/>
      <c r="WNF46" s="1041"/>
      <c r="WNG46" s="1041"/>
      <c r="WNH46" s="1041"/>
      <c r="WNI46" s="1041"/>
      <c r="WNJ46" s="1041"/>
      <c r="WNK46" s="1041"/>
      <c r="WNL46" s="1041"/>
      <c r="WNM46" s="1041"/>
      <c r="WNN46" s="1041"/>
      <c r="WNO46" s="1041"/>
      <c r="WNP46" s="1041"/>
      <c r="WNQ46" s="1041"/>
      <c r="WNR46" s="1041"/>
      <c r="WNS46" s="1041"/>
      <c r="WNT46" s="1041"/>
      <c r="WNU46" s="1041"/>
      <c r="WNV46" s="1041"/>
      <c r="WNW46" s="1041"/>
      <c r="WNX46" s="1041"/>
      <c r="WNY46" s="1041"/>
      <c r="WNZ46" s="1041"/>
      <c r="WOA46" s="1041"/>
      <c r="WOB46" s="1041"/>
      <c r="WOC46" s="1041"/>
      <c r="WOD46" s="1041"/>
      <c r="WOE46" s="1041"/>
      <c r="WOF46" s="1041"/>
      <c r="WOG46" s="1041"/>
      <c r="WOH46" s="1041"/>
      <c r="WOI46" s="1041"/>
      <c r="WOJ46" s="1041"/>
      <c r="WOK46" s="1041"/>
      <c r="WOL46" s="1041"/>
      <c r="WOM46" s="1041"/>
      <c r="WON46" s="1041"/>
      <c r="WOO46" s="1041"/>
      <c r="WOP46" s="1041"/>
      <c r="WOQ46" s="1041"/>
      <c r="WOR46" s="1041"/>
      <c r="WOS46" s="1041"/>
      <c r="WOT46" s="1041"/>
      <c r="WOU46" s="1041"/>
      <c r="WOV46" s="1041"/>
      <c r="WOW46" s="1041"/>
      <c r="WOX46" s="1041"/>
      <c r="WOY46" s="1041"/>
      <c r="WOZ46" s="1041"/>
      <c r="WPA46" s="1041"/>
      <c r="WPB46" s="1041"/>
      <c r="WPC46" s="1041"/>
      <c r="WPD46" s="1041"/>
      <c r="WPE46" s="1041"/>
      <c r="WPF46" s="1041"/>
      <c r="WPG46" s="1041"/>
      <c r="WPH46" s="1041"/>
      <c r="WPI46" s="1041"/>
      <c r="WPJ46" s="1041"/>
      <c r="WPK46" s="1041"/>
      <c r="WPL46" s="1041"/>
      <c r="WPM46" s="1041"/>
      <c r="WPN46" s="1041"/>
      <c r="WPO46" s="1041"/>
      <c r="WPP46" s="1041"/>
      <c r="WPQ46" s="1041"/>
      <c r="WPR46" s="1041"/>
      <c r="WPS46" s="1041"/>
      <c r="WPT46" s="1041"/>
      <c r="WPU46" s="1041"/>
      <c r="WPV46" s="1041"/>
      <c r="WPW46" s="1041"/>
      <c r="WPX46" s="1041"/>
      <c r="WPY46" s="1041"/>
      <c r="WPZ46" s="1041"/>
      <c r="WQA46" s="1041"/>
      <c r="WQB46" s="1041"/>
      <c r="WQC46" s="1041"/>
      <c r="WQD46" s="1041"/>
      <c r="WQE46" s="1041"/>
      <c r="WQF46" s="1041"/>
      <c r="WQG46" s="1041"/>
      <c r="WQH46" s="1041"/>
      <c r="WQI46" s="1041"/>
      <c r="WQJ46" s="1041"/>
      <c r="WQK46" s="1041"/>
      <c r="WQL46" s="1041"/>
      <c r="WQM46" s="1041"/>
      <c r="WQN46" s="1041"/>
      <c r="WQO46" s="1041"/>
      <c r="WQP46" s="1041"/>
      <c r="WQQ46" s="1041"/>
      <c r="WQR46" s="1041"/>
      <c r="WQS46" s="1041"/>
      <c r="WQT46" s="1041"/>
      <c r="WQU46" s="1041"/>
      <c r="WQV46" s="1041"/>
      <c r="WQW46" s="1041"/>
      <c r="WQX46" s="1041"/>
      <c r="WQY46" s="1041"/>
      <c r="WQZ46" s="1041"/>
      <c r="WRA46" s="1041"/>
      <c r="WRB46" s="1041"/>
      <c r="WRC46" s="1041"/>
      <c r="WRD46" s="1041"/>
      <c r="WRE46" s="1041"/>
      <c r="WRF46" s="1041"/>
      <c r="WRG46" s="1041"/>
      <c r="WRH46" s="1041"/>
      <c r="WRI46" s="1041"/>
      <c r="WRJ46" s="1041"/>
      <c r="WRK46" s="1041"/>
      <c r="WRL46" s="1041"/>
      <c r="WRM46" s="1041"/>
      <c r="WRN46" s="1041"/>
      <c r="WRO46" s="1041"/>
      <c r="WRP46" s="1041"/>
      <c r="WRQ46" s="1041"/>
      <c r="WRR46" s="1041"/>
      <c r="WRS46" s="1041"/>
      <c r="WRT46" s="1041"/>
      <c r="WRU46" s="1041"/>
      <c r="WRV46" s="1041"/>
      <c r="WRW46" s="1041"/>
      <c r="WRX46" s="1041"/>
      <c r="WRY46" s="1041"/>
      <c r="WRZ46" s="1041"/>
      <c r="WSA46" s="1041"/>
      <c r="WSB46" s="1041"/>
      <c r="WSC46" s="1041"/>
      <c r="WSD46" s="1041"/>
      <c r="WSE46" s="1041"/>
      <c r="WSF46" s="1041"/>
      <c r="WSG46" s="1041"/>
      <c r="WSH46" s="1041"/>
      <c r="WSI46" s="1041"/>
      <c r="WSJ46" s="1041"/>
      <c r="WSK46" s="1041"/>
      <c r="WSL46" s="1041"/>
      <c r="WSM46" s="1041"/>
      <c r="WSN46" s="1041"/>
      <c r="WSO46" s="1041"/>
      <c r="WSP46" s="1041"/>
      <c r="WSQ46" s="1041"/>
      <c r="WSR46" s="1041"/>
      <c r="WSS46" s="1041"/>
      <c r="WST46" s="1041"/>
      <c r="WSU46" s="1041"/>
      <c r="WSV46" s="1041"/>
      <c r="WSW46" s="1041"/>
      <c r="WSX46" s="1041"/>
      <c r="WSY46" s="1041"/>
      <c r="WSZ46" s="1041"/>
      <c r="WTA46" s="1041"/>
      <c r="WTB46" s="1041"/>
      <c r="WTC46" s="1041"/>
      <c r="WTD46" s="1041"/>
      <c r="WTE46" s="1041"/>
      <c r="WTF46" s="1041"/>
      <c r="WTG46" s="1041"/>
      <c r="WTH46" s="1041"/>
      <c r="WTI46" s="1041"/>
      <c r="WTJ46" s="1041"/>
      <c r="WTK46" s="1041"/>
      <c r="WTL46" s="1041"/>
      <c r="WTM46" s="1041"/>
      <c r="WTN46" s="1041"/>
      <c r="WTO46" s="1041"/>
      <c r="WTP46" s="1041"/>
      <c r="WTQ46" s="1041"/>
      <c r="WTR46" s="1041"/>
      <c r="WTS46" s="1041"/>
      <c r="WTT46" s="1041"/>
      <c r="WTU46" s="1041"/>
      <c r="WTV46" s="1041"/>
      <c r="WTW46" s="1041"/>
      <c r="WTX46" s="1041"/>
      <c r="WTY46" s="1041"/>
      <c r="WTZ46" s="1041"/>
      <c r="WUA46" s="1041"/>
      <c r="WUB46" s="1041"/>
      <c r="WUC46" s="1041"/>
      <c r="WUD46" s="1041"/>
      <c r="WUE46" s="1041"/>
      <c r="WUF46" s="1041"/>
      <c r="WUG46" s="1041"/>
      <c r="WUH46" s="1041"/>
      <c r="WUI46" s="1041"/>
      <c r="WUJ46" s="1041"/>
      <c r="WUK46" s="1041"/>
      <c r="WUL46" s="1041"/>
      <c r="WUM46" s="1041"/>
      <c r="WUN46" s="1041"/>
      <c r="WUO46" s="1041"/>
      <c r="WUP46" s="1041"/>
      <c r="WUQ46" s="1041"/>
      <c r="WUR46" s="1041"/>
      <c r="WUS46" s="1041"/>
      <c r="WUT46" s="1041"/>
      <c r="WUU46" s="1041"/>
      <c r="WUV46" s="1041"/>
      <c r="WUW46" s="1041"/>
      <c r="WUX46" s="1041"/>
      <c r="WUY46" s="1041"/>
      <c r="WUZ46" s="1041"/>
      <c r="WVA46" s="1041"/>
      <c r="WVB46" s="1041"/>
      <c r="WVC46" s="1041"/>
      <c r="WVD46" s="1041"/>
      <c r="WVE46" s="1041"/>
      <c r="WVF46" s="1041"/>
      <c r="WVG46" s="1041"/>
      <c r="WVH46" s="1041"/>
      <c r="WVI46" s="1041"/>
      <c r="WVJ46" s="1041"/>
      <c r="WVK46" s="1041"/>
      <c r="WVL46" s="1041"/>
      <c r="WVM46" s="1041"/>
      <c r="WVN46" s="1041"/>
      <c r="WVO46" s="1041"/>
      <c r="WVP46" s="1041"/>
      <c r="WVQ46" s="1041"/>
      <c r="WVR46" s="1041"/>
      <c r="WVS46" s="1041"/>
      <c r="WVT46" s="1041"/>
      <c r="WVU46" s="1041"/>
      <c r="WVV46" s="1041"/>
      <c r="WVW46" s="1041"/>
      <c r="WVX46" s="1041"/>
      <c r="WVY46" s="1041"/>
      <c r="WVZ46" s="1041"/>
      <c r="WWA46" s="1041"/>
      <c r="WWB46" s="1041"/>
      <c r="WWC46" s="1041"/>
      <c r="WWD46" s="1041"/>
      <c r="WWE46" s="1041"/>
      <c r="WWF46" s="1041"/>
      <c r="WWG46" s="1041"/>
      <c r="WWH46" s="1041"/>
      <c r="WWI46" s="1041"/>
      <c r="WWJ46" s="1041"/>
      <c r="WWK46" s="1041"/>
      <c r="WWL46" s="1041"/>
      <c r="WWM46" s="1041"/>
      <c r="WWN46" s="1041"/>
      <c r="WWO46" s="1041"/>
      <c r="WWP46" s="1041"/>
      <c r="WWQ46" s="1041"/>
      <c r="WWR46" s="1041"/>
      <c r="WWS46" s="1041"/>
      <c r="WWT46" s="1041"/>
      <c r="WWU46" s="1041"/>
      <c r="WWV46" s="1041"/>
      <c r="WWW46" s="1041"/>
      <c r="WWX46" s="1041"/>
      <c r="WWY46" s="1041"/>
      <c r="WWZ46" s="1041"/>
      <c r="WXA46" s="1041"/>
      <c r="WXB46" s="1041"/>
      <c r="WXC46" s="1041"/>
      <c r="WXD46" s="1041"/>
      <c r="WXE46" s="1041"/>
      <c r="WXF46" s="1041"/>
      <c r="WXG46" s="1041"/>
      <c r="WXH46" s="1041"/>
      <c r="WXI46" s="1041"/>
      <c r="WXJ46" s="1041"/>
      <c r="WXK46" s="1041"/>
      <c r="WXL46" s="1041"/>
      <c r="WXM46" s="1041"/>
      <c r="WXN46" s="1041"/>
      <c r="WXO46" s="1041"/>
      <c r="WXP46" s="1041"/>
      <c r="WXQ46" s="1041"/>
      <c r="WXR46" s="1041"/>
      <c r="WXS46" s="1041"/>
      <c r="WXT46" s="1041"/>
      <c r="WXU46" s="1041"/>
      <c r="WXV46" s="1041"/>
      <c r="WXW46" s="1041"/>
      <c r="WXX46" s="1041"/>
      <c r="WXY46" s="1041"/>
      <c r="WXZ46" s="1041"/>
      <c r="WYA46" s="1041"/>
      <c r="WYB46" s="1041"/>
      <c r="WYC46" s="1041"/>
      <c r="WYD46" s="1041"/>
      <c r="WYE46" s="1041"/>
      <c r="WYF46" s="1041"/>
      <c r="WYG46" s="1041"/>
      <c r="WYH46" s="1041"/>
      <c r="WYI46" s="1041"/>
      <c r="WYJ46" s="1041"/>
      <c r="WYK46" s="1041"/>
      <c r="WYL46" s="1041"/>
      <c r="WYM46" s="1041"/>
      <c r="WYN46" s="1041"/>
      <c r="WYO46" s="1041"/>
      <c r="WYP46" s="1041"/>
      <c r="WYQ46" s="1041"/>
      <c r="WYR46" s="1041"/>
      <c r="WYS46" s="1041"/>
      <c r="WYT46" s="1041"/>
      <c r="WYU46" s="1041"/>
      <c r="WYV46" s="1041"/>
      <c r="WYW46" s="1041"/>
      <c r="WYX46" s="1041"/>
      <c r="WYY46" s="1041"/>
      <c r="WYZ46" s="1041"/>
      <c r="WZA46" s="1041"/>
      <c r="WZB46" s="1041"/>
      <c r="WZC46" s="1041"/>
      <c r="WZD46" s="1041"/>
      <c r="WZE46" s="1041"/>
      <c r="WZF46" s="1041"/>
      <c r="WZG46" s="1041"/>
      <c r="WZH46" s="1041"/>
      <c r="WZI46" s="1041"/>
      <c r="WZJ46" s="1041"/>
      <c r="WZK46" s="1041"/>
      <c r="WZL46" s="1041"/>
      <c r="WZM46" s="1041"/>
      <c r="WZN46" s="1041"/>
      <c r="WZO46" s="1041"/>
      <c r="WZP46" s="1041"/>
      <c r="WZQ46" s="1041"/>
      <c r="WZR46" s="1041"/>
      <c r="WZS46" s="1041"/>
      <c r="WZT46" s="1041"/>
      <c r="WZU46" s="1041"/>
      <c r="WZV46" s="1041"/>
      <c r="WZW46" s="1041"/>
      <c r="WZX46" s="1041"/>
      <c r="WZY46" s="1041"/>
      <c r="WZZ46" s="1041"/>
      <c r="XAA46" s="1041"/>
      <c r="XAB46" s="1041"/>
      <c r="XAC46" s="1041"/>
      <c r="XAD46" s="1041"/>
      <c r="XAE46" s="1041"/>
      <c r="XAF46" s="1041"/>
      <c r="XAG46" s="1041"/>
      <c r="XAH46" s="1041"/>
      <c r="XAI46" s="1041"/>
      <c r="XAJ46" s="1041"/>
      <c r="XAK46" s="1041"/>
      <c r="XAL46" s="1041"/>
      <c r="XAM46" s="1041"/>
      <c r="XAN46" s="1041"/>
      <c r="XAO46" s="1041"/>
      <c r="XAP46" s="1041"/>
      <c r="XAQ46" s="1041"/>
      <c r="XAR46" s="1041"/>
      <c r="XAS46" s="1041"/>
      <c r="XAT46" s="1041"/>
      <c r="XAU46" s="1041"/>
      <c r="XAV46" s="1041"/>
      <c r="XAW46" s="1041"/>
      <c r="XAX46" s="1041"/>
      <c r="XAY46" s="1041"/>
      <c r="XAZ46" s="1041"/>
      <c r="XBA46" s="1041"/>
      <c r="XBB46" s="1041"/>
      <c r="XBC46" s="1041"/>
      <c r="XBD46" s="1041"/>
      <c r="XBE46" s="1041"/>
      <c r="XBF46" s="1041"/>
      <c r="XBG46" s="1041"/>
      <c r="XBH46" s="1041"/>
      <c r="XBI46" s="1041"/>
      <c r="XBJ46" s="1041"/>
      <c r="XBK46" s="1041"/>
      <c r="XBL46" s="1041"/>
      <c r="XBM46" s="1041"/>
      <c r="XBN46" s="1041"/>
      <c r="XBO46" s="1041"/>
      <c r="XBP46" s="1041"/>
      <c r="XBQ46" s="1041"/>
      <c r="XBR46" s="1041"/>
      <c r="XBS46" s="1041"/>
      <c r="XBT46" s="1041"/>
      <c r="XBU46" s="1041"/>
      <c r="XBV46" s="1041"/>
      <c r="XBW46" s="1041"/>
      <c r="XBX46" s="1041"/>
      <c r="XBY46" s="1041"/>
      <c r="XBZ46" s="1041"/>
      <c r="XCA46" s="1041"/>
      <c r="XCB46" s="1041"/>
      <c r="XCC46" s="1041"/>
      <c r="XCD46" s="1041"/>
      <c r="XCE46" s="1041"/>
      <c r="XCF46" s="1041"/>
      <c r="XCG46" s="1041"/>
      <c r="XCH46" s="1041"/>
      <c r="XCI46" s="1041"/>
      <c r="XCJ46" s="1041"/>
      <c r="XCK46" s="1041"/>
      <c r="XCL46" s="1041"/>
      <c r="XCM46" s="1041"/>
      <c r="XCN46" s="1041"/>
      <c r="XCO46" s="1041"/>
      <c r="XCP46" s="1041"/>
      <c r="XCQ46" s="1041"/>
      <c r="XCR46" s="1041"/>
      <c r="XCS46" s="1041"/>
      <c r="XCT46" s="1041"/>
      <c r="XCU46" s="1041"/>
      <c r="XCV46" s="1041"/>
      <c r="XCW46" s="1041"/>
      <c r="XCX46" s="1041"/>
      <c r="XCY46" s="1041"/>
      <c r="XCZ46" s="1041"/>
      <c r="XDA46" s="1041"/>
      <c r="XDB46" s="1041"/>
      <c r="XDC46" s="1041"/>
      <c r="XDD46" s="1041"/>
      <c r="XDE46" s="1041"/>
      <c r="XDF46" s="1041"/>
      <c r="XDG46" s="1041"/>
      <c r="XDH46" s="1041"/>
      <c r="XDI46" s="1041"/>
      <c r="XDJ46" s="1041"/>
      <c r="XDK46" s="1041"/>
      <c r="XDL46" s="1041"/>
      <c r="XDM46" s="1041"/>
      <c r="XDN46" s="1041"/>
      <c r="XDO46" s="1041"/>
      <c r="XDP46" s="1041"/>
      <c r="XDQ46" s="1041"/>
      <c r="XDR46" s="1041"/>
      <c r="XDS46" s="1041"/>
      <c r="XDT46" s="1041"/>
      <c r="XDU46" s="1041"/>
      <c r="XDV46" s="1041"/>
      <c r="XDW46" s="1041"/>
      <c r="XDX46" s="1041"/>
      <c r="XDY46" s="1041"/>
      <c r="XDZ46" s="1041"/>
      <c r="XEA46" s="1041"/>
      <c r="XEB46" s="1041"/>
      <c r="XEC46" s="1041"/>
      <c r="XED46" s="1041"/>
      <c r="XEE46" s="1041"/>
      <c r="XEF46" s="1041"/>
      <c r="XEG46" s="1041"/>
      <c r="XEH46" s="1041"/>
      <c r="XEI46" s="1041"/>
      <c r="XEJ46" s="1041"/>
      <c r="XEK46" s="1041"/>
      <c r="XEL46" s="1041"/>
      <c r="XEM46" s="1041"/>
      <c r="XEN46" s="1041"/>
      <c r="XEO46" s="1041"/>
      <c r="XEP46" s="1041"/>
      <c r="XEQ46" s="1041"/>
      <c r="XER46" s="1041"/>
      <c r="XES46" s="1041"/>
      <c r="XET46" s="1041"/>
      <c r="XEU46" s="1041"/>
      <c r="XEV46" s="1041"/>
      <c r="XEW46" s="1041"/>
      <c r="XEX46" s="1041"/>
      <c r="XEY46" s="1041"/>
      <c r="XEZ46" s="1041"/>
      <c r="XFA46" s="1041"/>
    </row>
    <row r="47" spans="1:16381" ht="17.399999999999999" x14ac:dyDescent="0.3">
      <c r="A47" s="312" t="s">
        <v>365</v>
      </c>
      <c r="B47" s="601">
        <f>GETPIVOTDATA("Sum of WholeTime Operational",StaffingPivot!$A$22,"Year",A47)</f>
        <v>3856</v>
      </c>
      <c r="C47" s="601">
        <f>GETPIVOTDATA("Sum of Retained Duty System",StaffingPivot!$A$22,"Year",A47)</f>
        <v>2669</v>
      </c>
      <c r="D47" s="609"/>
      <c r="E47" s="601">
        <f>GETPIVOTDATA("Sum of Control",StaffingPivot!$A$22,"Year",A47)</f>
        <v>221</v>
      </c>
      <c r="F47" s="601">
        <f>GETPIVOTDATA("Sum of Support",StaffingPivot!$A$22,"Year",A47)</f>
        <v>744</v>
      </c>
      <c r="G47" s="602">
        <f t="shared" si="8"/>
        <v>7490</v>
      </c>
      <c r="I47" s="263"/>
      <c r="J47" s="263"/>
      <c r="K47" s="7"/>
      <c r="U47" s="395"/>
    </row>
    <row r="48" spans="1:16381" ht="17.399999999999999" x14ac:dyDescent="0.3">
      <c r="A48" s="312" t="s">
        <v>366</v>
      </c>
      <c r="B48" s="601">
        <f>GETPIVOTDATA("Sum of WholeTime Operational",StaffingPivot!$A$22,"Year",A48)</f>
        <v>3690</v>
      </c>
      <c r="C48" s="601">
        <f>GETPIVOTDATA("Sum of Retained Duty System",StaffingPivot!$A$22,"Year",A48)</f>
        <v>2527</v>
      </c>
      <c r="D48" s="609"/>
      <c r="E48" s="601">
        <f>GETPIVOTDATA("Sum of Control",StaffingPivot!$A$22,"Year",A48)</f>
        <v>195</v>
      </c>
      <c r="F48" s="601">
        <f>GETPIVOTDATA("Sum of Support",StaffingPivot!$A$22,"Year",A48)</f>
        <v>719</v>
      </c>
      <c r="G48" s="602">
        <f t="shared" si="8"/>
        <v>7131</v>
      </c>
      <c r="I48" s="263"/>
      <c r="J48" s="263"/>
      <c r="K48" s="7"/>
      <c r="U48" s="395"/>
    </row>
    <row r="49" spans="1:1621" ht="17.399999999999999" x14ac:dyDescent="0.3">
      <c r="A49" s="312" t="s">
        <v>341</v>
      </c>
      <c r="B49" s="601">
        <f>GETPIVOTDATA("Sum of WholeTime Operational",StaffingPivot!$A$22,"Year",A49)</f>
        <v>3644</v>
      </c>
      <c r="C49" s="601">
        <f>GETPIVOTDATA("Sum of Retained Duty System",StaffingPivot!$A$22,"Year",A49)</f>
        <v>2546</v>
      </c>
      <c r="D49" s="609"/>
      <c r="E49" s="601">
        <f>GETPIVOTDATA("Sum of Control",StaffingPivot!$A$22,"Year",A49)</f>
        <v>160</v>
      </c>
      <c r="F49" s="601">
        <f>GETPIVOTDATA("Sum of Support",StaffingPivot!$A$22,"Year",A49)</f>
        <v>745</v>
      </c>
      <c r="G49" s="602">
        <f t="shared" si="8"/>
        <v>7095</v>
      </c>
      <c r="I49" s="263"/>
      <c r="J49" s="263"/>
      <c r="K49" s="7"/>
      <c r="U49" s="395"/>
    </row>
    <row r="50" spans="1:1621" ht="17.399999999999999" x14ac:dyDescent="0.3">
      <c r="A50" s="312" t="s">
        <v>342</v>
      </c>
      <c r="B50" s="601">
        <f>GETPIVOTDATA("Sum of WholeTime Operational",StaffingPivot!$A$22,"Year",A50)</f>
        <v>3544</v>
      </c>
      <c r="C50" s="601">
        <f>GETPIVOTDATA("Sum of Retained Duty System",StaffingPivot!$A$22,"Year",A50)</f>
        <v>2545</v>
      </c>
      <c r="D50" s="609"/>
      <c r="E50" s="601">
        <f>GETPIVOTDATA("Sum of Control",StaffingPivot!$A$22,"Year",A50)</f>
        <v>184</v>
      </c>
      <c r="F50" s="601">
        <f>GETPIVOTDATA("Sum of Support",StaffingPivot!$A$22,"Year",A50)</f>
        <v>759</v>
      </c>
      <c r="G50" s="602">
        <f t="shared" si="8"/>
        <v>7032</v>
      </c>
      <c r="I50" s="263"/>
      <c r="J50" s="263"/>
      <c r="K50" s="7"/>
      <c r="U50" s="395"/>
    </row>
    <row r="51" spans="1:1621" ht="17.399999999999999" x14ac:dyDescent="0.3">
      <c r="A51" s="312" t="s">
        <v>213</v>
      </c>
      <c r="B51" s="601">
        <f>GETPIVOTDATA("Sum of WholeTime Operational",StaffingPivot!$A$22,"Year",A51)</f>
        <v>3635.9300000000003</v>
      </c>
      <c r="C51" s="601">
        <f>GETPIVOTDATA("Sum of Retained Duty System",StaffingPivot!$A$22,"Year",A51)</f>
        <v>2583.98</v>
      </c>
      <c r="D51" s="609">
        <f>GETPIVOTDATA("Sum of RDS Fulltime",StaffingPivot!$A$22,"Year",A51)</f>
        <v>18</v>
      </c>
      <c r="E51" s="601">
        <f>GETPIVOTDATA("Sum of Control",StaffingPivot!$A$22,"Year",A51)</f>
        <v>202.32999999999998</v>
      </c>
      <c r="F51" s="601">
        <f>GETPIVOTDATA("Sum of Support",StaffingPivot!$A$22,"Year",A51)</f>
        <v>745.56000000000006</v>
      </c>
      <c r="G51" s="602">
        <f t="shared" si="8"/>
        <v>7185.8</v>
      </c>
      <c r="I51" s="263"/>
      <c r="J51" s="263"/>
      <c r="K51" s="7"/>
      <c r="U51" s="395"/>
    </row>
    <row r="52" spans="1:1621" ht="17.399999999999999" x14ac:dyDescent="0.3">
      <c r="A52" s="312" t="s">
        <v>312</v>
      </c>
      <c r="B52" s="601">
        <f>GETPIVOTDATA("Sum of WholeTime Operational",StaffingPivot!$A$22,"Year",A52)</f>
        <v>3633.93</v>
      </c>
      <c r="C52" s="601">
        <f>GETPIVOTDATA("Sum of Retained Duty System",StaffingPivot!$A$22,"Year",A52)</f>
        <v>2551.73</v>
      </c>
      <c r="D52" s="609">
        <f>GETPIVOTDATA("Sum of RDS Fulltime",StaffingPivot!$A$22,"Year",A52)</f>
        <v>36</v>
      </c>
      <c r="E52" s="601">
        <f>GETPIVOTDATA("Sum of Control",StaffingPivot!$A$22,"Year",A52)</f>
        <v>183.82999999999998</v>
      </c>
      <c r="F52" s="601">
        <f>GETPIVOTDATA("Sum of Support",StaffingPivot!$A$22,"Year",A52)</f>
        <v>764.4</v>
      </c>
      <c r="G52" s="602">
        <f t="shared" si="8"/>
        <v>7169.8899999999994</v>
      </c>
      <c r="I52" s="268"/>
      <c r="J52" s="263"/>
      <c r="K52" s="7"/>
      <c r="U52" s="395"/>
    </row>
    <row r="53" spans="1:1621" s="300" customFormat="1" ht="17.399999999999999" x14ac:dyDescent="0.3">
      <c r="A53" s="312" t="s">
        <v>318</v>
      </c>
      <c r="B53" s="601">
        <f>GETPIVOTDATA("Sum of WholeTime Operational",StaffingPivot!$A$22,"Year",A53)</f>
        <v>3578.43</v>
      </c>
      <c r="C53" s="601">
        <f>GETPIVOTDATA("Sum of Retained Duty System",StaffingPivot!$A$22,"Year",A53)</f>
        <v>2482.48</v>
      </c>
      <c r="D53" s="609">
        <f>GETPIVOTDATA("Sum of RDS Fulltime",StaffingPivot!$A$22,"Year",A53)</f>
        <v>54</v>
      </c>
      <c r="E53" s="601">
        <f>GETPIVOTDATA("Sum of Control",StaffingPivot!$A$22,"Year",A53)</f>
        <v>176.06</v>
      </c>
      <c r="F53" s="601">
        <f>GETPIVOTDATA("Sum of Support",StaffingPivot!$A$22,"Year",A53)</f>
        <v>786.29</v>
      </c>
      <c r="G53" s="602">
        <f t="shared" si="8"/>
        <v>7077.26</v>
      </c>
      <c r="H53"/>
      <c r="I53" s="19"/>
      <c r="J53" s="15"/>
      <c r="K53" s="7"/>
      <c r="L53"/>
      <c r="M53"/>
      <c r="N53"/>
      <c r="O53"/>
      <c r="P53"/>
      <c r="Q53"/>
      <c r="R53"/>
      <c r="S53"/>
      <c r="T53"/>
      <c r="U53" s="395"/>
      <c r="V53"/>
      <c r="W53"/>
      <c r="X53"/>
      <c r="Y53"/>
      <c r="Z53"/>
      <c r="AA53"/>
      <c r="AB53"/>
      <c r="AC53"/>
      <c r="AD53"/>
      <c r="AE53"/>
      <c r="AF53"/>
      <c r="AG53"/>
      <c r="AH53"/>
      <c r="AI53"/>
      <c r="AJ53"/>
      <c r="AK53"/>
      <c r="AL53"/>
      <c r="AM53"/>
      <c r="AN53"/>
      <c r="AO53"/>
      <c r="AP53"/>
      <c r="AQ53"/>
      <c r="AR53"/>
      <c r="AS53"/>
      <c r="AT53"/>
      <c r="AU53"/>
      <c r="AV53"/>
      <c r="AW53"/>
      <c r="AX53"/>
      <c r="AY53"/>
      <c r="AZ53"/>
      <c r="BA53"/>
      <c r="BB53"/>
      <c r="BC53"/>
      <c r="BD53"/>
      <c r="BE53"/>
      <c r="BF53"/>
      <c r="BG53"/>
      <c r="BH53"/>
      <c r="BI53"/>
      <c r="BJ53"/>
      <c r="BK53"/>
      <c r="BL53"/>
      <c r="BM53"/>
      <c r="BN53"/>
      <c r="BO53"/>
      <c r="BP53"/>
      <c r="BQ53"/>
      <c r="BR53"/>
      <c r="BS53"/>
      <c r="BT53"/>
      <c r="BU53"/>
      <c r="BV53"/>
      <c r="BW53"/>
      <c r="BX53"/>
      <c r="BY53"/>
      <c r="BZ53"/>
      <c r="CA53"/>
      <c r="CB53"/>
      <c r="CC53"/>
      <c r="CD53"/>
      <c r="CE53"/>
      <c r="CF53"/>
      <c r="CG53"/>
      <c r="CH53"/>
      <c r="CI53"/>
      <c r="CJ53"/>
      <c r="CK53"/>
      <c r="CL53"/>
      <c r="CM53"/>
      <c r="CN53"/>
      <c r="CO53"/>
      <c r="CP53"/>
      <c r="CQ53"/>
      <c r="CR53"/>
      <c r="CS53"/>
      <c r="CT53"/>
      <c r="CU53"/>
      <c r="CV53"/>
      <c r="CW53"/>
      <c r="CX53"/>
      <c r="CY53"/>
      <c r="CZ53"/>
      <c r="DA53"/>
      <c r="DB53"/>
      <c r="DC53"/>
      <c r="DD53"/>
      <c r="DE53"/>
      <c r="DF53"/>
      <c r="DG53"/>
      <c r="DH53"/>
      <c r="DI53"/>
      <c r="DJ53"/>
      <c r="DK53"/>
      <c r="DL53"/>
      <c r="DM53"/>
      <c r="DN53"/>
      <c r="DO53"/>
      <c r="DP53"/>
      <c r="DQ53"/>
      <c r="DR53"/>
      <c r="DS53"/>
      <c r="DT53"/>
      <c r="DU53"/>
      <c r="DV53"/>
      <c r="DW53"/>
      <c r="DX53"/>
      <c r="DY53"/>
      <c r="DZ53"/>
      <c r="EA53"/>
      <c r="EB53"/>
      <c r="EC53"/>
      <c r="ED53"/>
      <c r="EE53"/>
      <c r="EF53"/>
      <c r="EG53"/>
      <c r="EH53"/>
      <c r="EI53"/>
      <c r="EJ53"/>
      <c r="EK53"/>
      <c r="EL53"/>
      <c r="EM53"/>
      <c r="EN53"/>
      <c r="EO53"/>
      <c r="EP53"/>
      <c r="EQ53"/>
      <c r="ER53"/>
      <c r="ES53"/>
      <c r="ET53"/>
      <c r="EU53"/>
      <c r="EV53"/>
      <c r="EW53"/>
      <c r="EX53"/>
      <c r="EY53"/>
      <c r="EZ53"/>
      <c r="FA53"/>
      <c r="FB53"/>
      <c r="FC53"/>
      <c r="FD53"/>
      <c r="FE53"/>
      <c r="FF53"/>
      <c r="FG53"/>
      <c r="FH53"/>
      <c r="FI53"/>
      <c r="FJ53"/>
      <c r="FK53"/>
      <c r="FL53"/>
      <c r="FM53"/>
      <c r="FN53"/>
      <c r="FO53"/>
      <c r="FP53"/>
      <c r="FQ53"/>
      <c r="FR53"/>
      <c r="FS53"/>
      <c r="FT53"/>
      <c r="FU53"/>
      <c r="FV53"/>
      <c r="FW53"/>
      <c r="FX53"/>
      <c r="FY53"/>
      <c r="FZ53"/>
      <c r="GA53"/>
      <c r="GB53"/>
      <c r="GC53"/>
      <c r="GD53"/>
      <c r="GE53"/>
      <c r="GF53"/>
      <c r="GG53"/>
      <c r="GH53"/>
      <c r="GI53"/>
      <c r="GJ53"/>
      <c r="GK53"/>
      <c r="GL53"/>
      <c r="GM53"/>
      <c r="GN53"/>
      <c r="GO53"/>
      <c r="GP53"/>
      <c r="GQ53"/>
      <c r="GR53"/>
      <c r="GS53"/>
      <c r="GT53"/>
      <c r="GU53"/>
      <c r="GV53"/>
      <c r="GW53"/>
      <c r="GX53"/>
      <c r="GY53"/>
      <c r="GZ53"/>
      <c r="HA53"/>
      <c r="HB53"/>
      <c r="HC53"/>
      <c r="HD53"/>
      <c r="HE53"/>
      <c r="HF53"/>
      <c r="HG53"/>
      <c r="HH53"/>
      <c r="HI53"/>
      <c r="HJ53"/>
      <c r="HK53"/>
      <c r="HL53"/>
      <c r="HM53"/>
      <c r="HN53"/>
      <c r="HO53"/>
      <c r="HP53"/>
      <c r="HQ53"/>
      <c r="HR53"/>
      <c r="HS53"/>
      <c r="HT53"/>
      <c r="HU53"/>
      <c r="HV53"/>
      <c r="HW53"/>
      <c r="HX53"/>
      <c r="HY53"/>
      <c r="HZ53"/>
      <c r="IA53"/>
      <c r="IB53"/>
      <c r="IC53"/>
      <c r="ID53"/>
      <c r="IE53"/>
      <c r="IF53"/>
      <c r="IG53"/>
      <c r="IH53"/>
      <c r="II53"/>
      <c r="IJ53"/>
      <c r="IK53"/>
      <c r="IL53"/>
      <c r="IM53"/>
      <c r="IN53"/>
      <c r="IO53"/>
      <c r="IP53"/>
      <c r="IQ53"/>
      <c r="IR53"/>
      <c r="IS53"/>
      <c r="IT53"/>
      <c r="IU53"/>
      <c r="IV53"/>
      <c r="IW53"/>
      <c r="IX53"/>
      <c r="IY53"/>
      <c r="IZ53"/>
      <c r="JA53"/>
      <c r="JB53"/>
      <c r="JC53"/>
      <c r="JD53"/>
      <c r="JE53"/>
      <c r="JF53"/>
      <c r="JG53"/>
      <c r="JH53"/>
      <c r="JI53"/>
      <c r="JJ53"/>
      <c r="JK53"/>
      <c r="JL53"/>
      <c r="JM53"/>
      <c r="JN53"/>
      <c r="JO53"/>
      <c r="JP53"/>
      <c r="JQ53"/>
      <c r="JR53"/>
      <c r="JS53"/>
      <c r="JT53"/>
      <c r="JU53"/>
      <c r="JV53"/>
      <c r="JW53"/>
      <c r="JX53"/>
      <c r="JY53"/>
      <c r="JZ53"/>
      <c r="KA53"/>
      <c r="KB53"/>
      <c r="KC53"/>
      <c r="KD53"/>
      <c r="KE53"/>
      <c r="KF53"/>
      <c r="KG53"/>
      <c r="KH53"/>
      <c r="KI53"/>
      <c r="KJ53"/>
      <c r="KK53"/>
      <c r="KL53"/>
      <c r="KM53"/>
      <c r="KN53"/>
      <c r="KO53"/>
      <c r="KP53"/>
      <c r="KQ53"/>
      <c r="KR53"/>
      <c r="KS53"/>
      <c r="KT53"/>
      <c r="KU53"/>
      <c r="KV53"/>
      <c r="KW53"/>
      <c r="KX53"/>
      <c r="KY53"/>
      <c r="KZ53"/>
      <c r="LA53"/>
      <c r="LB53"/>
      <c r="LC53"/>
      <c r="LD53"/>
      <c r="LE53"/>
      <c r="LF53"/>
      <c r="LG53"/>
      <c r="LH53"/>
      <c r="LI53"/>
      <c r="LJ53"/>
      <c r="LK53"/>
      <c r="LL53"/>
      <c r="LM53"/>
      <c r="LN53"/>
      <c r="LO53"/>
      <c r="LP53"/>
      <c r="LQ53"/>
      <c r="LR53"/>
      <c r="LS53"/>
      <c r="LT53"/>
      <c r="LU53"/>
      <c r="LV53"/>
      <c r="LW53"/>
      <c r="LX53"/>
      <c r="LY53"/>
      <c r="LZ53"/>
      <c r="MA53"/>
      <c r="MB53"/>
      <c r="MC53"/>
      <c r="MD53"/>
      <c r="ME53"/>
      <c r="MF53"/>
      <c r="MG53"/>
      <c r="MH53"/>
      <c r="MI53"/>
      <c r="MJ53"/>
      <c r="MK53"/>
      <c r="ML53"/>
      <c r="MM53"/>
      <c r="MN53"/>
      <c r="MO53"/>
      <c r="MP53"/>
      <c r="MQ53"/>
      <c r="MR53"/>
      <c r="MS53"/>
      <c r="MT53"/>
      <c r="MU53"/>
      <c r="MV53"/>
      <c r="MW53"/>
      <c r="MX53"/>
      <c r="MY53"/>
      <c r="MZ53"/>
      <c r="NA53"/>
      <c r="NB53"/>
      <c r="NC53"/>
      <c r="ND53"/>
      <c r="NE53"/>
      <c r="NF53"/>
      <c r="NG53"/>
      <c r="NH53"/>
      <c r="NI53"/>
      <c r="NJ53"/>
      <c r="NK53"/>
      <c r="NL53"/>
      <c r="NM53"/>
      <c r="NN53"/>
      <c r="NO53"/>
      <c r="NP53"/>
      <c r="NQ53"/>
      <c r="NR53"/>
      <c r="NS53"/>
      <c r="NT53"/>
      <c r="NU53"/>
      <c r="NV53"/>
      <c r="NW53"/>
      <c r="NX53"/>
      <c r="NY53"/>
      <c r="NZ53"/>
      <c r="OA53"/>
      <c r="OB53"/>
      <c r="OC53"/>
      <c r="OD53"/>
      <c r="OE53"/>
      <c r="OF53"/>
      <c r="OG53"/>
      <c r="OH53"/>
      <c r="OI53"/>
      <c r="OJ53"/>
      <c r="OK53"/>
      <c r="OL53"/>
      <c r="OM53"/>
      <c r="ON53"/>
      <c r="OO53"/>
      <c r="OP53"/>
      <c r="OQ53"/>
      <c r="OR53"/>
      <c r="OS53"/>
      <c r="OT53"/>
      <c r="OU53"/>
      <c r="OV53"/>
      <c r="OW53"/>
      <c r="OX53"/>
      <c r="OY53"/>
      <c r="OZ53"/>
      <c r="PA53"/>
      <c r="PB53"/>
      <c r="PC53"/>
      <c r="PD53"/>
      <c r="PE53"/>
      <c r="PF53"/>
      <c r="PG53"/>
      <c r="PH53"/>
      <c r="PI53"/>
      <c r="PJ53"/>
      <c r="PK53"/>
      <c r="PL53"/>
      <c r="PM53"/>
      <c r="PN53"/>
      <c r="PO53"/>
      <c r="PP53"/>
      <c r="PQ53"/>
      <c r="PR53"/>
      <c r="PS53"/>
      <c r="PT53"/>
      <c r="PU53"/>
      <c r="PV53"/>
      <c r="PW53"/>
      <c r="PX53"/>
      <c r="PY53"/>
      <c r="PZ53"/>
      <c r="QA53"/>
      <c r="QB53"/>
      <c r="QC53"/>
      <c r="QD53"/>
      <c r="QE53"/>
      <c r="QF53"/>
      <c r="QG53"/>
      <c r="QH53"/>
      <c r="QI53"/>
      <c r="QJ53"/>
      <c r="QK53"/>
      <c r="QL53"/>
      <c r="QM53"/>
      <c r="QN53"/>
      <c r="QO53"/>
      <c r="QP53"/>
      <c r="QQ53"/>
      <c r="QR53"/>
      <c r="QS53"/>
      <c r="QT53"/>
      <c r="QU53"/>
      <c r="QV53"/>
      <c r="QW53"/>
      <c r="QX53"/>
      <c r="QY53"/>
      <c r="QZ53"/>
      <c r="RA53"/>
      <c r="RB53"/>
      <c r="RC53"/>
      <c r="RD53"/>
      <c r="RE53"/>
      <c r="RF53"/>
      <c r="RG53"/>
      <c r="RH53"/>
      <c r="RI53"/>
      <c r="RJ53"/>
      <c r="RK53"/>
      <c r="RL53"/>
      <c r="RM53"/>
      <c r="RN53"/>
      <c r="RO53"/>
      <c r="RP53"/>
      <c r="RQ53"/>
      <c r="RR53"/>
      <c r="RS53"/>
      <c r="RT53"/>
      <c r="RU53"/>
      <c r="RV53"/>
      <c r="RW53"/>
      <c r="RX53"/>
      <c r="RY53"/>
      <c r="RZ53"/>
      <c r="SA53"/>
      <c r="SB53"/>
      <c r="SC53"/>
      <c r="SD53"/>
      <c r="SE53"/>
      <c r="SF53"/>
      <c r="SG53"/>
      <c r="SH53"/>
      <c r="SI53"/>
      <c r="SJ53"/>
      <c r="SK53"/>
      <c r="SL53"/>
      <c r="SM53"/>
      <c r="SN53"/>
      <c r="SO53"/>
      <c r="SP53"/>
      <c r="SQ53"/>
      <c r="SR53"/>
      <c r="SS53"/>
      <c r="ST53"/>
      <c r="SU53"/>
      <c r="SV53"/>
      <c r="SW53"/>
      <c r="SX53"/>
      <c r="SY53"/>
      <c r="SZ53"/>
      <c r="TA53"/>
      <c r="TB53"/>
      <c r="TC53"/>
      <c r="TD53"/>
      <c r="TE53"/>
      <c r="TF53"/>
      <c r="TG53"/>
      <c r="TH53"/>
      <c r="TI53"/>
      <c r="TJ53"/>
      <c r="TK53"/>
      <c r="TL53"/>
      <c r="TM53"/>
      <c r="TN53"/>
      <c r="TO53"/>
      <c r="TP53"/>
      <c r="TQ53"/>
      <c r="TR53"/>
      <c r="TS53"/>
      <c r="TT53"/>
      <c r="TU53"/>
      <c r="TV53"/>
      <c r="TW53"/>
      <c r="TX53"/>
      <c r="TY53"/>
      <c r="TZ53"/>
      <c r="UA53"/>
      <c r="UB53"/>
      <c r="UC53"/>
      <c r="UD53"/>
      <c r="UE53"/>
      <c r="UF53"/>
      <c r="UG53"/>
      <c r="UH53"/>
      <c r="UI53"/>
      <c r="UJ53"/>
      <c r="UK53"/>
      <c r="UL53"/>
      <c r="UM53"/>
      <c r="UN53"/>
      <c r="UO53"/>
      <c r="UP53"/>
      <c r="UQ53"/>
      <c r="UR53"/>
      <c r="US53"/>
      <c r="UT53"/>
      <c r="UU53"/>
      <c r="UV53"/>
      <c r="UW53"/>
      <c r="UX53"/>
      <c r="UY53"/>
      <c r="UZ53"/>
      <c r="VA53"/>
      <c r="VB53"/>
      <c r="VC53"/>
      <c r="VD53"/>
      <c r="VE53"/>
      <c r="VF53"/>
      <c r="VG53"/>
      <c r="VH53"/>
      <c r="VI53"/>
      <c r="VJ53"/>
      <c r="VK53"/>
      <c r="VL53"/>
      <c r="VM53"/>
      <c r="VN53"/>
      <c r="VO53"/>
      <c r="VP53"/>
      <c r="VQ53"/>
      <c r="VR53"/>
      <c r="VS53"/>
      <c r="VT53"/>
      <c r="VU53"/>
      <c r="VV53"/>
      <c r="VW53"/>
      <c r="VX53"/>
      <c r="VY53"/>
      <c r="VZ53"/>
      <c r="WA53"/>
      <c r="WB53"/>
      <c r="WC53"/>
      <c r="WD53"/>
      <c r="WE53"/>
      <c r="WF53"/>
      <c r="WG53"/>
      <c r="WH53"/>
      <c r="WI53"/>
      <c r="WJ53"/>
      <c r="WK53"/>
      <c r="WL53"/>
      <c r="WM53"/>
      <c r="WN53"/>
      <c r="WO53"/>
      <c r="WP53"/>
      <c r="WQ53"/>
      <c r="WR53"/>
      <c r="WS53"/>
      <c r="WT53"/>
      <c r="WU53"/>
      <c r="WV53"/>
      <c r="WW53"/>
      <c r="WX53"/>
      <c r="WY53"/>
      <c r="WZ53"/>
      <c r="XA53"/>
      <c r="XB53"/>
      <c r="XC53"/>
      <c r="XD53"/>
      <c r="XE53"/>
      <c r="XF53"/>
      <c r="XG53"/>
      <c r="XH53"/>
      <c r="XI53"/>
      <c r="XJ53"/>
      <c r="XK53"/>
      <c r="XL53"/>
      <c r="XM53"/>
      <c r="XN53"/>
      <c r="XO53"/>
      <c r="XP53"/>
      <c r="XQ53"/>
      <c r="XR53"/>
      <c r="XS53"/>
      <c r="XT53"/>
      <c r="XU53"/>
      <c r="XV53"/>
      <c r="XW53"/>
      <c r="XX53"/>
      <c r="XY53"/>
      <c r="XZ53"/>
      <c r="YA53"/>
      <c r="YB53"/>
      <c r="YC53"/>
      <c r="YD53"/>
      <c r="YE53"/>
      <c r="YF53"/>
      <c r="YG53"/>
      <c r="YH53"/>
      <c r="YI53"/>
      <c r="YJ53"/>
      <c r="YK53"/>
      <c r="YL53"/>
      <c r="YM53"/>
      <c r="YN53"/>
      <c r="YO53"/>
      <c r="YP53"/>
      <c r="YQ53"/>
      <c r="YR53"/>
      <c r="YS53"/>
      <c r="YT53"/>
      <c r="YU53"/>
      <c r="YV53"/>
      <c r="YW53"/>
      <c r="YX53"/>
      <c r="YY53"/>
      <c r="YZ53"/>
      <c r="ZA53"/>
      <c r="ZB53"/>
      <c r="ZC53"/>
      <c r="ZD53"/>
      <c r="ZE53"/>
      <c r="ZF53"/>
      <c r="ZG53"/>
      <c r="ZH53"/>
      <c r="ZI53"/>
      <c r="ZJ53"/>
      <c r="ZK53"/>
      <c r="ZL53"/>
      <c r="ZM53"/>
      <c r="ZN53"/>
      <c r="ZO53"/>
      <c r="ZP53"/>
      <c r="ZQ53"/>
      <c r="ZR53"/>
      <c r="ZS53"/>
      <c r="ZT53"/>
      <c r="ZU53"/>
      <c r="ZV53"/>
      <c r="ZW53"/>
      <c r="ZX53"/>
      <c r="ZY53"/>
      <c r="ZZ53"/>
      <c r="AAA53"/>
      <c r="AAB53"/>
      <c r="AAC53"/>
      <c r="AAD53"/>
      <c r="AAE53"/>
      <c r="AAF53"/>
      <c r="AAG53"/>
      <c r="AAH53"/>
      <c r="AAI53"/>
      <c r="AAJ53"/>
      <c r="AAK53"/>
      <c r="AAL53"/>
      <c r="AAM53"/>
      <c r="AAN53"/>
      <c r="AAO53"/>
      <c r="AAP53"/>
      <c r="AAQ53"/>
      <c r="AAR53"/>
      <c r="AAS53"/>
      <c r="AAT53"/>
      <c r="AAU53"/>
      <c r="AAV53"/>
      <c r="AAW53"/>
      <c r="AAX53"/>
      <c r="AAY53"/>
      <c r="AAZ53"/>
      <c r="ABA53"/>
      <c r="ABB53"/>
      <c r="ABC53"/>
      <c r="ABD53"/>
      <c r="ABE53"/>
      <c r="ABF53"/>
      <c r="ABG53"/>
      <c r="ABH53"/>
      <c r="ABI53"/>
      <c r="ABJ53"/>
      <c r="ABK53"/>
      <c r="ABL53"/>
      <c r="ABM53"/>
      <c r="ABN53"/>
      <c r="ABO53"/>
      <c r="ABP53"/>
      <c r="ABQ53"/>
      <c r="ABR53"/>
      <c r="ABS53"/>
      <c r="ABT53"/>
      <c r="ABU53"/>
      <c r="ABV53"/>
      <c r="ABW53"/>
      <c r="ABX53"/>
      <c r="ABY53"/>
      <c r="ABZ53"/>
      <c r="ACA53"/>
      <c r="ACB53"/>
      <c r="ACC53"/>
      <c r="ACD53"/>
      <c r="ACE53"/>
      <c r="ACF53"/>
      <c r="ACG53"/>
      <c r="ACH53"/>
      <c r="ACI53"/>
      <c r="ACJ53"/>
      <c r="ACK53"/>
      <c r="ACL53"/>
      <c r="ACM53"/>
      <c r="ACN53"/>
      <c r="ACO53"/>
      <c r="ACP53"/>
      <c r="ACQ53"/>
      <c r="ACR53"/>
      <c r="ACS53"/>
      <c r="ACT53"/>
      <c r="ACU53"/>
      <c r="ACV53"/>
      <c r="ACW53"/>
      <c r="ACX53"/>
      <c r="ACY53"/>
      <c r="ACZ53"/>
      <c r="ADA53"/>
      <c r="ADB53"/>
      <c r="ADC53"/>
      <c r="ADD53"/>
      <c r="ADE53"/>
      <c r="ADF53"/>
      <c r="ADG53"/>
      <c r="ADH53"/>
      <c r="ADI53"/>
      <c r="ADJ53"/>
      <c r="ADK53"/>
      <c r="ADL53"/>
      <c r="ADM53"/>
      <c r="ADN53"/>
      <c r="ADO53"/>
      <c r="ADP53"/>
      <c r="ADQ53"/>
      <c r="ADR53"/>
      <c r="ADS53"/>
      <c r="ADT53"/>
      <c r="ADU53"/>
      <c r="ADV53"/>
      <c r="ADW53"/>
      <c r="ADX53"/>
      <c r="ADY53"/>
      <c r="ADZ53"/>
      <c r="AEA53"/>
      <c r="AEB53"/>
      <c r="AEC53"/>
      <c r="AED53"/>
      <c r="AEE53"/>
      <c r="AEF53"/>
      <c r="AEG53"/>
      <c r="AEH53"/>
      <c r="AEI53"/>
      <c r="AEJ53"/>
      <c r="AEK53"/>
      <c r="AEL53"/>
      <c r="AEM53"/>
      <c r="AEN53"/>
      <c r="AEO53"/>
      <c r="AEP53"/>
      <c r="AEQ53"/>
      <c r="AER53"/>
      <c r="AES53"/>
      <c r="AET53"/>
      <c r="AEU53"/>
      <c r="AEV53"/>
      <c r="AEW53"/>
      <c r="AEX53"/>
      <c r="AEY53"/>
      <c r="AEZ53"/>
      <c r="AFA53"/>
      <c r="AFB53"/>
      <c r="AFC53"/>
      <c r="AFD53"/>
      <c r="AFE53"/>
      <c r="AFF53"/>
      <c r="AFG53"/>
      <c r="AFH53"/>
      <c r="AFI53"/>
      <c r="AFJ53"/>
      <c r="AFK53"/>
      <c r="AFL53"/>
      <c r="AFM53"/>
      <c r="AFN53"/>
      <c r="AFO53"/>
      <c r="AFP53"/>
      <c r="AFQ53"/>
      <c r="AFR53"/>
      <c r="AFS53"/>
      <c r="AFT53"/>
      <c r="AFU53"/>
      <c r="AFV53"/>
      <c r="AFW53"/>
      <c r="AFX53"/>
      <c r="AFY53"/>
      <c r="AFZ53"/>
      <c r="AGA53"/>
      <c r="AGB53"/>
      <c r="AGC53"/>
      <c r="AGD53"/>
      <c r="AGE53"/>
      <c r="AGF53"/>
      <c r="AGG53"/>
      <c r="AGH53"/>
      <c r="AGI53"/>
      <c r="AGJ53"/>
      <c r="AGK53"/>
      <c r="AGL53"/>
      <c r="AGM53"/>
      <c r="AGN53"/>
      <c r="AGO53"/>
      <c r="AGP53"/>
      <c r="AGQ53"/>
      <c r="AGR53"/>
      <c r="AGS53"/>
      <c r="AGT53"/>
      <c r="AGU53"/>
      <c r="AGV53"/>
      <c r="AGW53"/>
      <c r="AGX53"/>
      <c r="AGY53"/>
      <c r="AGZ53"/>
      <c r="AHA53"/>
      <c r="AHB53"/>
      <c r="AHC53"/>
      <c r="AHD53"/>
      <c r="AHE53"/>
      <c r="AHF53"/>
      <c r="AHG53"/>
      <c r="AHH53"/>
      <c r="AHI53"/>
      <c r="AHJ53"/>
      <c r="AHK53"/>
      <c r="AHL53"/>
      <c r="AHM53"/>
      <c r="AHN53"/>
      <c r="AHO53"/>
      <c r="AHP53"/>
      <c r="AHQ53"/>
      <c r="AHR53"/>
      <c r="AHS53"/>
      <c r="AHT53"/>
      <c r="AHU53"/>
      <c r="AHV53"/>
      <c r="AHW53"/>
      <c r="AHX53"/>
      <c r="AHY53"/>
      <c r="AHZ53"/>
      <c r="AIA53"/>
      <c r="AIB53"/>
      <c r="AIC53"/>
      <c r="AID53"/>
      <c r="AIE53"/>
      <c r="AIF53"/>
      <c r="AIG53"/>
      <c r="AIH53"/>
      <c r="AII53"/>
      <c r="AIJ53"/>
      <c r="AIK53"/>
      <c r="AIL53"/>
      <c r="AIM53"/>
      <c r="AIN53"/>
      <c r="AIO53"/>
      <c r="AIP53"/>
      <c r="AIQ53"/>
      <c r="AIR53"/>
      <c r="AIS53"/>
      <c r="AIT53"/>
      <c r="AIU53"/>
      <c r="AIV53"/>
      <c r="AIW53"/>
      <c r="AIX53"/>
      <c r="AIY53"/>
      <c r="AIZ53"/>
      <c r="AJA53"/>
      <c r="AJB53"/>
      <c r="AJC53"/>
      <c r="AJD53"/>
      <c r="AJE53"/>
      <c r="AJF53"/>
      <c r="AJG53"/>
      <c r="AJH53"/>
      <c r="AJI53"/>
      <c r="AJJ53"/>
      <c r="AJK53"/>
      <c r="AJL53"/>
      <c r="AJM53"/>
      <c r="AJN53"/>
      <c r="AJO53"/>
      <c r="AJP53"/>
      <c r="AJQ53"/>
      <c r="AJR53"/>
      <c r="AJS53"/>
      <c r="AJT53"/>
      <c r="AJU53"/>
      <c r="AJV53"/>
      <c r="AJW53"/>
      <c r="AJX53"/>
      <c r="AJY53"/>
      <c r="AJZ53"/>
      <c r="AKA53"/>
      <c r="AKB53"/>
      <c r="AKC53"/>
      <c r="AKD53"/>
      <c r="AKE53"/>
      <c r="AKF53"/>
      <c r="AKG53"/>
      <c r="AKH53"/>
      <c r="AKI53"/>
      <c r="AKJ53"/>
      <c r="AKK53"/>
      <c r="AKL53"/>
      <c r="AKM53"/>
      <c r="AKN53"/>
      <c r="AKO53"/>
      <c r="AKP53"/>
      <c r="AKQ53"/>
      <c r="AKR53"/>
      <c r="AKS53"/>
      <c r="AKT53"/>
      <c r="AKU53"/>
      <c r="AKV53"/>
      <c r="AKW53"/>
      <c r="AKX53"/>
      <c r="AKY53"/>
      <c r="AKZ53"/>
      <c r="ALA53"/>
      <c r="ALB53"/>
      <c r="ALC53"/>
      <c r="ALD53"/>
      <c r="ALE53"/>
      <c r="ALF53"/>
      <c r="ALG53"/>
      <c r="ALH53"/>
      <c r="ALI53"/>
      <c r="ALJ53"/>
      <c r="ALK53"/>
      <c r="ALL53"/>
      <c r="ALM53"/>
      <c r="ALN53"/>
      <c r="ALO53"/>
      <c r="ALP53"/>
      <c r="ALQ53"/>
      <c r="ALR53"/>
      <c r="ALS53"/>
      <c r="ALT53"/>
      <c r="ALU53"/>
      <c r="ALV53"/>
      <c r="ALW53"/>
      <c r="ALX53"/>
      <c r="ALY53"/>
      <c r="ALZ53"/>
      <c r="AMA53"/>
      <c r="AMB53"/>
      <c r="AMC53"/>
      <c r="AMD53"/>
      <c r="AME53"/>
      <c r="AMF53"/>
      <c r="AMG53"/>
      <c r="AMH53"/>
      <c r="AMI53"/>
      <c r="AMJ53"/>
      <c r="AMK53"/>
      <c r="AML53"/>
      <c r="AMM53"/>
      <c r="AMN53"/>
      <c r="AMO53"/>
      <c r="AMP53"/>
      <c r="AMQ53"/>
      <c r="AMR53"/>
      <c r="AMS53"/>
      <c r="AMT53"/>
      <c r="AMU53"/>
      <c r="AMV53"/>
      <c r="AMW53"/>
      <c r="AMX53"/>
      <c r="AMY53"/>
      <c r="AMZ53"/>
      <c r="ANA53"/>
      <c r="ANB53"/>
      <c r="ANC53"/>
      <c r="AND53"/>
      <c r="ANE53"/>
      <c r="ANF53"/>
      <c r="ANG53"/>
      <c r="ANH53"/>
      <c r="ANI53"/>
      <c r="ANJ53"/>
      <c r="ANK53"/>
      <c r="ANL53"/>
      <c r="ANM53"/>
      <c r="ANN53"/>
      <c r="ANO53"/>
      <c r="ANP53"/>
      <c r="ANQ53"/>
      <c r="ANR53"/>
      <c r="ANS53"/>
      <c r="ANT53"/>
      <c r="ANU53"/>
      <c r="ANV53"/>
      <c r="ANW53"/>
      <c r="ANX53"/>
      <c r="ANY53"/>
      <c r="ANZ53"/>
      <c r="AOA53"/>
      <c r="AOB53"/>
      <c r="AOC53"/>
      <c r="AOD53"/>
      <c r="AOE53"/>
      <c r="AOF53"/>
      <c r="AOG53"/>
      <c r="AOH53"/>
      <c r="AOI53"/>
      <c r="AOJ53"/>
      <c r="AOK53"/>
      <c r="AOL53"/>
      <c r="AOM53"/>
      <c r="AON53"/>
      <c r="AOO53"/>
      <c r="AOP53"/>
      <c r="AOQ53"/>
      <c r="AOR53"/>
      <c r="AOS53"/>
      <c r="AOT53"/>
      <c r="AOU53"/>
      <c r="AOV53"/>
      <c r="AOW53"/>
      <c r="AOX53"/>
      <c r="AOY53"/>
      <c r="AOZ53"/>
      <c r="APA53"/>
      <c r="APB53"/>
      <c r="APC53"/>
      <c r="APD53"/>
      <c r="APE53"/>
      <c r="APF53"/>
      <c r="APG53"/>
      <c r="APH53"/>
      <c r="API53"/>
      <c r="APJ53"/>
      <c r="APK53"/>
      <c r="APL53"/>
      <c r="APM53"/>
      <c r="APN53"/>
      <c r="APO53"/>
      <c r="APP53"/>
      <c r="APQ53"/>
      <c r="APR53"/>
      <c r="APS53"/>
      <c r="APT53"/>
      <c r="APU53"/>
      <c r="APV53"/>
      <c r="APW53"/>
      <c r="APX53"/>
      <c r="APY53"/>
      <c r="APZ53"/>
      <c r="AQA53"/>
      <c r="AQB53"/>
      <c r="AQC53"/>
      <c r="AQD53"/>
      <c r="AQE53"/>
      <c r="AQF53"/>
      <c r="AQG53"/>
      <c r="AQH53"/>
      <c r="AQI53"/>
      <c r="AQJ53"/>
      <c r="AQK53"/>
      <c r="AQL53"/>
      <c r="AQM53"/>
      <c r="AQN53"/>
      <c r="AQO53"/>
      <c r="AQP53"/>
      <c r="AQQ53"/>
      <c r="AQR53"/>
      <c r="AQS53"/>
      <c r="AQT53"/>
      <c r="AQU53"/>
      <c r="AQV53"/>
      <c r="AQW53"/>
      <c r="AQX53"/>
      <c r="AQY53"/>
      <c r="AQZ53"/>
      <c r="ARA53"/>
      <c r="ARB53"/>
      <c r="ARC53"/>
      <c r="ARD53"/>
      <c r="ARE53"/>
      <c r="ARF53"/>
      <c r="ARG53"/>
      <c r="ARH53"/>
      <c r="ARI53"/>
      <c r="ARJ53"/>
      <c r="ARK53"/>
      <c r="ARL53"/>
      <c r="ARM53"/>
      <c r="ARN53"/>
      <c r="ARO53"/>
      <c r="ARP53"/>
      <c r="ARQ53"/>
      <c r="ARR53"/>
      <c r="ARS53"/>
      <c r="ART53"/>
      <c r="ARU53"/>
      <c r="ARV53"/>
      <c r="ARW53"/>
      <c r="ARX53"/>
      <c r="ARY53"/>
      <c r="ARZ53"/>
      <c r="ASA53"/>
      <c r="ASB53"/>
      <c r="ASC53"/>
      <c r="ASD53"/>
      <c r="ASE53"/>
      <c r="ASF53"/>
      <c r="ASG53"/>
      <c r="ASH53"/>
      <c r="ASI53"/>
      <c r="ASJ53"/>
      <c r="ASK53"/>
      <c r="ASL53"/>
      <c r="ASM53"/>
      <c r="ASN53"/>
      <c r="ASO53"/>
      <c r="ASP53"/>
      <c r="ASQ53"/>
      <c r="ASR53"/>
      <c r="ASS53"/>
      <c r="AST53"/>
      <c r="ASU53"/>
      <c r="ASV53"/>
      <c r="ASW53"/>
      <c r="ASX53"/>
      <c r="ASY53"/>
      <c r="ASZ53"/>
      <c r="ATA53"/>
      <c r="ATB53"/>
      <c r="ATC53"/>
      <c r="ATD53"/>
      <c r="ATE53"/>
      <c r="ATF53"/>
      <c r="ATG53"/>
      <c r="ATH53"/>
      <c r="ATI53"/>
      <c r="ATJ53"/>
      <c r="ATK53"/>
      <c r="ATL53"/>
      <c r="ATM53"/>
      <c r="ATN53"/>
      <c r="ATO53"/>
      <c r="ATP53"/>
      <c r="ATQ53"/>
      <c r="ATR53"/>
      <c r="ATS53"/>
      <c r="ATT53"/>
      <c r="ATU53"/>
      <c r="ATV53"/>
      <c r="ATW53"/>
      <c r="ATX53"/>
      <c r="ATY53"/>
      <c r="ATZ53"/>
      <c r="AUA53"/>
      <c r="AUB53"/>
      <c r="AUC53"/>
      <c r="AUD53"/>
      <c r="AUE53"/>
      <c r="AUF53"/>
      <c r="AUG53"/>
      <c r="AUH53"/>
      <c r="AUI53"/>
      <c r="AUJ53"/>
      <c r="AUK53"/>
      <c r="AUL53"/>
      <c r="AUM53"/>
      <c r="AUN53"/>
      <c r="AUO53"/>
      <c r="AUP53"/>
      <c r="AUQ53"/>
      <c r="AUR53"/>
      <c r="AUS53"/>
      <c r="AUT53"/>
      <c r="AUU53"/>
      <c r="AUV53"/>
      <c r="AUW53"/>
      <c r="AUX53"/>
      <c r="AUY53"/>
      <c r="AUZ53"/>
      <c r="AVA53"/>
      <c r="AVB53"/>
      <c r="AVC53"/>
      <c r="AVD53"/>
      <c r="AVE53"/>
      <c r="AVF53"/>
      <c r="AVG53"/>
      <c r="AVH53"/>
      <c r="AVI53"/>
      <c r="AVJ53"/>
      <c r="AVK53"/>
      <c r="AVL53"/>
      <c r="AVM53"/>
      <c r="AVN53"/>
      <c r="AVO53"/>
      <c r="AVP53"/>
      <c r="AVQ53"/>
      <c r="AVR53"/>
      <c r="AVS53"/>
      <c r="AVT53"/>
      <c r="AVU53"/>
      <c r="AVV53"/>
      <c r="AVW53"/>
      <c r="AVX53"/>
      <c r="AVY53"/>
      <c r="AVZ53"/>
      <c r="AWA53"/>
      <c r="AWB53"/>
      <c r="AWC53"/>
      <c r="AWD53"/>
      <c r="AWE53"/>
      <c r="AWF53"/>
      <c r="AWG53"/>
      <c r="AWH53"/>
      <c r="AWI53"/>
      <c r="AWJ53"/>
      <c r="AWK53"/>
      <c r="AWL53"/>
      <c r="AWM53"/>
      <c r="AWN53"/>
      <c r="AWO53"/>
      <c r="AWP53"/>
      <c r="AWQ53"/>
      <c r="AWR53"/>
      <c r="AWS53"/>
      <c r="AWT53"/>
      <c r="AWU53"/>
      <c r="AWV53"/>
      <c r="AWW53"/>
      <c r="AWX53"/>
      <c r="AWY53"/>
      <c r="AWZ53"/>
      <c r="AXA53"/>
      <c r="AXB53"/>
      <c r="AXC53"/>
      <c r="AXD53"/>
      <c r="AXE53"/>
      <c r="AXF53"/>
      <c r="AXG53"/>
      <c r="AXH53"/>
      <c r="AXI53"/>
      <c r="AXJ53"/>
      <c r="AXK53"/>
      <c r="AXL53"/>
      <c r="AXM53"/>
      <c r="AXN53"/>
      <c r="AXO53"/>
      <c r="AXP53"/>
      <c r="AXQ53"/>
      <c r="AXR53"/>
      <c r="AXS53"/>
      <c r="AXT53"/>
      <c r="AXU53"/>
      <c r="AXV53"/>
      <c r="AXW53"/>
      <c r="AXX53"/>
      <c r="AXY53"/>
      <c r="AXZ53"/>
      <c r="AYA53"/>
      <c r="AYB53"/>
      <c r="AYC53"/>
      <c r="AYD53"/>
      <c r="AYE53"/>
      <c r="AYF53"/>
      <c r="AYG53"/>
      <c r="AYH53"/>
      <c r="AYI53"/>
      <c r="AYJ53"/>
      <c r="AYK53"/>
      <c r="AYL53"/>
      <c r="AYM53"/>
      <c r="AYN53"/>
      <c r="AYO53"/>
      <c r="AYP53"/>
      <c r="AYQ53"/>
      <c r="AYR53"/>
      <c r="AYS53"/>
      <c r="AYT53"/>
      <c r="AYU53"/>
      <c r="AYV53"/>
      <c r="AYW53"/>
      <c r="AYX53"/>
      <c r="AYY53"/>
      <c r="AYZ53"/>
      <c r="AZA53"/>
      <c r="AZB53"/>
      <c r="AZC53"/>
      <c r="AZD53"/>
      <c r="AZE53"/>
      <c r="AZF53"/>
      <c r="AZG53"/>
      <c r="AZH53"/>
      <c r="AZI53"/>
      <c r="AZJ53"/>
      <c r="AZK53"/>
      <c r="AZL53"/>
      <c r="AZM53"/>
      <c r="AZN53"/>
      <c r="AZO53"/>
      <c r="AZP53"/>
      <c r="AZQ53"/>
      <c r="AZR53"/>
      <c r="AZS53"/>
      <c r="AZT53"/>
      <c r="AZU53"/>
      <c r="AZV53"/>
      <c r="AZW53"/>
      <c r="AZX53"/>
      <c r="AZY53"/>
      <c r="AZZ53"/>
      <c r="BAA53"/>
      <c r="BAB53"/>
      <c r="BAC53"/>
      <c r="BAD53"/>
      <c r="BAE53"/>
      <c r="BAF53"/>
      <c r="BAG53"/>
      <c r="BAH53"/>
      <c r="BAI53"/>
      <c r="BAJ53"/>
      <c r="BAK53"/>
      <c r="BAL53"/>
      <c r="BAM53"/>
      <c r="BAN53"/>
      <c r="BAO53"/>
      <c r="BAP53"/>
      <c r="BAQ53"/>
      <c r="BAR53"/>
      <c r="BAS53"/>
      <c r="BAT53"/>
      <c r="BAU53"/>
      <c r="BAV53"/>
      <c r="BAW53"/>
      <c r="BAX53"/>
      <c r="BAY53"/>
      <c r="BAZ53"/>
      <c r="BBA53"/>
      <c r="BBB53"/>
      <c r="BBC53"/>
      <c r="BBD53"/>
      <c r="BBE53"/>
      <c r="BBF53"/>
      <c r="BBG53"/>
      <c r="BBH53"/>
      <c r="BBI53"/>
      <c r="BBJ53"/>
      <c r="BBK53"/>
      <c r="BBL53"/>
      <c r="BBM53"/>
      <c r="BBN53"/>
      <c r="BBO53"/>
      <c r="BBP53"/>
      <c r="BBQ53"/>
      <c r="BBR53"/>
      <c r="BBS53"/>
      <c r="BBT53"/>
      <c r="BBU53"/>
      <c r="BBV53"/>
      <c r="BBW53"/>
      <c r="BBX53"/>
      <c r="BBY53"/>
      <c r="BBZ53"/>
      <c r="BCA53"/>
      <c r="BCB53"/>
      <c r="BCC53"/>
      <c r="BCD53"/>
      <c r="BCE53"/>
      <c r="BCF53"/>
      <c r="BCG53"/>
      <c r="BCH53"/>
      <c r="BCI53"/>
      <c r="BCJ53"/>
      <c r="BCK53"/>
      <c r="BCL53"/>
      <c r="BCM53"/>
      <c r="BCN53"/>
      <c r="BCO53"/>
      <c r="BCP53"/>
      <c r="BCQ53"/>
      <c r="BCR53"/>
      <c r="BCS53"/>
      <c r="BCT53"/>
      <c r="BCU53"/>
      <c r="BCV53"/>
      <c r="BCW53"/>
      <c r="BCX53"/>
      <c r="BCY53"/>
      <c r="BCZ53"/>
      <c r="BDA53"/>
      <c r="BDB53"/>
      <c r="BDC53"/>
      <c r="BDD53"/>
      <c r="BDE53"/>
      <c r="BDF53"/>
      <c r="BDG53"/>
      <c r="BDH53"/>
      <c r="BDI53"/>
      <c r="BDJ53"/>
      <c r="BDK53"/>
      <c r="BDL53"/>
      <c r="BDM53"/>
      <c r="BDN53"/>
      <c r="BDO53"/>
      <c r="BDP53"/>
      <c r="BDQ53"/>
      <c r="BDR53"/>
      <c r="BDS53"/>
      <c r="BDT53"/>
      <c r="BDU53"/>
      <c r="BDV53"/>
      <c r="BDW53"/>
      <c r="BDX53"/>
      <c r="BDY53"/>
      <c r="BDZ53"/>
      <c r="BEA53"/>
      <c r="BEB53"/>
      <c r="BEC53"/>
      <c r="BED53"/>
      <c r="BEE53"/>
      <c r="BEF53"/>
      <c r="BEG53"/>
      <c r="BEH53"/>
      <c r="BEI53"/>
      <c r="BEJ53"/>
      <c r="BEK53"/>
      <c r="BEL53"/>
      <c r="BEM53"/>
      <c r="BEN53"/>
      <c r="BEO53"/>
      <c r="BEP53"/>
      <c r="BEQ53"/>
      <c r="BER53"/>
      <c r="BES53"/>
      <c r="BET53"/>
      <c r="BEU53"/>
      <c r="BEV53"/>
      <c r="BEW53"/>
      <c r="BEX53"/>
      <c r="BEY53"/>
      <c r="BEZ53"/>
      <c r="BFA53"/>
      <c r="BFB53"/>
      <c r="BFC53"/>
      <c r="BFD53"/>
      <c r="BFE53"/>
      <c r="BFF53"/>
      <c r="BFG53"/>
      <c r="BFH53"/>
      <c r="BFI53"/>
      <c r="BFJ53"/>
      <c r="BFK53"/>
      <c r="BFL53"/>
      <c r="BFM53"/>
      <c r="BFN53"/>
      <c r="BFO53"/>
      <c r="BFP53"/>
      <c r="BFQ53"/>
      <c r="BFR53"/>
      <c r="BFS53"/>
      <c r="BFT53"/>
      <c r="BFU53"/>
      <c r="BFV53"/>
      <c r="BFW53"/>
      <c r="BFX53"/>
      <c r="BFY53"/>
      <c r="BFZ53"/>
      <c r="BGA53"/>
      <c r="BGB53"/>
      <c r="BGC53"/>
      <c r="BGD53"/>
      <c r="BGE53"/>
      <c r="BGF53"/>
      <c r="BGG53"/>
      <c r="BGH53"/>
      <c r="BGI53"/>
      <c r="BGJ53"/>
      <c r="BGK53"/>
      <c r="BGL53"/>
      <c r="BGM53"/>
      <c r="BGN53"/>
      <c r="BGO53"/>
      <c r="BGP53"/>
      <c r="BGQ53"/>
      <c r="BGR53"/>
      <c r="BGS53"/>
      <c r="BGT53"/>
      <c r="BGU53"/>
      <c r="BGV53"/>
      <c r="BGW53"/>
      <c r="BGX53"/>
      <c r="BGY53"/>
      <c r="BGZ53"/>
      <c r="BHA53"/>
      <c r="BHB53"/>
      <c r="BHC53"/>
      <c r="BHD53"/>
      <c r="BHE53"/>
      <c r="BHF53"/>
      <c r="BHG53"/>
      <c r="BHH53"/>
      <c r="BHI53"/>
      <c r="BHJ53"/>
      <c r="BHK53"/>
      <c r="BHL53"/>
      <c r="BHM53"/>
      <c r="BHN53"/>
      <c r="BHO53"/>
      <c r="BHP53"/>
      <c r="BHQ53"/>
      <c r="BHR53"/>
      <c r="BHS53"/>
      <c r="BHT53"/>
      <c r="BHU53"/>
      <c r="BHV53"/>
      <c r="BHW53"/>
      <c r="BHX53"/>
      <c r="BHY53"/>
      <c r="BHZ53"/>
      <c r="BIA53"/>
      <c r="BIB53"/>
      <c r="BIC53"/>
      <c r="BID53"/>
      <c r="BIE53"/>
      <c r="BIF53"/>
      <c r="BIG53"/>
      <c r="BIH53"/>
      <c r="BII53"/>
      <c r="BIJ53"/>
      <c r="BIK53"/>
      <c r="BIL53"/>
      <c r="BIM53"/>
      <c r="BIN53"/>
      <c r="BIO53"/>
      <c r="BIP53"/>
      <c r="BIQ53"/>
      <c r="BIR53"/>
      <c r="BIS53"/>
      <c r="BIT53"/>
      <c r="BIU53"/>
      <c r="BIV53"/>
      <c r="BIW53"/>
      <c r="BIX53"/>
      <c r="BIY53"/>
      <c r="BIZ53"/>
      <c r="BJA53"/>
      <c r="BJB53"/>
      <c r="BJC53"/>
      <c r="BJD53"/>
      <c r="BJE53"/>
      <c r="BJF53"/>
      <c r="BJG53"/>
      <c r="BJH53"/>
      <c r="BJI53"/>
    </row>
    <row r="54" spans="1:1621" ht="17.399999999999999" x14ac:dyDescent="0.3">
      <c r="A54" s="312" t="s">
        <v>320</v>
      </c>
      <c r="B54" s="601">
        <f>GETPIVOTDATA("Sum of WholeTime Operational",StaffingPivot!$A$22,"Year",A54)</f>
        <v>3528.43</v>
      </c>
      <c r="C54" s="601">
        <f>GETPIVOTDATA("Sum of Retained Duty System",StaffingPivot!$A$22,"Year",A54)</f>
        <v>2375.48</v>
      </c>
      <c r="D54" s="609">
        <f>GETPIVOTDATA("Sum of RDS Fulltime",StaffingPivot!$A$22,"Year",A54)</f>
        <v>53</v>
      </c>
      <c r="E54" s="601">
        <f>GETPIVOTDATA("Sum of Control",StaffingPivot!$A$22,"Year",A54)</f>
        <v>170.46</v>
      </c>
      <c r="F54" s="601">
        <f>GETPIVOTDATA("Sum of Support",StaffingPivot!$A$22,"Year",A54)</f>
        <v>862.45999999999992</v>
      </c>
      <c r="G54" s="602">
        <f t="shared" si="8"/>
        <v>6989.83</v>
      </c>
      <c r="I54" s="19"/>
      <c r="J54" s="15"/>
      <c r="K54" s="17"/>
      <c r="U54" s="395"/>
    </row>
    <row r="55" spans="1:1621" ht="17.399999999999999" x14ac:dyDescent="0.3">
      <c r="A55" s="312" t="s">
        <v>325</v>
      </c>
      <c r="B55" s="601">
        <f>GETPIVOTDATA("Sum of WholeTime Operational",StaffingPivot!$A$22,"Year",A55)</f>
        <v>3487.43</v>
      </c>
      <c r="C55" s="601">
        <f>GETPIVOTDATA("Sum of Retained Duty System",StaffingPivot!$A$22,"Year",A55)</f>
        <v>2333.12</v>
      </c>
      <c r="D55" s="609">
        <f>GETPIVOTDATA("Sum of RDS Fulltime",StaffingPivot!$A$22,"Year",A55)</f>
        <v>55</v>
      </c>
      <c r="E55" s="601">
        <f>GETPIVOTDATA("Sum of Control",StaffingPivot!$A$22,"Year",A55)</f>
        <v>168.06</v>
      </c>
      <c r="F55" s="601">
        <f>GETPIVOTDATA("Sum of Support",StaffingPivot!$A$22,"Year",A55)</f>
        <v>850.35</v>
      </c>
      <c r="G55" s="602">
        <f t="shared" si="8"/>
        <v>6893.96</v>
      </c>
      <c r="I55" s="15"/>
      <c r="J55" s="15"/>
      <c r="K55" s="17"/>
      <c r="U55" s="395"/>
    </row>
    <row r="56" spans="1:1621" ht="15" customHeight="1" x14ac:dyDescent="0.3">
      <c r="A56" s="358" t="s">
        <v>326</v>
      </c>
      <c r="B56" s="973">
        <f>GETPIVOTDATA("Sum of WholeTime Operational",StaffingPivot!$A$22,"Year",A56)</f>
        <v>3419.08</v>
      </c>
      <c r="C56" s="973">
        <f>GETPIVOTDATA("Sum of Retained Duty System",StaffingPivot!$A$22,"Year",A56)</f>
        <v>2289.77</v>
      </c>
      <c r="D56" s="609">
        <f>GETPIVOTDATA("Sum of RDS Fulltime",StaffingPivot!$A$22,"Year",A56)</f>
        <v>55</v>
      </c>
      <c r="E56" s="973">
        <f>GETPIVOTDATA("Sum of Control",StaffingPivot!$A$22,"Year",A56)</f>
        <v>166.21</v>
      </c>
      <c r="F56" s="973">
        <f>GETPIVOTDATA("Sum of Support",StaffingPivot!$A$22,"Year",A56)</f>
        <v>829.4</v>
      </c>
      <c r="G56" s="974">
        <f>SUM(B56:F56)</f>
        <v>6759.46</v>
      </c>
      <c r="I56" s="22"/>
      <c r="J56" s="22"/>
      <c r="K56" s="7"/>
      <c r="U56" s="395"/>
    </row>
    <row r="57" spans="1:1621" ht="15" customHeight="1" x14ac:dyDescent="0.3">
      <c r="A57" s="358" t="s">
        <v>328</v>
      </c>
      <c r="B57" s="973">
        <f>GETPIVOTDATA("Sum of WholeTime Operational",StaffingPivot!$A$22,"Year",A57)</f>
        <v>3427.08</v>
      </c>
      <c r="C57" s="973">
        <f>GETPIVOTDATA("Sum of Retained Duty System",StaffingPivot!$A$22,"Year",A57)</f>
        <v>2293.9200000000005</v>
      </c>
      <c r="D57" s="609">
        <f>GETPIVOTDATA("Sum of RDS Fulltime",StaffingPivot!$A$22,"Year",A57)</f>
        <v>57</v>
      </c>
      <c r="E57" s="973">
        <f>GETPIVOTDATA("Sum of Control",StaffingPivot!$A$22,"Year",A57)</f>
        <v>167.69</v>
      </c>
      <c r="F57" s="973">
        <f>GETPIVOTDATA("Sum of Support",StaffingPivot!$A$22,"Year",A57)</f>
        <v>853.58999999999992</v>
      </c>
      <c r="G57" s="974">
        <f>SUM(B57:F57)</f>
        <v>6799.28</v>
      </c>
      <c r="I57" s="22"/>
      <c r="J57" s="22"/>
      <c r="K57" s="7"/>
      <c r="U57" s="395"/>
    </row>
    <row r="58" spans="1:1621" ht="15" customHeight="1" x14ac:dyDescent="0.3">
      <c r="A58" s="1003" t="s">
        <v>412</v>
      </c>
      <c r="B58" s="1004">
        <f>GETPIVOTDATA("Sum of WholeTime Operational",StaffingPivot!$A$22,"Year",A58)</f>
        <v>3427.39</v>
      </c>
      <c r="C58" s="1004">
        <f>GETPIVOTDATA("Sum of Retained Duty System",StaffingPivot!$A$22,"Year",A58)</f>
        <v>2287.2800000000016</v>
      </c>
      <c r="D58" s="818">
        <f>GETPIVOTDATA("Sum of RDS Fulltime",StaffingPivot!$A$22,"Year",A58)</f>
        <v>58</v>
      </c>
      <c r="E58" s="1004">
        <f>GETPIVOTDATA("Sum of Control",StaffingPivot!$A$22,"Year",A58)</f>
        <v>171.70000000000002</v>
      </c>
      <c r="F58" s="1004">
        <f>GETPIVOTDATA("Sum of Support",StaffingPivot!$A$22,"Year",A58)</f>
        <v>852.00999999999988</v>
      </c>
      <c r="G58" s="1005">
        <f>SUM(B58:F58)</f>
        <v>6796.3800000000019</v>
      </c>
      <c r="I58" s="22"/>
      <c r="J58" s="22"/>
      <c r="K58" s="7"/>
      <c r="U58" s="395"/>
    </row>
    <row r="59" spans="1:1621" ht="15" customHeight="1" x14ac:dyDescent="0.3">
      <c r="A59" s="6"/>
      <c r="B59" s="621"/>
      <c r="C59" s="621"/>
      <c r="D59" s="621"/>
      <c r="E59" s="621"/>
      <c r="F59" s="621"/>
      <c r="G59" s="18"/>
      <c r="I59" s="22"/>
      <c r="J59" s="22"/>
      <c r="K59" s="7"/>
      <c r="U59" s="395"/>
    </row>
    <row r="60" spans="1:1621" ht="15" customHeight="1" x14ac:dyDescent="0.3">
      <c r="A60" s="649" t="str">
        <f>"One Year Change "&amp; A57 &amp;" to " &amp; A58</f>
        <v>One Year Change 2024-25 to 2025-26</v>
      </c>
      <c r="B60" s="649"/>
      <c r="C60" s="649"/>
      <c r="D60" s="649"/>
      <c r="E60" s="20"/>
      <c r="F60" s="20"/>
      <c r="G60" s="20"/>
      <c r="I60" s="270"/>
      <c r="J60" s="270"/>
      <c r="K60" s="7"/>
      <c r="U60" s="395"/>
    </row>
    <row r="61" spans="1:1621" ht="15" customHeight="1" x14ac:dyDescent="0.3">
      <c r="A61" s="21" t="s">
        <v>346</v>
      </c>
      <c r="B61" s="9">
        <f t="shared" ref="B61:G61" si="9">B58-B57</f>
        <v>0.30999999999994543</v>
      </c>
      <c r="C61" s="9">
        <f t="shared" si="9"/>
        <v>-6.6399999999989632</v>
      </c>
      <c r="D61" s="9">
        <f t="shared" si="9"/>
        <v>1</v>
      </c>
      <c r="E61" s="9">
        <f t="shared" si="9"/>
        <v>4.0100000000000193</v>
      </c>
      <c r="F61" s="9">
        <f t="shared" si="9"/>
        <v>-1.5800000000000409</v>
      </c>
      <c r="G61" s="9">
        <f t="shared" si="9"/>
        <v>-2.8999999999978172</v>
      </c>
      <c r="I61" s="15"/>
      <c r="J61" s="24"/>
      <c r="K61" s="7"/>
      <c r="U61" s="395"/>
    </row>
    <row r="62" spans="1:1621" ht="15" customHeight="1" thickBot="1" x14ac:dyDescent="0.35">
      <c r="A62" s="10" t="s">
        <v>94</v>
      </c>
      <c r="B62" s="269">
        <f>B61/B56</f>
        <v>9.0667664985886686E-5</v>
      </c>
      <c r="C62" s="269">
        <f t="shared" ref="C62:G62" si="10">C61/C56</f>
        <v>-2.8998545705459342E-3</v>
      </c>
      <c r="D62" s="269">
        <f t="shared" si="10"/>
        <v>1.8181818181818181E-2</v>
      </c>
      <c r="E62" s="269">
        <f t="shared" si="10"/>
        <v>2.4126105529149986E-2</v>
      </c>
      <c r="F62" s="269">
        <f t="shared" si="10"/>
        <v>-1.9049915601640234E-3</v>
      </c>
      <c r="G62" s="269">
        <f t="shared" si="10"/>
        <v>-4.2902835433567433E-4</v>
      </c>
      <c r="I62" s="15"/>
      <c r="J62" s="24"/>
      <c r="K62" s="15"/>
      <c r="U62" s="395"/>
    </row>
    <row r="63" spans="1:1621" ht="15" customHeight="1" x14ac:dyDescent="0.3">
      <c r="A63" s="23"/>
      <c r="B63" s="15"/>
      <c r="C63" s="15"/>
      <c r="D63" s="15"/>
      <c r="E63" s="15"/>
      <c r="F63" s="15"/>
      <c r="G63" s="15"/>
      <c r="I63" s="15"/>
      <c r="J63" s="24"/>
      <c r="K63" s="15"/>
      <c r="U63" s="395"/>
    </row>
    <row r="64" spans="1:1621" ht="15" customHeight="1" x14ac:dyDescent="0.3">
      <c r="A64" s="649" t="str">
        <f>"Five Year Change "&amp;A53&amp;" to " &amp; A58</f>
        <v>Five Year Change 2020-21 to 2025-26</v>
      </c>
      <c r="B64" s="649"/>
      <c r="C64" s="649"/>
      <c r="D64" s="649"/>
      <c r="E64" s="20"/>
      <c r="F64" s="20"/>
      <c r="G64" s="20"/>
      <c r="I64" s="15"/>
      <c r="J64" s="24"/>
      <c r="K64" s="15"/>
      <c r="U64" s="395"/>
    </row>
    <row r="65" spans="1:21" ht="15" customHeight="1" x14ac:dyDescent="0.3">
      <c r="A65" s="21" t="s">
        <v>346</v>
      </c>
      <c r="B65" s="9">
        <f t="shared" ref="B65:G65" si="11">B58-B53</f>
        <v>-151.03999999999996</v>
      </c>
      <c r="C65" s="9">
        <f t="shared" si="11"/>
        <v>-195.19999999999845</v>
      </c>
      <c r="D65" s="9">
        <f t="shared" si="11"/>
        <v>4</v>
      </c>
      <c r="E65" s="9">
        <f t="shared" si="11"/>
        <v>-4.3599999999999852</v>
      </c>
      <c r="F65" s="9">
        <f t="shared" si="11"/>
        <v>65.719999999999914</v>
      </c>
      <c r="G65" s="9">
        <f t="shared" si="11"/>
        <v>-280.87999999999829</v>
      </c>
      <c r="H65" s="15"/>
      <c r="I65" s="15"/>
      <c r="J65" s="24"/>
      <c r="K65" s="24"/>
      <c r="U65" s="395"/>
    </row>
    <row r="66" spans="1:21" ht="15" customHeight="1" thickBot="1" x14ac:dyDescent="0.35">
      <c r="A66" s="10" t="s">
        <v>94</v>
      </c>
      <c r="B66" s="269">
        <f>B65/B52</f>
        <v>-4.1563816584249E-2</v>
      </c>
      <c r="C66" s="269">
        <f t="shared" ref="C66:G66" si="12">C65/C52</f>
        <v>-7.6497121560666084E-2</v>
      </c>
      <c r="D66" s="269">
        <f t="shared" si="12"/>
        <v>0.1111111111111111</v>
      </c>
      <c r="E66" s="269">
        <f t="shared" si="12"/>
        <v>-2.3717565141706934E-2</v>
      </c>
      <c r="F66" s="269">
        <f t="shared" si="12"/>
        <v>8.5975928833071577E-2</v>
      </c>
      <c r="G66" s="269">
        <f t="shared" si="12"/>
        <v>-3.9174938527648029E-2</v>
      </c>
      <c r="K66" s="24"/>
      <c r="U66" s="395"/>
    </row>
    <row r="67" spans="1:21" ht="15" customHeight="1" x14ac:dyDescent="0.3">
      <c r="A67" s="23"/>
      <c r="B67" s="15"/>
      <c r="C67" s="15"/>
      <c r="D67" s="15"/>
      <c r="E67" s="15"/>
      <c r="F67" s="15"/>
      <c r="G67" s="7"/>
      <c r="H67" s="648"/>
      <c r="I67" s="648"/>
      <c r="J67" s="648"/>
      <c r="K67" s="24"/>
      <c r="U67" s="395"/>
    </row>
    <row r="68" spans="1:21" ht="15" customHeight="1" x14ac:dyDescent="0.3">
      <c r="A68" s="312" t="s">
        <v>329</v>
      </c>
      <c r="H68" s="648"/>
      <c r="I68" s="648"/>
      <c r="J68" s="648"/>
      <c r="K68" s="24"/>
      <c r="U68" s="395"/>
    </row>
    <row r="69" spans="1:21" ht="17.399999999999999" customHeight="1" x14ac:dyDescent="0.3">
      <c r="A69" s="1042" t="s">
        <v>524</v>
      </c>
      <c r="B69" s="1042"/>
      <c r="C69" s="1042"/>
      <c r="D69" s="1042"/>
      <c r="E69" s="1042"/>
      <c r="F69" s="1042"/>
      <c r="G69" s="1042"/>
      <c r="H69" s="1042"/>
      <c r="K69" s="24"/>
      <c r="U69" s="395"/>
    </row>
    <row r="70" spans="1:21" x14ac:dyDescent="0.3">
      <c r="A70" t="s">
        <v>525</v>
      </c>
      <c r="K70" s="24"/>
      <c r="L70" s="395"/>
      <c r="M70" s="395"/>
      <c r="N70" s="395"/>
      <c r="O70" s="395"/>
      <c r="P70" s="395"/>
      <c r="Q70" s="395"/>
      <c r="R70" s="395"/>
      <c r="S70" s="395"/>
      <c r="T70" s="395"/>
      <c r="U70" s="395"/>
    </row>
    <row r="71" spans="1:21" ht="15" customHeight="1" x14ac:dyDescent="0.3">
      <c r="A71" s="369" t="s">
        <v>526</v>
      </c>
      <c r="E71" s="369"/>
      <c r="H71" s="570"/>
      <c r="I71" s="570"/>
      <c r="J71" s="570"/>
      <c r="K71" s="24"/>
      <c r="L71" s="395"/>
      <c r="M71" s="395"/>
      <c r="N71" s="395"/>
      <c r="O71" s="395"/>
      <c r="P71" s="395"/>
      <c r="Q71" s="395"/>
      <c r="R71" s="395"/>
      <c r="S71" s="395"/>
      <c r="T71" s="395"/>
      <c r="U71" s="395"/>
    </row>
    <row r="72" spans="1:21" ht="30.6" customHeight="1" x14ac:dyDescent="0.3">
      <c r="A72" s="1040" t="s">
        <v>521</v>
      </c>
      <c r="B72" s="1040"/>
      <c r="C72" s="1040"/>
      <c r="D72" s="1040"/>
      <c r="E72" s="1040"/>
      <c r="F72" s="1040"/>
      <c r="G72" s="1040"/>
      <c r="K72" s="15"/>
      <c r="L72" s="395"/>
      <c r="M72" s="395"/>
      <c r="N72" s="395"/>
      <c r="O72" s="395"/>
      <c r="P72" s="395"/>
      <c r="Q72" s="395"/>
      <c r="R72" s="395"/>
      <c r="S72" s="395"/>
      <c r="T72" s="395"/>
      <c r="U72" s="395"/>
    </row>
    <row r="73" spans="1:21" x14ac:dyDescent="0.3">
      <c r="K73" s="15"/>
      <c r="L73" s="395"/>
      <c r="M73" s="395"/>
      <c r="N73" s="395"/>
      <c r="O73" s="395"/>
      <c r="P73" s="395"/>
      <c r="Q73" s="395"/>
      <c r="R73" s="395"/>
      <c r="S73" s="395"/>
      <c r="T73" s="395"/>
      <c r="U73" s="395"/>
    </row>
    <row r="74" spans="1:21" x14ac:dyDescent="0.3">
      <c r="K74" s="24"/>
      <c r="L74" s="395"/>
      <c r="M74" s="395"/>
      <c r="N74" s="395"/>
      <c r="O74" s="395"/>
      <c r="P74" s="395"/>
      <c r="Q74" s="395"/>
      <c r="R74" s="395"/>
      <c r="S74" s="395"/>
      <c r="T74" s="395"/>
      <c r="U74" s="395"/>
    </row>
    <row r="75" spans="1:21" ht="14.1" customHeight="1" x14ac:dyDescent="0.3">
      <c r="K75" s="24"/>
      <c r="L75" s="395"/>
      <c r="M75" s="395"/>
      <c r="N75" s="395"/>
      <c r="O75" s="395"/>
      <c r="P75" s="395"/>
      <c r="Q75" s="395"/>
      <c r="R75" s="395"/>
      <c r="S75" s="395"/>
      <c r="T75" s="395"/>
      <c r="U75" s="395"/>
    </row>
    <row r="76" spans="1:21" ht="15.75" customHeight="1" x14ac:dyDescent="0.3">
      <c r="K76" s="15"/>
      <c r="L76" s="395"/>
      <c r="M76" s="395"/>
      <c r="N76" s="395"/>
      <c r="O76" s="395"/>
      <c r="P76" s="395"/>
      <c r="Q76" s="395"/>
      <c r="R76" s="395"/>
      <c r="S76" s="395"/>
      <c r="T76" s="395"/>
      <c r="U76" s="395"/>
    </row>
    <row r="77" spans="1:21" x14ac:dyDescent="0.3">
      <c r="K77" s="15"/>
      <c r="L77" s="395"/>
      <c r="M77" s="395"/>
      <c r="N77" s="395"/>
      <c r="O77" s="395"/>
      <c r="P77" s="395"/>
      <c r="Q77" s="395"/>
      <c r="R77" s="395"/>
      <c r="S77" s="395"/>
      <c r="T77" s="395"/>
      <c r="U77" s="395"/>
    </row>
    <row r="78" spans="1:21" x14ac:dyDescent="0.3">
      <c r="L78" s="395"/>
      <c r="M78" s="395"/>
      <c r="N78" s="395"/>
      <c r="O78" s="395"/>
      <c r="P78" s="395"/>
      <c r="Q78" s="395"/>
      <c r="R78" s="395"/>
      <c r="S78" s="395"/>
      <c r="T78" s="395"/>
      <c r="U78" s="395"/>
    </row>
    <row r="79" spans="1:21" x14ac:dyDescent="0.3">
      <c r="L79" s="395"/>
      <c r="M79" s="395"/>
      <c r="N79" s="395"/>
      <c r="O79" s="395"/>
      <c r="P79" s="395"/>
      <c r="Q79" s="395"/>
      <c r="R79" s="395"/>
      <c r="S79" s="395"/>
      <c r="T79" s="395"/>
      <c r="U79" s="395"/>
    </row>
    <row r="80" spans="1:21" x14ac:dyDescent="0.3">
      <c r="L80" s="395"/>
      <c r="M80" s="395"/>
      <c r="N80" s="395"/>
      <c r="O80" s="395"/>
      <c r="P80" s="395"/>
      <c r="Q80" s="395"/>
      <c r="R80" s="395"/>
      <c r="S80" s="395"/>
      <c r="T80" s="395"/>
      <c r="U80" s="395"/>
    </row>
    <row r="81" spans="12:21" x14ac:dyDescent="0.3">
      <c r="L81" s="395"/>
      <c r="M81" s="395"/>
      <c r="N81" s="395"/>
      <c r="O81" s="395"/>
      <c r="P81" s="395"/>
      <c r="Q81" s="395"/>
      <c r="R81" s="395"/>
      <c r="S81" s="395"/>
      <c r="T81" s="395"/>
      <c r="U81" s="395"/>
    </row>
    <row r="82" spans="12:21" x14ac:dyDescent="0.3">
      <c r="L82" s="395"/>
      <c r="M82" s="395"/>
      <c r="N82" s="395"/>
      <c r="O82" s="395"/>
      <c r="P82" s="395"/>
      <c r="Q82" s="395"/>
      <c r="R82" s="395"/>
      <c r="S82" s="395"/>
      <c r="T82" s="395"/>
      <c r="U82" s="395"/>
    </row>
  </sheetData>
  <sheetProtection algorithmName="SHA-512" hashValue="z49QRP/NwrLkvWzAo6Jsn84OQEedJnw6M4txm2pVwQPkVqVRWWRxr3yEpBkpUKOYTOCfeuXi/ipOS4RZgQQ1mw==" saltValue="bSVDhXMEKp2DmE9p7wVqqw==" spinCount="100000" sheet="1" formatCells="0" sort="0" autoFilter="0" pivotTables="0"/>
  <mergeCells count="1824">
    <mergeCell ref="A69:H69"/>
    <mergeCell ref="A36:D36"/>
    <mergeCell ref="GR46:GZ46"/>
    <mergeCell ref="HA46:HI46"/>
    <mergeCell ref="HJ46:HR46"/>
    <mergeCell ref="CN46:CV46"/>
    <mergeCell ref="CW46:DE46"/>
    <mergeCell ref="DF46:DN46"/>
    <mergeCell ref="DO46:DW46"/>
    <mergeCell ref="DX46:EF46"/>
    <mergeCell ref="AU46:BC46"/>
    <mergeCell ref="BD46:BL46"/>
    <mergeCell ref="BM46:BU46"/>
    <mergeCell ref="BV46:CD46"/>
    <mergeCell ref="CE46:CM46"/>
    <mergeCell ref="A1:J1"/>
    <mergeCell ref="K46:S46"/>
    <mergeCell ref="T46:AB46"/>
    <mergeCell ref="AC46:AK46"/>
    <mergeCell ref="AL46:AT46"/>
    <mergeCell ref="A35:G35"/>
    <mergeCell ref="OQ46:OY46"/>
    <mergeCell ref="OZ46:PH46"/>
    <mergeCell ref="PI46:PQ46"/>
    <mergeCell ref="PR46:PZ46"/>
    <mergeCell ref="QA46:QI46"/>
    <mergeCell ref="MX46:NF46"/>
    <mergeCell ref="NG46:NO46"/>
    <mergeCell ref="NP46:NX46"/>
    <mergeCell ref="NY46:OG46"/>
    <mergeCell ref="OH46:OP46"/>
    <mergeCell ref="LE46:LM46"/>
    <mergeCell ref="EG46:EO46"/>
    <mergeCell ref="EP46:EX46"/>
    <mergeCell ref="EY46:FG46"/>
    <mergeCell ref="FH46:FP46"/>
    <mergeCell ref="FQ46:FY46"/>
    <mergeCell ref="LN46:LV46"/>
    <mergeCell ref="LW46:ME46"/>
    <mergeCell ref="MF46:MN46"/>
    <mergeCell ref="MO46:MW46"/>
    <mergeCell ref="JL46:JT46"/>
    <mergeCell ref="JU46:KC46"/>
    <mergeCell ref="KD46:KL46"/>
    <mergeCell ref="KM46:KU46"/>
    <mergeCell ref="KV46:LD46"/>
    <mergeCell ref="HS46:IA46"/>
    <mergeCell ref="IB46:IJ46"/>
    <mergeCell ref="IK46:IS46"/>
    <mergeCell ref="IT46:JB46"/>
    <mergeCell ref="JC46:JK46"/>
    <mergeCell ref="FZ46:GH46"/>
    <mergeCell ref="GI46:GQ46"/>
    <mergeCell ref="VO46:VW46"/>
    <mergeCell ref="VX46:WF46"/>
    <mergeCell ref="WG46:WO46"/>
    <mergeCell ref="WP46:WX46"/>
    <mergeCell ref="WY46:XG46"/>
    <mergeCell ref="TV46:UD46"/>
    <mergeCell ref="UE46:UM46"/>
    <mergeCell ref="UN46:UV46"/>
    <mergeCell ref="UW46:VE46"/>
    <mergeCell ref="VF46:VN46"/>
    <mergeCell ref="SC46:SK46"/>
    <mergeCell ref="SL46:ST46"/>
    <mergeCell ref="SU46:TC46"/>
    <mergeCell ref="TD46:TL46"/>
    <mergeCell ref="TM46:TU46"/>
    <mergeCell ref="QJ46:QR46"/>
    <mergeCell ref="QS46:RA46"/>
    <mergeCell ref="RB46:RJ46"/>
    <mergeCell ref="RK46:RS46"/>
    <mergeCell ref="RT46:SB46"/>
    <mergeCell ref="ACM46:ACU46"/>
    <mergeCell ref="ACV46:ADD46"/>
    <mergeCell ref="ADE46:ADM46"/>
    <mergeCell ref="ADN46:ADV46"/>
    <mergeCell ref="ADW46:AEE46"/>
    <mergeCell ref="AAT46:ABB46"/>
    <mergeCell ref="ABC46:ABK46"/>
    <mergeCell ref="ABL46:ABT46"/>
    <mergeCell ref="ABU46:ACC46"/>
    <mergeCell ref="ACD46:ACL46"/>
    <mergeCell ref="ZA46:ZI46"/>
    <mergeCell ref="ZJ46:ZR46"/>
    <mergeCell ref="ZS46:AAA46"/>
    <mergeCell ref="AAB46:AAJ46"/>
    <mergeCell ref="AAK46:AAS46"/>
    <mergeCell ref="XH46:XP46"/>
    <mergeCell ref="XQ46:XY46"/>
    <mergeCell ref="XZ46:YH46"/>
    <mergeCell ref="YI46:YQ46"/>
    <mergeCell ref="YR46:YZ46"/>
    <mergeCell ref="AJK46:AJS46"/>
    <mergeCell ref="AJT46:AKB46"/>
    <mergeCell ref="AKC46:AKK46"/>
    <mergeCell ref="AKL46:AKT46"/>
    <mergeCell ref="AKU46:ALC46"/>
    <mergeCell ref="AHR46:AHZ46"/>
    <mergeCell ref="AIA46:AII46"/>
    <mergeCell ref="AIJ46:AIR46"/>
    <mergeCell ref="AIS46:AJA46"/>
    <mergeCell ref="AJB46:AJJ46"/>
    <mergeCell ref="AFY46:AGG46"/>
    <mergeCell ref="AGH46:AGP46"/>
    <mergeCell ref="AGQ46:AGY46"/>
    <mergeCell ref="AGZ46:AHH46"/>
    <mergeCell ref="AHI46:AHQ46"/>
    <mergeCell ref="AEF46:AEN46"/>
    <mergeCell ref="AEO46:AEW46"/>
    <mergeCell ref="AEX46:AFF46"/>
    <mergeCell ref="AFG46:AFO46"/>
    <mergeCell ref="AFP46:AFX46"/>
    <mergeCell ref="AQI46:AQQ46"/>
    <mergeCell ref="AQR46:AQZ46"/>
    <mergeCell ref="ARA46:ARI46"/>
    <mergeCell ref="ARJ46:ARR46"/>
    <mergeCell ref="ARS46:ASA46"/>
    <mergeCell ref="AOP46:AOX46"/>
    <mergeCell ref="AOY46:APG46"/>
    <mergeCell ref="APH46:APP46"/>
    <mergeCell ref="APQ46:APY46"/>
    <mergeCell ref="APZ46:AQH46"/>
    <mergeCell ref="AMW46:ANE46"/>
    <mergeCell ref="ANF46:ANN46"/>
    <mergeCell ref="ANO46:ANW46"/>
    <mergeCell ref="ANX46:AOF46"/>
    <mergeCell ref="AOG46:AOO46"/>
    <mergeCell ref="ALD46:ALL46"/>
    <mergeCell ref="ALM46:ALU46"/>
    <mergeCell ref="ALV46:AMD46"/>
    <mergeCell ref="AME46:AMM46"/>
    <mergeCell ref="AMN46:AMV46"/>
    <mergeCell ref="AXG46:AXO46"/>
    <mergeCell ref="AXP46:AXX46"/>
    <mergeCell ref="AXY46:AYG46"/>
    <mergeCell ref="AYH46:AYP46"/>
    <mergeCell ref="AYQ46:AYY46"/>
    <mergeCell ref="AVN46:AVV46"/>
    <mergeCell ref="AVW46:AWE46"/>
    <mergeCell ref="AWF46:AWN46"/>
    <mergeCell ref="AWO46:AWW46"/>
    <mergeCell ref="AWX46:AXF46"/>
    <mergeCell ref="ATU46:AUC46"/>
    <mergeCell ref="AUD46:AUL46"/>
    <mergeCell ref="AUM46:AUU46"/>
    <mergeCell ref="AUV46:AVD46"/>
    <mergeCell ref="AVE46:AVM46"/>
    <mergeCell ref="ASB46:ASJ46"/>
    <mergeCell ref="ASK46:ASS46"/>
    <mergeCell ref="AST46:ATB46"/>
    <mergeCell ref="ATC46:ATK46"/>
    <mergeCell ref="ATL46:ATT46"/>
    <mergeCell ref="BEE46:BEM46"/>
    <mergeCell ref="BEN46:BEV46"/>
    <mergeCell ref="BEW46:BFE46"/>
    <mergeCell ref="BFF46:BFN46"/>
    <mergeCell ref="BFO46:BFW46"/>
    <mergeCell ref="BCL46:BCT46"/>
    <mergeCell ref="BCU46:BDC46"/>
    <mergeCell ref="BDD46:BDL46"/>
    <mergeCell ref="BDM46:BDU46"/>
    <mergeCell ref="BDV46:BED46"/>
    <mergeCell ref="BAS46:BBA46"/>
    <mergeCell ref="BBB46:BBJ46"/>
    <mergeCell ref="BBK46:BBS46"/>
    <mergeCell ref="BBT46:BCB46"/>
    <mergeCell ref="BCC46:BCK46"/>
    <mergeCell ref="AYZ46:AZH46"/>
    <mergeCell ref="AZI46:AZQ46"/>
    <mergeCell ref="AZR46:AZZ46"/>
    <mergeCell ref="BAA46:BAI46"/>
    <mergeCell ref="BAJ46:BAR46"/>
    <mergeCell ref="BLC46:BLK46"/>
    <mergeCell ref="BLL46:BLT46"/>
    <mergeCell ref="BLU46:BMC46"/>
    <mergeCell ref="BMD46:BML46"/>
    <mergeCell ref="BMM46:BMU46"/>
    <mergeCell ref="BJJ46:BJR46"/>
    <mergeCell ref="BJS46:BKA46"/>
    <mergeCell ref="BKB46:BKJ46"/>
    <mergeCell ref="BKK46:BKS46"/>
    <mergeCell ref="BKT46:BLB46"/>
    <mergeCell ref="BHQ46:BHY46"/>
    <mergeCell ref="BHZ46:BIH46"/>
    <mergeCell ref="BII46:BIQ46"/>
    <mergeCell ref="BIR46:BIZ46"/>
    <mergeCell ref="BJA46:BJI46"/>
    <mergeCell ref="BFX46:BGF46"/>
    <mergeCell ref="BGG46:BGO46"/>
    <mergeCell ref="BGP46:BGX46"/>
    <mergeCell ref="BGY46:BHG46"/>
    <mergeCell ref="BHH46:BHP46"/>
    <mergeCell ref="BSA46:BSI46"/>
    <mergeCell ref="BSJ46:BSR46"/>
    <mergeCell ref="BSS46:BTA46"/>
    <mergeCell ref="BTB46:BTJ46"/>
    <mergeCell ref="BTK46:BTS46"/>
    <mergeCell ref="BQH46:BQP46"/>
    <mergeCell ref="BQQ46:BQY46"/>
    <mergeCell ref="BQZ46:BRH46"/>
    <mergeCell ref="BRI46:BRQ46"/>
    <mergeCell ref="BRR46:BRZ46"/>
    <mergeCell ref="BOO46:BOW46"/>
    <mergeCell ref="BOX46:BPF46"/>
    <mergeCell ref="BPG46:BPO46"/>
    <mergeCell ref="BPP46:BPX46"/>
    <mergeCell ref="BPY46:BQG46"/>
    <mergeCell ref="BMV46:BND46"/>
    <mergeCell ref="BNE46:BNM46"/>
    <mergeCell ref="BNN46:BNV46"/>
    <mergeCell ref="BNW46:BOE46"/>
    <mergeCell ref="BOF46:BON46"/>
    <mergeCell ref="BYY46:BZG46"/>
    <mergeCell ref="BZH46:BZP46"/>
    <mergeCell ref="BZQ46:BZY46"/>
    <mergeCell ref="BZZ46:CAH46"/>
    <mergeCell ref="CAI46:CAQ46"/>
    <mergeCell ref="BXF46:BXN46"/>
    <mergeCell ref="BXO46:BXW46"/>
    <mergeCell ref="BXX46:BYF46"/>
    <mergeCell ref="BYG46:BYO46"/>
    <mergeCell ref="BYP46:BYX46"/>
    <mergeCell ref="BVM46:BVU46"/>
    <mergeCell ref="BVV46:BWD46"/>
    <mergeCell ref="BWE46:BWM46"/>
    <mergeCell ref="BWN46:BWV46"/>
    <mergeCell ref="BWW46:BXE46"/>
    <mergeCell ref="BTT46:BUB46"/>
    <mergeCell ref="BUC46:BUK46"/>
    <mergeCell ref="BUL46:BUT46"/>
    <mergeCell ref="BUU46:BVC46"/>
    <mergeCell ref="BVD46:BVL46"/>
    <mergeCell ref="CFW46:CGE46"/>
    <mergeCell ref="CGF46:CGN46"/>
    <mergeCell ref="CGO46:CGW46"/>
    <mergeCell ref="CGX46:CHF46"/>
    <mergeCell ref="CHG46:CHO46"/>
    <mergeCell ref="CED46:CEL46"/>
    <mergeCell ref="CEM46:CEU46"/>
    <mergeCell ref="CEV46:CFD46"/>
    <mergeCell ref="CFE46:CFM46"/>
    <mergeCell ref="CFN46:CFV46"/>
    <mergeCell ref="CCK46:CCS46"/>
    <mergeCell ref="CCT46:CDB46"/>
    <mergeCell ref="CDC46:CDK46"/>
    <mergeCell ref="CDL46:CDT46"/>
    <mergeCell ref="CDU46:CEC46"/>
    <mergeCell ref="CAR46:CAZ46"/>
    <mergeCell ref="CBA46:CBI46"/>
    <mergeCell ref="CBJ46:CBR46"/>
    <mergeCell ref="CBS46:CCA46"/>
    <mergeCell ref="CCB46:CCJ46"/>
    <mergeCell ref="CMU46:CNC46"/>
    <mergeCell ref="CND46:CNL46"/>
    <mergeCell ref="CNM46:CNU46"/>
    <mergeCell ref="CNV46:COD46"/>
    <mergeCell ref="COE46:COM46"/>
    <mergeCell ref="CLB46:CLJ46"/>
    <mergeCell ref="CLK46:CLS46"/>
    <mergeCell ref="CLT46:CMB46"/>
    <mergeCell ref="CMC46:CMK46"/>
    <mergeCell ref="CML46:CMT46"/>
    <mergeCell ref="CJI46:CJQ46"/>
    <mergeCell ref="CJR46:CJZ46"/>
    <mergeCell ref="CKA46:CKI46"/>
    <mergeCell ref="CKJ46:CKR46"/>
    <mergeCell ref="CKS46:CLA46"/>
    <mergeCell ref="CHP46:CHX46"/>
    <mergeCell ref="CHY46:CIG46"/>
    <mergeCell ref="CIH46:CIP46"/>
    <mergeCell ref="CIQ46:CIY46"/>
    <mergeCell ref="CIZ46:CJH46"/>
    <mergeCell ref="CTS46:CUA46"/>
    <mergeCell ref="CUB46:CUJ46"/>
    <mergeCell ref="CUK46:CUS46"/>
    <mergeCell ref="CUT46:CVB46"/>
    <mergeCell ref="CVC46:CVK46"/>
    <mergeCell ref="CRZ46:CSH46"/>
    <mergeCell ref="CSI46:CSQ46"/>
    <mergeCell ref="CSR46:CSZ46"/>
    <mergeCell ref="CTA46:CTI46"/>
    <mergeCell ref="CTJ46:CTR46"/>
    <mergeCell ref="CQG46:CQO46"/>
    <mergeCell ref="CQP46:CQX46"/>
    <mergeCell ref="CQY46:CRG46"/>
    <mergeCell ref="CRH46:CRP46"/>
    <mergeCell ref="CRQ46:CRY46"/>
    <mergeCell ref="CON46:COV46"/>
    <mergeCell ref="COW46:CPE46"/>
    <mergeCell ref="CPF46:CPN46"/>
    <mergeCell ref="CPO46:CPW46"/>
    <mergeCell ref="CPX46:CQF46"/>
    <mergeCell ref="DAQ46:DAY46"/>
    <mergeCell ref="DAZ46:DBH46"/>
    <mergeCell ref="DBI46:DBQ46"/>
    <mergeCell ref="DBR46:DBZ46"/>
    <mergeCell ref="DCA46:DCI46"/>
    <mergeCell ref="CYX46:CZF46"/>
    <mergeCell ref="CZG46:CZO46"/>
    <mergeCell ref="CZP46:CZX46"/>
    <mergeCell ref="CZY46:DAG46"/>
    <mergeCell ref="DAH46:DAP46"/>
    <mergeCell ref="CXE46:CXM46"/>
    <mergeCell ref="CXN46:CXV46"/>
    <mergeCell ref="CXW46:CYE46"/>
    <mergeCell ref="CYF46:CYN46"/>
    <mergeCell ref="CYO46:CYW46"/>
    <mergeCell ref="CVL46:CVT46"/>
    <mergeCell ref="CVU46:CWC46"/>
    <mergeCell ref="CWD46:CWL46"/>
    <mergeCell ref="CWM46:CWU46"/>
    <mergeCell ref="CWV46:CXD46"/>
    <mergeCell ref="DHO46:DHW46"/>
    <mergeCell ref="DHX46:DIF46"/>
    <mergeCell ref="DIG46:DIO46"/>
    <mergeCell ref="DIP46:DIX46"/>
    <mergeCell ref="DIY46:DJG46"/>
    <mergeCell ref="DFV46:DGD46"/>
    <mergeCell ref="DGE46:DGM46"/>
    <mergeCell ref="DGN46:DGV46"/>
    <mergeCell ref="DGW46:DHE46"/>
    <mergeCell ref="DHF46:DHN46"/>
    <mergeCell ref="DEC46:DEK46"/>
    <mergeCell ref="DEL46:DET46"/>
    <mergeCell ref="DEU46:DFC46"/>
    <mergeCell ref="DFD46:DFL46"/>
    <mergeCell ref="DFM46:DFU46"/>
    <mergeCell ref="DCJ46:DCR46"/>
    <mergeCell ref="DCS46:DDA46"/>
    <mergeCell ref="DDB46:DDJ46"/>
    <mergeCell ref="DDK46:DDS46"/>
    <mergeCell ref="DDT46:DEB46"/>
    <mergeCell ref="DOM46:DOU46"/>
    <mergeCell ref="DOV46:DPD46"/>
    <mergeCell ref="DPE46:DPM46"/>
    <mergeCell ref="DPN46:DPV46"/>
    <mergeCell ref="DPW46:DQE46"/>
    <mergeCell ref="DMT46:DNB46"/>
    <mergeCell ref="DNC46:DNK46"/>
    <mergeCell ref="DNL46:DNT46"/>
    <mergeCell ref="DNU46:DOC46"/>
    <mergeCell ref="DOD46:DOL46"/>
    <mergeCell ref="DLA46:DLI46"/>
    <mergeCell ref="DLJ46:DLR46"/>
    <mergeCell ref="DLS46:DMA46"/>
    <mergeCell ref="DMB46:DMJ46"/>
    <mergeCell ref="DMK46:DMS46"/>
    <mergeCell ref="DJH46:DJP46"/>
    <mergeCell ref="DJQ46:DJY46"/>
    <mergeCell ref="DJZ46:DKH46"/>
    <mergeCell ref="DKI46:DKQ46"/>
    <mergeCell ref="DKR46:DKZ46"/>
    <mergeCell ref="DVK46:DVS46"/>
    <mergeCell ref="DVT46:DWB46"/>
    <mergeCell ref="DWC46:DWK46"/>
    <mergeCell ref="DWL46:DWT46"/>
    <mergeCell ref="DWU46:DXC46"/>
    <mergeCell ref="DTR46:DTZ46"/>
    <mergeCell ref="DUA46:DUI46"/>
    <mergeCell ref="DUJ46:DUR46"/>
    <mergeCell ref="DUS46:DVA46"/>
    <mergeCell ref="DVB46:DVJ46"/>
    <mergeCell ref="DRY46:DSG46"/>
    <mergeCell ref="DSH46:DSP46"/>
    <mergeCell ref="DSQ46:DSY46"/>
    <mergeCell ref="DSZ46:DTH46"/>
    <mergeCell ref="DTI46:DTQ46"/>
    <mergeCell ref="DQF46:DQN46"/>
    <mergeCell ref="DQO46:DQW46"/>
    <mergeCell ref="DQX46:DRF46"/>
    <mergeCell ref="DRG46:DRO46"/>
    <mergeCell ref="DRP46:DRX46"/>
    <mergeCell ref="ECI46:ECQ46"/>
    <mergeCell ref="ECR46:ECZ46"/>
    <mergeCell ref="EDA46:EDI46"/>
    <mergeCell ref="EDJ46:EDR46"/>
    <mergeCell ref="EDS46:EEA46"/>
    <mergeCell ref="EAP46:EAX46"/>
    <mergeCell ref="EAY46:EBG46"/>
    <mergeCell ref="EBH46:EBP46"/>
    <mergeCell ref="EBQ46:EBY46"/>
    <mergeCell ref="EBZ46:ECH46"/>
    <mergeCell ref="DYW46:DZE46"/>
    <mergeCell ref="DZF46:DZN46"/>
    <mergeCell ref="DZO46:DZW46"/>
    <mergeCell ref="DZX46:EAF46"/>
    <mergeCell ref="EAG46:EAO46"/>
    <mergeCell ref="DXD46:DXL46"/>
    <mergeCell ref="DXM46:DXU46"/>
    <mergeCell ref="DXV46:DYD46"/>
    <mergeCell ref="DYE46:DYM46"/>
    <mergeCell ref="DYN46:DYV46"/>
    <mergeCell ref="EJG46:EJO46"/>
    <mergeCell ref="EJP46:EJX46"/>
    <mergeCell ref="EJY46:EKG46"/>
    <mergeCell ref="EKH46:EKP46"/>
    <mergeCell ref="EKQ46:EKY46"/>
    <mergeCell ref="EHN46:EHV46"/>
    <mergeCell ref="EHW46:EIE46"/>
    <mergeCell ref="EIF46:EIN46"/>
    <mergeCell ref="EIO46:EIW46"/>
    <mergeCell ref="EIX46:EJF46"/>
    <mergeCell ref="EFU46:EGC46"/>
    <mergeCell ref="EGD46:EGL46"/>
    <mergeCell ref="EGM46:EGU46"/>
    <mergeCell ref="EGV46:EHD46"/>
    <mergeCell ref="EHE46:EHM46"/>
    <mergeCell ref="EEB46:EEJ46"/>
    <mergeCell ref="EEK46:EES46"/>
    <mergeCell ref="EET46:EFB46"/>
    <mergeCell ref="EFC46:EFK46"/>
    <mergeCell ref="EFL46:EFT46"/>
    <mergeCell ref="EQE46:EQM46"/>
    <mergeCell ref="EQN46:EQV46"/>
    <mergeCell ref="EQW46:ERE46"/>
    <mergeCell ref="ERF46:ERN46"/>
    <mergeCell ref="ERO46:ERW46"/>
    <mergeCell ref="EOL46:EOT46"/>
    <mergeCell ref="EOU46:EPC46"/>
    <mergeCell ref="EPD46:EPL46"/>
    <mergeCell ref="EPM46:EPU46"/>
    <mergeCell ref="EPV46:EQD46"/>
    <mergeCell ref="EMS46:ENA46"/>
    <mergeCell ref="ENB46:ENJ46"/>
    <mergeCell ref="ENK46:ENS46"/>
    <mergeCell ref="ENT46:EOB46"/>
    <mergeCell ref="EOC46:EOK46"/>
    <mergeCell ref="EKZ46:ELH46"/>
    <mergeCell ref="ELI46:ELQ46"/>
    <mergeCell ref="ELR46:ELZ46"/>
    <mergeCell ref="EMA46:EMI46"/>
    <mergeCell ref="EMJ46:EMR46"/>
    <mergeCell ref="EXC46:EXK46"/>
    <mergeCell ref="EXL46:EXT46"/>
    <mergeCell ref="EXU46:EYC46"/>
    <mergeCell ref="EYD46:EYL46"/>
    <mergeCell ref="EYM46:EYU46"/>
    <mergeCell ref="EVJ46:EVR46"/>
    <mergeCell ref="EVS46:EWA46"/>
    <mergeCell ref="EWB46:EWJ46"/>
    <mergeCell ref="EWK46:EWS46"/>
    <mergeCell ref="EWT46:EXB46"/>
    <mergeCell ref="ETQ46:ETY46"/>
    <mergeCell ref="ETZ46:EUH46"/>
    <mergeCell ref="EUI46:EUQ46"/>
    <mergeCell ref="EUR46:EUZ46"/>
    <mergeCell ref="EVA46:EVI46"/>
    <mergeCell ref="ERX46:ESF46"/>
    <mergeCell ref="ESG46:ESO46"/>
    <mergeCell ref="ESP46:ESX46"/>
    <mergeCell ref="ESY46:ETG46"/>
    <mergeCell ref="ETH46:ETP46"/>
    <mergeCell ref="FEA46:FEI46"/>
    <mergeCell ref="FEJ46:FER46"/>
    <mergeCell ref="FES46:FFA46"/>
    <mergeCell ref="FFB46:FFJ46"/>
    <mergeCell ref="FFK46:FFS46"/>
    <mergeCell ref="FCH46:FCP46"/>
    <mergeCell ref="FCQ46:FCY46"/>
    <mergeCell ref="FCZ46:FDH46"/>
    <mergeCell ref="FDI46:FDQ46"/>
    <mergeCell ref="FDR46:FDZ46"/>
    <mergeCell ref="FAO46:FAW46"/>
    <mergeCell ref="FAX46:FBF46"/>
    <mergeCell ref="FBG46:FBO46"/>
    <mergeCell ref="FBP46:FBX46"/>
    <mergeCell ref="FBY46:FCG46"/>
    <mergeCell ref="EYV46:EZD46"/>
    <mergeCell ref="EZE46:EZM46"/>
    <mergeCell ref="EZN46:EZV46"/>
    <mergeCell ref="EZW46:FAE46"/>
    <mergeCell ref="FAF46:FAN46"/>
    <mergeCell ref="FKY46:FLG46"/>
    <mergeCell ref="FLH46:FLP46"/>
    <mergeCell ref="FLQ46:FLY46"/>
    <mergeCell ref="FLZ46:FMH46"/>
    <mergeCell ref="FMI46:FMQ46"/>
    <mergeCell ref="FJF46:FJN46"/>
    <mergeCell ref="FJO46:FJW46"/>
    <mergeCell ref="FJX46:FKF46"/>
    <mergeCell ref="FKG46:FKO46"/>
    <mergeCell ref="FKP46:FKX46"/>
    <mergeCell ref="FHM46:FHU46"/>
    <mergeCell ref="FHV46:FID46"/>
    <mergeCell ref="FIE46:FIM46"/>
    <mergeCell ref="FIN46:FIV46"/>
    <mergeCell ref="FIW46:FJE46"/>
    <mergeCell ref="FFT46:FGB46"/>
    <mergeCell ref="FGC46:FGK46"/>
    <mergeCell ref="FGL46:FGT46"/>
    <mergeCell ref="FGU46:FHC46"/>
    <mergeCell ref="FHD46:FHL46"/>
    <mergeCell ref="FRW46:FSE46"/>
    <mergeCell ref="FSF46:FSN46"/>
    <mergeCell ref="FSO46:FSW46"/>
    <mergeCell ref="FSX46:FTF46"/>
    <mergeCell ref="FTG46:FTO46"/>
    <mergeCell ref="FQD46:FQL46"/>
    <mergeCell ref="FQM46:FQU46"/>
    <mergeCell ref="FQV46:FRD46"/>
    <mergeCell ref="FRE46:FRM46"/>
    <mergeCell ref="FRN46:FRV46"/>
    <mergeCell ref="FOK46:FOS46"/>
    <mergeCell ref="FOT46:FPB46"/>
    <mergeCell ref="FPC46:FPK46"/>
    <mergeCell ref="FPL46:FPT46"/>
    <mergeCell ref="FPU46:FQC46"/>
    <mergeCell ref="FMR46:FMZ46"/>
    <mergeCell ref="FNA46:FNI46"/>
    <mergeCell ref="FNJ46:FNR46"/>
    <mergeCell ref="FNS46:FOA46"/>
    <mergeCell ref="FOB46:FOJ46"/>
    <mergeCell ref="FYU46:FZC46"/>
    <mergeCell ref="FZD46:FZL46"/>
    <mergeCell ref="FZM46:FZU46"/>
    <mergeCell ref="FZV46:GAD46"/>
    <mergeCell ref="GAE46:GAM46"/>
    <mergeCell ref="FXB46:FXJ46"/>
    <mergeCell ref="FXK46:FXS46"/>
    <mergeCell ref="FXT46:FYB46"/>
    <mergeCell ref="FYC46:FYK46"/>
    <mergeCell ref="FYL46:FYT46"/>
    <mergeCell ref="FVI46:FVQ46"/>
    <mergeCell ref="FVR46:FVZ46"/>
    <mergeCell ref="FWA46:FWI46"/>
    <mergeCell ref="FWJ46:FWR46"/>
    <mergeCell ref="FWS46:FXA46"/>
    <mergeCell ref="FTP46:FTX46"/>
    <mergeCell ref="FTY46:FUG46"/>
    <mergeCell ref="FUH46:FUP46"/>
    <mergeCell ref="FUQ46:FUY46"/>
    <mergeCell ref="FUZ46:FVH46"/>
    <mergeCell ref="GFS46:GGA46"/>
    <mergeCell ref="GGB46:GGJ46"/>
    <mergeCell ref="GGK46:GGS46"/>
    <mergeCell ref="GGT46:GHB46"/>
    <mergeCell ref="GHC46:GHK46"/>
    <mergeCell ref="GDZ46:GEH46"/>
    <mergeCell ref="GEI46:GEQ46"/>
    <mergeCell ref="GER46:GEZ46"/>
    <mergeCell ref="GFA46:GFI46"/>
    <mergeCell ref="GFJ46:GFR46"/>
    <mergeCell ref="GCG46:GCO46"/>
    <mergeCell ref="GCP46:GCX46"/>
    <mergeCell ref="GCY46:GDG46"/>
    <mergeCell ref="GDH46:GDP46"/>
    <mergeCell ref="GDQ46:GDY46"/>
    <mergeCell ref="GAN46:GAV46"/>
    <mergeCell ref="GAW46:GBE46"/>
    <mergeCell ref="GBF46:GBN46"/>
    <mergeCell ref="GBO46:GBW46"/>
    <mergeCell ref="GBX46:GCF46"/>
    <mergeCell ref="GMQ46:GMY46"/>
    <mergeCell ref="GMZ46:GNH46"/>
    <mergeCell ref="GNI46:GNQ46"/>
    <mergeCell ref="GNR46:GNZ46"/>
    <mergeCell ref="GOA46:GOI46"/>
    <mergeCell ref="GKX46:GLF46"/>
    <mergeCell ref="GLG46:GLO46"/>
    <mergeCell ref="GLP46:GLX46"/>
    <mergeCell ref="GLY46:GMG46"/>
    <mergeCell ref="GMH46:GMP46"/>
    <mergeCell ref="GJE46:GJM46"/>
    <mergeCell ref="GJN46:GJV46"/>
    <mergeCell ref="GJW46:GKE46"/>
    <mergeCell ref="GKF46:GKN46"/>
    <mergeCell ref="GKO46:GKW46"/>
    <mergeCell ref="GHL46:GHT46"/>
    <mergeCell ref="GHU46:GIC46"/>
    <mergeCell ref="GID46:GIL46"/>
    <mergeCell ref="GIM46:GIU46"/>
    <mergeCell ref="GIV46:GJD46"/>
    <mergeCell ref="GTO46:GTW46"/>
    <mergeCell ref="GTX46:GUF46"/>
    <mergeCell ref="GUG46:GUO46"/>
    <mergeCell ref="GUP46:GUX46"/>
    <mergeCell ref="GUY46:GVG46"/>
    <mergeCell ref="GRV46:GSD46"/>
    <mergeCell ref="GSE46:GSM46"/>
    <mergeCell ref="GSN46:GSV46"/>
    <mergeCell ref="GSW46:GTE46"/>
    <mergeCell ref="GTF46:GTN46"/>
    <mergeCell ref="GQC46:GQK46"/>
    <mergeCell ref="GQL46:GQT46"/>
    <mergeCell ref="GQU46:GRC46"/>
    <mergeCell ref="GRD46:GRL46"/>
    <mergeCell ref="GRM46:GRU46"/>
    <mergeCell ref="GOJ46:GOR46"/>
    <mergeCell ref="GOS46:GPA46"/>
    <mergeCell ref="GPB46:GPJ46"/>
    <mergeCell ref="GPK46:GPS46"/>
    <mergeCell ref="GPT46:GQB46"/>
    <mergeCell ref="HAM46:HAU46"/>
    <mergeCell ref="HAV46:HBD46"/>
    <mergeCell ref="HBE46:HBM46"/>
    <mergeCell ref="HBN46:HBV46"/>
    <mergeCell ref="HBW46:HCE46"/>
    <mergeCell ref="GYT46:GZB46"/>
    <mergeCell ref="GZC46:GZK46"/>
    <mergeCell ref="GZL46:GZT46"/>
    <mergeCell ref="GZU46:HAC46"/>
    <mergeCell ref="HAD46:HAL46"/>
    <mergeCell ref="GXA46:GXI46"/>
    <mergeCell ref="GXJ46:GXR46"/>
    <mergeCell ref="GXS46:GYA46"/>
    <mergeCell ref="GYB46:GYJ46"/>
    <mergeCell ref="GYK46:GYS46"/>
    <mergeCell ref="GVH46:GVP46"/>
    <mergeCell ref="GVQ46:GVY46"/>
    <mergeCell ref="GVZ46:GWH46"/>
    <mergeCell ref="GWI46:GWQ46"/>
    <mergeCell ref="GWR46:GWZ46"/>
    <mergeCell ref="HHK46:HHS46"/>
    <mergeCell ref="HHT46:HIB46"/>
    <mergeCell ref="HIC46:HIK46"/>
    <mergeCell ref="HIL46:HIT46"/>
    <mergeCell ref="HIU46:HJC46"/>
    <mergeCell ref="HFR46:HFZ46"/>
    <mergeCell ref="HGA46:HGI46"/>
    <mergeCell ref="HGJ46:HGR46"/>
    <mergeCell ref="HGS46:HHA46"/>
    <mergeCell ref="HHB46:HHJ46"/>
    <mergeCell ref="HDY46:HEG46"/>
    <mergeCell ref="HEH46:HEP46"/>
    <mergeCell ref="HEQ46:HEY46"/>
    <mergeCell ref="HEZ46:HFH46"/>
    <mergeCell ref="HFI46:HFQ46"/>
    <mergeCell ref="HCF46:HCN46"/>
    <mergeCell ref="HCO46:HCW46"/>
    <mergeCell ref="HCX46:HDF46"/>
    <mergeCell ref="HDG46:HDO46"/>
    <mergeCell ref="HDP46:HDX46"/>
    <mergeCell ref="HOI46:HOQ46"/>
    <mergeCell ref="HOR46:HOZ46"/>
    <mergeCell ref="HPA46:HPI46"/>
    <mergeCell ref="HPJ46:HPR46"/>
    <mergeCell ref="HPS46:HQA46"/>
    <mergeCell ref="HMP46:HMX46"/>
    <mergeCell ref="HMY46:HNG46"/>
    <mergeCell ref="HNH46:HNP46"/>
    <mergeCell ref="HNQ46:HNY46"/>
    <mergeCell ref="HNZ46:HOH46"/>
    <mergeCell ref="HKW46:HLE46"/>
    <mergeCell ref="HLF46:HLN46"/>
    <mergeCell ref="HLO46:HLW46"/>
    <mergeCell ref="HLX46:HMF46"/>
    <mergeCell ref="HMG46:HMO46"/>
    <mergeCell ref="HJD46:HJL46"/>
    <mergeCell ref="HJM46:HJU46"/>
    <mergeCell ref="HJV46:HKD46"/>
    <mergeCell ref="HKE46:HKM46"/>
    <mergeCell ref="HKN46:HKV46"/>
    <mergeCell ref="HVG46:HVO46"/>
    <mergeCell ref="HVP46:HVX46"/>
    <mergeCell ref="HVY46:HWG46"/>
    <mergeCell ref="HWH46:HWP46"/>
    <mergeCell ref="HWQ46:HWY46"/>
    <mergeCell ref="HTN46:HTV46"/>
    <mergeCell ref="HTW46:HUE46"/>
    <mergeCell ref="HUF46:HUN46"/>
    <mergeCell ref="HUO46:HUW46"/>
    <mergeCell ref="HUX46:HVF46"/>
    <mergeCell ref="HRU46:HSC46"/>
    <mergeCell ref="HSD46:HSL46"/>
    <mergeCell ref="HSM46:HSU46"/>
    <mergeCell ref="HSV46:HTD46"/>
    <mergeCell ref="HTE46:HTM46"/>
    <mergeCell ref="HQB46:HQJ46"/>
    <mergeCell ref="HQK46:HQS46"/>
    <mergeCell ref="HQT46:HRB46"/>
    <mergeCell ref="HRC46:HRK46"/>
    <mergeCell ref="HRL46:HRT46"/>
    <mergeCell ref="ICE46:ICM46"/>
    <mergeCell ref="ICN46:ICV46"/>
    <mergeCell ref="ICW46:IDE46"/>
    <mergeCell ref="IDF46:IDN46"/>
    <mergeCell ref="IDO46:IDW46"/>
    <mergeCell ref="IAL46:IAT46"/>
    <mergeCell ref="IAU46:IBC46"/>
    <mergeCell ref="IBD46:IBL46"/>
    <mergeCell ref="IBM46:IBU46"/>
    <mergeCell ref="IBV46:ICD46"/>
    <mergeCell ref="HYS46:HZA46"/>
    <mergeCell ref="HZB46:HZJ46"/>
    <mergeCell ref="HZK46:HZS46"/>
    <mergeCell ref="HZT46:IAB46"/>
    <mergeCell ref="IAC46:IAK46"/>
    <mergeCell ref="HWZ46:HXH46"/>
    <mergeCell ref="HXI46:HXQ46"/>
    <mergeCell ref="HXR46:HXZ46"/>
    <mergeCell ref="HYA46:HYI46"/>
    <mergeCell ref="HYJ46:HYR46"/>
    <mergeCell ref="IJC46:IJK46"/>
    <mergeCell ref="IJL46:IJT46"/>
    <mergeCell ref="IJU46:IKC46"/>
    <mergeCell ref="IKD46:IKL46"/>
    <mergeCell ref="IKM46:IKU46"/>
    <mergeCell ref="IHJ46:IHR46"/>
    <mergeCell ref="IHS46:IIA46"/>
    <mergeCell ref="IIB46:IIJ46"/>
    <mergeCell ref="IIK46:IIS46"/>
    <mergeCell ref="IIT46:IJB46"/>
    <mergeCell ref="IFQ46:IFY46"/>
    <mergeCell ref="IFZ46:IGH46"/>
    <mergeCell ref="IGI46:IGQ46"/>
    <mergeCell ref="IGR46:IGZ46"/>
    <mergeCell ref="IHA46:IHI46"/>
    <mergeCell ref="IDX46:IEF46"/>
    <mergeCell ref="IEG46:IEO46"/>
    <mergeCell ref="IEP46:IEX46"/>
    <mergeCell ref="IEY46:IFG46"/>
    <mergeCell ref="IFH46:IFP46"/>
    <mergeCell ref="IQA46:IQI46"/>
    <mergeCell ref="IQJ46:IQR46"/>
    <mergeCell ref="IQS46:IRA46"/>
    <mergeCell ref="IRB46:IRJ46"/>
    <mergeCell ref="IRK46:IRS46"/>
    <mergeCell ref="IOH46:IOP46"/>
    <mergeCell ref="IOQ46:IOY46"/>
    <mergeCell ref="IOZ46:IPH46"/>
    <mergeCell ref="IPI46:IPQ46"/>
    <mergeCell ref="IPR46:IPZ46"/>
    <mergeCell ref="IMO46:IMW46"/>
    <mergeCell ref="IMX46:INF46"/>
    <mergeCell ref="ING46:INO46"/>
    <mergeCell ref="INP46:INX46"/>
    <mergeCell ref="INY46:IOG46"/>
    <mergeCell ref="IKV46:ILD46"/>
    <mergeCell ref="ILE46:ILM46"/>
    <mergeCell ref="ILN46:ILV46"/>
    <mergeCell ref="ILW46:IME46"/>
    <mergeCell ref="IMF46:IMN46"/>
    <mergeCell ref="IWY46:IXG46"/>
    <mergeCell ref="IXH46:IXP46"/>
    <mergeCell ref="IXQ46:IXY46"/>
    <mergeCell ref="IXZ46:IYH46"/>
    <mergeCell ref="IYI46:IYQ46"/>
    <mergeCell ref="IVF46:IVN46"/>
    <mergeCell ref="IVO46:IVW46"/>
    <mergeCell ref="IVX46:IWF46"/>
    <mergeCell ref="IWG46:IWO46"/>
    <mergeCell ref="IWP46:IWX46"/>
    <mergeCell ref="ITM46:ITU46"/>
    <mergeCell ref="ITV46:IUD46"/>
    <mergeCell ref="IUE46:IUM46"/>
    <mergeCell ref="IUN46:IUV46"/>
    <mergeCell ref="IUW46:IVE46"/>
    <mergeCell ref="IRT46:ISB46"/>
    <mergeCell ref="ISC46:ISK46"/>
    <mergeCell ref="ISL46:IST46"/>
    <mergeCell ref="ISU46:ITC46"/>
    <mergeCell ref="ITD46:ITL46"/>
    <mergeCell ref="JDW46:JEE46"/>
    <mergeCell ref="JEF46:JEN46"/>
    <mergeCell ref="JEO46:JEW46"/>
    <mergeCell ref="JEX46:JFF46"/>
    <mergeCell ref="JFG46:JFO46"/>
    <mergeCell ref="JCD46:JCL46"/>
    <mergeCell ref="JCM46:JCU46"/>
    <mergeCell ref="JCV46:JDD46"/>
    <mergeCell ref="JDE46:JDM46"/>
    <mergeCell ref="JDN46:JDV46"/>
    <mergeCell ref="JAK46:JAS46"/>
    <mergeCell ref="JAT46:JBB46"/>
    <mergeCell ref="JBC46:JBK46"/>
    <mergeCell ref="JBL46:JBT46"/>
    <mergeCell ref="JBU46:JCC46"/>
    <mergeCell ref="IYR46:IYZ46"/>
    <mergeCell ref="IZA46:IZI46"/>
    <mergeCell ref="IZJ46:IZR46"/>
    <mergeCell ref="IZS46:JAA46"/>
    <mergeCell ref="JAB46:JAJ46"/>
    <mergeCell ref="JKU46:JLC46"/>
    <mergeCell ref="JLD46:JLL46"/>
    <mergeCell ref="JLM46:JLU46"/>
    <mergeCell ref="JLV46:JMD46"/>
    <mergeCell ref="JME46:JMM46"/>
    <mergeCell ref="JJB46:JJJ46"/>
    <mergeCell ref="JJK46:JJS46"/>
    <mergeCell ref="JJT46:JKB46"/>
    <mergeCell ref="JKC46:JKK46"/>
    <mergeCell ref="JKL46:JKT46"/>
    <mergeCell ref="JHI46:JHQ46"/>
    <mergeCell ref="JHR46:JHZ46"/>
    <mergeCell ref="JIA46:JII46"/>
    <mergeCell ref="JIJ46:JIR46"/>
    <mergeCell ref="JIS46:JJA46"/>
    <mergeCell ref="JFP46:JFX46"/>
    <mergeCell ref="JFY46:JGG46"/>
    <mergeCell ref="JGH46:JGP46"/>
    <mergeCell ref="JGQ46:JGY46"/>
    <mergeCell ref="JGZ46:JHH46"/>
    <mergeCell ref="JRS46:JSA46"/>
    <mergeCell ref="JSB46:JSJ46"/>
    <mergeCell ref="JSK46:JSS46"/>
    <mergeCell ref="JST46:JTB46"/>
    <mergeCell ref="JTC46:JTK46"/>
    <mergeCell ref="JPZ46:JQH46"/>
    <mergeCell ref="JQI46:JQQ46"/>
    <mergeCell ref="JQR46:JQZ46"/>
    <mergeCell ref="JRA46:JRI46"/>
    <mergeCell ref="JRJ46:JRR46"/>
    <mergeCell ref="JOG46:JOO46"/>
    <mergeCell ref="JOP46:JOX46"/>
    <mergeCell ref="JOY46:JPG46"/>
    <mergeCell ref="JPH46:JPP46"/>
    <mergeCell ref="JPQ46:JPY46"/>
    <mergeCell ref="JMN46:JMV46"/>
    <mergeCell ref="JMW46:JNE46"/>
    <mergeCell ref="JNF46:JNN46"/>
    <mergeCell ref="JNO46:JNW46"/>
    <mergeCell ref="JNX46:JOF46"/>
    <mergeCell ref="JYQ46:JYY46"/>
    <mergeCell ref="JYZ46:JZH46"/>
    <mergeCell ref="JZI46:JZQ46"/>
    <mergeCell ref="JZR46:JZZ46"/>
    <mergeCell ref="KAA46:KAI46"/>
    <mergeCell ref="JWX46:JXF46"/>
    <mergeCell ref="JXG46:JXO46"/>
    <mergeCell ref="JXP46:JXX46"/>
    <mergeCell ref="JXY46:JYG46"/>
    <mergeCell ref="JYH46:JYP46"/>
    <mergeCell ref="JVE46:JVM46"/>
    <mergeCell ref="JVN46:JVV46"/>
    <mergeCell ref="JVW46:JWE46"/>
    <mergeCell ref="JWF46:JWN46"/>
    <mergeCell ref="JWO46:JWW46"/>
    <mergeCell ref="JTL46:JTT46"/>
    <mergeCell ref="JTU46:JUC46"/>
    <mergeCell ref="JUD46:JUL46"/>
    <mergeCell ref="JUM46:JUU46"/>
    <mergeCell ref="JUV46:JVD46"/>
    <mergeCell ref="KFO46:KFW46"/>
    <mergeCell ref="KFX46:KGF46"/>
    <mergeCell ref="KGG46:KGO46"/>
    <mergeCell ref="KGP46:KGX46"/>
    <mergeCell ref="KGY46:KHG46"/>
    <mergeCell ref="KDV46:KED46"/>
    <mergeCell ref="KEE46:KEM46"/>
    <mergeCell ref="KEN46:KEV46"/>
    <mergeCell ref="KEW46:KFE46"/>
    <mergeCell ref="KFF46:KFN46"/>
    <mergeCell ref="KCC46:KCK46"/>
    <mergeCell ref="KCL46:KCT46"/>
    <mergeCell ref="KCU46:KDC46"/>
    <mergeCell ref="KDD46:KDL46"/>
    <mergeCell ref="KDM46:KDU46"/>
    <mergeCell ref="KAJ46:KAR46"/>
    <mergeCell ref="KAS46:KBA46"/>
    <mergeCell ref="KBB46:KBJ46"/>
    <mergeCell ref="KBK46:KBS46"/>
    <mergeCell ref="KBT46:KCB46"/>
    <mergeCell ref="KMM46:KMU46"/>
    <mergeCell ref="KMV46:KND46"/>
    <mergeCell ref="KNE46:KNM46"/>
    <mergeCell ref="KNN46:KNV46"/>
    <mergeCell ref="KNW46:KOE46"/>
    <mergeCell ref="KKT46:KLB46"/>
    <mergeCell ref="KLC46:KLK46"/>
    <mergeCell ref="KLL46:KLT46"/>
    <mergeCell ref="KLU46:KMC46"/>
    <mergeCell ref="KMD46:KML46"/>
    <mergeCell ref="KJA46:KJI46"/>
    <mergeCell ref="KJJ46:KJR46"/>
    <mergeCell ref="KJS46:KKA46"/>
    <mergeCell ref="KKB46:KKJ46"/>
    <mergeCell ref="KKK46:KKS46"/>
    <mergeCell ref="KHH46:KHP46"/>
    <mergeCell ref="KHQ46:KHY46"/>
    <mergeCell ref="KHZ46:KIH46"/>
    <mergeCell ref="KII46:KIQ46"/>
    <mergeCell ref="KIR46:KIZ46"/>
    <mergeCell ref="KTK46:KTS46"/>
    <mergeCell ref="KTT46:KUB46"/>
    <mergeCell ref="KUC46:KUK46"/>
    <mergeCell ref="KUL46:KUT46"/>
    <mergeCell ref="KUU46:KVC46"/>
    <mergeCell ref="KRR46:KRZ46"/>
    <mergeCell ref="KSA46:KSI46"/>
    <mergeCell ref="KSJ46:KSR46"/>
    <mergeCell ref="KSS46:KTA46"/>
    <mergeCell ref="KTB46:KTJ46"/>
    <mergeCell ref="KPY46:KQG46"/>
    <mergeCell ref="KQH46:KQP46"/>
    <mergeCell ref="KQQ46:KQY46"/>
    <mergeCell ref="KQZ46:KRH46"/>
    <mergeCell ref="KRI46:KRQ46"/>
    <mergeCell ref="KOF46:KON46"/>
    <mergeCell ref="KOO46:KOW46"/>
    <mergeCell ref="KOX46:KPF46"/>
    <mergeCell ref="KPG46:KPO46"/>
    <mergeCell ref="KPP46:KPX46"/>
    <mergeCell ref="LAI46:LAQ46"/>
    <mergeCell ref="LAR46:LAZ46"/>
    <mergeCell ref="LBA46:LBI46"/>
    <mergeCell ref="LBJ46:LBR46"/>
    <mergeCell ref="LBS46:LCA46"/>
    <mergeCell ref="KYP46:KYX46"/>
    <mergeCell ref="KYY46:KZG46"/>
    <mergeCell ref="KZH46:KZP46"/>
    <mergeCell ref="KZQ46:KZY46"/>
    <mergeCell ref="KZZ46:LAH46"/>
    <mergeCell ref="KWW46:KXE46"/>
    <mergeCell ref="KXF46:KXN46"/>
    <mergeCell ref="KXO46:KXW46"/>
    <mergeCell ref="KXX46:KYF46"/>
    <mergeCell ref="KYG46:KYO46"/>
    <mergeCell ref="KVD46:KVL46"/>
    <mergeCell ref="KVM46:KVU46"/>
    <mergeCell ref="KVV46:KWD46"/>
    <mergeCell ref="KWE46:KWM46"/>
    <mergeCell ref="KWN46:KWV46"/>
    <mergeCell ref="LHG46:LHO46"/>
    <mergeCell ref="LHP46:LHX46"/>
    <mergeCell ref="LHY46:LIG46"/>
    <mergeCell ref="LIH46:LIP46"/>
    <mergeCell ref="LIQ46:LIY46"/>
    <mergeCell ref="LFN46:LFV46"/>
    <mergeCell ref="LFW46:LGE46"/>
    <mergeCell ref="LGF46:LGN46"/>
    <mergeCell ref="LGO46:LGW46"/>
    <mergeCell ref="LGX46:LHF46"/>
    <mergeCell ref="LDU46:LEC46"/>
    <mergeCell ref="LED46:LEL46"/>
    <mergeCell ref="LEM46:LEU46"/>
    <mergeCell ref="LEV46:LFD46"/>
    <mergeCell ref="LFE46:LFM46"/>
    <mergeCell ref="LCB46:LCJ46"/>
    <mergeCell ref="LCK46:LCS46"/>
    <mergeCell ref="LCT46:LDB46"/>
    <mergeCell ref="LDC46:LDK46"/>
    <mergeCell ref="LDL46:LDT46"/>
    <mergeCell ref="LOE46:LOM46"/>
    <mergeCell ref="LON46:LOV46"/>
    <mergeCell ref="LOW46:LPE46"/>
    <mergeCell ref="LPF46:LPN46"/>
    <mergeCell ref="LPO46:LPW46"/>
    <mergeCell ref="LML46:LMT46"/>
    <mergeCell ref="LMU46:LNC46"/>
    <mergeCell ref="LND46:LNL46"/>
    <mergeCell ref="LNM46:LNU46"/>
    <mergeCell ref="LNV46:LOD46"/>
    <mergeCell ref="LKS46:LLA46"/>
    <mergeCell ref="LLB46:LLJ46"/>
    <mergeCell ref="LLK46:LLS46"/>
    <mergeCell ref="LLT46:LMB46"/>
    <mergeCell ref="LMC46:LMK46"/>
    <mergeCell ref="LIZ46:LJH46"/>
    <mergeCell ref="LJI46:LJQ46"/>
    <mergeCell ref="LJR46:LJZ46"/>
    <mergeCell ref="LKA46:LKI46"/>
    <mergeCell ref="LKJ46:LKR46"/>
    <mergeCell ref="LVC46:LVK46"/>
    <mergeCell ref="LVL46:LVT46"/>
    <mergeCell ref="LVU46:LWC46"/>
    <mergeCell ref="LWD46:LWL46"/>
    <mergeCell ref="LWM46:LWU46"/>
    <mergeCell ref="LTJ46:LTR46"/>
    <mergeCell ref="LTS46:LUA46"/>
    <mergeCell ref="LUB46:LUJ46"/>
    <mergeCell ref="LUK46:LUS46"/>
    <mergeCell ref="LUT46:LVB46"/>
    <mergeCell ref="LRQ46:LRY46"/>
    <mergeCell ref="LRZ46:LSH46"/>
    <mergeCell ref="LSI46:LSQ46"/>
    <mergeCell ref="LSR46:LSZ46"/>
    <mergeCell ref="LTA46:LTI46"/>
    <mergeCell ref="LPX46:LQF46"/>
    <mergeCell ref="LQG46:LQO46"/>
    <mergeCell ref="LQP46:LQX46"/>
    <mergeCell ref="LQY46:LRG46"/>
    <mergeCell ref="LRH46:LRP46"/>
    <mergeCell ref="MCA46:MCI46"/>
    <mergeCell ref="MCJ46:MCR46"/>
    <mergeCell ref="MCS46:MDA46"/>
    <mergeCell ref="MDB46:MDJ46"/>
    <mergeCell ref="MDK46:MDS46"/>
    <mergeCell ref="MAH46:MAP46"/>
    <mergeCell ref="MAQ46:MAY46"/>
    <mergeCell ref="MAZ46:MBH46"/>
    <mergeCell ref="MBI46:MBQ46"/>
    <mergeCell ref="MBR46:MBZ46"/>
    <mergeCell ref="LYO46:LYW46"/>
    <mergeCell ref="LYX46:LZF46"/>
    <mergeCell ref="LZG46:LZO46"/>
    <mergeCell ref="LZP46:LZX46"/>
    <mergeCell ref="LZY46:MAG46"/>
    <mergeCell ref="LWV46:LXD46"/>
    <mergeCell ref="LXE46:LXM46"/>
    <mergeCell ref="LXN46:LXV46"/>
    <mergeCell ref="LXW46:LYE46"/>
    <mergeCell ref="LYF46:LYN46"/>
    <mergeCell ref="MIY46:MJG46"/>
    <mergeCell ref="MJH46:MJP46"/>
    <mergeCell ref="MJQ46:MJY46"/>
    <mergeCell ref="MJZ46:MKH46"/>
    <mergeCell ref="MKI46:MKQ46"/>
    <mergeCell ref="MHF46:MHN46"/>
    <mergeCell ref="MHO46:MHW46"/>
    <mergeCell ref="MHX46:MIF46"/>
    <mergeCell ref="MIG46:MIO46"/>
    <mergeCell ref="MIP46:MIX46"/>
    <mergeCell ref="MFM46:MFU46"/>
    <mergeCell ref="MFV46:MGD46"/>
    <mergeCell ref="MGE46:MGM46"/>
    <mergeCell ref="MGN46:MGV46"/>
    <mergeCell ref="MGW46:MHE46"/>
    <mergeCell ref="MDT46:MEB46"/>
    <mergeCell ref="MEC46:MEK46"/>
    <mergeCell ref="MEL46:MET46"/>
    <mergeCell ref="MEU46:MFC46"/>
    <mergeCell ref="MFD46:MFL46"/>
    <mergeCell ref="MPW46:MQE46"/>
    <mergeCell ref="MQF46:MQN46"/>
    <mergeCell ref="MQO46:MQW46"/>
    <mergeCell ref="MQX46:MRF46"/>
    <mergeCell ref="MRG46:MRO46"/>
    <mergeCell ref="MOD46:MOL46"/>
    <mergeCell ref="MOM46:MOU46"/>
    <mergeCell ref="MOV46:MPD46"/>
    <mergeCell ref="MPE46:MPM46"/>
    <mergeCell ref="MPN46:MPV46"/>
    <mergeCell ref="MMK46:MMS46"/>
    <mergeCell ref="MMT46:MNB46"/>
    <mergeCell ref="MNC46:MNK46"/>
    <mergeCell ref="MNL46:MNT46"/>
    <mergeCell ref="MNU46:MOC46"/>
    <mergeCell ref="MKR46:MKZ46"/>
    <mergeCell ref="MLA46:MLI46"/>
    <mergeCell ref="MLJ46:MLR46"/>
    <mergeCell ref="MLS46:MMA46"/>
    <mergeCell ref="MMB46:MMJ46"/>
    <mergeCell ref="MWU46:MXC46"/>
    <mergeCell ref="MXD46:MXL46"/>
    <mergeCell ref="MXM46:MXU46"/>
    <mergeCell ref="MXV46:MYD46"/>
    <mergeCell ref="MYE46:MYM46"/>
    <mergeCell ref="MVB46:MVJ46"/>
    <mergeCell ref="MVK46:MVS46"/>
    <mergeCell ref="MVT46:MWB46"/>
    <mergeCell ref="MWC46:MWK46"/>
    <mergeCell ref="MWL46:MWT46"/>
    <mergeCell ref="MTI46:MTQ46"/>
    <mergeCell ref="MTR46:MTZ46"/>
    <mergeCell ref="MUA46:MUI46"/>
    <mergeCell ref="MUJ46:MUR46"/>
    <mergeCell ref="MUS46:MVA46"/>
    <mergeCell ref="MRP46:MRX46"/>
    <mergeCell ref="MRY46:MSG46"/>
    <mergeCell ref="MSH46:MSP46"/>
    <mergeCell ref="MSQ46:MSY46"/>
    <mergeCell ref="MSZ46:MTH46"/>
    <mergeCell ref="NDS46:NEA46"/>
    <mergeCell ref="NEB46:NEJ46"/>
    <mergeCell ref="NEK46:NES46"/>
    <mergeCell ref="NET46:NFB46"/>
    <mergeCell ref="NFC46:NFK46"/>
    <mergeCell ref="NBZ46:NCH46"/>
    <mergeCell ref="NCI46:NCQ46"/>
    <mergeCell ref="NCR46:NCZ46"/>
    <mergeCell ref="NDA46:NDI46"/>
    <mergeCell ref="NDJ46:NDR46"/>
    <mergeCell ref="NAG46:NAO46"/>
    <mergeCell ref="NAP46:NAX46"/>
    <mergeCell ref="NAY46:NBG46"/>
    <mergeCell ref="NBH46:NBP46"/>
    <mergeCell ref="NBQ46:NBY46"/>
    <mergeCell ref="MYN46:MYV46"/>
    <mergeCell ref="MYW46:MZE46"/>
    <mergeCell ref="MZF46:MZN46"/>
    <mergeCell ref="MZO46:MZW46"/>
    <mergeCell ref="MZX46:NAF46"/>
    <mergeCell ref="NKQ46:NKY46"/>
    <mergeCell ref="NKZ46:NLH46"/>
    <mergeCell ref="NLI46:NLQ46"/>
    <mergeCell ref="NLR46:NLZ46"/>
    <mergeCell ref="NMA46:NMI46"/>
    <mergeCell ref="NIX46:NJF46"/>
    <mergeCell ref="NJG46:NJO46"/>
    <mergeCell ref="NJP46:NJX46"/>
    <mergeCell ref="NJY46:NKG46"/>
    <mergeCell ref="NKH46:NKP46"/>
    <mergeCell ref="NHE46:NHM46"/>
    <mergeCell ref="NHN46:NHV46"/>
    <mergeCell ref="NHW46:NIE46"/>
    <mergeCell ref="NIF46:NIN46"/>
    <mergeCell ref="NIO46:NIW46"/>
    <mergeCell ref="NFL46:NFT46"/>
    <mergeCell ref="NFU46:NGC46"/>
    <mergeCell ref="NGD46:NGL46"/>
    <mergeCell ref="NGM46:NGU46"/>
    <mergeCell ref="NGV46:NHD46"/>
    <mergeCell ref="NRO46:NRW46"/>
    <mergeCell ref="NRX46:NSF46"/>
    <mergeCell ref="NSG46:NSO46"/>
    <mergeCell ref="NSP46:NSX46"/>
    <mergeCell ref="NSY46:NTG46"/>
    <mergeCell ref="NPV46:NQD46"/>
    <mergeCell ref="NQE46:NQM46"/>
    <mergeCell ref="NQN46:NQV46"/>
    <mergeCell ref="NQW46:NRE46"/>
    <mergeCell ref="NRF46:NRN46"/>
    <mergeCell ref="NOC46:NOK46"/>
    <mergeCell ref="NOL46:NOT46"/>
    <mergeCell ref="NOU46:NPC46"/>
    <mergeCell ref="NPD46:NPL46"/>
    <mergeCell ref="NPM46:NPU46"/>
    <mergeCell ref="NMJ46:NMR46"/>
    <mergeCell ref="NMS46:NNA46"/>
    <mergeCell ref="NNB46:NNJ46"/>
    <mergeCell ref="NNK46:NNS46"/>
    <mergeCell ref="NNT46:NOB46"/>
    <mergeCell ref="NYM46:NYU46"/>
    <mergeCell ref="NYV46:NZD46"/>
    <mergeCell ref="NZE46:NZM46"/>
    <mergeCell ref="NZN46:NZV46"/>
    <mergeCell ref="NZW46:OAE46"/>
    <mergeCell ref="NWT46:NXB46"/>
    <mergeCell ref="NXC46:NXK46"/>
    <mergeCell ref="NXL46:NXT46"/>
    <mergeCell ref="NXU46:NYC46"/>
    <mergeCell ref="NYD46:NYL46"/>
    <mergeCell ref="NVA46:NVI46"/>
    <mergeCell ref="NVJ46:NVR46"/>
    <mergeCell ref="NVS46:NWA46"/>
    <mergeCell ref="NWB46:NWJ46"/>
    <mergeCell ref="NWK46:NWS46"/>
    <mergeCell ref="NTH46:NTP46"/>
    <mergeCell ref="NTQ46:NTY46"/>
    <mergeCell ref="NTZ46:NUH46"/>
    <mergeCell ref="NUI46:NUQ46"/>
    <mergeCell ref="NUR46:NUZ46"/>
    <mergeCell ref="OFK46:OFS46"/>
    <mergeCell ref="OFT46:OGB46"/>
    <mergeCell ref="OGC46:OGK46"/>
    <mergeCell ref="OGL46:OGT46"/>
    <mergeCell ref="OGU46:OHC46"/>
    <mergeCell ref="ODR46:ODZ46"/>
    <mergeCell ref="OEA46:OEI46"/>
    <mergeCell ref="OEJ46:OER46"/>
    <mergeCell ref="OES46:OFA46"/>
    <mergeCell ref="OFB46:OFJ46"/>
    <mergeCell ref="OBY46:OCG46"/>
    <mergeCell ref="OCH46:OCP46"/>
    <mergeCell ref="OCQ46:OCY46"/>
    <mergeCell ref="OCZ46:ODH46"/>
    <mergeCell ref="ODI46:ODQ46"/>
    <mergeCell ref="OAF46:OAN46"/>
    <mergeCell ref="OAO46:OAW46"/>
    <mergeCell ref="OAX46:OBF46"/>
    <mergeCell ref="OBG46:OBO46"/>
    <mergeCell ref="OBP46:OBX46"/>
    <mergeCell ref="OMI46:OMQ46"/>
    <mergeCell ref="OMR46:OMZ46"/>
    <mergeCell ref="ONA46:ONI46"/>
    <mergeCell ref="ONJ46:ONR46"/>
    <mergeCell ref="ONS46:OOA46"/>
    <mergeCell ref="OKP46:OKX46"/>
    <mergeCell ref="OKY46:OLG46"/>
    <mergeCell ref="OLH46:OLP46"/>
    <mergeCell ref="OLQ46:OLY46"/>
    <mergeCell ref="OLZ46:OMH46"/>
    <mergeCell ref="OIW46:OJE46"/>
    <mergeCell ref="OJF46:OJN46"/>
    <mergeCell ref="OJO46:OJW46"/>
    <mergeCell ref="OJX46:OKF46"/>
    <mergeCell ref="OKG46:OKO46"/>
    <mergeCell ref="OHD46:OHL46"/>
    <mergeCell ref="OHM46:OHU46"/>
    <mergeCell ref="OHV46:OID46"/>
    <mergeCell ref="OIE46:OIM46"/>
    <mergeCell ref="OIN46:OIV46"/>
    <mergeCell ref="OTG46:OTO46"/>
    <mergeCell ref="OTP46:OTX46"/>
    <mergeCell ref="OTY46:OUG46"/>
    <mergeCell ref="OUH46:OUP46"/>
    <mergeCell ref="OUQ46:OUY46"/>
    <mergeCell ref="ORN46:ORV46"/>
    <mergeCell ref="ORW46:OSE46"/>
    <mergeCell ref="OSF46:OSN46"/>
    <mergeCell ref="OSO46:OSW46"/>
    <mergeCell ref="OSX46:OTF46"/>
    <mergeCell ref="OPU46:OQC46"/>
    <mergeCell ref="OQD46:OQL46"/>
    <mergeCell ref="OQM46:OQU46"/>
    <mergeCell ref="OQV46:ORD46"/>
    <mergeCell ref="ORE46:ORM46"/>
    <mergeCell ref="OOB46:OOJ46"/>
    <mergeCell ref="OOK46:OOS46"/>
    <mergeCell ref="OOT46:OPB46"/>
    <mergeCell ref="OPC46:OPK46"/>
    <mergeCell ref="OPL46:OPT46"/>
    <mergeCell ref="PAE46:PAM46"/>
    <mergeCell ref="PAN46:PAV46"/>
    <mergeCell ref="PAW46:PBE46"/>
    <mergeCell ref="PBF46:PBN46"/>
    <mergeCell ref="PBO46:PBW46"/>
    <mergeCell ref="OYL46:OYT46"/>
    <mergeCell ref="OYU46:OZC46"/>
    <mergeCell ref="OZD46:OZL46"/>
    <mergeCell ref="OZM46:OZU46"/>
    <mergeCell ref="OZV46:PAD46"/>
    <mergeCell ref="OWS46:OXA46"/>
    <mergeCell ref="OXB46:OXJ46"/>
    <mergeCell ref="OXK46:OXS46"/>
    <mergeCell ref="OXT46:OYB46"/>
    <mergeCell ref="OYC46:OYK46"/>
    <mergeCell ref="OUZ46:OVH46"/>
    <mergeCell ref="OVI46:OVQ46"/>
    <mergeCell ref="OVR46:OVZ46"/>
    <mergeCell ref="OWA46:OWI46"/>
    <mergeCell ref="OWJ46:OWR46"/>
    <mergeCell ref="PHC46:PHK46"/>
    <mergeCell ref="PHL46:PHT46"/>
    <mergeCell ref="PHU46:PIC46"/>
    <mergeCell ref="PID46:PIL46"/>
    <mergeCell ref="PIM46:PIU46"/>
    <mergeCell ref="PFJ46:PFR46"/>
    <mergeCell ref="PFS46:PGA46"/>
    <mergeCell ref="PGB46:PGJ46"/>
    <mergeCell ref="PGK46:PGS46"/>
    <mergeCell ref="PGT46:PHB46"/>
    <mergeCell ref="PDQ46:PDY46"/>
    <mergeCell ref="PDZ46:PEH46"/>
    <mergeCell ref="PEI46:PEQ46"/>
    <mergeCell ref="PER46:PEZ46"/>
    <mergeCell ref="PFA46:PFI46"/>
    <mergeCell ref="PBX46:PCF46"/>
    <mergeCell ref="PCG46:PCO46"/>
    <mergeCell ref="PCP46:PCX46"/>
    <mergeCell ref="PCY46:PDG46"/>
    <mergeCell ref="PDH46:PDP46"/>
    <mergeCell ref="POA46:POI46"/>
    <mergeCell ref="POJ46:POR46"/>
    <mergeCell ref="POS46:PPA46"/>
    <mergeCell ref="PPB46:PPJ46"/>
    <mergeCell ref="PPK46:PPS46"/>
    <mergeCell ref="PMH46:PMP46"/>
    <mergeCell ref="PMQ46:PMY46"/>
    <mergeCell ref="PMZ46:PNH46"/>
    <mergeCell ref="PNI46:PNQ46"/>
    <mergeCell ref="PNR46:PNZ46"/>
    <mergeCell ref="PKO46:PKW46"/>
    <mergeCell ref="PKX46:PLF46"/>
    <mergeCell ref="PLG46:PLO46"/>
    <mergeCell ref="PLP46:PLX46"/>
    <mergeCell ref="PLY46:PMG46"/>
    <mergeCell ref="PIV46:PJD46"/>
    <mergeCell ref="PJE46:PJM46"/>
    <mergeCell ref="PJN46:PJV46"/>
    <mergeCell ref="PJW46:PKE46"/>
    <mergeCell ref="PKF46:PKN46"/>
    <mergeCell ref="PUY46:PVG46"/>
    <mergeCell ref="PVH46:PVP46"/>
    <mergeCell ref="PVQ46:PVY46"/>
    <mergeCell ref="PVZ46:PWH46"/>
    <mergeCell ref="PWI46:PWQ46"/>
    <mergeCell ref="PTF46:PTN46"/>
    <mergeCell ref="PTO46:PTW46"/>
    <mergeCell ref="PTX46:PUF46"/>
    <mergeCell ref="PUG46:PUO46"/>
    <mergeCell ref="PUP46:PUX46"/>
    <mergeCell ref="PRM46:PRU46"/>
    <mergeCell ref="PRV46:PSD46"/>
    <mergeCell ref="PSE46:PSM46"/>
    <mergeCell ref="PSN46:PSV46"/>
    <mergeCell ref="PSW46:PTE46"/>
    <mergeCell ref="PPT46:PQB46"/>
    <mergeCell ref="PQC46:PQK46"/>
    <mergeCell ref="PQL46:PQT46"/>
    <mergeCell ref="PQU46:PRC46"/>
    <mergeCell ref="PRD46:PRL46"/>
    <mergeCell ref="QBW46:QCE46"/>
    <mergeCell ref="QCF46:QCN46"/>
    <mergeCell ref="QCO46:QCW46"/>
    <mergeCell ref="QCX46:QDF46"/>
    <mergeCell ref="QDG46:QDO46"/>
    <mergeCell ref="QAD46:QAL46"/>
    <mergeCell ref="QAM46:QAU46"/>
    <mergeCell ref="QAV46:QBD46"/>
    <mergeCell ref="QBE46:QBM46"/>
    <mergeCell ref="QBN46:QBV46"/>
    <mergeCell ref="PYK46:PYS46"/>
    <mergeCell ref="PYT46:PZB46"/>
    <mergeCell ref="PZC46:PZK46"/>
    <mergeCell ref="PZL46:PZT46"/>
    <mergeCell ref="PZU46:QAC46"/>
    <mergeCell ref="PWR46:PWZ46"/>
    <mergeCell ref="PXA46:PXI46"/>
    <mergeCell ref="PXJ46:PXR46"/>
    <mergeCell ref="PXS46:PYA46"/>
    <mergeCell ref="PYB46:PYJ46"/>
    <mergeCell ref="QIU46:QJC46"/>
    <mergeCell ref="QJD46:QJL46"/>
    <mergeCell ref="QJM46:QJU46"/>
    <mergeCell ref="QJV46:QKD46"/>
    <mergeCell ref="QKE46:QKM46"/>
    <mergeCell ref="QHB46:QHJ46"/>
    <mergeCell ref="QHK46:QHS46"/>
    <mergeCell ref="QHT46:QIB46"/>
    <mergeCell ref="QIC46:QIK46"/>
    <mergeCell ref="QIL46:QIT46"/>
    <mergeCell ref="QFI46:QFQ46"/>
    <mergeCell ref="QFR46:QFZ46"/>
    <mergeCell ref="QGA46:QGI46"/>
    <mergeCell ref="QGJ46:QGR46"/>
    <mergeCell ref="QGS46:QHA46"/>
    <mergeCell ref="QDP46:QDX46"/>
    <mergeCell ref="QDY46:QEG46"/>
    <mergeCell ref="QEH46:QEP46"/>
    <mergeCell ref="QEQ46:QEY46"/>
    <mergeCell ref="QEZ46:QFH46"/>
    <mergeCell ref="QPS46:QQA46"/>
    <mergeCell ref="QQB46:QQJ46"/>
    <mergeCell ref="QQK46:QQS46"/>
    <mergeCell ref="QQT46:QRB46"/>
    <mergeCell ref="QRC46:QRK46"/>
    <mergeCell ref="QNZ46:QOH46"/>
    <mergeCell ref="QOI46:QOQ46"/>
    <mergeCell ref="QOR46:QOZ46"/>
    <mergeCell ref="QPA46:QPI46"/>
    <mergeCell ref="QPJ46:QPR46"/>
    <mergeCell ref="QMG46:QMO46"/>
    <mergeCell ref="QMP46:QMX46"/>
    <mergeCell ref="QMY46:QNG46"/>
    <mergeCell ref="QNH46:QNP46"/>
    <mergeCell ref="QNQ46:QNY46"/>
    <mergeCell ref="QKN46:QKV46"/>
    <mergeCell ref="QKW46:QLE46"/>
    <mergeCell ref="QLF46:QLN46"/>
    <mergeCell ref="QLO46:QLW46"/>
    <mergeCell ref="QLX46:QMF46"/>
    <mergeCell ref="QWQ46:QWY46"/>
    <mergeCell ref="QWZ46:QXH46"/>
    <mergeCell ref="QXI46:QXQ46"/>
    <mergeCell ref="QXR46:QXZ46"/>
    <mergeCell ref="QYA46:QYI46"/>
    <mergeCell ref="QUX46:QVF46"/>
    <mergeCell ref="QVG46:QVO46"/>
    <mergeCell ref="QVP46:QVX46"/>
    <mergeCell ref="QVY46:QWG46"/>
    <mergeCell ref="QWH46:QWP46"/>
    <mergeCell ref="QTE46:QTM46"/>
    <mergeCell ref="QTN46:QTV46"/>
    <mergeCell ref="QTW46:QUE46"/>
    <mergeCell ref="QUF46:QUN46"/>
    <mergeCell ref="QUO46:QUW46"/>
    <mergeCell ref="QRL46:QRT46"/>
    <mergeCell ref="QRU46:QSC46"/>
    <mergeCell ref="QSD46:QSL46"/>
    <mergeCell ref="QSM46:QSU46"/>
    <mergeCell ref="QSV46:QTD46"/>
    <mergeCell ref="RDO46:RDW46"/>
    <mergeCell ref="RDX46:REF46"/>
    <mergeCell ref="REG46:REO46"/>
    <mergeCell ref="REP46:REX46"/>
    <mergeCell ref="REY46:RFG46"/>
    <mergeCell ref="RBV46:RCD46"/>
    <mergeCell ref="RCE46:RCM46"/>
    <mergeCell ref="RCN46:RCV46"/>
    <mergeCell ref="RCW46:RDE46"/>
    <mergeCell ref="RDF46:RDN46"/>
    <mergeCell ref="RAC46:RAK46"/>
    <mergeCell ref="RAL46:RAT46"/>
    <mergeCell ref="RAU46:RBC46"/>
    <mergeCell ref="RBD46:RBL46"/>
    <mergeCell ref="RBM46:RBU46"/>
    <mergeCell ref="QYJ46:QYR46"/>
    <mergeCell ref="QYS46:QZA46"/>
    <mergeCell ref="QZB46:QZJ46"/>
    <mergeCell ref="QZK46:QZS46"/>
    <mergeCell ref="QZT46:RAB46"/>
    <mergeCell ref="RKM46:RKU46"/>
    <mergeCell ref="RKV46:RLD46"/>
    <mergeCell ref="RLE46:RLM46"/>
    <mergeCell ref="RLN46:RLV46"/>
    <mergeCell ref="RLW46:RME46"/>
    <mergeCell ref="RIT46:RJB46"/>
    <mergeCell ref="RJC46:RJK46"/>
    <mergeCell ref="RJL46:RJT46"/>
    <mergeCell ref="RJU46:RKC46"/>
    <mergeCell ref="RKD46:RKL46"/>
    <mergeCell ref="RHA46:RHI46"/>
    <mergeCell ref="RHJ46:RHR46"/>
    <mergeCell ref="RHS46:RIA46"/>
    <mergeCell ref="RIB46:RIJ46"/>
    <mergeCell ref="RIK46:RIS46"/>
    <mergeCell ref="RFH46:RFP46"/>
    <mergeCell ref="RFQ46:RFY46"/>
    <mergeCell ref="RFZ46:RGH46"/>
    <mergeCell ref="RGI46:RGQ46"/>
    <mergeCell ref="RGR46:RGZ46"/>
    <mergeCell ref="RRK46:RRS46"/>
    <mergeCell ref="RRT46:RSB46"/>
    <mergeCell ref="RSC46:RSK46"/>
    <mergeCell ref="RSL46:RST46"/>
    <mergeCell ref="RSU46:RTC46"/>
    <mergeCell ref="RPR46:RPZ46"/>
    <mergeCell ref="RQA46:RQI46"/>
    <mergeCell ref="RQJ46:RQR46"/>
    <mergeCell ref="RQS46:RRA46"/>
    <mergeCell ref="RRB46:RRJ46"/>
    <mergeCell ref="RNY46:ROG46"/>
    <mergeCell ref="ROH46:ROP46"/>
    <mergeCell ref="ROQ46:ROY46"/>
    <mergeCell ref="ROZ46:RPH46"/>
    <mergeCell ref="RPI46:RPQ46"/>
    <mergeCell ref="RMF46:RMN46"/>
    <mergeCell ref="RMO46:RMW46"/>
    <mergeCell ref="RMX46:RNF46"/>
    <mergeCell ref="RNG46:RNO46"/>
    <mergeCell ref="RNP46:RNX46"/>
    <mergeCell ref="RYI46:RYQ46"/>
    <mergeCell ref="RYR46:RYZ46"/>
    <mergeCell ref="RZA46:RZI46"/>
    <mergeCell ref="RZJ46:RZR46"/>
    <mergeCell ref="RZS46:SAA46"/>
    <mergeCell ref="RWP46:RWX46"/>
    <mergeCell ref="RWY46:RXG46"/>
    <mergeCell ref="RXH46:RXP46"/>
    <mergeCell ref="RXQ46:RXY46"/>
    <mergeCell ref="RXZ46:RYH46"/>
    <mergeCell ref="RUW46:RVE46"/>
    <mergeCell ref="RVF46:RVN46"/>
    <mergeCell ref="RVO46:RVW46"/>
    <mergeCell ref="RVX46:RWF46"/>
    <mergeCell ref="RWG46:RWO46"/>
    <mergeCell ref="RTD46:RTL46"/>
    <mergeCell ref="RTM46:RTU46"/>
    <mergeCell ref="RTV46:RUD46"/>
    <mergeCell ref="RUE46:RUM46"/>
    <mergeCell ref="RUN46:RUV46"/>
    <mergeCell ref="SFG46:SFO46"/>
    <mergeCell ref="SFP46:SFX46"/>
    <mergeCell ref="SFY46:SGG46"/>
    <mergeCell ref="SGH46:SGP46"/>
    <mergeCell ref="SGQ46:SGY46"/>
    <mergeCell ref="SDN46:SDV46"/>
    <mergeCell ref="SDW46:SEE46"/>
    <mergeCell ref="SEF46:SEN46"/>
    <mergeCell ref="SEO46:SEW46"/>
    <mergeCell ref="SEX46:SFF46"/>
    <mergeCell ref="SBU46:SCC46"/>
    <mergeCell ref="SCD46:SCL46"/>
    <mergeCell ref="SCM46:SCU46"/>
    <mergeCell ref="SCV46:SDD46"/>
    <mergeCell ref="SDE46:SDM46"/>
    <mergeCell ref="SAB46:SAJ46"/>
    <mergeCell ref="SAK46:SAS46"/>
    <mergeCell ref="SAT46:SBB46"/>
    <mergeCell ref="SBC46:SBK46"/>
    <mergeCell ref="SBL46:SBT46"/>
    <mergeCell ref="SME46:SMM46"/>
    <mergeCell ref="SMN46:SMV46"/>
    <mergeCell ref="SMW46:SNE46"/>
    <mergeCell ref="SNF46:SNN46"/>
    <mergeCell ref="SNO46:SNW46"/>
    <mergeCell ref="SKL46:SKT46"/>
    <mergeCell ref="SKU46:SLC46"/>
    <mergeCell ref="SLD46:SLL46"/>
    <mergeCell ref="SLM46:SLU46"/>
    <mergeCell ref="SLV46:SMD46"/>
    <mergeCell ref="SIS46:SJA46"/>
    <mergeCell ref="SJB46:SJJ46"/>
    <mergeCell ref="SJK46:SJS46"/>
    <mergeCell ref="SJT46:SKB46"/>
    <mergeCell ref="SKC46:SKK46"/>
    <mergeCell ref="SGZ46:SHH46"/>
    <mergeCell ref="SHI46:SHQ46"/>
    <mergeCell ref="SHR46:SHZ46"/>
    <mergeCell ref="SIA46:SII46"/>
    <mergeCell ref="SIJ46:SIR46"/>
    <mergeCell ref="STC46:STK46"/>
    <mergeCell ref="STL46:STT46"/>
    <mergeCell ref="STU46:SUC46"/>
    <mergeCell ref="SUD46:SUL46"/>
    <mergeCell ref="SUM46:SUU46"/>
    <mergeCell ref="SRJ46:SRR46"/>
    <mergeCell ref="SRS46:SSA46"/>
    <mergeCell ref="SSB46:SSJ46"/>
    <mergeCell ref="SSK46:SSS46"/>
    <mergeCell ref="SST46:STB46"/>
    <mergeCell ref="SPQ46:SPY46"/>
    <mergeCell ref="SPZ46:SQH46"/>
    <mergeCell ref="SQI46:SQQ46"/>
    <mergeCell ref="SQR46:SQZ46"/>
    <mergeCell ref="SRA46:SRI46"/>
    <mergeCell ref="SNX46:SOF46"/>
    <mergeCell ref="SOG46:SOO46"/>
    <mergeCell ref="SOP46:SOX46"/>
    <mergeCell ref="SOY46:SPG46"/>
    <mergeCell ref="SPH46:SPP46"/>
    <mergeCell ref="TAA46:TAI46"/>
    <mergeCell ref="TAJ46:TAR46"/>
    <mergeCell ref="TAS46:TBA46"/>
    <mergeCell ref="TBB46:TBJ46"/>
    <mergeCell ref="TBK46:TBS46"/>
    <mergeCell ref="SYH46:SYP46"/>
    <mergeCell ref="SYQ46:SYY46"/>
    <mergeCell ref="SYZ46:SZH46"/>
    <mergeCell ref="SZI46:SZQ46"/>
    <mergeCell ref="SZR46:SZZ46"/>
    <mergeCell ref="SWO46:SWW46"/>
    <mergeCell ref="SWX46:SXF46"/>
    <mergeCell ref="SXG46:SXO46"/>
    <mergeCell ref="SXP46:SXX46"/>
    <mergeCell ref="SXY46:SYG46"/>
    <mergeCell ref="SUV46:SVD46"/>
    <mergeCell ref="SVE46:SVM46"/>
    <mergeCell ref="SVN46:SVV46"/>
    <mergeCell ref="SVW46:SWE46"/>
    <mergeCell ref="SWF46:SWN46"/>
    <mergeCell ref="TGY46:THG46"/>
    <mergeCell ref="THH46:THP46"/>
    <mergeCell ref="THQ46:THY46"/>
    <mergeCell ref="THZ46:TIH46"/>
    <mergeCell ref="TII46:TIQ46"/>
    <mergeCell ref="TFF46:TFN46"/>
    <mergeCell ref="TFO46:TFW46"/>
    <mergeCell ref="TFX46:TGF46"/>
    <mergeCell ref="TGG46:TGO46"/>
    <mergeCell ref="TGP46:TGX46"/>
    <mergeCell ref="TDM46:TDU46"/>
    <mergeCell ref="TDV46:TED46"/>
    <mergeCell ref="TEE46:TEM46"/>
    <mergeCell ref="TEN46:TEV46"/>
    <mergeCell ref="TEW46:TFE46"/>
    <mergeCell ref="TBT46:TCB46"/>
    <mergeCell ref="TCC46:TCK46"/>
    <mergeCell ref="TCL46:TCT46"/>
    <mergeCell ref="TCU46:TDC46"/>
    <mergeCell ref="TDD46:TDL46"/>
    <mergeCell ref="TNW46:TOE46"/>
    <mergeCell ref="TOF46:TON46"/>
    <mergeCell ref="TOO46:TOW46"/>
    <mergeCell ref="TOX46:TPF46"/>
    <mergeCell ref="TPG46:TPO46"/>
    <mergeCell ref="TMD46:TML46"/>
    <mergeCell ref="TMM46:TMU46"/>
    <mergeCell ref="TMV46:TND46"/>
    <mergeCell ref="TNE46:TNM46"/>
    <mergeCell ref="TNN46:TNV46"/>
    <mergeCell ref="TKK46:TKS46"/>
    <mergeCell ref="TKT46:TLB46"/>
    <mergeCell ref="TLC46:TLK46"/>
    <mergeCell ref="TLL46:TLT46"/>
    <mergeCell ref="TLU46:TMC46"/>
    <mergeCell ref="TIR46:TIZ46"/>
    <mergeCell ref="TJA46:TJI46"/>
    <mergeCell ref="TJJ46:TJR46"/>
    <mergeCell ref="TJS46:TKA46"/>
    <mergeCell ref="TKB46:TKJ46"/>
    <mergeCell ref="TUU46:TVC46"/>
    <mergeCell ref="TVD46:TVL46"/>
    <mergeCell ref="TVM46:TVU46"/>
    <mergeCell ref="TVV46:TWD46"/>
    <mergeCell ref="TWE46:TWM46"/>
    <mergeCell ref="TTB46:TTJ46"/>
    <mergeCell ref="TTK46:TTS46"/>
    <mergeCell ref="TTT46:TUB46"/>
    <mergeCell ref="TUC46:TUK46"/>
    <mergeCell ref="TUL46:TUT46"/>
    <mergeCell ref="TRI46:TRQ46"/>
    <mergeCell ref="TRR46:TRZ46"/>
    <mergeCell ref="TSA46:TSI46"/>
    <mergeCell ref="TSJ46:TSR46"/>
    <mergeCell ref="TSS46:TTA46"/>
    <mergeCell ref="TPP46:TPX46"/>
    <mergeCell ref="TPY46:TQG46"/>
    <mergeCell ref="TQH46:TQP46"/>
    <mergeCell ref="TQQ46:TQY46"/>
    <mergeCell ref="TQZ46:TRH46"/>
    <mergeCell ref="UBS46:UCA46"/>
    <mergeCell ref="UCB46:UCJ46"/>
    <mergeCell ref="UCK46:UCS46"/>
    <mergeCell ref="UCT46:UDB46"/>
    <mergeCell ref="UDC46:UDK46"/>
    <mergeCell ref="TZZ46:UAH46"/>
    <mergeCell ref="UAI46:UAQ46"/>
    <mergeCell ref="UAR46:UAZ46"/>
    <mergeCell ref="UBA46:UBI46"/>
    <mergeCell ref="UBJ46:UBR46"/>
    <mergeCell ref="TYG46:TYO46"/>
    <mergeCell ref="TYP46:TYX46"/>
    <mergeCell ref="TYY46:TZG46"/>
    <mergeCell ref="TZH46:TZP46"/>
    <mergeCell ref="TZQ46:TZY46"/>
    <mergeCell ref="TWN46:TWV46"/>
    <mergeCell ref="TWW46:TXE46"/>
    <mergeCell ref="TXF46:TXN46"/>
    <mergeCell ref="TXO46:TXW46"/>
    <mergeCell ref="TXX46:TYF46"/>
    <mergeCell ref="UIQ46:UIY46"/>
    <mergeCell ref="UIZ46:UJH46"/>
    <mergeCell ref="UJI46:UJQ46"/>
    <mergeCell ref="UJR46:UJZ46"/>
    <mergeCell ref="UKA46:UKI46"/>
    <mergeCell ref="UGX46:UHF46"/>
    <mergeCell ref="UHG46:UHO46"/>
    <mergeCell ref="UHP46:UHX46"/>
    <mergeCell ref="UHY46:UIG46"/>
    <mergeCell ref="UIH46:UIP46"/>
    <mergeCell ref="UFE46:UFM46"/>
    <mergeCell ref="UFN46:UFV46"/>
    <mergeCell ref="UFW46:UGE46"/>
    <mergeCell ref="UGF46:UGN46"/>
    <mergeCell ref="UGO46:UGW46"/>
    <mergeCell ref="UDL46:UDT46"/>
    <mergeCell ref="UDU46:UEC46"/>
    <mergeCell ref="UED46:UEL46"/>
    <mergeCell ref="UEM46:UEU46"/>
    <mergeCell ref="UEV46:UFD46"/>
    <mergeCell ref="UPO46:UPW46"/>
    <mergeCell ref="UPX46:UQF46"/>
    <mergeCell ref="UQG46:UQO46"/>
    <mergeCell ref="UQP46:UQX46"/>
    <mergeCell ref="UQY46:URG46"/>
    <mergeCell ref="UNV46:UOD46"/>
    <mergeCell ref="UOE46:UOM46"/>
    <mergeCell ref="UON46:UOV46"/>
    <mergeCell ref="UOW46:UPE46"/>
    <mergeCell ref="UPF46:UPN46"/>
    <mergeCell ref="UMC46:UMK46"/>
    <mergeCell ref="UML46:UMT46"/>
    <mergeCell ref="UMU46:UNC46"/>
    <mergeCell ref="UND46:UNL46"/>
    <mergeCell ref="UNM46:UNU46"/>
    <mergeCell ref="UKJ46:UKR46"/>
    <mergeCell ref="UKS46:ULA46"/>
    <mergeCell ref="ULB46:ULJ46"/>
    <mergeCell ref="ULK46:ULS46"/>
    <mergeCell ref="ULT46:UMB46"/>
    <mergeCell ref="UWM46:UWU46"/>
    <mergeCell ref="UWV46:UXD46"/>
    <mergeCell ref="UXE46:UXM46"/>
    <mergeCell ref="UXN46:UXV46"/>
    <mergeCell ref="UXW46:UYE46"/>
    <mergeCell ref="UUT46:UVB46"/>
    <mergeCell ref="UVC46:UVK46"/>
    <mergeCell ref="UVL46:UVT46"/>
    <mergeCell ref="UVU46:UWC46"/>
    <mergeCell ref="UWD46:UWL46"/>
    <mergeCell ref="UTA46:UTI46"/>
    <mergeCell ref="UTJ46:UTR46"/>
    <mergeCell ref="UTS46:UUA46"/>
    <mergeCell ref="UUB46:UUJ46"/>
    <mergeCell ref="UUK46:UUS46"/>
    <mergeCell ref="URH46:URP46"/>
    <mergeCell ref="URQ46:URY46"/>
    <mergeCell ref="URZ46:USH46"/>
    <mergeCell ref="USI46:USQ46"/>
    <mergeCell ref="USR46:USZ46"/>
    <mergeCell ref="VDK46:VDS46"/>
    <mergeCell ref="VDT46:VEB46"/>
    <mergeCell ref="VEC46:VEK46"/>
    <mergeCell ref="VEL46:VET46"/>
    <mergeCell ref="VEU46:VFC46"/>
    <mergeCell ref="VBR46:VBZ46"/>
    <mergeCell ref="VCA46:VCI46"/>
    <mergeCell ref="VCJ46:VCR46"/>
    <mergeCell ref="VCS46:VDA46"/>
    <mergeCell ref="VDB46:VDJ46"/>
    <mergeCell ref="UZY46:VAG46"/>
    <mergeCell ref="VAH46:VAP46"/>
    <mergeCell ref="VAQ46:VAY46"/>
    <mergeCell ref="VAZ46:VBH46"/>
    <mergeCell ref="VBI46:VBQ46"/>
    <mergeCell ref="UYF46:UYN46"/>
    <mergeCell ref="UYO46:UYW46"/>
    <mergeCell ref="UYX46:UZF46"/>
    <mergeCell ref="UZG46:UZO46"/>
    <mergeCell ref="UZP46:UZX46"/>
    <mergeCell ref="VKI46:VKQ46"/>
    <mergeCell ref="VKR46:VKZ46"/>
    <mergeCell ref="VLA46:VLI46"/>
    <mergeCell ref="VLJ46:VLR46"/>
    <mergeCell ref="VLS46:VMA46"/>
    <mergeCell ref="VIP46:VIX46"/>
    <mergeCell ref="VIY46:VJG46"/>
    <mergeCell ref="VJH46:VJP46"/>
    <mergeCell ref="VJQ46:VJY46"/>
    <mergeCell ref="VJZ46:VKH46"/>
    <mergeCell ref="VGW46:VHE46"/>
    <mergeCell ref="VHF46:VHN46"/>
    <mergeCell ref="VHO46:VHW46"/>
    <mergeCell ref="VHX46:VIF46"/>
    <mergeCell ref="VIG46:VIO46"/>
    <mergeCell ref="VFD46:VFL46"/>
    <mergeCell ref="VFM46:VFU46"/>
    <mergeCell ref="VFV46:VGD46"/>
    <mergeCell ref="VGE46:VGM46"/>
    <mergeCell ref="VGN46:VGV46"/>
    <mergeCell ref="VRG46:VRO46"/>
    <mergeCell ref="VRP46:VRX46"/>
    <mergeCell ref="VRY46:VSG46"/>
    <mergeCell ref="VSH46:VSP46"/>
    <mergeCell ref="VSQ46:VSY46"/>
    <mergeCell ref="VPN46:VPV46"/>
    <mergeCell ref="VPW46:VQE46"/>
    <mergeCell ref="VQF46:VQN46"/>
    <mergeCell ref="VQO46:VQW46"/>
    <mergeCell ref="VQX46:VRF46"/>
    <mergeCell ref="VNU46:VOC46"/>
    <mergeCell ref="VOD46:VOL46"/>
    <mergeCell ref="VOM46:VOU46"/>
    <mergeCell ref="VOV46:VPD46"/>
    <mergeCell ref="VPE46:VPM46"/>
    <mergeCell ref="VMB46:VMJ46"/>
    <mergeCell ref="VMK46:VMS46"/>
    <mergeCell ref="VMT46:VNB46"/>
    <mergeCell ref="VNC46:VNK46"/>
    <mergeCell ref="VNL46:VNT46"/>
    <mergeCell ref="VYE46:VYM46"/>
    <mergeCell ref="VYN46:VYV46"/>
    <mergeCell ref="VYW46:VZE46"/>
    <mergeCell ref="VZF46:VZN46"/>
    <mergeCell ref="VZO46:VZW46"/>
    <mergeCell ref="VWL46:VWT46"/>
    <mergeCell ref="VWU46:VXC46"/>
    <mergeCell ref="VXD46:VXL46"/>
    <mergeCell ref="VXM46:VXU46"/>
    <mergeCell ref="VXV46:VYD46"/>
    <mergeCell ref="VUS46:VVA46"/>
    <mergeCell ref="VVB46:VVJ46"/>
    <mergeCell ref="VVK46:VVS46"/>
    <mergeCell ref="VVT46:VWB46"/>
    <mergeCell ref="VWC46:VWK46"/>
    <mergeCell ref="VSZ46:VTH46"/>
    <mergeCell ref="VTI46:VTQ46"/>
    <mergeCell ref="VTR46:VTZ46"/>
    <mergeCell ref="VUA46:VUI46"/>
    <mergeCell ref="VUJ46:VUR46"/>
    <mergeCell ref="WFC46:WFK46"/>
    <mergeCell ref="WFL46:WFT46"/>
    <mergeCell ref="WFU46:WGC46"/>
    <mergeCell ref="WGD46:WGL46"/>
    <mergeCell ref="WGM46:WGU46"/>
    <mergeCell ref="WDJ46:WDR46"/>
    <mergeCell ref="WDS46:WEA46"/>
    <mergeCell ref="WEB46:WEJ46"/>
    <mergeCell ref="WEK46:WES46"/>
    <mergeCell ref="WET46:WFB46"/>
    <mergeCell ref="WBQ46:WBY46"/>
    <mergeCell ref="WBZ46:WCH46"/>
    <mergeCell ref="WCI46:WCQ46"/>
    <mergeCell ref="WCR46:WCZ46"/>
    <mergeCell ref="WDA46:WDI46"/>
    <mergeCell ref="VZX46:WAF46"/>
    <mergeCell ref="WAG46:WAO46"/>
    <mergeCell ref="WAP46:WAX46"/>
    <mergeCell ref="WAY46:WBG46"/>
    <mergeCell ref="WBH46:WBP46"/>
    <mergeCell ref="WMA46:WMI46"/>
    <mergeCell ref="WMJ46:WMR46"/>
    <mergeCell ref="WMS46:WNA46"/>
    <mergeCell ref="WNB46:WNJ46"/>
    <mergeCell ref="WNK46:WNS46"/>
    <mergeCell ref="WKH46:WKP46"/>
    <mergeCell ref="WKQ46:WKY46"/>
    <mergeCell ref="WKZ46:WLH46"/>
    <mergeCell ref="WLI46:WLQ46"/>
    <mergeCell ref="WLR46:WLZ46"/>
    <mergeCell ref="WIO46:WIW46"/>
    <mergeCell ref="WIX46:WJF46"/>
    <mergeCell ref="WJG46:WJO46"/>
    <mergeCell ref="WJP46:WJX46"/>
    <mergeCell ref="WJY46:WKG46"/>
    <mergeCell ref="WGV46:WHD46"/>
    <mergeCell ref="WHE46:WHM46"/>
    <mergeCell ref="WHN46:WHV46"/>
    <mergeCell ref="WHW46:WIE46"/>
    <mergeCell ref="WIF46:WIN46"/>
    <mergeCell ref="WTH46:WTP46"/>
    <mergeCell ref="WTQ46:WTY46"/>
    <mergeCell ref="WTZ46:WUH46"/>
    <mergeCell ref="WUI46:WUQ46"/>
    <mergeCell ref="WRF46:WRN46"/>
    <mergeCell ref="WRO46:WRW46"/>
    <mergeCell ref="WRX46:WSF46"/>
    <mergeCell ref="WSG46:WSO46"/>
    <mergeCell ref="WSP46:WSX46"/>
    <mergeCell ref="WPM46:WPU46"/>
    <mergeCell ref="WPV46:WQD46"/>
    <mergeCell ref="WQE46:WQM46"/>
    <mergeCell ref="WQN46:WQV46"/>
    <mergeCell ref="WQW46:WRE46"/>
    <mergeCell ref="WNT46:WOB46"/>
    <mergeCell ref="WOC46:WOK46"/>
    <mergeCell ref="WOL46:WOT46"/>
    <mergeCell ref="WOU46:WPC46"/>
    <mergeCell ref="WPD46:WPL46"/>
    <mergeCell ref="A72:G72"/>
    <mergeCell ref="XDI46:XDQ46"/>
    <mergeCell ref="XDR46:XDZ46"/>
    <mergeCell ref="XEA46:XEI46"/>
    <mergeCell ref="XEJ46:XER46"/>
    <mergeCell ref="XES46:XFA46"/>
    <mergeCell ref="XBP46:XBX46"/>
    <mergeCell ref="XBY46:XCG46"/>
    <mergeCell ref="XCH46:XCP46"/>
    <mergeCell ref="XCQ46:XCY46"/>
    <mergeCell ref="XCZ46:XDH46"/>
    <mergeCell ref="WZW46:XAE46"/>
    <mergeCell ref="XAF46:XAN46"/>
    <mergeCell ref="XAO46:XAW46"/>
    <mergeCell ref="XAX46:XBF46"/>
    <mergeCell ref="XBG46:XBO46"/>
    <mergeCell ref="WYD46:WYL46"/>
    <mergeCell ref="WYM46:WYU46"/>
    <mergeCell ref="WYV46:WZD46"/>
    <mergeCell ref="WZE46:WZM46"/>
    <mergeCell ref="WZN46:WZV46"/>
    <mergeCell ref="WWK46:WWS46"/>
    <mergeCell ref="WWT46:WXB46"/>
    <mergeCell ref="WXC46:WXK46"/>
    <mergeCell ref="WXL46:WXT46"/>
    <mergeCell ref="WXU46:WYC46"/>
    <mergeCell ref="WUR46:WUZ46"/>
    <mergeCell ref="WVA46:WVI46"/>
    <mergeCell ref="WVJ46:WVR46"/>
    <mergeCell ref="WVS46:WWA46"/>
    <mergeCell ref="WWB46:WWJ46"/>
    <mergeCell ref="WSY46:WTG46"/>
  </mergeCells>
  <phoneticPr fontId="53" type="noConversion"/>
  <hyperlinks>
    <hyperlink ref="A2" location="'Table of Contents'!A1" display="Back to Table of Contents" xr:uid="{00000000-0004-0000-1900-000000000000}"/>
  </hyperlinks>
  <pageMargins left="0.70866141732283472" right="0.70866141732283472" top="0.74803149606299213" bottom="0.74803149606299213" header="0.31496062992125984" footer="0.31496062992125984"/>
  <pageSetup paperSize="9" scale="77" orientation="portrait" r:id="rId1"/>
  <tableParts count="2">
    <tablePart r:id="rId2"/>
    <tablePart r:id="rId3"/>
  </tableParts>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tabColor theme="9" tint="0.39997558519241921"/>
  </sheetPr>
  <dimension ref="A1:H79"/>
  <sheetViews>
    <sheetView showGridLines="0" zoomScaleNormal="100" workbookViewId="0">
      <pane ySplit="2" topLeftCell="A27" activePane="bottomLeft" state="frozen"/>
      <selection pane="bottomLeft" activeCell="I34" sqref="I34"/>
    </sheetView>
  </sheetViews>
  <sheetFormatPr defaultRowHeight="14.4" x14ac:dyDescent="0.3"/>
  <cols>
    <col min="1" max="1" width="17.109375" customWidth="1"/>
    <col min="2" max="2" width="59.44140625" customWidth="1"/>
    <col min="3" max="7" width="13.33203125" customWidth="1"/>
    <col min="8" max="8" width="19.5546875" customWidth="1"/>
  </cols>
  <sheetData>
    <row r="1" spans="1:7" ht="30" customHeight="1" x14ac:dyDescent="0.3">
      <c r="A1" s="513" t="s">
        <v>515</v>
      </c>
      <c r="B1" s="513"/>
      <c r="C1" s="513"/>
      <c r="D1" s="513"/>
      <c r="E1" s="513"/>
      <c r="F1" s="513"/>
      <c r="G1" s="513"/>
    </row>
    <row r="2" spans="1:7" ht="17.399999999999999" x14ac:dyDescent="0.3">
      <c r="A2" s="498" t="s">
        <v>202</v>
      </c>
      <c r="B2" s="1"/>
      <c r="C2" s="1"/>
      <c r="D2" s="1"/>
      <c r="E2" s="1"/>
      <c r="F2" s="1"/>
      <c r="G2" s="1"/>
    </row>
    <row r="4" spans="1:7" ht="30" customHeight="1" x14ac:dyDescent="0.3">
      <c r="A4" s="438" t="s">
        <v>1298</v>
      </c>
      <c r="B4" s="438"/>
    </row>
    <row r="5" spans="1:7" ht="15" customHeight="1" x14ac:dyDescent="0.3">
      <c r="A5" t="s">
        <v>203</v>
      </c>
      <c r="B5" t="s">
        <v>63</v>
      </c>
    </row>
    <row r="6" spans="1:7" ht="15" customHeight="1" x14ac:dyDescent="0.3">
      <c r="A6" t="s">
        <v>204</v>
      </c>
      <c r="B6" t="s">
        <v>205</v>
      </c>
    </row>
    <row r="7" spans="1:7" ht="15" customHeight="1" x14ac:dyDescent="0.3">
      <c r="A7" t="s">
        <v>206</v>
      </c>
      <c r="B7" t="s">
        <v>207</v>
      </c>
    </row>
    <row r="8" spans="1:7" ht="22.5" customHeight="1" x14ac:dyDescent="0.3"/>
    <row r="9" spans="1:7" s="459" customFormat="1" ht="37.5" customHeight="1" x14ac:dyDescent="0.3">
      <c r="A9" s="591" t="s">
        <v>208</v>
      </c>
      <c r="B9" s="591" t="s">
        <v>550</v>
      </c>
      <c r="C9" s="3" t="s">
        <v>531</v>
      </c>
      <c r="D9" s="3" t="s">
        <v>532</v>
      </c>
      <c r="E9" s="3" t="s">
        <v>535</v>
      </c>
      <c r="F9" s="3" t="s">
        <v>534</v>
      </c>
      <c r="G9" s="3" t="s">
        <v>519</v>
      </c>
    </row>
    <row r="10" spans="1:7" ht="30" customHeight="1" thickBot="1" x14ac:dyDescent="0.35">
      <c r="A10" s="38" t="str">
        <f>dutysystemlapivot!B1</f>
        <v>2025-26</v>
      </c>
      <c r="B10" s="38" t="s">
        <v>551</v>
      </c>
      <c r="C10" s="64">
        <f t="shared" ref="C10:F10" si="0">C45+C65+C71+C73</f>
        <v>2744</v>
      </c>
      <c r="D10" s="64">
        <f>D45+D65+D71+D73</f>
        <v>266</v>
      </c>
      <c r="E10" s="64">
        <f t="shared" si="0"/>
        <v>349</v>
      </c>
      <c r="F10" s="64">
        <f t="shared" si="0"/>
        <v>72</v>
      </c>
      <c r="G10" s="64">
        <f>G45+G65+G71+G73</f>
        <v>3431</v>
      </c>
    </row>
    <row r="11" spans="1:7" ht="19.5" customHeight="1" x14ac:dyDescent="0.3">
      <c r="B11" s="39"/>
      <c r="C11" s="44"/>
      <c r="D11" s="44"/>
      <c r="E11" s="44"/>
      <c r="F11" s="44"/>
      <c r="G11" s="44"/>
    </row>
    <row r="12" spans="1:7" ht="15" customHeight="1" x14ac:dyDescent="0.3">
      <c r="A12" s="42" t="s">
        <v>209</v>
      </c>
      <c r="B12" s="42" t="s">
        <v>347</v>
      </c>
      <c r="C12" s="20"/>
      <c r="D12" s="20"/>
      <c r="E12" s="20"/>
      <c r="F12" s="20"/>
      <c r="G12" s="20"/>
    </row>
    <row r="13" spans="1:7" ht="15" customHeight="1" x14ac:dyDescent="0.3">
      <c r="A13" s="390" t="s">
        <v>214</v>
      </c>
      <c r="B13" s="45" t="s">
        <v>215</v>
      </c>
      <c r="C13" s="66">
        <f>GETPIVOTDATA("Sum of Operational Crewing",dutysystemlapivot!$A$3,"ReportingLevel","1:LA","lvl","Aberdeen City")</f>
        <v>104</v>
      </c>
      <c r="D13" s="66">
        <f>GETPIVOTDATA("Sum of Incident Command Officers",dutysystemlapivot!$A$3,"ReportingLevel","1:LA","lvl","Aberdeen City")</f>
        <v>0</v>
      </c>
      <c r="E13" s="66">
        <f>GETPIVOTDATA("Sum of Office Duties",dutysystemlapivot!$A$3,"ReportingLevel","1:LA","lvl","Aberdeen City")</f>
        <v>5</v>
      </c>
      <c r="F13" s="66">
        <f>GETPIVOTDATA("Sum of Trainees",dutysystemlapivot!$A$3,"ReportingLevel","1:LA","lvl","Aberdeen City")</f>
        <v>0</v>
      </c>
      <c r="G13" s="66">
        <f>SUM(C13:F13)</f>
        <v>109</v>
      </c>
    </row>
    <row r="14" spans="1:7" ht="15" customHeight="1" x14ac:dyDescent="0.3">
      <c r="A14" s="89" t="s">
        <v>219</v>
      </c>
      <c r="B14" s="48" t="s">
        <v>220</v>
      </c>
      <c r="C14" s="66">
        <f>GETPIVOTDATA("Sum of Operational Crewing",dutysystemlapivot!$A$3,"ReportingLevel","1:LA","lvl","Aberdeenshire")</f>
        <v>27</v>
      </c>
      <c r="D14" s="66">
        <f>GETPIVOTDATA("Sum of Incident Command Officers",dutysystemlapivot!$A$3,"ReportingLevel","1:LA","lvl","Aberdeenshire")</f>
        <v>0</v>
      </c>
      <c r="E14" s="66">
        <f>GETPIVOTDATA("Sum of Office Duties",dutysystemlapivot!$A$3,"ReportingLevel","1:LA","lvl","Aberdeenshire")</f>
        <v>15</v>
      </c>
      <c r="F14" s="66">
        <f>GETPIVOTDATA("Sum of Trainees",dutysystemlapivot!$A$3,"ReportingLevel","1:LA","lvl","Aberdeenshire")</f>
        <v>0</v>
      </c>
      <c r="G14" s="66">
        <f t="shared" ref="G14:G44" si="1">SUM(C14:F14)</f>
        <v>42</v>
      </c>
    </row>
    <row r="15" spans="1:7" ht="15" customHeight="1" x14ac:dyDescent="0.3">
      <c r="A15" s="89" t="s">
        <v>223</v>
      </c>
      <c r="B15" s="48" t="s">
        <v>224</v>
      </c>
      <c r="C15" s="66">
        <f>GETPIVOTDATA("Sum of Operational Crewing",dutysystemlapivot!$A$3,"ReportingLevel","1:LA","lvl","Angus")</f>
        <v>25</v>
      </c>
      <c r="D15" s="66">
        <f>GETPIVOTDATA("Sum of Incident Command Officers",dutysystemlapivot!$A$3,"ReportingLevel","1:LA","lvl","Angus")</f>
        <v>1</v>
      </c>
      <c r="E15" s="66">
        <f>GETPIVOTDATA("Sum of Office Duties",dutysystemlapivot!$A$3,"ReportingLevel","1:LA","lvl","Angus")</f>
        <v>0</v>
      </c>
      <c r="F15" s="66">
        <f>GETPIVOTDATA("Sum of Trainees",dutysystemlapivot!$A$3,"ReportingLevel","1:LA","lvl","Angus")</f>
        <v>0</v>
      </c>
      <c r="G15" s="66">
        <f t="shared" si="1"/>
        <v>26</v>
      </c>
    </row>
    <row r="16" spans="1:7" ht="15" customHeight="1" x14ac:dyDescent="0.3">
      <c r="A16" s="89" t="s">
        <v>227</v>
      </c>
      <c r="B16" s="48" t="s">
        <v>228</v>
      </c>
      <c r="C16" s="66">
        <f>GETPIVOTDATA("Sum of Operational Crewing",dutysystemlapivot!$A$3,"ReportingLevel","1:LA","lvl","Argyll and Bute")</f>
        <v>51</v>
      </c>
      <c r="D16" s="66">
        <f>GETPIVOTDATA("Sum of Incident Command Officers",dutysystemlapivot!$A$3,"ReportingLevel","1:LA","lvl","Argyll and Bute")</f>
        <v>0</v>
      </c>
      <c r="E16" s="66">
        <f>GETPIVOTDATA("Sum of Office Duties",dutysystemlapivot!$A$3,"ReportingLevel","1:LA","lvl","Argyll and Bute")</f>
        <v>1</v>
      </c>
      <c r="F16" s="66">
        <f>GETPIVOTDATA("Sum of Trainees",dutysystemlapivot!$A$3,"ReportingLevel","1:LA","lvl","Argyll and Bute")</f>
        <v>0</v>
      </c>
      <c r="G16" s="66">
        <f t="shared" si="1"/>
        <v>52</v>
      </c>
    </row>
    <row r="17" spans="1:7" ht="15" customHeight="1" x14ac:dyDescent="0.3">
      <c r="A17" s="89" t="s">
        <v>233</v>
      </c>
      <c r="B17" s="48" t="s">
        <v>234</v>
      </c>
      <c r="C17" s="66">
        <f>GETPIVOTDATA("Sum of Operational Crewing",dutysystemlapivot!$A$3,"ReportingLevel","1:LA","lvl","Edinburgh City")</f>
        <v>285</v>
      </c>
      <c r="D17" s="66">
        <f>GETPIVOTDATA("Sum of Incident Command Officers",dutysystemlapivot!$A$3,"ReportingLevel","1:LA","lvl","Edinburgh City")</f>
        <v>0</v>
      </c>
      <c r="E17" s="66">
        <f>GETPIVOTDATA("Sum of Office Duties",dutysystemlapivot!$A$3,"ReportingLevel","1:LA","lvl","Edinburgh City")</f>
        <v>18</v>
      </c>
      <c r="F17" s="66">
        <f>GETPIVOTDATA("Sum of Trainees",dutysystemlapivot!$A$3,"ReportingLevel","1:LA","lvl","Edinburgh City")</f>
        <v>0</v>
      </c>
      <c r="G17" s="66">
        <f t="shared" si="1"/>
        <v>303</v>
      </c>
    </row>
    <row r="18" spans="1:7" ht="15" customHeight="1" x14ac:dyDescent="0.3">
      <c r="A18" s="89" t="s">
        <v>239</v>
      </c>
      <c r="B18" s="48" t="s">
        <v>240</v>
      </c>
      <c r="C18" s="66">
        <f>GETPIVOTDATA("Sum of Operational Crewing",dutysystemlapivot!$A$3,"ReportingLevel","1:LA","lvl","Clackmannanshire")</f>
        <v>26</v>
      </c>
      <c r="D18" s="66">
        <f>GETPIVOTDATA("Sum of Incident Command Officers",dutysystemlapivot!$A$3,"ReportingLevel","1:LA","lvl","Clackmannanshire")</f>
        <v>0</v>
      </c>
      <c r="E18" s="66">
        <f>GETPIVOTDATA("Sum of Office Duties",dutysystemlapivot!$A$3,"ReportingLevel","1:LA","lvl","Clackmannanshire")</f>
        <v>1</v>
      </c>
      <c r="F18" s="66">
        <f>GETPIVOTDATA("Sum of Trainees",dutysystemlapivot!$A$3,"ReportingLevel","1:LA","lvl","Clackmannanshire")</f>
        <v>0</v>
      </c>
      <c r="G18" s="66">
        <f t="shared" si="1"/>
        <v>27</v>
      </c>
    </row>
    <row r="19" spans="1:7" ht="15" customHeight="1" x14ac:dyDescent="0.3">
      <c r="A19" s="89" t="s">
        <v>243</v>
      </c>
      <c r="B19" s="48" t="s">
        <v>244</v>
      </c>
      <c r="C19" s="66">
        <f>GETPIVOTDATA("Sum of Operational Crewing",dutysystemlapivot!$A$3,"ReportingLevel","1:LA","lvl","Dumfries and Gallowa")</f>
        <v>49</v>
      </c>
      <c r="D19" s="66">
        <f>GETPIVOTDATA("Sum of Incident Command Officers",dutysystemlapivot!$A$3,"ReportingLevel","1:LA","lvl","Dumfries and Gallowa")</f>
        <v>0</v>
      </c>
      <c r="E19" s="66">
        <f>GETPIVOTDATA("Sum of Office Duties",dutysystemlapivot!$A$3,"ReportingLevel","1:LA","lvl","Dumfries and Gallowa")</f>
        <v>15</v>
      </c>
      <c r="F19" s="66">
        <f>GETPIVOTDATA("Sum of Trainees",dutysystemlapivot!$A$3,"ReportingLevel","1:LA","lvl","Dumfries and Gallowa")</f>
        <v>0</v>
      </c>
      <c r="G19" s="66">
        <f t="shared" si="1"/>
        <v>64</v>
      </c>
    </row>
    <row r="20" spans="1:7" ht="15" customHeight="1" x14ac:dyDescent="0.3">
      <c r="A20" s="89" t="s">
        <v>246</v>
      </c>
      <c r="B20" s="48" t="s">
        <v>247</v>
      </c>
      <c r="C20" s="66">
        <f>GETPIVOTDATA("Sum of Operational Crewing",dutysystemlapivot!$A$3,"ReportingLevel","1:LA","lvl","Dundee City")</f>
        <v>157</v>
      </c>
      <c r="D20" s="66">
        <f>GETPIVOTDATA("Sum of Incident Command Officers",dutysystemlapivot!$A$3,"ReportingLevel","1:LA","lvl","Dundee City")</f>
        <v>1</v>
      </c>
      <c r="E20" s="66">
        <f>GETPIVOTDATA("Sum of Office Duties",dutysystemlapivot!$A$3,"ReportingLevel","1:LA","lvl","Dundee City")</f>
        <v>0</v>
      </c>
      <c r="F20" s="66">
        <f>GETPIVOTDATA("Sum of Trainees",dutysystemlapivot!$A$3,"ReportingLevel","1:LA","lvl","Dundee City")</f>
        <v>0</v>
      </c>
      <c r="G20" s="66">
        <f t="shared" si="1"/>
        <v>158</v>
      </c>
    </row>
    <row r="21" spans="1:7" ht="15" customHeight="1" x14ac:dyDescent="0.3">
      <c r="A21" s="89" t="s">
        <v>248</v>
      </c>
      <c r="B21" s="48" t="s">
        <v>249</v>
      </c>
      <c r="C21" s="66">
        <f>GETPIVOTDATA("Sum of Operational Crewing",dutysystemlapivot!$A$3,"ReportingLevel","1:LA","lvl","East Ayrshire")</f>
        <v>53</v>
      </c>
      <c r="D21" s="66">
        <f>GETPIVOTDATA("Sum of Incident Command Officers",dutysystemlapivot!$A$3,"ReportingLevel","1:LA","lvl","East Ayrshire")</f>
        <v>0</v>
      </c>
      <c r="E21" s="66">
        <f>GETPIVOTDATA("Sum of Office Duties",dutysystemlapivot!$A$3,"ReportingLevel","1:LA","lvl","East Ayrshire")</f>
        <v>0</v>
      </c>
      <c r="F21" s="66">
        <f>GETPIVOTDATA("Sum of Trainees",dutysystemlapivot!$A$3,"ReportingLevel","1:LA","lvl","East Ayrshire")</f>
        <v>0</v>
      </c>
      <c r="G21" s="66">
        <f t="shared" si="1"/>
        <v>53</v>
      </c>
    </row>
    <row r="22" spans="1:7" ht="15" customHeight="1" x14ac:dyDescent="0.3">
      <c r="A22" s="89" t="s">
        <v>252</v>
      </c>
      <c r="B22" s="48" t="s">
        <v>253</v>
      </c>
      <c r="C22" s="66">
        <f>GETPIVOTDATA("Sum of Operational Crewing",dutysystemlapivot!$A$3,"ReportingLevel","1:LA","lvl","East Dunbartonshire")</f>
        <v>81</v>
      </c>
      <c r="D22" s="66">
        <f>GETPIVOTDATA("Sum of Incident Command Officers",dutysystemlapivot!$A$3,"ReportingLevel","1:LA","lvl","East Dunbartonshire")</f>
        <v>0</v>
      </c>
      <c r="E22" s="66">
        <f>GETPIVOTDATA("Sum of Office Duties",dutysystemlapivot!$A$3,"ReportingLevel","1:LA","lvl","East Dunbartonshire")</f>
        <v>0</v>
      </c>
      <c r="F22" s="66">
        <f>GETPIVOTDATA("Sum of Trainees",dutysystemlapivot!$A$3,"ReportingLevel","1:LA","lvl","East Dunbartonshire")</f>
        <v>0</v>
      </c>
      <c r="G22" s="66">
        <f t="shared" si="1"/>
        <v>81</v>
      </c>
    </row>
    <row r="23" spans="1:7" ht="15" customHeight="1" x14ac:dyDescent="0.3">
      <c r="A23" s="89" t="s">
        <v>254</v>
      </c>
      <c r="B23" s="48" t="s">
        <v>255</v>
      </c>
      <c r="C23" s="66">
        <f>GETPIVOTDATA("Sum of Operational Crewing",dutysystemlapivot!$A$3,"ReportingLevel","1:LA","lvl","East Lothian")</f>
        <v>25</v>
      </c>
      <c r="D23" s="66">
        <f>GETPIVOTDATA("Sum of Incident Command Officers",dutysystemlapivot!$A$3,"ReportingLevel","1:LA","lvl","East Lothian")</f>
        <v>0</v>
      </c>
      <c r="E23" s="66">
        <f>GETPIVOTDATA("Sum of Office Duties",dutysystemlapivot!$A$3,"ReportingLevel","1:LA","lvl","East Lothian")</f>
        <v>0</v>
      </c>
      <c r="F23" s="66">
        <f>GETPIVOTDATA("Sum of Trainees",dutysystemlapivot!$A$3,"ReportingLevel","1:LA","lvl","East Lothian")</f>
        <v>0</v>
      </c>
      <c r="G23" s="66">
        <f t="shared" si="1"/>
        <v>25</v>
      </c>
    </row>
    <row r="24" spans="1:7" ht="15" customHeight="1" x14ac:dyDescent="0.3">
      <c r="A24" s="89" t="s">
        <v>258</v>
      </c>
      <c r="B24" s="48" t="s">
        <v>259</v>
      </c>
      <c r="C24" s="66">
        <f>GETPIVOTDATA("Sum of Operational Crewing",dutysystemlapivot!$A$3,"ReportingLevel","1:LA","lvl","East Renfrewshire")</f>
        <v>50</v>
      </c>
      <c r="D24" s="66">
        <f>GETPIVOTDATA("Sum of Incident Command Officers",dutysystemlapivot!$A$3,"ReportingLevel","1:LA","lvl","East Renfrewshire")</f>
        <v>0</v>
      </c>
      <c r="E24" s="66">
        <f>GETPIVOTDATA("Sum of Office Duties",dutysystemlapivot!$A$3,"ReportingLevel","1:LA","lvl","East Renfrewshire")</f>
        <v>0</v>
      </c>
      <c r="F24" s="66">
        <f>GETPIVOTDATA("Sum of Trainees",dutysystemlapivot!$A$3,"ReportingLevel","1:LA","lvl","East Renfrewshire")</f>
        <v>0</v>
      </c>
      <c r="G24" s="66">
        <f t="shared" si="1"/>
        <v>50</v>
      </c>
    </row>
    <row r="25" spans="1:7" ht="15" customHeight="1" x14ac:dyDescent="0.3">
      <c r="A25" s="89" t="s">
        <v>262</v>
      </c>
      <c r="B25" s="48" t="s">
        <v>263</v>
      </c>
      <c r="C25" s="66">
        <f>GETPIVOTDATA("Sum of Operational Crewing",dutysystemlapivot!$A$3,"ReportingLevel","1:LA","lvl","Falkirk")</f>
        <v>84</v>
      </c>
      <c r="D25" s="66">
        <f>GETPIVOTDATA("Sum of Incident Command Officers",dutysystemlapivot!$A$3,"ReportingLevel","1:LA","lvl","Falkirk")</f>
        <v>0</v>
      </c>
      <c r="E25" s="66">
        <f>GETPIVOTDATA("Sum of Office Duties",dutysystemlapivot!$A$3,"ReportingLevel","1:LA","lvl","Falkirk")</f>
        <v>0</v>
      </c>
      <c r="F25" s="66">
        <f>GETPIVOTDATA("Sum of Trainees",dutysystemlapivot!$A$3,"ReportingLevel","1:LA","lvl","Falkirk")</f>
        <v>0</v>
      </c>
      <c r="G25" s="66">
        <f t="shared" si="1"/>
        <v>84</v>
      </c>
    </row>
    <row r="26" spans="1:7" ht="15" customHeight="1" x14ac:dyDescent="0.3">
      <c r="A26" s="89" t="s">
        <v>266</v>
      </c>
      <c r="B26" s="48" t="s">
        <v>267</v>
      </c>
      <c r="C26" s="66">
        <f>GETPIVOTDATA("Sum of Operational Crewing",dutysystemlapivot!$A$3,"ReportingLevel","1:LA","lvl","Fife")</f>
        <v>203</v>
      </c>
      <c r="D26" s="66">
        <f>GETPIVOTDATA("Sum of Incident Command Officers",dutysystemlapivot!$A$3,"ReportingLevel","1:LA","lvl","Fife")</f>
        <v>0</v>
      </c>
      <c r="E26" s="66">
        <f>GETPIVOTDATA("Sum of Office Duties",dutysystemlapivot!$A$3,"ReportingLevel","1:LA","lvl","Fife")</f>
        <v>1</v>
      </c>
      <c r="F26" s="66">
        <f>GETPIVOTDATA("Sum of Trainees",dutysystemlapivot!$A$3,"ReportingLevel","1:LA","lvl","Fife")</f>
        <v>0</v>
      </c>
      <c r="G26" s="66">
        <f t="shared" si="1"/>
        <v>204</v>
      </c>
    </row>
    <row r="27" spans="1:7" ht="15" customHeight="1" x14ac:dyDescent="0.3">
      <c r="A27" s="89" t="str">
        <f>IF(A10 = "2018-19","S12000046","S12000049")</f>
        <v>S12000049</v>
      </c>
      <c r="B27" s="48" t="s">
        <v>270</v>
      </c>
      <c r="C27" s="66">
        <f>GETPIVOTDATA("Sum of Operational Crewing",dutysystemlapivot!$A$3,"ReportingLevel","1:LA","lvl","Glasgow City")</f>
        <v>442</v>
      </c>
      <c r="D27" s="66">
        <f>GETPIVOTDATA("Sum of Incident Command Officers",dutysystemlapivot!$A$3,"ReportingLevel","1:LA","lvl","Glasgow City")</f>
        <v>0</v>
      </c>
      <c r="E27" s="66">
        <f>GETPIVOTDATA("Sum of Office Duties",dutysystemlapivot!$A$3,"ReportingLevel","1:LA","lvl","Glasgow City")</f>
        <v>10</v>
      </c>
      <c r="F27" s="66">
        <f>GETPIVOTDATA("Sum of Trainees",dutysystemlapivot!$A$3,"ReportingLevel","1:LA","lvl","Glasgow City")</f>
        <v>0</v>
      </c>
      <c r="G27" s="66">
        <f t="shared" si="1"/>
        <v>452</v>
      </c>
    </row>
    <row r="28" spans="1:7" ht="15" customHeight="1" x14ac:dyDescent="0.3">
      <c r="A28" s="89" t="s">
        <v>272</v>
      </c>
      <c r="B28" s="48" t="s">
        <v>273</v>
      </c>
      <c r="C28" s="66">
        <f>GETPIVOTDATA("Sum of Operational Crewing",dutysystemlapivot!$A$3,"ReportingLevel","1:LA","lvl","Highlands")</f>
        <v>70</v>
      </c>
      <c r="D28" s="66">
        <f>GETPIVOTDATA("Sum of Incident Command Officers",dutysystemlapivot!$A$3,"ReportingLevel","1:LA","lvl","Highlands")</f>
        <v>0</v>
      </c>
      <c r="E28" s="66">
        <f>GETPIVOTDATA("Sum of Office Duties",dutysystemlapivot!$A$3,"ReportingLevel","1:LA","lvl","Highlands")</f>
        <v>13</v>
      </c>
      <c r="F28" s="66">
        <f>GETPIVOTDATA("Sum of Trainees",dutysystemlapivot!$A$3,"ReportingLevel","1:LA","lvl","Highlands")</f>
        <v>0</v>
      </c>
      <c r="G28" s="66">
        <f t="shared" si="1"/>
        <v>83</v>
      </c>
    </row>
    <row r="29" spans="1:7" ht="15" customHeight="1" x14ac:dyDescent="0.3">
      <c r="A29" s="89" t="s">
        <v>276</v>
      </c>
      <c r="B29" s="48" t="s">
        <v>277</v>
      </c>
      <c r="C29" s="66">
        <f>GETPIVOTDATA("Sum of Operational Crewing",dutysystemlapivot!$A$3,"ReportingLevel","1:LA","lvl","Inverclyde")</f>
        <v>66</v>
      </c>
      <c r="D29" s="66">
        <f>GETPIVOTDATA("Sum of Incident Command Officers",dutysystemlapivot!$A$3,"ReportingLevel","1:LA","lvl","Inverclyde")</f>
        <v>0</v>
      </c>
      <c r="E29" s="66">
        <f>GETPIVOTDATA("Sum of Office Duties",dutysystemlapivot!$A$3,"ReportingLevel","1:LA","lvl","Inverclyde")</f>
        <v>0</v>
      </c>
      <c r="F29" s="66">
        <f>GETPIVOTDATA("Sum of Trainees",dutysystemlapivot!$A$3,"ReportingLevel","1:LA","lvl","Inverclyde")</f>
        <v>0</v>
      </c>
      <c r="G29" s="66">
        <f t="shared" si="1"/>
        <v>66</v>
      </c>
    </row>
    <row r="30" spans="1:7" ht="15" customHeight="1" x14ac:dyDescent="0.3">
      <c r="A30" s="89" t="s">
        <v>278</v>
      </c>
      <c r="B30" s="48" t="s">
        <v>279</v>
      </c>
      <c r="C30" s="66">
        <f>GETPIVOTDATA("Sum of Operational Crewing",dutysystemlapivot!$A$3,"ReportingLevel","1:LA","lvl","Midlothian")</f>
        <v>28</v>
      </c>
      <c r="D30" s="66">
        <f>GETPIVOTDATA("Sum of Incident Command Officers",dutysystemlapivot!$A$3,"ReportingLevel","1:LA","lvl","Midlothian")</f>
        <v>0</v>
      </c>
      <c r="E30" s="66">
        <f>GETPIVOTDATA("Sum of Office Duties",dutysystemlapivot!$A$3,"ReportingLevel","1:LA","lvl","Midlothian")</f>
        <v>3</v>
      </c>
      <c r="F30" s="66">
        <f>GETPIVOTDATA("Sum of Trainees",dutysystemlapivot!$A$3,"ReportingLevel","1:LA","lvl","Midlothian")</f>
        <v>0</v>
      </c>
      <c r="G30" s="66">
        <f t="shared" si="1"/>
        <v>31</v>
      </c>
    </row>
    <row r="31" spans="1:7" ht="15" customHeight="1" x14ac:dyDescent="0.3">
      <c r="A31" s="89" t="s">
        <v>280</v>
      </c>
      <c r="B31" s="48" t="s">
        <v>281</v>
      </c>
      <c r="C31" s="66">
        <f>GETPIVOTDATA("Sum of Operational Crewing",dutysystemlapivot!$A$3,"ReportingLevel","1:LA","lvl","Moray")</f>
        <v>28</v>
      </c>
      <c r="D31" s="66">
        <f>GETPIVOTDATA("Sum of Incident Command Officers",dutysystemlapivot!$A$3,"ReportingLevel","1:LA","lvl","Moray")</f>
        <v>0</v>
      </c>
      <c r="E31" s="66">
        <f>GETPIVOTDATA("Sum of Office Duties",dutysystemlapivot!$A$3,"ReportingLevel","1:LA","lvl","Moray")</f>
        <v>1</v>
      </c>
      <c r="F31" s="66">
        <f>GETPIVOTDATA("Sum of Trainees",dutysystemlapivot!$A$3,"ReportingLevel","1:LA","lvl","Moray")</f>
        <v>0</v>
      </c>
      <c r="G31" s="66">
        <f t="shared" si="1"/>
        <v>29</v>
      </c>
    </row>
    <row r="32" spans="1:7" ht="15" customHeight="1" x14ac:dyDescent="0.3">
      <c r="A32" s="89" t="s">
        <v>282</v>
      </c>
      <c r="B32" s="48" t="s">
        <v>283</v>
      </c>
      <c r="C32" s="667">
        <f>IFERROR(GETPIVOTDATA("Sum of Operational Crewing",dutysystemlapivot!$A$3,"ReportingLevel","1:LA","lvl","Na h-Eileanan Siar"), "-")</f>
        <v>0</v>
      </c>
      <c r="D32" s="667">
        <f>IFERROR(GETPIVOTDATA("Sum of Incident Command Officers",dutysystemlapivot!$A$3,"ReportingLevel","1:LA","lvl","Na h-Eileanan Siar"), "-")</f>
        <v>0</v>
      </c>
      <c r="E32" s="667">
        <f>IFERROR(GETPIVOTDATA("Sum of Office Duties",dutysystemlapivot!$A$3,"ReportingLevel","1:LA","lvl","Na h-Eileanan Siar"), "-")</f>
        <v>3</v>
      </c>
      <c r="F32" s="667">
        <f>IFERROR(GETPIVOTDATA("Sum of Trainees",dutysystemlapivot!$A$3,"ReportingLevel","1:LA","lvl","Na h-Eileanan Siar"), "-")</f>
        <v>0</v>
      </c>
      <c r="G32" s="667">
        <f t="shared" si="1"/>
        <v>3</v>
      </c>
    </row>
    <row r="33" spans="1:7" ht="15" customHeight="1" x14ac:dyDescent="0.3">
      <c r="A33" s="89" t="s">
        <v>286</v>
      </c>
      <c r="B33" s="48" t="s">
        <v>287</v>
      </c>
      <c r="C33" s="667">
        <f>GETPIVOTDATA("Sum of Operational Crewing",dutysystemlapivot!$A$3,"ReportingLevel","1:LA","lvl","North Ayrshire")</f>
        <v>76</v>
      </c>
      <c r="D33" s="667">
        <f>GETPIVOTDATA("Sum of Incident Command Officers",dutysystemlapivot!$A$3,"ReportingLevel","1:LA","lvl","North Ayrshire")</f>
        <v>0</v>
      </c>
      <c r="E33" s="667">
        <f>GETPIVOTDATA("Sum of Office Duties",dutysystemlapivot!$A$3,"ReportingLevel","1:LA","lvl","North Ayrshire")</f>
        <v>0</v>
      </c>
      <c r="F33" s="667">
        <f>GETPIVOTDATA("Sum of Trainees",dutysystemlapivot!$A$3,"ReportingLevel","1:LA","lvl","North Ayrshire")</f>
        <v>0</v>
      </c>
      <c r="G33" s="667">
        <f t="shared" si="1"/>
        <v>76</v>
      </c>
    </row>
    <row r="34" spans="1:7" ht="15" customHeight="1" x14ac:dyDescent="0.3">
      <c r="A34" s="89" t="str">
        <f>IF(A10="2018-19","S12000044","S12000050")</f>
        <v>S12000050</v>
      </c>
      <c r="B34" s="48" t="s">
        <v>289</v>
      </c>
      <c r="C34" s="667">
        <f>GETPIVOTDATA("Sum of Operational Crewing",dutysystemlapivot!$A$3,"ReportingLevel","1:LA","lvl","North Lanarkshire")</f>
        <v>170</v>
      </c>
      <c r="D34" s="667">
        <f>GETPIVOTDATA("Sum of Incident Command Officers",dutysystemlapivot!$A$3,"ReportingLevel","1:LA","lvl","North Lanarkshire")</f>
        <v>0</v>
      </c>
      <c r="E34" s="667">
        <f>GETPIVOTDATA("Sum of Office Duties",dutysystemlapivot!$A$3,"ReportingLevel","1:LA","lvl","North Lanarkshire")</f>
        <v>0</v>
      </c>
      <c r="F34" s="667">
        <f>GETPIVOTDATA("Sum of Trainees",dutysystemlapivot!$A$3,"ReportingLevel","1:LA","lvl","North Lanarkshire")</f>
        <v>0</v>
      </c>
      <c r="G34" s="667">
        <f t="shared" si="1"/>
        <v>170</v>
      </c>
    </row>
    <row r="35" spans="1:7" ht="15" customHeight="1" x14ac:dyDescent="0.3">
      <c r="A35" s="89" t="s">
        <v>291</v>
      </c>
      <c r="B35" s="48" t="s">
        <v>292</v>
      </c>
      <c r="C35" s="667">
        <f>IFERROR(GETPIVOTDATA("Sum of Operational Crewing",dutysystemlapivot!$A$3,"ReportingLevel","1:LA","lvl","Orkney Islands"), "-")</f>
        <v>0</v>
      </c>
      <c r="D35" s="667">
        <f>IFERROR(GETPIVOTDATA("Sum of Incident Command Officers",dutysystemlapivot!$A$3,"ReportingLevel","1:LA","lvl","Orkney Islands"), "-")</f>
        <v>0</v>
      </c>
      <c r="E35" s="667">
        <f>IFERROR(GETPIVOTDATA("Sum of Office Duties",dutysystemlapivot!$A$3,"ReportingLevel","1:LA","lvl","Orkney Islands"), "-")</f>
        <v>1</v>
      </c>
      <c r="F35" s="667">
        <f>IFERROR(GETPIVOTDATA("Sum of Trainees",dutysystemlapivot!$A$3,"ReportingLevel","1:LA","lvl","Orkney Islands"), "-")</f>
        <v>0</v>
      </c>
      <c r="G35" s="667">
        <f t="shared" si="1"/>
        <v>1</v>
      </c>
    </row>
    <row r="36" spans="1:7" ht="15" customHeight="1" x14ac:dyDescent="0.3">
      <c r="A36" s="89" t="s">
        <v>293</v>
      </c>
      <c r="B36" s="48" t="s">
        <v>294</v>
      </c>
      <c r="C36" s="667">
        <f>GETPIVOTDATA("Sum of Operational Crewing",dutysystemlapivot!$A$3,"ReportingLevel","1:LA","lvl","Perth and Kinross")</f>
        <v>56</v>
      </c>
      <c r="D36" s="667">
        <f>GETPIVOTDATA("Sum of Incident Command Officers",dutysystemlapivot!$A$3,"ReportingLevel","1:LA","lvl","Perth and Kinross")</f>
        <v>1</v>
      </c>
      <c r="E36" s="667">
        <f>GETPIVOTDATA("Sum of Office Duties",dutysystemlapivot!$A$3,"ReportingLevel","1:LA","lvl","Perth and Kinross")</f>
        <v>13</v>
      </c>
      <c r="F36" s="667">
        <f>GETPIVOTDATA("Sum of Trainees",dutysystemlapivot!$A$3,"ReportingLevel","1:LA","lvl","Perth and Kinross")</f>
        <v>0</v>
      </c>
      <c r="G36" s="667">
        <f t="shared" si="1"/>
        <v>70</v>
      </c>
    </row>
    <row r="37" spans="1:7" ht="15" customHeight="1" x14ac:dyDescent="0.3">
      <c r="A37" s="89" t="s">
        <v>295</v>
      </c>
      <c r="B37" s="48" t="s">
        <v>296</v>
      </c>
      <c r="C37" s="667">
        <f>GETPIVOTDATA("Sum of Operational Crewing",dutysystemlapivot!$A$3,"ReportingLevel","1:LA","lvl","Renfrewshire")</f>
        <v>101</v>
      </c>
      <c r="D37" s="667">
        <f>GETPIVOTDATA("Sum of Incident Command Officers",dutysystemlapivot!$A$3,"ReportingLevel","1:LA","lvl","Renfrewshire")</f>
        <v>0</v>
      </c>
      <c r="E37" s="667">
        <f>GETPIVOTDATA("Sum of Office Duties",dutysystemlapivot!$A$3,"ReportingLevel","1:LA","lvl","Renfrewshire")</f>
        <v>0</v>
      </c>
      <c r="F37" s="667">
        <f>GETPIVOTDATA("Sum of Trainees",dutysystemlapivot!$A$3,"ReportingLevel","1:LA","lvl","Renfrewshire")</f>
        <v>0</v>
      </c>
      <c r="G37" s="667">
        <f t="shared" si="1"/>
        <v>101</v>
      </c>
    </row>
    <row r="38" spans="1:7" ht="15" customHeight="1" x14ac:dyDescent="0.3">
      <c r="A38" s="89" t="s">
        <v>297</v>
      </c>
      <c r="B38" s="48" t="s">
        <v>298</v>
      </c>
      <c r="C38" s="667">
        <f>GETPIVOTDATA("Sum of Operational Crewing",dutysystemlapivot!$A$3,"ReportingLevel","1:LA","lvl","Scottish Borders")</f>
        <v>56</v>
      </c>
      <c r="D38" s="667">
        <f>GETPIVOTDATA("Sum of Incident Command Officers",dutysystemlapivot!$A$3,"ReportingLevel","1:LA","lvl","Scottish Borders")</f>
        <v>0</v>
      </c>
      <c r="E38" s="667">
        <f>GETPIVOTDATA("Sum of Office Duties",dutysystemlapivot!$A$3,"ReportingLevel","1:LA","lvl","Scottish Borders")</f>
        <v>2</v>
      </c>
      <c r="F38" s="667">
        <f>GETPIVOTDATA("Sum of Trainees",dutysystemlapivot!$A$3,"ReportingLevel","1:LA","lvl","Scottish Borders")</f>
        <v>0</v>
      </c>
      <c r="G38" s="667">
        <f t="shared" si="1"/>
        <v>58</v>
      </c>
    </row>
    <row r="39" spans="1:7" ht="15" customHeight="1" x14ac:dyDescent="0.3">
      <c r="A39" s="89" t="s">
        <v>299</v>
      </c>
      <c r="B39" s="48" t="s">
        <v>300</v>
      </c>
      <c r="C39" s="667" t="str">
        <f>IFERROR(GETPIVOTDATA("Sum of Operational Crewing",dutysystemlapivot!$A$3,"ReportingLevel","1:LA","lvl","Sheltnad Islands"), "-")</f>
        <v>-</v>
      </c>
      <c r="D39" s="667" t="str">
        <f>IFERROR(GETPIVOTDATA("Sum of Incident Command Officers",dutysystemlapivot!$A$3,"ReportingLevel","1:LA","lvl","Sheltand Islands"), "-")</f>
        <v>-</v>
      </c>
      <c r="E39" s="667" t="str">
        <f>IFERROR(GETPIVOTDATA("Sum of Office Duties",dutysystemlapivot!$A$3,"ReportingLevel","1:LA","lvl","Sheltnad Islands"), "-")</f>
        <v>-</v>
      </c>
      <c r="F39" s="667" t="str">
        <f>IFERROR(GETPIVOTDATA("Sum of Trainees",dutysystemlapivot!$A$3,"ReportingLevel","1:LA","lvl","Sheltnad Islands"), "-")</f>
        <v>-</v>
      </c>
      <c r="G39" s="667">
        <f t="shared" si="1"/>
        <v>0</v>
      </c>
    </row>
    <row r="40" spans="1:7" ht="15" customHeight="1" x14ac:dyDescent="0.3">
      <c r="A40" s="89" t="s">
        <v>301</v>
      </c>
      <c r="B40" s="48" t="s">
        <v>302</v>
      </c>
      <c r="C40" s="66">
        <f>GETPIVOTDATA("Sum of Operational Crewing",dutysystemlapivot!$A$3,"ReportingLevel","1:LA","lvl","South Ayrshire")</f>
        <v>49</v>
      </c>
      <c r="D40" s="66">
        <f>GETPIVOTDATA("Sum of Incident Command Officers",dutysystemlapivot!$A$3,"ReportingLevel","1:LA","lvl","South Ayrshire")</f>
        <v>0</v>
      </c>
      <c r="E40" s="66">
        <f>GETPIVOTDATA("Sum of Office Duties",dutysystemlapivot!$A$3,"ReportingLevel","1:LA","lvl","South Ayrshire")</f>
        <v>2</v>
      </c>
      <c r="F40" s="66">
        <f>GETPIVOTDATA("Sum of Trainees",dutysystemlapivot!$A$3,"ReportingLevel","1:LA","lvl","South Ayrshire")</f>
        <v>0</v>
      </c>
      <c r="G40" s="66">
        <f t="shared" si="1"/>
        <v>51</v>
      </c>
    </row>
    <row r="41" spans="1:7" ht="15" customHeight="1" x14ac:dyDescent="0.3">
      <c r="A41" s="89" t="s">
        <v>303</v>
      </c>
      <c r="B41" s="48" t="s">
        <v>304</v>
      </c>
      <c r="C41" s="66">
        <f>GETPIVOTDATA("Sum of Operational Crewing",dutysystemlapivot!$A$3,"ReportingLevel","1:LA","lvl","South Lanarkshire")</f>
        <v>149</v>
      </c>
      <c r="D41" s="66">
        <f>GETPIVOTDATA("Sum of Incident Command Officers",dutysystemlapivot!$A$3,"ReportingLevel","1:LA","lvl","South Lanarkshire")</f>
        <v>1</v>
      </c>
      <c r="E41" s="66">
        <f>GETPIVOTDATA("Sum of Office Duties",dutysystemlapivot!$A$3,"ReportingLevel","1:LA","lvl","South Lanarkshire")</f>
        <v>0</v>
      </c>
      <c r="F41" s="66">
        <f>GETPIVOTDATA("Sum of Trainees",dutysystemlapivot!$A$3,"ReportingLevel","1:LA","lvl","South Lanarkshire")</f>
        <v>0</v>
      </c>
      <c r="G41" s="66">
        <f t="shared" si="1"/>
        <v>150</v>
      </c>
    </row>
    <row r="42" spans="1:7" ht="15" customHeight="1" x14ac:dyDescent="0.3">
      <c r="A42" s="89" t="s">
        <v>306</v>
      </c>
      <c r="B42" s="48" t="s">
        <v>307</v>
      </c>
      <c r="C42" s="66">
        <f>GETPIVOTDATA("Sum of Operational Crewing",dutysystemlapivot!$A$3,"ReportingLevel","1:LA","lvl","Stirling")</f>
        <v>48</v>
      </c>
      <c r="D42" s="66">
        <f>GETPIVOTDATA("Sum of Incident Command Officers",dutysystemlapivot!$A$3,"ReportingLevel","1:LA","lvl","Stirling")</f>
        <v>0</v>
      </c>
      <c r="E42" s="66">
        <f>GETPIVOTDATA("Sum of Office Duties",dutysystemlapivot!$A$3,"ReportingLevel","1:LA","lvl","Stirling")</f>
        <v>1</v>
      </c>
      <c r="F42" s="66">
        <f>GETPIVOTDATA("Sum of Trainees",dutysystemlapivot!$A$3,"ReportingLevel","1:LA","lvl","Stirling")</f>
        <v>0</v>
      </c>
      <c r="G42" s="66">
        <f t="shared" si="1"/>
        <v>49</v>
      </c>
    </row>
    <row r="43" spans="1:7" ht="15" customHeight="1" x14ac:dyDescent="0.3">
      <c r="A43" s="89" t="s">
        <v>308</v>
      </c>
      <c r="B43" s="48" t="s">
        <v>309</v>
      </c>
      <c r="C43" s="66">
        <f>GETPIVOTDATA("Sum of Operational Crewing",dutysystemlapivot!$A$3,"ReportingLevel","1:LA","lvl","West Dunbartonshire")</f>
        <v>76</v>
      </c>
      <c r="D43" s="66">
        <f>GETPIVOTDATA("Sum of Incident Command Officers",dutysystemlapivot!$A$3,"ReportingLevel","1:LA","lvl","West Dunbartonshire")</f>
        <v>0</v>
      </c>
      <c r="E43" s="66">
        <f>GETPIVOTDATA("Sum of Office Duties",dutysystemlapivot!$A$3,"ReportingLevel","1:LA","lvl","West Dunbartonshire")</f>
        <v>1</v>
      </c>
      <c r="F43" s="66">
        <f>GETPIVOTDATA("Sum of Trainees",dutysystemlapivot!$A$3,"ReportingLevel","1:LA","lvl","West Dunbartonshire")</f>
        <v>0</v>
      </c>
      <c r="G43" s="66">
        <f t="shared" si="1"/>
        <v>77</v>
      </c>
    </row>
    <row r="44" spans="1:7" ht="15" customHeight="1" x14ac:dyDescent="0.3">
      <c r="A44" s="89" t="s">
        <v>310</v>
      </c>
      <c r="B44" s="410" t="s">
        <v>311</v>
      </c>
      <c r="C44" s="66">
        <f>GETPIVOTDATA("Sum of Operational Crewing",dutysystemlapivot!$A$3,"ReportingLevel","1:LA","lvl","West Lothian")</f>
        <v>61</v>
      </c>
      <c r="D44" s="66">
        <f>GETPIVOTDATA("Sum of Incident Command Officers",dutysystemlapivot!$A$3,"ReportingLevel","1:LA","lvl","West Lothian")</f>
        <v>0</v>
      </c>
      <c r="E44" s="66">
        <f>GETPIVOTDATA("Sum of Office Duties",dutysystemlapivot!$A$3,"ReportingLevel","1:LA","lvl","West Lothian")</f>
        <v>4</v>
      </c>
      <c r="F44" s="66">
        <f>GETPIVOTDATA("Sum of Trainees",dutysystemlapivot!$A$3,"ReportingLevel","1:LA","lvl","West Lothian")</f>
        <v>0</v>
      </c>
      <c r="G44" s="624">
        <f t="shared" si="1"/>
        <v>65</v>
      </c>
    </row>
    <row r="45" spans="1:7" ht="30" customHeight="1" thickBot="1" x14ac:dyDescent="0.35">
      <c r="A45" s="52"/>
      <c r="B45" s="623" t="s">
        <v>552</v>
      </c>
      <c r="C45" s="70">
        <f>GETPIVOTDATA("Sum of Operational Crewing",dutysystemlapivot!$A$3,"ReportingLevel","1:LA")</f>
        <v>2696</v>
      </c>
      <c r="D45" s="70">
        <f>GETPIVOTDATA("Sum of Incident Command Officers",dutysystemlapivot!$A$3,"ReportingLevel","1:LA")</f>
        <v>4</v>
      </c>
      <c r="E45" s="70">
        <f>GETPIVOTDATA("Sum of Office Duties",dutysystemlapivot!$A$3,"ReportingLevel","1:LA")</f>
        <v>110</v>
      </c>
      <c r="F45" s="70">
        <f>GETPIVOTDATA("Sum of Trainees",dutysystemlapivot!$A$3,"ReportingLevel","1:LA")</f>
        <v>0</v>
      </c>
      <c r="G45" s="622">
        <f>SUM(C45:F45)</f>
        <v>2810</v>
      </c>
    </row>
    <row r="46" spans="1:7" ht="22.5" customHeight="1" x14ac:dyDescent="0.3">
      <c r="A46" s="48"/>
      <c r="B46" s="48"/>
      <c r="C46" s="71"/>
      <c r="D46" s="71"/>
      <c r="E46" s="71"/>
      <c r="F46" s="55"/>
      <c r="G46" s="55"/>
    </row>
    <row r="47" spans="1:7" ht="15" customHeight="1" x14ac:dyDescent="0.3">
      <c r="A47" s="54" t="s">
        <v>210</v>
      </c>
      <c r="B47" s="625" t="s">
        <v>553</v>
      </c>
      <c r="C47" s="43"/>
      <c r="D47" s="43"/>
      <c r="E47" s="43"/>
      <c r="F47" s="43"/>
      <c r="G47" s="43"/>
    </row>
    <row r="48" spans="1:7" ht="15" customHeight="1" x14ac:dyDescent="0.3">
      <c r="A48" s="391" t="str">
        <f>IF(OR(A10="2021-22", A10 = "2022-23"), "S39000023", "S39000001")</f>
        <v>S39000001</v>
      </c>
      <c r="B48" s="665" t="str">
        <f>IF(OR(A10="2021-22", A10 = "2022-23", A10 = "2023-24", A10 = "2024-25", A10 = "2025-26"), "Aberdeen City, Aberdeenshire and Moray", "Aberdeen City")</f>
        <v>Aberdeen City, Aberdeenshire and Moray</v>
      </c>
      <c r="C48" s="66">
        <f>IF(OR(A10="2021-22", A10 = "2022-23", A10 = "2023-24", A10 = "2024-25", A10 = "2025-26"), GETPIVOTDATA("Sum of Operational Crewing",dutysystemlapivot!$A$3,"ReportingLevel","2:LSO","lvl","Aberdeen City, Aberdeenshire and Moray"), GETPIVOTDATA("Sum of Operational Crewing",dutysystemlapivot!$A$3,"ReportingLevel","2:LSO","lvl","Aberdeen City"))</f>
        <v>48</v>
      </c>
      <c r="D48" s="66">
        <f>IF(OR(A10="2021-22", A10 = "2022-23", A10 = "2023-24", A10 = "2024-25", A10 = "2025-26"), GETPIVOTDATA("Sum of Incident Command Officers",dutysystemlapivot!$A$3,"ReportingLevel","2:LSO","lvl","Aberdeen City, Aberdeenshire and Moray"), GETPIVOTDATA("Sum of Incident Command Officers",dutysystemlapivot!$A$3,"ReportingLevel","2:LSO","lvl","Aberdeen City"))</f>
        <v>16</v>
      </c>
      <c r="E48" s="66">
        <f>IF(OR(A10="2021-22", A10 = "2022-23", A10 = "2023-24", A10 = "2024-25", A10 = "2025-26"), GETPIVOTDATA("Sum of Office Duties",dutysystemlapivot!$A$3,"ReportingLevel","2:LSO","lvl","Aberdeen City, Aberdeenshire and Moray"), GETPIVOTDATA("Sum of Office Duties",dutysystemlapivot!$A$3,"ReportingLevel","2:LSO","lvl","Aberdeen City"))</f>
        <v>9</v>
      </c>
      <c r="F48" s="66">
        <f>IF(OR(A10="2021-22", A10 = "2022-23", A10 = "2023-24", A10 = "2024-25", A10 = "2025-26"), GETPIVOTDATA("Sum of Trainees",dutysystemlapivot!$A$3,"ReportingLevel","2:LSO","lvl","Aberdeen City, Aberdeenshire and Moray"), GETPIVOTDATA("Sum of Trainees",dutysystemlapivot!$A$3,"ReportingLevel","2:LSO","lvl","Aberdeen City"))</f>
        <v>0</v>
      </c>
      <c r="G48" s="66">
        <f>SUM(C48:F48)</f>
        <v>73</v>
      </c>
    </row>
    <row r="49" spans="1:7" ht="15" customHeight="1" x14ac:dyDescent="0.3">
      <c r="A49" s="392" t="str">
        <f>IF(OR(A10="2021-22", A10 = "2022-23"), "", "S39000002")</f>
        <v>S39000002</v>
      </c>
      <c r="B49" s="666" t="str">
        <f xml:space="preserve"> IF(OR(A10="2021-22", A10 = "2022-23", A10 = "2023-24", A10 = "2024-25", A10 = "2025-26"), "", "Aberdeenshire and Moray")</f>
        <v/>
      </c>
      <c r="C49" s="66" t="str">
        <f>IF(OR(A10="2021-22", A10 = "2022-23", A10 = "2023-24", A10 = "2024-25", A10 = "2025-26"), "", GETPIVOTDATA("Sum of Operational Crewing",dutysystemlapivot!$A$3,"ReportingLevel","2:LSO","lvl","Aberdeenshire and Moray"))</f>
        <v/>
      </c>
      <c r="D49" s="66" t="str">
        <f>IF(OR(A10="2021-22", A10 = "2022-23", A10 = "2023-24", A10 = "2024-25", A10 = "2025-26"), "", GETPIVOTDATA("Sum of Incident Command Officers",dutysystemlapivot!$A$3,"ReportingLevel","2:LSO","lvl","Aberdeenshire and Moray"))</f>
        <v/>
      </c>
      <c r="E49" s="66" t="str">
        <f>IF(OR(A10="2021-22", A10 = "2022-23", A10 = "2023-24", A10 = "2024-25", A10 = "2025-26"), "", GETPIVOTDATA("Sum of Office Duties",dutysystemlapivot!$A$3,"ReportingLevel","2:LSO","lvl","Aberdeenshire and Moray"))</f>
        <v/>
      </c>
      <c r="F49" s="66" t="str">
        <f>IF(OR(A10="2021-22", A10 = "2022-23", A10 = "2023-24", A10 = "2024-25", A10 = "2025-26"), "", GETPIVOTDATA("Sum of Trainees",dutysystemlapivot!$A$3,"ReportingLevel","2:LSO","lvl","Aberdeenshire and Moray"))</f>
        <v/>
      </c>
      <c r="G49" s="66">
        <f>SUM(C49:F49)</f>
        <v>0</v>
      </c>
    </row>
    <row r="50" spans="1:7" ht="15" customHeight="1" x14ac:dyDescent="0.3">
      <c r="A50" s="392" t="s">
        <v>229</v>
      </c>
      <c r="B50" s="57" t="s">
        <v>230</v>
      </c>
      <c r="C50" s="66">
        <f>GETPIVOTDATA("Sum of Operational Crewing",dutysystemlapivot!$A$3,"ReportingLevel","2:LSO","lvl","Argyll and Bute, East Dunbartonshire and West Dunbartonshire")</f>
        <v>0</v>
      </c>
      <c r="D50" s="66">
        <f>GETPIVOTDATA("Sum of Incident Command Officers",dutysystemlapivot!$A$3,"ReportingLevel","2:LSO","lvl","Argyll and Bute, East Dunbartonshire and West Dunbartonshire")</f>
        <v>14</v>
      </c>
      <c r="E50" s="66">
        <f>GETPIVOTDATA("Sum of Office Duties",dutysystemlapivot!$A$3,"ReportingLevel","2:LSO","lvl","Argyll and Bute, East Dunbartonshire and West Dunbartonshire")</f>
        <v>10</v>
      </c>
      <c r="F50" s="66">
        <f>GETPIVOTDATA("Sum of Trainees",dutysystemlapivot!$A$3,"ReportingLevel","2:LSO","lvl","Argyll and Bute, East Dunbartonshire and West Dunbartonshire")</f>
        <v>0</v>
      </c>
      <c r="G50" s="66">
        <f t="shared" ref="G50:G65" si="2">SUM(C50:F50)</f>
        <v>24</v>
      </c>
    </row>
    <row r="51" spans="1:7" ht="15" customHeight="1" x14ac:dyDescent="0.3">
      <c r="A51" s="392" t="s">
        <v>245</v>
      </c>
      <c r="B51" s="57" t="s">
        <v>244</v>
      </c>
      <c r="C51" s="66">
        <f>GETPIVOTDATA("Sum of Operational Crewing",dutysystemlapivot!$A$3,"ReportingLevel","2:LSO","lvl","Dumfries and Galloway")</f>
        <v>0</v>
      </c>
      <c r="D51" s="66">
        <f>GETPIVOTDATA("Sum of Incident Command Officers",dutysystemlapivot!$A$3,"ReportingLevel","2:LSO","lvl","Dumfries and Galloway")</f>
        <v>10</v>
      </c>
      <c r="E51" s="66">
        <f>GETPIVOTDATA("Sum of Office Duties",dutysystemlapivot!$A$3,"ReportingLevel","2:LSO","lvl","Dumfries and Galloway")</f>
        <v>1</v>
      </c>
      <c r="F51" s="66">
        <f>GETPIVOTDATA("Sum of Trainees",dutysystemlapivot!$A$3,"ReportingLevel","2:LSO","lvl","Dumfries and Galloway")</f>
        <v>0</v>
      </c>
      <c r="G51" s="66">
        <f t="shared" si="2"/>
        <v>11</v>
      </c>
    </row>
    <row r="52" spans="1:7" ht="15" customHeight="1" x14ac:dyDescent="0.3">
      <c r="A52" s="392" t="s">
        <v>225</v>
      </c>
      <c r="B52" s="57" t="s">
        <v>226</v>
      </c>
      <c r="C52" s="66">
        <f>GETPIVOTDATA("Sum of Operational Crewing",dutysystemlapivot!$A$3,"ReportingLevel","2:LSO","lvl","Dundee, Angus, Perth and Kinross")</f>
        <v>0</v>
      </c>
      <c r="D52" s="66">
        <f>GETPIVOTDATA("Sum of Incident Command Officers",dutysystemlapivot!$A$3,"ReportingLevel","2:LSO","lvl","Dundee, Angus, Perth and Kinross")</f>
        <v>11</v>
      </c>
      <c r="E52" s="66">
        <f>GETPIVOTDATA("Sum of Office Duties",dutysystemlapivot!$A$3,"ReportingLevel","2:LSO","lvl","Dundee, Angus, Perth and Kinross")</f>
        <v>11</v>
      </c>
      <c r="F52" s="66">
        <f>GETPIVOTDATA("Sum of Trainees",dutysystemlapivot!$A$3,"ReportingLevel","2:LSO","lvl","Dundee, Angus, Perth and Kinross")</f>
        <v>0</v>
      </c>
      <c r="G52" s="66">
        <f t="shared" si="2"/>
        <v>22</v>
      </c>
    </row>
    <row r="53" spans="1:7" ht="15" customHeight="1" x14ac:dyDescent="0.3">
      <c r="A53" s="392" t="s">
        <v>250</v>
      </c>
      <c r="B53" s="57" t="s">
        <v>251</v>
      </c>
      <c r="C53" s="66">
        <f>GETPIVOTDATA("Sum of Operational Crewing",dutysystemlapivot!$A$3,"ReportingLevel","2:LSO","lvl","East Ayrshire, North Ayrshire and South Ayrshire")</f>
        <v>0</v>
      </c>
      <c r="D53" s="66">
        <f>GETPIVOTDATA("Sum of Incident Command Officers",dutysystemlapivot!$A$3,"ReportingLevel","2:LSO","lvl","East Ayrshire, North Ayrshire and South Ayrshire")</f>
        <v>13</v>
      </c>
      <c r="E53" s="66">
        <f>GETPIVOTDATA("Sum of Office Duties",dutysystemlapivot!$A$3,"ReportingLevel","2:LSO","lvl","East Ayrshire, North Ayrshire and South Ayrshire")</f>
        <v>12</v>
      </c>
      <c r="F53" s="66">
        <f>GETPIVOTDATA("Sum of Trainees",dutysystemlapivot!$A$3,"ReportingLevel","2:LSO","lvl","East Ayrshire, North Ayrshire and South Ayrshire")</f>
        <v>0</v>
      </c>
      <c r="G53" s="66">
        <f t="shared" si="2"/>
        <v>25</v>
      </c>
    </row>
    <row r="54" spans="1:7" ht="15" customHeight="1" x14ac:dyDescent="0.3">
      <c r="A54" s="392" t="s">
        <v>256</v>
      </c>
      <c r="B54" s="57" t="s">
        <v>257</v>
      </c>
      <c r="C54" s="66">
        <f>GETPIVOTDATA("Sum of Operational Crewing",dutysystemlapivot!$A$3,"ReportingLevel","2:LSO","lvl","East Lothian, Midlothian and the Scottish Borders")</f>
        <v>0</v>
      </c>
      <c r="D54" s="66">
        <f>GETPIVOTDATA("Sum of Incident Command Officers",dutysystemlapivot!$A$3,"ReportingLevel","2:LSO","lvl","East Lothian, Midlothian and the Scottish Borders")</f>
        <v>10</v>
      </c>
      <c r="E54" s="66">
        <f>GETPIVOTDATA("Sum of Office Duties",dutysystemlapivot!$A$3,"ReportingLevel","2:LSO","lvl","East Lothian, Midlothian and the Scottish Borders")</f>
        <v>16</v>
      </c>
      <c r="F54" s="66">
        <f>GETPIVOTDATA("Sum of Trainees",dutysystemlapivot!$A$3,"ReportingLevel","2:LSO","lvl","East Lothian, Midlothian and the Scottish Borders")</f>
        <v>0</v>
      </c>
      <c r="G54" s="66">
        <f t="shared" si="2"/>
        <v>26</v>
      </c>
    </row>
    <row r="55" spans="1:7" ht="15" customHeight="1" x14ac:dyDescent="0.3">
      <c r="A55" s="338" t="s">
        <v>260</v>
      </c>
      <c r="B55" s="57" t="s">
        <v>261</v>
      </c>
      <c r="C55" s="66">
        <f>GETPIVOTDATA("Sum of Operational Crewing",dutysystemlapivot!$A$3,"ReportingLevel","2:LSO","lvl","East Renfrewshire, Renfrewshire and Inverclyde")</f>
        <v>0</v>
      </c>
      <c r="D55" s="66">
        <f>GETPIVOTDATA("Sum of Incident Command Officers",dutysystemlapivot!$A$3,"ReportingLevel","2:LSO","lvl","East Renfrewshire, Renfrewshire and Inverclyde")</f>
        <v>9</v>
      </c>
      <c r="E55" s="66">
        <f>GETPIVOTDATA("Sum of Office Duties",dutysystemlapivot!$A$3,"ReportingLevel","2:LSO","lvl","East Renfrewshire, Renfrewshire and Inverclyde")</f>
        <v>9</v>
      </c>
      <c r="F55" s="66">
        <f>GETPIVOTDATA("Sum of Trainees",dutysystemlapivot!$A$3,"ReportingLevel","2:LSO","lvl","East Renfrewshire, Renfrewshire and Inverclyde")</f>
        <v>0</v>
      </c>
      <c r="G55" s="66">
        <f t="shared" si="2"/>
        <v>18</v>
      </c>
    </row>
    <row r="56" spans="1:7" ht="15" customHeight="1" x14ac:dyDescent="0.3">
      <c r="A56" s="392" t="s">
        <v>235</v>
      </c>
      <c r="B56" s="57" t="s">
        <v>236</v>
      </c>
      <c r="C56" s="66">
        <f>GETPIVOTDATA("Sum of Operational Crewing",dutysystemlapivot!$A$3,"ReportingLevel","2:LSO","lvl","Edinburgh City")</f>
        <v>0</v>
      </c>
      <c r="D56" s="66">
        <f>GETPIVOTDATA("Sum of Incident Command Officers",dutysystemlapivot!$A$3,"ReportingLevel","2:LSO","lvl","Edinburgh City")</f>
        <v>16</v>
      </c>
      <c r="E56" s="66">
        <f>GETPIVOTDATA("Sum of Office Duties",dutysystemlapivot!$A$3,"ReportingLevel","2:LSO","lvl","Edinburgh City")</f>
        <v>15</v>
      </c>
      <c r="F56" s="66">
        <f>GETPIVOTDATA("Sum of Trainees",dutysystemlapivot!$A$3,"ReportingLevel","2:LSO","lvl","Edinburgh City")</f>
        <v>0</v>
      </c>
      <c r="G56" s="66">
        <f t="shared" si="2"/>
        <v>31</v>
      </c>
    </row>
    <row r="57" spans="1:7" ht="15" customHeight="1" x14ac:dyDescent="0.3">
      <c r="A57" s="392" t="s">
        <v>264</v>
      </c>
      <c r="B57" s="57" t="s">
        <v>265</v>
      </c>
      <c r="C57" s="66">
        <f>GETPIVOTDATA("Sum of Operational Crewing",dutysystemlapivot!$A$3,"ReportingLevel","2:LSO","lvl","Falkirk and West Lothian")</f>
        <v>0</v>
      </c>
      <c r="D57" s="66">
        <f>GETPIVOTDATA("Sum of Incident Command Officers",dutysystemlapivot!$A$3,"ReportingLevel","2:LSO","lvl","Falkirk and West Lothian")</f>
        <v>9</v>
      </c>
      <c r="E57" s="66">
        <f>GETPIVOTDATA("Sum of Office Duties",dutysystemlapivot!$A$3,"ReportingLevel","2:LSO","lvl","Falkirk and West Lothian")</f>
        <v>10</v>
      </c>
      <c r="F57" s="66">
        <f>GETPIVOTDATA("Sum of Trainees",dutysystemlapivot!$A$3,"ReportingLevel","2:LSO","lvl","Falkirk and West Lothian")</f>
        <v>0</v>
      </c>
      <c r="G57" s="66">
        <f t="shared" si="2"/>
        <v>19</v>
      </c>
    </row>
    <row r="58" spans="1:7" ht="15" customHeight="1" x14ac:dyDescent="0.3">
      <c r="A58" s="392" t="str">
        <f>IF(A10="2018-19","S39000019","")</f>
        <v/>
      </c>
      <c r="B58" s="312" t="str">
        <f>IF(A10 = "2018-19", "Fife", "")</f>
        <v/>
      </c>
      <c r="C58" s="66" t="str">
        <f>IF(A10 = "2018-19", GETPIVOTDATA("Sum of Operational Crewing",dutysystemlapivot!$A$3,"ReportingLevel","2:LSO","lvl","Fife"), "")</f>
        <v/>
      </c>
      <c r="D58" s="66" t="str">
        <f>IF(A10 = "2018-19", GETPIVOTDATA("Sum of Incident Command Officers",dutysystemlapivot!$A$3,"ReportingLevel","2:LSO","lvl","Fife"), "")</f>
        <v/>
      </c>
      <c r="E58" s="66" t="str">
        <f>IF(A10 = "2018-19", GETPIVOTDATA("Sum of Office Duties",dutysystemlapivot!$A$3,"ReportingLevel","2:LSO","lvl","Fife"), "")</f>
        <v/>
      </c>
      <c r="F58" s="66" t="str">
        <f>IF(A10 = "2018-19", GETPIVOTDATA("Sum of Trainees",dutysystemlapivot!$A$3,"ReportingLevel","2:LSO","lvl","Fife"), "")</f>
        <v/>
      </c>
      <c r="G58" s="66">
        <f t="shared" si="2"/>
        <v>0</v>
      </c>
    </row>
    <row r="59" spans="1:7" ht="15" customHeight="1" x14ac:dyDescent="0.3">
      <c r="A59" s="392" t="str">
        <f>IF(A10="2018-19","S39000012","S39000020")</f>
        <v>S39000020</v>
      </c>
      <c r="B59" s="57" t="s">
        <v>270</v>
      </c>
      <c r="C59" s="66">
        <f>GETPIVOTDATA("Sum of Operational Crewing",dutysystemlapivot!$A$3,"ReportingLevel","2:LSO","lvl","Glasgow City")</f>
        <v>0</v>
      </c>
      <c r="D59" s="66">
        <f>GETPIVOTDATA("Sum of Incident Command Officers",dutysystemlapivot!$A$3,"ReportingLevel","2:LSO","lvl","Glasgow City")</f>
        <v>14</v>
      </c>
      <c r="E59" s="66">
        <f>GETPIVOTDATA("Sum of Office Duties",dutysystemlapivot!$A$3,"ReportingLevel","2:LSO","lvl","Glasgow City")</f>
        <v>16</v>
      </c>
      <c r="F59" s="66">
        <f>GETPIVOTDATA("Sum of Trainees",dutysystemlapivot!$A$3,"ReportingLevel","2:LSO","lvl","Glasgow City")</f>
        <v>0</v>
      </c>
      <c r="G59" s="66">
        <f t="shared" si="2"/>
        <v>30</v>
      </c>
    </row>
    <row r="60" spans="1:7" ht="15" customHeight="1" x14ac:dyDescent="0.3">
      <c r="A60" s="392" t="s">
        <v>274</v>
      </c>
      <c r="B60" s="57" t="s">
        <v>275</v>
      </c>
      <c r="C60" s="66">
        <f>GETPIVOTDATA("Sum of Operational Crewing",dutysystemlapivot!$A$3,"ReportingLevel","2:LSO","lvl","Highlands")</f>
        <v>0</v>
      </c>
      <c r="D60" s="66">
        <f>GETPIVOTDATA("Sum of Incident Command Officers",dutysystemlapivot!$A$3,"ReportingLevel","2:LSO","lvl","Highlands")</f>
        <v>18</v>
      </c>
      <c r="E60" s="66">
        <f>GETPIVOTDATA("Sum of Office Duties",dutysystemlapivot!$A$3,"ReportingLevel","2:LSO","lvl","Highlands")</f>
        <v>6</v>
      </c>
      <c r="F60" s="66">
        <f>GETPIVOTDATA("Sum of Trainees",dutysystemlapivot!$A$3,"ReportingLevel","2:LSO","lvl","Highlands")</f>
        <v>0</v>
      </c>
      <c r="G60" s="66">
        <f t="shared" si="2"/>
        <v>24</v>
      </c>
    </row>
    <row r="61" spans="1:7" ht="15" customHeight="1" x14ac:dyDescent="0.3">
      <c r="A61" s="392" t="str">
        <f>IF(A10="2021-22","S39000024","S39000021")</f>
        <v>S39000021</v>
      </c>
      <c r="B61" s="666" t="str">
        <f>IF( OR(A10 = "2021-22", , A10 = "2023-24", A10 = "2024-25", A10 = "2025-26"),"Lanarkshire", "North Lanarkshire")</f>
        <v>Lanarkshire</v>
      </c>
      <c r="C61" s="66">
        <f>IF(OR(A10="2021-22", A10 = "2022-23", A10 = "2023-24", A10 = "2024-25", A10 = "2025-26"), GETPIVOTDATA("Sum of Operational Crewing",dutysystemlapivot!$A$3,"ReportingLevel","2:LSO","lvl","Lanarkshire"), GETPIVOTDATA("Sum of Operational Crewing",dutysystemlapivot!$A$3,"ReportingLevel","2:LSO","lvl","North Lanarkshire"))</f>
        <v>0</v>
      </c>
      <c r="D61" s="66">
        <f>IF(OR(A10="2021-22", A10 = "2022-23", A10 = "2023-24", A10 = "2024-25", A10 = "2025-26"), GETPIVOTDATA("Sum of Incident Command Officers",dutysystemlapivot!$A$3,"ReportingLevel","2:LSO","lvl","Lanarkshire"), GETPIVOTDATA("Sum of Incident Command Officers",dutysystemlapivot!$A$3,"ReportingLevel","2:LSO","lvl","North Lanarkshire"))</f>
        <v>11</v>
      </c>
      <c r="E61" s="66">
        <f>IF(OR(A10="2021-22", A10 = "2022-23", A10 = "2023-24", A10 = "2024-25", A10 = "2025-26"), GETPIVOTDATA("Sum of Office Duties",dutysystemlapivot!$A$3,"ReportingLevel","2:LSO","lvl","Lanarkshire"), GETPIVOTDATA("Sum of Office Duties",dutysystemlapivot!$A$3,"ReportingLevel","2:LSO","lvl","North Lanarkshire"))</f>
        <v>9</v>
      </c>
      <c r="F61" s="66">
        <f>IF(OR(A10="2021-22", A10 = "2022-23", A10 = "2023-24", A10 = "2024-25", A10 = "2025-26"), GETPIVOTDATA("Sum of Trainees",dutysystemlapivot!$A$3,"ReportingLevel","2:LSO","lvl","Lanarkshire"), GETPIVOTDATA("Sum of Trainees",dutysystemlapivot!$A$3,"ReportingLevel","2:LSO","lvl","North Lanarkshire"))</f>
        <v>0</v>
      </c>
      <c r="G61" s="66">
        <f t="shared" si="2"/>
        <v>20</v>
      </c>
    </row>
    <row r="62" spans="1:7" ht="15" customHeight="1" x14ac:dyDescent="0.3">
      <c r="A62" s="392" t="str">
        <f>IF(A10="2021-22","","S39000015")</f>
        <v>S39000015</v>
      </c>
      <c r="B62" s="666" t="str">
        <f>IF( OR(A10 = "2021-22", A10 = "2023-24", A10 = "2024-25", A10 = "2025-26"), "", "South Lanarkshire")</f>
        <v/>
      </c>
      <c r="C62" s="66" t="str">
        <f>IF(OR(A10="2021-22", A10 = "2022-23", A10 = "2023-24", A10 = "2024-25", A10 = "2025-26"), "", GETPIVOTDATA("Sum of Operational Crewing",dutysystemlapivot!$A$3,"ReportingLevel","2:LSO","lvl","South Lanarkshire"))</f>
        <v/>
      </c>
      <c r="D62" s="66" t="str">
        <f>IF(OR(A10="2021-22", A10 = "2022-23", A10 = "2023-24", A10 = "2024-25", A10 = "2025-26"), "", GETPIVOTDATA("Sum of Incident Command Officers",dutysystemlapivot!$A$3,"ReportingLevel","2:LSO","lvl","South Lanarkshire"))</f>
        <v/>
      </c>
      <c r="E62" s="66" t="str">
        <f>IF(OR(A10="2021-22", A10 = "2022-23", A10 = "2023-24", A10 = "2024-25", A10 = "2025-26"), "", GETPIVOTDATA("Sum of Office Duties",dutysystemlapivot!$A$3,"ReportingLevel","2:LSO","lvl","South Lanarkshire"))</f>
        <v/>
      </c>
      <c r="F62" s="66" t="str">
        <f>IF(OR(A10="2021-22", A10 = "2022-23", A10 = "2023-24", A10 = "2024-25", A10 = "2025-26"), "", GETPIVOTDATA("Sum of Trainees",dutysystemlapivot!$A$3,"ReportingLevel","2:LSO","lvl","South Lanarkshire"))</f>
        <v/>
      </c>
      <c r="G62" s="66">
        <f t="shared" si="2"/>
        <v>0</v>
      </c>
    </row>
    <row r="63" spans="1:7" ht="15.75" customHeight="1" x14ac:dyDescent="0.3">
      <c r="A63" s="392" t="str">
        <f>IF(A10="2018-19","S39000016","S39000022")</f>
        <v>S39000022</v>
      </c>
      <c r="B63" s="582" t="str">
        <f>IF(A10="2018-19","Stirling and Clackmannanshire","Stirling, Clackmannanshire and Fife")</f>
        <v>Stirling, Clackmannanshire and Fife</v>
      </c>
      <c r="C63" s="66">
        <f>IF(A10 = "2018-19", GETPIVOTDATA("Sum of Operational Crewing",dutysystemlapivot!$A$3,"ReportingLevel","2:LSO","lvl","Stirling and Clackmannanshire"), GETPIVOTDATA("Sum of Operational Crewing",dutysystemlapivot!$A$3,"ReportingLevel","2:LSO","lvl","Stirling, Clackmannanshire and Fife"))</f>
        <v>0</v>
      </c>
      <c r="D63" s="66">
        <f>IF(A10 = "2018-19", GETPIVOTDATA("Sum of Incident Command Officers",dutysystemlapivot!$A$3,"ReportingLevel","2:LSO","lvl","Stirling and Clackmannanshire"), GETPIVOTDATA("Sum of Incident Command Officers",dutysystemlapivot!$A$3,"ReportingLevel","2:LSO","lvl","Stirling, Clackmannanshire and Fife"))</f>
        <v>14</v>
      </c>
      <c r="E63" s="66">
        <f>IF(A10 = "2018-19", GETPIVOTDATA("Sum of Office Duties",dutysystemlapivot!$A$3,"ReportingLevel","2:LSO","lvl","Stirling and Clackmannanshire"), GETPIVOTDATA("Sum of Office Duties",dutysystemlapivot!$A$3,"ReportingLevel","2:LSO","lvl","Stirling, Clackmannanshire and Fife"))</f>
        <v>18</v>
      </c>
      <c r="F63" s="66">
        <f>IF(A10 = "2018-19", GETPIVOTDATA("Sum of Trainees",dutysystemlapivot!$A$3,"ReportingLevel","2:LSO","lvl","Stirling and Clackmannanshire"), GETPIVOTDATA("Sum of Trainees",dutysystemlapivot!$A$3,"ReportingLevel","2:LSO","lvl","Stirling, Clackmannanshire and Fife"))</f>
        <v>0</v>
      </c>
      <c r="G63" s="66">
        <f t="shared" si="2"/>
        <v>32</v>
      </c>
    </row>
    <row r="64" spans="1:7" ht="12.75" customHeight="1" x14ac:dyDescent="0.3">
      <c r="A64" s="392" t="s">
        <v>284</v>
      </c>
      <c r="B64" s="627" t="s">
        <v>285</v>
      </c>
      <c r="C64" s="66">
        <f>GETPIVOTDATA("Sum of Operational Crewing",dutysystemlapivot!$A$3,"ReportingLevel","2:LSO","lvl","Western Isles, Orkney and Shetland Islands")</f>
        <v>0</v>
      </c>
      <c r="D64" s="66">
        <f>GETPIVOTDATA("Sum of Incident Command Officers",dutysystemlapivot!$A$3,"ReportingLevel","2:LSO","lvl","Western Isles, Orkney and Shetland Islands")</f>
        <v>10</v>
      </c>
      <c r="E64" s="66">
        <f>GETPIVOTDATA("Sum of Office Duties",dutysystemlapivot!$A$3,"ReportingLevel","2:LSO","lvl","Western Isles, Orkney and Shetland Islands")</f>
        <v>0</v>
      </c>
      <c r="F64" s="66">
        <f>GETPIVOTDATA("Sum of Trainees",dutysystemlapivot!$A$3,"ReportingLevel","2:LSO","lvl","Western Isles, Orkney and Shetland Islands")</f>
        <v>0</v>
      </c>
      <c r="G64" s="66">
        <f t="shared" si="2"/>
        <v>10</v>
      </c>
    </row>
    <row r="65" spans="1:8" ht="30" customHeight="1" thickBot="1" x14ac:dyDescent="0.35">
      <c r="A65" s="58"/>
      <c r="B65" s="626" t="s">
        <v>554</v>
      </c>
      <c r="C65" s="70">
        <f>GETPIVOTDATA("Sum of Operational Crewing",dutysystemlapivot!$A$3,"ReportingLevel","2:LSO")</f>
        <v>48</v>
      </c>
      <c r="D65" s="70">
        <f>GETPIVOTDATA("Sum of Incident Command Officers",dutysystemlapivot!$A$3,"ReportingLevel","2:LSO")</f>
        <v>175</v>
      </c>
      <c r="E65" s="70">
        <f>GETPIVOTDATA("Sum of Office Duties",dutysystemlapivot!$A$3,"ReportingLevel","2:LSO")</f>
        <v>142</v>
      </c>
      <c r="F65" s="70">
        <f>GETPIVOTDATA("Sum of Trainees",dutysystemlapivot!$A$3,"ReportingLevel","2:LSO")</f>
        <v>0</v>
      </c>
      <c r="G65" s="299">
        <f t="shared" si="2"/>
        <v>365</v>
      </c>
    </row>
    <row r="66" spans="1:8" ht="22.5" customHeight="1" x14ac:dyDescent="0.3">
      <c r="A66" s="48"/>
      <c r="B66" s="48"/>
      <c r="C66" s="74"/>
      <c r="D66" s="41"/>
      <c r="E66" s="41"/>
      <c r="F66" s="41"/>
      <c r="G66" s="41"/>
    </row>
    <row r="67" spans="1:8" ht="15" customHeight="1" x14ac:dyDescent="0.3">
      <c r="A67" s="36" t="s">
        <v>211</v>
      </c>
      <c r="B67" s="36" t="s">
        <v>212</v>
      </c>
      <c r="C67" s="43"/>
      <c r="D67" s="43"/>
      <c r="E67" s="43"/>
      <c r="F67" s="43"/>
      <c r="G67" s="43"/>
    </row>
    <row r="68" spans="1:8" ht="15" customHeight="1" x14ac:dyDescent="0.3">
      <c r="A68" s="481" t="s">
        <v>237</v>
      </c>
      <c r="B68" s="60" t="s">
        <v>238</v>
      </c>
      <c r="C68" s="66">
        <f>GETPIVOTDATA("Sum of Operational Crewing",dutysystemlapivot!$A$3,"ReportingLevel","3:SDA","lvl","East")</f>
        <v>0</v>
      </c>
      <c r="D68" s="66">
        <f>GETPIVOTDATA("Sum of Incident Command Officers",dutysystemlapivot!$A$3,"ReportingLevel","3:SDA","lvl","East")</f>
        <v>10</v>
      </c>
      <c r="E68" s="66">
        <f>GETPIVOTDATA("Sum of Office Duties",dutysystemlapivot!$A$3,"ReportingLevel","3:SDA","lvl","East")</f>
        <v>6</v>
      </c>
      <c r="F68" s="66">
        <f>GETPIVOTDATA("Sum of Trainees",dutysystemlapivot!$A$3,"ReportingLevel","3:SDA","lvl","East")</f>
        <v>24</v>
      </c>
      <c r="G68" s="66">
        <f>SUM(C68:F68)</f>
        <v>40</v>
      </c>
    </row>
    <row r="69" spans="1:8" ht="16.5" customHeight="1" x14ac:dyDescent="0.3">
      <c r="A69" s="50" t="s">
        <v>217</v>
      </c>
      <c r="B69" s="48" t="s">
        <v>218</v>
      </c>
      <c r="C69" s="66">
        <f>GETPIVOTDATA("Sum of Operational Crewing",dutysystemlapivot!$A$3,"ReportingLevel","3:SDA","lvl","North")</f>
        <v>0</v>
      </c>
      <c r="D69" s="66">
        <f>GETPIVOTDATA("Sum of Incident Command Officers",dutysystemlapivot!$A$3,"ReportingLevel","3:SDA","lvl","North")</f>
        <v>9</v>
      </c>
      <c r="E69" s="66">
        <f>GETPIVOTDATA("Sum of Office Duties",dutysystemlapivot!$A$3,"ReportingLevel","3:SDA","lvl","North")</f>
        <v>6</v>
      </c>
      <c r="F69" s="66">
        <f>GETPIVOTDATA("Sum of Trainees",dutysystemlapivot!$A$3,"ReportingLevel","3:SDA","lvl","North")</f>
        <v>12</v>
      </c>
      <c r="G69" s="66">
        <f t="shared" ref="G69:G70" si="3">SUM(C69:F69)</f>
        <v>27</v>
      </c>
    </row>
    <row r="70" spans="1:8" x14ac:dyDescent="0.3">
      <c r="A70" s="453" t="s">
        <v>231</v>
      </c>
      <c r="B70" s="48" t="s">
        <v>232</v>
      </c>
      <c r="C70" s="66">
        <f>GETPIVOTDATA("Sum of Operational Crewing",dutysystemlapivot!$A$3,"ReportingLevel","3:SDA","lvl","West")</f>
        <v>0</v>
      </c>
      <c r="D70" s="66">
        <f>GETPIVOTDATA("Sum of Incident Command Officers",dutysystemlapivot!$A$3,"ReportingLevel","3:SDA","lvl","West")</f>
        <v>11</v>
      </c>
      <c r="E70" s="66">
        <f>GETPIVOTDATA("Sum of Office Duties",dutysystemlapivot!$A$3,"ReportingLevel","3:SDA","lvl","West")</f>
        <v>47</v>
      </c>
      <c r="F70" s="66">
        <f>GETPIVOTDATA("Sum of Trainees",dutysystemlapivot!$A$3,"ReportingLevel","3:SDA","lvl","West")</f>
        <v>36</v>
      </c>
      <c r="G70" s="66">
        <f t="shared" si="3"/>
        <v>94</v>
      </c>
    </row>
    <row r="71" spans="1:8" ht="16.5" customHeight="1" thickBot="1" x14ac:dyDescent="0.35">
      <c r="A71" s="52"/>
      <c r="B71" s="52" t="s">
        <v>555</v>
      </c>
      <c r="C71" s="70">
        <f>GETPIVOTDATA("Sum of Operational Crewing",dutysystemlapivot!$A$3,"ReportingLevel","3:SDA")</f>
        <v>0</v>
      </c>
      <c r="D71" s="70">
        <f>GETPIVOTDATA("Sum of Incident Command Officers",dutysystemlapivot!$A$3,"ReportingLevel","3:SDA")</f>
        <v>30</v>
      </c>
      <c r="E71" s="70">
        <f>GETPIVOTDATA("Sum of Office Duties",dutysystemlapivot!$A$3,"ReportingLevel","3:SDA")</f>
        <v>59</v>
      </c>
      <c r="F71" s="70">
        <f>GETPIVOTDATA("Sum of Trainees",dutysystemlapivot!$A$3,"ReportingLevel","3:SDA")</f>
        <v>72</v>
      </c>
      <c r="G71" s="70">
        <f t="shared" ref="G71:G73" si="4">SUM(C71:F71)</f>
        <v>161</v>
      </c>
    </row>
    <row r="72" spans="1:8" ht="18.75" customHeight="1" x14ac:dyDescent="0.3">
      <c r="A72" s="36" t="s">
        <v>556</v>
      </c>
      <c r="B72" s="48"/>
      <c r="C72" s="44"/>
      <c r="D72" s="44"/>
      <c r="E72" s="44"/>
      <c r="F72" s="44"/>
      <c r="G72" s="668"/>
    </row>
    <row r="73" spans="1:8" ht="13.5" customHeight="1" thickBot="1" x14ac:dyDescent="0.35">
      <c r="A73" s="52" t="s">
        <v>549</v>
      </c>
      <c r="B73" s="76" t="s">
        <v>557</v>
      </c>
      <c r="C73" s="299">
        <f>GETPIVOTDATA("Sum of Operational Crewing",dutysystemlapivot!$A$3,"ReportingLevel","4:National","lvl","Scotland")</f>
        <v>0</v>
      </c>
      <c r="D73" s="299">
        <f>GETPIVOTDATA("Sum of Incident Command Officers",dutysystemlapivot!$A$3,"ReportingLevel","4:National","lvl","Scotland")</f>
        <v>57</v>
      </c>
      <c r="E73" s="299">
        <f>GETPIVOTDATA("Sum of Office Duties",dutysystemlapivot!$A$3,"ReportingLevel","4:National","lvl","Scotland")</f>
        <v>38</v>
      </c>
      <c r="F73" s="299">
        <f>GETPIVOTDATA("Sum of Trainees",dutysystemlapivot!$A$3,"ReportingLevel","4:National","lvl","Scotland")</f>
        <v>0</v>
      </c>
      <c r="G73" s="70">
        <f t="shared" si="4"/>
        <v>95</v>
      </c>
    </row>
    <row r="74" spans="1:8" ht="13.5" customHeight="1" x14ac:dyDescent="0.3"/>
    <row r="75" spans="1:8" x14ac:dyDescent="0.3">
      <c r="A75" s="348" t="s">
        <v>329</v>
      </c>
      <c r="B75" s="349"/>
      <c r="C75" s="349"/>
      <c r="D75" s="349"/>
      <c r="E75" s="349"/>
      <c r="F75" s="349"/>
      <c r="G75" s="349"/>
    </row>
    <row r="76" spans="1:8" ht="44.4" customHeight="1" x14ac:dyDescent="0.3">
      <c r="A76" s="1029" t="s">
        <v>536</v>
      </c>
      <c r="B76" s="1029"/>
      <c r="C76" s="1029"/>
      <c r="D76" s="1029"/>
      <c r="E76" s="1029"/>
      <c r="F76" s="1029"/>
      <c r="G76" s="349"/>
    </row>
    <row r="77" spans="1:8" x14ac:dyDescent="0.3">
      <c r="A77" s="345" t="s">
        <v>558</v>
      </c>
      <c r="B77" s="339"/>
      <c r="C77" s="346"/>
      <c r="D77" s="347"/>
      <c r="E77" s="347"/>
      <c r="F77" s="347"/>
      <c r="G77" s="347"/>
    </row>
    <row r="78" spans="1:8" x14ac:dyDescent="0.3">
      <c r="A78" s="376"/>
      <c r="B78" s="421"/>
      <c r="C78" s="421"/>
      <c r="D78" s="421"/>
      <c r="E78" s="421"/>
      <c r="F78" s="421"/>
      <c r="G78" s="421"/>
      <c r="H78" s="371"/>
    </row>
    <row r="79" spans="1:8" x14ac:dyDescent="0.3">
      <c r="A79" s="345"/>
    </row>
  </sheetData>
  <sheetProtection algorithmName="SHA-512" hashValue="IKBK/BYn+7+uGy3BmnGCnbfQugPnIKUUzgFojV5xawRTIw0ebGjCwf+UB/bk4PXHd/jts8U6jEojrDTDabYk5Q==" saltValue="4uHhGXKwZLbLVTSYb+2Zuw==" spinCount="100000" sheet="1" scenarios="1" formatCells="0" sort="0" autoFilter="0" pivotTables="0"/>
  <mergeCells count="1">
    <mergeCell ref="A76:F76"/>
  </mergeCells>
  <hyperlinks>
    <hyperlink ref="A2" location="'Table of Contents'!A1" display="Back to Table of Contents" xr:uid="{00000000-0004-0000-1D00-000000000000}"/>
  </hyperlinks>
  <pageMargins left="0.7" right="0.7" top="0.75" bottom="0.75" header="0.3" footer="0.3"/>
  <pageSetup paperSize="9" orientation="portrait" r:id="rId1"/>
  <drawing r:id="rId2"/>
  <extLst>
    <ext xmlns:x14="http://schemas.microsoft.com/office/spreadsheetml/2009/9/main" uri="{A8765BA9-456A-4dab-B4F3-ACF838C121DE}">
      <x14:slicerList>
        <x14:slicer r:id="rId3"/>
      </x14:slicerList>
    </ext>
  </extLst>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theme="9" tint="0.39997558519241921"/>
  </sheetPr>
  <dimension ref="A1:AD316"/>
  <sheetViews>
    <sheetView zoomScaleNormal="100" workbookViewId="0">
      <selection sqref="A1:B1"/>
    </sheetView>
  </sheetViews>
  <sheetFormatPr defaultColWidth="8.6640625" defaultRowHeight="14.4" x14ac:dyDescent="0.3"/>
  <cols>
    <col min="1" max="1" width="7.77734375" style="370" bestFit="1" customWidth="1"/>
    <col min="2" max="2" width="45.6640625" style="370" bestFit="1" customWidth="1"/>
    <col min="3" max="3" width="46.88671875" style="370" bestFit="1" customWidth="1"/>
    <col min="4" max="4" width="24.109375" style="370" bestFit="1" customWidth="1"/>
    <col min="5" max="5" width="22.33203125" style="370" bestFit="1" customWidth="1"/>
    <col min="6" max="6" width="19.5546875" style="370" bestFit="1" customWidth="1"/>
    <col min="7" max="7" width="9.5546875" style="370" bestFit="1" customWidth="1"/>
    <col min="8" max="8" width="10" style="370" bestFit="1" customWidth="1"/>
    <col min="9" max="9" width="11.88671875" style="370" bestFit="1" customWidth="1"/>
    <col min="10" max="16" width="10.44140625" style="370" customWidth="1"/>
    <col min="17" max="17" width="42.44140625" style="370" customWidth="1"/>
    <col min="18" max="18" width="44.109375" style="370" bestFit="1" customWidth="1"/>
    <col min="19" max="19" width="45.6640625" style="370" bestFit="1" customWidth="1"/>
    <col min="20" max="20" width="24.88671875" style="370" bestFit="1" customWidth="1"/>
    <col min="21" max="21" width="23.44140625" style="370" bestFit="1" customWidth="1"/>
    <col min="22" max="22" width="20.33203125" style="370" bestFit="1" customWidth="1"/>
    <col min="23" max="23" width="11" style="370" bestFit="1" customWidth="1"/>
    <col min="24" max="24" width="11.44140625" style="370" bestFit="1" customWidth="1"/>
    <col min="25" max="25" width="13.33203125" style="370" bestFit="1" customWidth="1"/>
    <col min="26" max="26" width="23" style="370" bestFit="1" customWidth="1"/>
    <col min="27" max="27" width="21.5546875" style="370" bestFit="1" customWidth="1"/>
    <col min="28" max="28" width="18.44140625" style="370" bestFit="1" customWidth="1"/>
    <col min="29" max="29" width="9.44140625" style="370" bestFit="1" customWidth="1"/>
    <col min="30" max="30" width="9.88671875" style="370" bestFit="1" customWidth="1"/>
    <col min="31" max="31" width="11.44140625" style="370" bestFit="1" customWidth="1"/>
    <col min="32" max="32" width="15.5546875" style="370" customWidth="1"/>
    <col min="33" max="33" width="23" style="370" customWidth="1"/>
    <col min="34" max="34" width="21.5546875" style="370" customWidth="1"/>
    <col min="35" max="16384" width="8.6640625" style="370"/>
  </cols>
  <sheetData>
    <row r="1" spans="1:29" ht="15.6" customHeight="1" x14ac:dyDescent="0.3">
      <c r="A1" s="1045" t="s">
        <v>515</v>
      </c>
      <c r="B1" s="1045"/>
    </row>
    <row r="2" spans="1:29" ht="17.399999999999999" x14ac:dyDescent="0.3">
      <c r="A2" s="790" t="s">
        <v>202</v>
      </c>
      <c r="B2" s="1"/>
    </row>
    <row r="3" spans="1:29" ht="17.399999999999999" x14ac:dyDescent="0.3">
      <c r="A3" s="1"/>
    </row>
    <row r="4" spans="1:29" ht="15.6" customHeight="1" x14ac:dyDescent="0.3">
      <c r="A4" s="1046" t="s">
        <v>1299</v>
      </c>
      <c r="B4" s="1046"/>
    </row>
    <row r="5" spans="1:29" x14ac:dyDescent="0.3">
      <c r="A5" s="370" t="s">
        <v>203</v>
      </c>
      <c r="B5" s="370" t="s">
        <v>65</v>
      </c>
    </row>
    <row r="6" spans="1:29" x14ac:dyDescent="0.3">
      <c r="A6" s="370" t="s">
        <v>204</v>
      </c>
      <c r="B6" s="370" t="s">
        <v>205</v>
      </c>
    </row>
    <row r="7" spans="1:29" x14ac:dyDescent="0.3">
      <c r="A7" s="370" t="s">
        <v>206</v>
      </c>
      <c r="B7" s="370" t="s">
        <v>207</v>
      </c>
    </row>
    <row r="9" spans="1:29" x14ac:dyDescent="0.3">
      <c r="A9" s="989" t="s">
        <v>806</v>
      </c>
      <c r="B9" s="989" t="s">
        <v>559</v>
      </c>
      <c r="C9" s="989" t="s">
        <v>560</v>
      </c>
      <c r="D9" s="989" t="s">
        <v>517</v>
      </c>
      <c r="E9" s="989" t="s">
        <v>361</v>
      </c>
      <c r="F9" s="989" t="s">
        <v>518</v>
      </c>
      <c r="G9" s="989" t="s">
        <v>513</v>
      </c>
      <c r="H9" s="989" t="s">
        <v>514</v>
      </c>
      <c r="I9" s="989" t="s">
        <v>339</v>
      </c>
    </row>
    <row r="10" spans="1:29" s="339" customFormat="1" hidden="1" x14ac:dyDescent="0.3">
      <c r="A10" s="334" t="s">
        <v>213</v>
      </c>
      <c r="C10" s="339" t="s">
        <v>562</v>
      </c>
      <c r="D10" s="917">
        <v>2</v>
      </c>
      <c r="E10" s="917"/>
      <c r="F10" s="917"/>
      <c r="G10" s="917"/>
      <c r="H10" s="917">
        <v>66</v>
      </c>
      <c r="I10" s="917"/>
      <c r="J10" s="370"/>
      <c r="K10" s="370"/>
      <c r="L10" s="370"/>
      <c r="M10" s="370"/>
      <c r="N10" s="370"/>
      <c r="O10" s="370"/>
      <c r="P10" s="370"/>
      <c r="Q10" s="370"/>
      <c r="R10" s="370"/>
      <c r="S10" s="370"/>
      <c r="T10" s="370"/>
      <c r="U10" s="370"/>
      <c r="V10" s="370"/>
      <c r="W10" s="370"/>
      <c r="X10" s="370"/>
      <c r="Y10" s="370"/>
      <c r="Z10" s="370"/>
      <c r="AA10" s="370"/>
      <c r="AB10" s="370"/>
      <c r="AC10" s="370"/>
    </row>
    <row r="11" spans="1:29" hidden="1" x14ac:dyDescent="0.3">
      <c r="A11" s="595" t="s">
        <v>213</v>
      </c>
      <c r="C11" s="370" t="s">
        <v>570</v>
      </c>
      <c r="D11" s="917">
        <v>3101</v>
      </c>
      <c r="E11" s="917">
        <v>2935</v>
      </c>
      <c r="F11" s="917">
        <v>18</v>
      </c>
      <c r="G11" s="917"/>
      <c r="H11" s="917">
        <v>26</v>
      </c>
      <c r="I11" s="917">
        <v>321</v>
      </c>
    </row>
    <row r="12" spans="1:29" hidden="1" x14ac:dyDescent="0.3">
      <c r="A12" s="595" t="s">
        <v>213</v>
      </c>
      <c r="C12" s="370" t="s">
        <v>534</v>
      </c>
      <c r="D12" s="917">
        <v>65</v>
      </c>
      <c r="E12" s="917"/>
      <c r="F12" s="917"/>
      <c r="G12" s="917">
        <v>10</v>
      </c>
      <c r="H12" s="917">
        <v>1</v>
      </c>
      <c r="I12" s="917"/>
    </row>
    <row r="13" spans="1:29" hidden="1" x14ac:dyDescent="0.3">
      <c r="A13" s="595" t="s">
        <v>312</v>
      </c>
      <c r="C13" s="370" t="s">
        <v>563</v>
      </c>
      <c r="D13" s="917"/>
      <c r="E13" s="917"/>
      <c r="F13" s="917"/>
      <c r="G13" s="917"/>
      <c r="H13" s="917">
        <v>67</v>
      </c>
      <c r="I13" s="917"/>
    </row>
    <row r="14" spans="1:29" hidden="1" x14ac:dyDescent="0.3">
      <c r="A14" s="595" t="s">
        <v>318</v>
      </c>
      <c r="B14" s="370" t="s">
        <v>570</v>
      </c>
      <c r="C14" s="370" t="s">
        <v>579</v>
      </c>
      <c r="D14" s="917">
        <v>40</v>
      </c>
      <c r="E14" s="917">
        <v>0</v>
      </c>
      <c r="F14" s="917">
        <v>0</v>
      </c>
      <c r="G14" s="917">
        <v>174</v>
      </c>
      <c r="H14" s="917">
        <v>74</v>
      </c>
      <c r="I14" s="917">
        <v>0</v>
      </c>
    </row>
    <row r="15" spans="1:29" hidden="1" x14ac:dyDescent="0.3">
      <c r="A15" s="595" t="s">
        <v>318</v>
      </c>
      <c r="B15" s="370" t="s">
        <v>570</v>
      </c>
      <c r="C15" s="370" t="s">
        <v>534</v>
      </c>
      <c r="D15" s="917">
        <v>58</v>
      </c>
      <c r="E15" s="917">
        <v>0</v>
      </c>
      <c r="F15" s="917">
        <v>0</v>
      </c>
      <c r="G15" s="917">
        <v>0</v>
      </c>
      <c r="H15" s="917">
        <v>0</v>
      </c>
      <c r="I15" s="917">
        <v>0</v>
      </c>
    </row>
    <row r="16" spans="1:29" hidden="1" x14ac:dyDescent="0.3">
      <c r="A16" s="595" t="s">
        <v>320</v>
      </c>
      <c r="B16" s="370" t="s">
        <v>589</v>
      </c>
      <c r="C16" s="370" t="s">
        <v>590</v>
      </c>
      <c r="D16" s="917">
        <v>8</v>
      </c>
      <c r="E16" s="917">
        <v>0</v>
      </c>
      <c r="F16" s="917">
        <v>0</v>
      </c>
      <c r="G16" s="917">
        <v>0</v>
      </c>
      <c r="H16" s="917">
        <v>20</v>
      </c>
      <c r="I16" s="917">
        <v>0</v>
      </c>
    </row>
    <row r="17" spans="1:9" hidden="1" x14ac:dyDescent="0.3">
      <c r="A17" s="595" t="s">
        <v>325</v>
      </c>
      <c r="B17" s="370" t="s">
        <v>577</v>
      </c>
      <c r="C17" s="370" t="s">
        <v>575</v>
      </c>
      <c r="D17" s="917">
        <v>2</v>
      </c>
      <c r="E17" s="917">
        <v>0</v>
      </c>
      <c r="F17" s="917">
        <v>0</v>
      </c>
      <c r="G17" s="917">
        <v>0</v>
      </c>
      <c r="H17" s="917">
        <v>115</v>
      </c>
      <c r="I17" s="917">
        <v>0</v>
      </c>
    </row>
    <row r="18" spans="1:9" hidden="1" x14ac:dyDescent="0.3">
      <c r="A18" s="595" t="s">
        <v>325</v>
      </c>
      <c r="B18" s="370" t="s">
        <v>570</v>
      </c>
      <c r="C18" s="370" t="s">
        <v>579</v>
      </c>
      <c r="D18" s="917">
        <v>39</v>
      </c>
      <c r="E18" s="917">
        <v>0</v>
      </c>
      <c r="F18" s="917">
        <v>0</v>
      </c>
      <c r="G18" s="917">
        <v>165</v>
      </c>
      <c r="H18" s="917">
        <v>76</v>
      </c>
      <c r="I18" s="917">
        <v>0</v>
      </c>
    </row>
    <row r="19" spans="1:9" hidden="1" x14ac:dyDescent="0.3">
      <c r="A19" s="595" t="s">
        <v>325</v>
      </c>
      <c r="B19" s="370" t="s">
        <v>583</v>
      </c>
      <c r="C19" s="370" t="s">
        <v>584</v>
      </c>
      <c r="D19" s="917">
        <v>0</v>
      </c>
      <c r="E19" s="917">
        <v>0</v>
      </c>
      <c r="F19" s="917">
        <v>0</v>
      </c>
      <c r="G19" s="917">
        <v>0</v>
      </c>
      <c r="H19" s="917">
        <v>1</v>
      </c>
      <c r="I19" s="917">
        <v>0</v>
      </c>
    </row>
    <row r="20" spans="1:9" hidden="1" x14ac:dyDescent="0.3">
      <c r="A20" s="595" t="s">
        <v>325</v>
      </c>
      <c r="B20" s="370" t="s">
        <v>589</v>
      </c>
      <c r="C20" s="370" t="s">
        <v>590</v>
      </c>
      <c r="D20" s="917">
        <v>9</v>
      </c>
      <c r="E20" s="917">
        <v>0</v>
      </c>
      <c r="F20" s="917">
        <v>0</v>
      </c>
      <c r="G20" s="917">
        <v>0</v>
      </c>
      <c r="H20" s="917">
        <v>18</v>
      </c>
      <c r="I20" s="917">
        <v>0</v>
      </c>
    </row>
    <row r="21" spans="1:9" hidden="1" x14ac:dyDescent="0.3">
      <c r="A21" s="595" t="s">
        <v>326</v>
      </c>
      <c r="B21" s="370" t="s">
        <v>586</v>
      </c>
      <c r="C21" s="370" t="s">
        <v>588</v>
      </c>
      <c r="D21" s="917">
        <v>2</v>
      </c>
      <c r="E21" s="917">
        <v>0</v>
      </c>
      <c r="F21" s="917">
        <v>0</v>
      </c>
      <c r="G21" s="917">
        <v>0</v>
      </c>
      <c r="H21" s="917">
        <v>104</v>
      </c>
      <c r="I21" s="917">
        <v>0</v>
      </c>
    </row>
    <row r="22" spans="1:9" hidden="1" x14ac:dyDescent="0.3">
      <c r="A22" s="595" t="s">
        <v>328</v>
      </c>
      <c r="B22" s="370" t="s">
        <v>595</v>
      </c>
      <c r="C22" s="370" t="s">
        <v>411</v>
      </c>
      <c r="D22" s="917">
        <v>0</v>
      </c>
      <c r="E22" s="917">
        <v>0</v>
      </c>
      <c r="F22" s="917">
        <v>0</v>
      </c>
      <c r="G22" s="917">
        <v>0</v>
      </c>
      <c r="H22" s="917">
        <v>5</v>
      </c>
      <c r="I22" s="917">
        <v>0</v>
      </c>
    </row>
    <row r="23" spans="1:9" ht="15" thickBot="1" x14ac:dyDescent="0.35">
      <c r="A23" s="1011" t="s">
        <v>412</v>
      </c>
      <c r="B23" s="857" t="s">
        <v>591</v>
      </c>
      <c r="C23" s="857" t="s">
        <v>411</v>
      </c>
      <c r="D23" s="918">
        <v>1</v>
      </c>
      <c r="E23" s="918">
        <v>0</v>
      </c>
      <c r="F23" s="918">
        <v>0</v>
      </c>
      <c r="G23" s="918">
        <v>0</v>
      </c>
      <c r="H23" s="918">
        <v>0</v>
      </c>
      <c r="I23" s="918">
        <v>0</v>
      </c>
    </row>
    <row r="24" spans="1:9" x14ac:dyDescent="0.3">
      <c r="A24" s="595" t="s">
        <v>412</v>
      </c>
      <c r="B24" s="370" t="s">
        <v>1285</v>
      </c>
      <c r="C24" s="370" t="s">
        <v>411</v>
      </c>
      <c r="D24" s="917">
        <v>3</v>
      </c>
      <c r="E24" s="917">
        <v>0</v>
      </c>
      <c r="F24" s="917">
        <v>0</v>
      </c>
      <c r="G24" s="917">
        <v>0</v>
      </c>
      <c r="H24" s="917">
        <v>1</v>
      </c>
      <c r="I24" s="917">
        <v>0</v>
      </c>
    </row>
    <row r="25" spans="1:9" hidden="1" x14ac:dyDescent="0.3">
      <c r="A25" s="595" t="s">
        <v>213</v>
      </c>
      <c r="C25" s="370" t="s">
        <v>563</v>
      </c>
      <c r="D25" s="917"/>
      <c r="E25" s="917"/>
      <c r="F25" s="917"/>
      <c r="G25" s="917"/>
      <c r="H25" s="917">
        <v>67</v>
      </c>
      <c r="I25" s="917"/>
    </row>
    <row r="26" spans="1:9" hidden="1" x14ac:dyDescent="0.3">
      <c r="A26" s="595" t="s">
        <v>213</v>
      </c>
      <c r="C26" s="370" t="s">
        <v>565</v>
      </c>
      <c r="D26" s="917">
        <v>2</v>
      </c>
      <c r="E26" s="917"/>
      <c r="F26" s="917"/>
      <c r="G26" s="917"/>
      <c r="H26" s="917">
        <v>56</v>
      </c>
      <c r="I26" s="917"/>
    </row>
    <row r="27" spans="1:9" hidden="1" x14ac:dyDescent="0.3">
      <c r="A27" s="595" t="s">
        <v>213</v>
      </c>
      <c r="C27" s="370" t="s">
        <v>569</v>
      </c>
      <c r="D27" s="917">
        <v>4</v>
      </c>
      <c r="E27" s="917"/>
      <c r="F27" s="917"/>
      <c r="G27" s="917"/>
      <c r="H27" s="917">
        <v>3</v>
      </c>
      <c r="I27" s="917"/>
    </row>
    <row r="28" spans="1:9" hidden="1" x14ac:dyDescent="0.3">
      <c r="A28" s="595" t="s">
        <v>213</v>
      </c>
      <c r="C28" s="370" t="s">
        <v>571</v>
      </c>
      <c r="D28" s="917">
        <v>5</v>
      </c>
      <c r="E28" s="917"/>
      <c r="F28" s="917"/>
      <c r="G28" s="917"/>
      <c r="H28" s="917"/>
      <c r="I28" s="917"/>
    </row>
    <row r="29" spans="1:9" hidden="1" x14ac:dyDescent="0.3">
      <c r="A29" s="595" t="s">
        <v>318</v>
      </c>
      <c r="B29" s="370" t="s">
        <v>576</v>
      </c>
      <c r="C29" s="370" t="s">
        <v>563</v>
      </c>
      <c r="D29" s="917">
        <v>0</v>
      </c>
      <c r="E29" s="917">
        <v>0</v>
      </c>
      <c r="F29" s="917">
        <v>0</v>
      </c>
      <c r="G29" s="917">
        <v>0</v>
      </c>
      <c r="H29" s="917">
        <v>67</v>
      </c>
      <c r="I29" s="917">
        <v>0</v>
      </c>
    </row>
    <row r="30" spans="1:9" hidden="1" x14ac:dyDescent="0.3">
      <c r="A30" s="595" t="s">
        <v>318</v>
      </c>
      <c r="B30" s="370" t="s">
        <v>577</v>
      </c>
      <c r="C30" s="370" t="s">
        <v>575</v>
      </c>
      <c r="D30" s="917">
        <v>1</v>
      </c>
      <c r="E30" s="917">
        <v>0</v>
      </c>
      <c r="F30" s="917">
        <v>0</v>
      </c>
      <c r="G30" s="917">
        <v>0</v>
      </c>
      <c r="H30" s="917">
        <v>106</v>
      </c>
      <c r="I30" s="917">
        <v>0</v>
      </c>
    </row>
    <row r="31" spans="1:9" hidden="1" x14ac:dyDescent="0.3">
      <c r="A31" s="595" t="s">
        <v>320</v>
      </c>
      <c r="B31" s="370" t="s">
        <v>577</v>
      </c>
      <c r="C31" s="370" t="s">
        <v>575</v>
      </c>
      <c r="D31" s="917">
        <v>2</v>
      </c>
      <c r="E31" s="917">
        <v>0</v>
      </c>
      <c r="F31" s="917">
        <v>0</v>
      </c>
      <c r="G31" s="917">
        <v>0</v>
      </c>
      <c r="H31" s="917">
        <v>137</v>
      </c>
      <c r="I31" s="917">
        <v>0</v>
      </c>
    </row>
    <row r="32" spans="1:9" hidden="1" x14ac:dyDescent="0.3">
      <c r="A32" s="595" t="s">
        <v>325</v>
      </c>
      <c r="B32" s="370" t="s">
        <v>570</v>
      </c>
      <c r="C32" s="370" t="s">
        <v>578</v>
      </c>
      <c r="D32" s="917">
        <v>3145</v>
      </c>
      <c r="E32" s="917">
        <v>2735</v>
      </c>
      <c r="F32" s="917">
        <v>54</v>
      </c>
      <c r="G32" s="917">
        <v>0</v>
      </c>
      <c r="H32" s="917">
        <v>124</v>
      </c>
      <c r="I32" s="917">
        <v>266</v>
      </c>
    </row>
    <row r="33" spans="1:29" hidden="1" x14ac:dyDescent="0.3">
      <c r="A33" s="595" t="s">
        <v>326</v>
      </c>
      <c r="B33" s="370" t="s">
        <v>592</v>
      </c>
      <c r="C33" s="370" t="s">
        <v>411</v>
      </c>
      <c r="D33" s="917">
        <v>2</v>
      </c>
      <c r="E33" s="917">
        <v>0</v>
      </c>
      <c r="F33" s="917">
        <v>0</v>
      </c>
      <c r="G33" s="917">
        <v>0</v>
      </c>
      <c r="H33" s="917">
        <v>74</v>
      </c>
      <c r="I33" s="917">
        <v>0</v>
      </c>
    </row>
    <row r="34" spans="1:29" hidden="1" x14ac:dyDescent="0.3">
      <c r="A34" s="595" t="s">
        <v>326</v>
      </c>
      <c r="B34" s="370" t="s">
        <v>595</v>
      </c>
      <c r="C34" s="370" t="s">
        <v>597</v>
      </c>
      <c r="D34" s="917">
        <v>3</v>
      </c>
      <c r="E34" s="917">
        <v>0</v>
      </c>
      <c r="F34" s="917">
        <v>0</v>
      </c>
      <c r="G34" s="917">
        <v>4</v>
      </c>
      <c r="H34" s="917">
        <v>14</v>
      </c>
      <c r="I34" s="917">
        <v>0</v>
      </c>
    </row>
    <row r="35" spans="1:29" hidden="1" x14ac:dyDescent="0.3">
      <c r="A35" s="595" t="s">
        <v>326</v>
      </c>
      <c r="B35" s="370" t="s">
        <v>598</v>
      </c>
      <c r="C35" s="370" t="s">
        <v>411</v>
      </c>
      <c r="D35" s="917">
        <v>6</v>
      </c>
      <c r="E35" s="917">
        <v>0</v>
      </c>
      <c r="F35" s="917">
        <v>0</v>
      </c>
      <c r="G35" s="917">
        <v>0</v>
      </c>
      <c r="H35" s="917">
        <v>3</v>
      </c>
      <c r="I35" s="917">
        <v>0</v>
      </c>
    </row>
    <row r="36" spans="1:29" hidden="1" x14ac:dyDescent="0.3">
      <c r="A36" s="595" t="s">
        <v>326</v>
      </c>
      <c r="B36" s="370" t="s">
        <v>589</v>
      </c>
      <c r="C36" s="370" t="s">
        <v>582</v>
      </c>
      <c r="D36" s="917">
        <v>138</v>
      </c>
      <c r="E36" s="917">
        <v>0</v>
      </c>
      <c r="F36" s="917">
        <v>2</v>
      </c>
      <c r="G36" s="917">
        <v>0</v>
      </c>
      <c r="H36" s="917">
        <v>32</v>
      </c>
      <c r="I36" s="917">
        <v>0</v>
      </c>
    </row>
    <row r="37" spans="1:29" ht="15" hidden="1" thickBot="1" x14ac:dyDescent="0.35">
      <c r="A37" s="1011" t="s">
        <v>328</v>
      </c>
      <c r="B37" s="857" t="s">
        <v>591</v>
      </c>
      <c r="C37" s="857" t="s">
        <v>578</v>
      </c>
      <c r="D37" s="918">
        <v>3121</v>
      </c>
      <c r="E37" s="918">
        <v>2705</v>
      </c>
      <c r="F37" s="918">
        <v>56</v>
      </c>
      <c r="G37" s="918">
        <v>0</v>
      </c>
      <c r="H37" s="918">
        <v>117</v>
      </c>
      <c r="I37" s="918">
        <v>273</v>
      </c>
    </row>
    <row r="38" spans="1:29" x14ac:dyDescent="0.3">
      <c r="A38" s="595" t="s">
        <v>412</v>
      </c>
      <c r="B38" s="370" t="s">
        <v>576</v>
      </c>
      <c r="C38" s="370" t="s">
        <v>1286</v>
      </c>
      <c r="D38" s="917">
        <v>0</v>
      </c>
      <c r="E38" s="917">
        <v>0</v>
      </c>
      <c r="F38" s="917">
        <v>0</v>
      </c>
      <c r="G38" s="917">
        <v>0</v>
      </c>
      <c r="H38" s="917">
        <v>104</v>
      </c>
      <c r="I38" s="917">
        <v>0</v>
      </c>
    </row>
    <row r="39" spans="1:29" x14ac:dyDescent="0.3">
      <c r="A39" s="595" t="s">
        <v>412</v>
      </c>
      <c r="B39" s="370" t="s">
        <v>592</v>
      </c>
      <c r="C39" s="370" t="s">
        <v>411</v>
      </c>
      <c r="D39" s="917">
        <v>2</v>
      </c>
      <c r="E39" s="917">
        <v>0</v>
      </c>
      <c r="F39" s="917">
        <v>0</v>
      </c>
      <c r="G39" s="917">
        <v>0</v>
      </c>
      <c r="H39" s="917">
        <v>82</v>
      </c>
      <c r="I39" s="917">
        <v>0</v>
      </c>
    </row>
    <row r="40" spans="1:29" hidden="1" x14ac:dyDescent="0.3">
      <c r="A40" s="595" t="s">
        <v>213</v>
      </c>
      <c r="C40" s="370" t="s">
        <v>568</v>
      </c>
      <c r="D40" s="917">
        <v>45</v>
      </c>
      <c r="E40" s="917"/>
      <c r="F40" s="917"/>
      <c r="G40" s="917">
        <v>197</v>
      </c>
      <c r="H40" s="917">
        <v>73</v>
      </c>
      <c r="I40" s="917"/>
    </row>
    <row r="41" spans="1:29" hidden="1" x14ac:dyDescent="0.3">
      <c r="A41" s="595" t="s">
        <v>213</v>
      </c>
      <c r="C41" s="370" t="s">
        <v>572</v>
      </c>
      <c r="D41" s="917">
        <v>2</v>
      </c>
      <c r="E41" s="917"/>
      <c r="F41" s="917"/>
      <c r="G41" s="917"/>
      <c r="H41" s="917">
        <v>55</v>
      </c>
      <c r="I41" s="917"/>
    </row>
    <row r="42" spans="1:29" hidden="1" x14ac:dyDescent="0.3">
      <c r="A42" s="595" t="s">
        <v>312</v>
      </c>
      <c r="C42" s="370" t="s">
        <v>562</v>
      </c>
      <c r="D42" s="917">
        <v>2</v>
      </c>
      <c r="E42" s="917"/>
      <c r="F42" s="917"/>
      <c r="G42" s="917"/>
      <c r="H42" s="917">
        <v>71</v>
      </c>
      <c r="I42" s="917"/>
    </row>
    <row r="43" spans="1:29" hidden="1" x14ac:dyDescent="0.3">
      <c r="A43" s="595" t="s">
        <v>312</v>
      </c>
      <c r="C43" s="370" t="s">
        <v>567</v>
      </c>
      <c r="D43" s="917">
        <v>51</v>
      </c>
      <c r="E43" s="917"/>
      <c r="F43" s="917"/>
      <c r="G43" s="917"/>
      <c r="H43" s="917">
        <v>17</v>
      </c>
      <c r="I43" s="917"/>
    </row>
    <row r="44" spans="1:29" s="595" customFormat="1" hidden="1" x14ac:dyDescent="0.3">
      <c r="A44" s="595" t="s">
        <v>312</v>
      </c>
      <c r="B44" s="370"/>
      <c r="C44" s="370" t="s">
        <v>571</v>
      </c>
      <c r="D44" s="917">
        <v>5</v>
      </c>
      <c r="E44" s="917"/>
      <c r="F44" s="917"/>
      <c r="G44" s="917"/>
      <c r="H44" s="917">
        <v>1</v>
      </c>
      <c r="I44" s="917"/>
      <c r="J44" s="370"/>
      <c r="K44" s="370"/>
      <c r="L44" s="370"/>
      <c r="M44" s="370"/>
      <c r="N44" s="370"/>
      <c r="O44" s="370"/>
      <c r="P44" s="370"/>
      <c r="Q44" s="370"/>
      <c r="R44" s="370"/>
      <c r="S44" s="370"/>
      <c r="T44" s="370"/>
      <c r="U44" s="370"/>
      <c r="V44" s="370"/>
      <c r="W44" s="370"/>
      <c r="X44" s="370"/>
      <c r="Y44" s="370"/>
      <c r="Z44" s="370"/>
      <c r="AA44" s="370"/>
      <c r="AB44" s="370"/>
      <c r="AC44" s="370"/>
    </row>
    <row r="45" spans="1:29" hidden="1" x14ac:dyDescent="0.3">
      <c r="A45" s="595" t="s">
        <v>318</v>
      </c>
      <c r="B45" s="370" t="s">
        <v>570</v>
      </c>
      <c r="C45" s="370" t="s">
        <v>578</v>
      </c>
      <c r="D45" s="917">
        <v>3285</v>
      </c>
      <c r="E45" s="917">
        <v>2872</v>
      </c>
      <c r="F45" s="917">
        <v>54</v>
      </c>
      <c r="G45" s="917">
        <v>0</v>
      </c>
      <c r="H45" s="917">
        <v>97</v>
      </c>
      <c r="I45" s="917">
        <v>303</v>
      </c>
    </row>
    <row r="46" spans="1:29" hidden="1" x14ac:dyDescent="0.3">
      <c r="A46" s="595" t="s">
        <v>318</v>
      </c>
      <c r="B46" s="370" t="s">
        <v>570</v>
      </c>
      <c r="C46" s="370" t="s">
        <v>580</v>
      </c>
      <c r="D46" s="917">
        <v>52</v>
      </c>
      <c r="E46" s="917">
        <v>0</v>
      </c>
      <c r="F46" s="917">
        <v>0</v>
      </c>
      <c r="G46" s="917">
        <v>0</v>
      </c>
      <c r="H46" s="917">
        <v>17</v>
      </c>
      <c r="I46" s="917">
        <v>0</v>
      </c>
    </row>
    <row r="47" spans="1:29" hidden="1" x14ac:dyDescent="0.3">
      <c r="A47" s="595" t="s">
        <v>318</v>
      </c>
      <c r="B47" s="370" t="s">
        <v>583</v>
      </c>
      <c r="C47" s="370" t="s">
        <v>584</v>
      </c>
      <c r="D47" s="917">
        <v>0</v>
      </c>
      <c r="E47" s="917">
        <v>0</v>
      </c>
      <c r="F47" s="917">
        <v>0</v>
      </c>
      <c r="G47" s="917">
        <v>0</v>
      </c>
      <c r="H47" s="917">
        <v>1</v>
      </c>
      <c r="I47" s="917">
        <v>0</v>
      </c>
    </row>
    <row r="48" spans="1:29" hidden="1" x14ac:dyDescent="0.3">
      <c r="A48" s="595" t="s">
        <v>318</v>
      </c>
      <c r="B48" s="370" t="s">
        <v>586</v>
      </c>
      <c r="C48" s="370" t="s">
        <v>587</v>
      </c>
      <c r="D48" s="917">
        <v>0</v>
      </c>
      <c r="E48" s="917">
        <v>0</v>
      </c>
      <c r="F48" s="917">
        <v>0</v>
      </c>
      <c r="G48" s="917">
        <v>0</v>
      </c>
      <c r="H48" s="917">
        <v>22</v>
      </c>
      <c r="I48" s="917">
        <v>0</v>
      </c>
    </row>
    <row r="49" spans="1:9" hidden="1" x14ac:dyDescent="0.3">
      <c r="A49" s="595" t="s">
        <v>318</v>
      </c>
      <c r="B49" s="370" t="s">
        <v>589</v>
      </c>
      <c r="C49" s="370" t="s">
        <v>590</v>
      </c>
      <c r="D49" s="917">
        <v>9</v>
      </c>
      <c r="E49" s="917">
        <v>0</v>
      </c>
      <c r="F49" s="917">
        <v>0</v>
      </c>
      <c r="G49" s="917">
        <v>0</v>
      </c>
      <c r="H49" s="917">
        <v>18</v>
      </c>
      <c r="I49" s="917">
        <v>0</v>
      </c>
    </row>
    <row r="50" spans="1:9" hidden="1" x14ac:dyDescent="0.3">
      <c r="A50" s="595" t="s">
        <v>318</v>
      </c>
      <c r="B50" s="370" t="s">
        <v>589</v>
      </c>
      <c r="C50" s="370" t="s">
        <v>582</v>
      </c>
      <c r="D50" s="917">
        <v>103</v>
      </c>
      <c r="E50" s="917">
        <v>0</v>
      </c>
      <c r="F50" s="917">
        <v>0</v>
      </c>
      <c r="G50" s="917">
        <v>0</v>
      </c>
      <c r="H50" s="917">
        <v>55</v>
      </c>
      <c r="I50" s="917">
        <v>0</v>
      </c>
    </row>
    <row r="51" spans="1:9" hidden="1" x14ac:dyDescent="0.3">
      <c r="A51" s="595" t="s">
        <v>320</v>
      </c>
      <c r="B51" s="370" t="s">
        <v>570</v>
      </c>
      <c r="C51" s="370" t="s">
        <v>579</v>
      </c>
      <c r="D51" s="917">
        <v>45</v>
      </c>
      <c r="E51" s="917">
        <v>0</v>
      </c>
      <c r="F51" s="917">
        <v>0</v>
      </c>
      <c r="G51" s="917">
        <v>168</v>
      </c>
      <c r="H51" s="917">
        <v>77</v>
      </c>
      <c r="I51" s="917">
        <v>0</v>
      </c>
    </row>
    <row r="52" spans="1:9" hidden="1" x14ac:dyDescent="0.3">
      <c r="A52" s="595" t="s">
        <v>320</v>
      </c>
      <c r="B52" s="370" t="s">
        <v>583</v>
      </c>
      <c r="C52" s="370" t="s">
        <v>475</v>
      </c>
      <c r="D52" s="917">
        <v>7</v>
      </c>
      <c r="E52" s="917">
        <v>0</v>
      </c>
      <c r="F52" s="917">
        <v>0</v>
      </c>
      <c r="G52" s="917">
        <v>0</v>
      </c>
      <c r="H52" s="917">
        <v>100</v>
      </c>
      <c r="I52" s="917">
        <v>0</v>
      </c>
    </row>
    <row r="53" spans="1:9" ht="15" hidden="1" thickBot="1" x14ac:dyDescent="0.35">
      <c r="A53" s="1011" t="s">
        <v>320</v>
      </c>
      <c r="B53" s="857" t="s">
        <v>585</v>
      </c>
      <c r="C53" s="857" t="s">
        <v>411</v>
      </c>
      <c r="D53" s="918">
        <v>5</v>
      </c>
      <c r="E53" s="918">
        <v>0</v>
      </c>
      <c r="F53" s="918">
        <v>0</v>
      </c>
      <c r="G53" s="918">
        <v>0</v>
      </c>
      <c r="H53" s="918">
        <v>4</v>
      </c>
      <c r="I53" s="918">
        <v>0</v>
      </c>
    </row>
    <row r="54" spans="1:9" hidden="1" x14ac:dyDescent="0.3">
      <c r="A54" s="595" t="s">
        <v>325</v>
      </c>
      <c r="B54" s="370" t="s">
        <v>570</v>
      </c>
      <c r="C54" s="370" t="s">
        <v>580</v>
      </c>
      <c r="D54" s="917">
        <v>40</v>
      </c>
      <c r="E54" s="917">
        <v>0</v>
      </c>
      <c r="F54" s="917">
        <v>0</v>
      </c>
      <c r="G54" s="917">
        <v>0</v>
      </c>
      <c r="H54" s="917">
        <v>21</v>
      </c>
      <c r="I54" s="917">
        <v>0</v>
      </c>
    </row>
    <row r="55" spans="1:9" hidden="1" x14ac:dyDescent="0.3">
      <c r="A55" s="595" t="s">
        <v>325</v>
      </c>
      <c r="B55" s="370" t="s">
        <v>570</v>
      </c>
      <c r="C55" s="370" t="s">
        <v>534</v>
      </c>
      <c r="D55" s="917">
        <v>103</v>
      </c>
      <c r="E55" s="917">
        <v>0</v>
      </c>
      <c r="F55" s="917">
        <v>0</v>
      </c>
      <c r="G55" s="917">
        <v>0</v>
      </c>
      <c r="H55" s="917">
        <v>0</v>
      </c>
      <c r="I55" s="917">
        <v>0</v>
      </c>
    </row>
    <row r="56" spans="1:9" hidden="1" x14ac:dyDescent="0.3">
      <c r="A56" s="595" t="s">
        <v>325</v>
      </c>
      <c r="B56" s="370" t="s">
        <v>589</v>
      </c>
      <c r="C56" s="370" t="s">
        <v>581</v>
      </c>
      <c r="D56" s="917">
        <v>1</v>
      </c>
      <c r="E56" s="917">
        <v>0</v>
      </c>
      <c r="F56" s="917">
        <v>0</v>
      </c>
      <c r="G56" s="917">
        <v>0</v>
      </c>
      <c r="H56" s="917">
        <v>0</v>
      </c>
      <c r="I56" s="917">
        <v>0</v>
      </c>
    </row>
    <row r="57" spans="1:9" hidden="1" x14ac:dyDescent="0.3">
      <c r="A57" s="595" t="s">
        <v>325</v>
      </c>
      <c r="B57" s="370" t="s">
        <v>589</v>
      </c>
      <c r="C57" s="370" t="s">
        <v>582</v>
      </c>
      <c r="D57" s="917">
        <v>130</v>
      </c>
      <c r="E57" s="917">
        <v>0</v>
      </c>
      <c r="F57" s="917">
        <v>1</v>
      </c>
      <c r="G57" s="917">
        <v>0</v>
      </c>
      <c r="H57" s="917">
        <v>51</v>
      </c>
      <c r="I57" s="917">
        <v>0</v>
      </c>
    </row>
    <row r="58" spans="1:9" hidden="1" x14ac:dyDescent="0.3">
      <c r="A58" s="595" t="s">
        <v>326</v>
      </c>
      <c r="B58" s="370" t="s">
        <v>598</v>
      </c>
      <c r="C58" s="370" t="s">
        <v>601</v>
      </c>
      <c r="D58" s="917">
        <v>29</v>
      </c>
      <c r="E58" s="917">
        <v>0</v>
      </c>
      <c r="F58" s="917">
        <v>0</v>
      </c>
      <c r="G58" s="917">
        <v>0</v>
      </c>
      <c r="H58" s="917">
        <v>4</v>
      </c>
      <c r="I58" s="917">
        <v>0</v>
      </c>
    </row>
    <row r="59" spans="1:9" hidden="1" x14ac:dyDescent="0.3">
      <c r="A59" s="595" t="s">
        <v>326</v>
      </c>
      <c r="B59" s="370" t="s">
        <v>583</v>
      </c>
      <c r="C59" s="370" t="s">
        <v>475</v>
      </c>
      <c r="D59" s="917">
        <v>0</v>
      </c>
      <c r="E59" s="917">
        <v>0</v>
      </c>
      <c r="F59" s="917">
        <v>0</v>
      </c>
      <c r="G59" s="917">
        <v>0</v>
      </c>
      <c r="H59" s="917">
        <v>1</v>
      </c>
      <c r="I59" s="917">
        <v>0</v>
      </c>
    </row>
    <row r="60" spans="1:9" hidden="1" x14ac:dyDescent="0.3">
      <c r="A60" s="595" t="s">
        <v>326</v>
      </c>
      <c r="B60" s="370" t="s">
        <v>589</v>
      </c>
      <c r="C60" s="370" t="s">
        <v>590</v>
      </c>
      <c r="D60" s="917">
        <v>11</v>
      </c>
      <c r="E60" s="917">
        <v>0</v>
      </c>
      <c r="F60" s="917">
        <v>0</v>
      </c>
      <c r="G60" s="917">
        <v>0</v>
      </c>
      <c r="H60" s="917">
        <v>19</v>
      </c>
      <c r="I60" s="917">
        <v>0</v>
      </c>
    </row>
    <row r="61" spans="1:9" hidden="1" x14ac:dyDescent="0.3">
      <c r="A61" s="595" t="s">
        <v>328</v>
      </c>
      <c r="B61" s="370" t="s">
        <v>595</v>
      </c>
      <c r="C61" s="370" t="s">
        <v>597</v>
      </c>
      <c r="D61" s="917">
        <v>5</v>
      </c>
      <c r="E61" s="917">
        <v>0</v>
      </c>
      <c r="F61" s="917">
        <v>0</v>
      </c>
      <c r="G61" s="917">
        <v>3</v>
      </c>
      <c r="H61" s="917">
        <v>28</v>
      </c>
      <c r="I61" s="917">
        <v>0</v>
      </c>
    </row>
    <row r="62" spans="1:9" hidden="1" x14ac:dyDescent="0.3">
      <c r="A62" s="595" t="s">
        <v>328</v>
      </c>
      <c r="B62" s="370" t="s">
        <v>598</v>
      </c>
      <c r="C62" s="370" t="s">
        <v>601</v>
      </c>
      <c r="D62" s="917">
        <v>31</v>
      </c>
      <c r="E62" s="917">
        <v>0</v>
      </c>
      <c r="F62" s="917">
        <v>0</v>
      </c>
      <c r="G62" s="917">
        <v>0</v>
      </c>
      <c r="H62" s="917">
        <v>5</v>
      </c>
      <c r="I62" s="917">
        <v>0</v>
      </c>
    </row>
    <row r="63" spans="1:9" hidden="1" x14ac:dyDescent="0.3">
      <c r="A63" s="595" t="s">
        <v>328</v>
      </c>
      <c r="B63" s="370" t="s">
        <v>586</v>
      </c>
      <c r="C63" s="370" t="s">
        <v>587</v>
      </c>
      <c r="D63" s="917">
        <v>0</v>
      </c>
      <c r="E63" s="917">
        <v>0</v>
      </c>
      <c r="F63" s="917">
        <v>0</v>
      </c>
      <c r="G63" s="917">
        <v>0</v>
      </c>
      <c r="H63" s="917">
        <v>28</v>
      </c>
      <c r="I63" s="917">
        <v>0</v>
      </c>
    </row>
    <row r="64" spans="1:9" x14ac:dyDescent="0.3">
      <c r="A64" s="595" t="s">
        <v>412</v>
      </c>
      <c r="B64" s="370" t="s">
        <v>595</v>
      </c>
      <c r="C64" s="370" t="s">
        <v>411</v>
      </c>
      <c r="D64" s="917">
        <v>0</v>
      </c>
      <c r="E64" s="917">
        <v>0</v>
      </c>
      <c r="F64" s="917">
        <v>0</v>
      </c>
      <c r="G64" s="917">
        <v>0</v>
      </c>
      <c r="H64" s="917">
        <v>5</v>
      </c>
      <c r="I64" s="917">
        <v>0</v>
      </c>
    </row>
    <row r="65" spans="1:9" x14ac:dyDescent="0.3">
      <c r="A65" s="595" t="s">
        <v>412</v>
      </c>
      <c r="B65" s="370" t="s">
        <v>1285</v>
      </c>
      <c r="C65" s="370" t="s">
        <v>599</v>
      </c>
      <c r="D65" s="917">
        <v>13</v>
      </c>
      <c r="E65" s="917">
        <v>0</v>
      </c>
      <c r="F65" s="917">
        <v>0</v>
      </c>
      <c r="G65" s="917">
        <v>0</v>
      </c>
      <c r="H65" s="917">
        <v>48</v>
      </c>
      <c r="I65" s="917">
        <v>0</v>
      </c>
    </row>
    <row r="66" spans="1:9" hidden="1" x14ac:dyDescent="0.3">
      <c r="A66" s="595" t="s">
        <v>213</v>
      </c>
      <c r="C66" s="370" t="s">
        <v>566</v>
      </c>
      <c r="D66" s="917"/>
      <c r="E66" s="917"/>
      <c r="F66" s="917"/>
      <c r="G66" s="917"/>
      <c r="H66" s="917">
        <v>77</v>
      </c>
      <c r="I66" s="917"/>
    </row>
    <row r="67" spans="1:9" hidden="1" x14ac:dyDescent="0.3">
      <c r="A67" s="595" t="s">
        <v>318</v>
      </c>
      <c r="B67" s="370" t="s">
        <v>576</v>
      </c>
      <c r="C67" s="370" t="s">
        <v>561</v>
      </c>
      <c r="D67" s="917">
        <v>6</v>
      </c>
      <c r="E67" s="917">
        <v>0</v>
      </c>
      <c r="F67" s="917">
        <v>0</v>
      </c>
      <c r="G67" s="917">
        <v>0</v>
      </c>
      <c r="H67" s="917">
        <v>185</v>
      </c>
      <c r="I67" s="917">
        <v>0</v>
      </c>
    </row>
    <row r="68" spans="1:9" ht="15" hidden="1" thickBot="1" x14ac:dyDescent="0.35">
      <c r="A68" s="1011" t="s">
        <v>320</v>
      </c>
      <c r="B68" s="857" t="s">
        <v>583</v>
      </c>
      <c r="C68" s="857" t="s">
        <v>584</v>
      </c>
      <c r="D68" s="918">
        <v>0</v>
      </c>
      <c r="E68" s="918">
        <v>0</v>
      </c>
      <c r="F68" s="918">
        <v>0</v>
      </c>
      <c r="G68" s="918">
        <v>0</v>
      </c>
      <c r="H68" s="918">
        <v>1</v>
      </c>
      <c r="I68" s="918">
        <v>0</v>
      </c>
    </row>
    <row r="69" spans="1:9" hidden="1" x14ac:dyDescent="0.3">
      <c r="A69" s="595" t="s">
        <v>320</v>
      </c>
      <c r="B69" s="370" t="s">
        <v>586</v>
      </c>
      <c r="C69" s="370" t="s">
        <v>587</v>
      </c>
      <c r="D69" s="917">
        <v>0</v>
      </c>
      <c r="E69" s="917">
        <v>0</v>
      </c>
      <c r="F69" s="917">
        <v>0</v>
      </c>
      <c r="G69" s="917">
        <v>0</v>
      </c>
      <c r="H69" s="917">
        <v>22</v>
      </c>
      <c r="I69" s="917">
        <v>0</v>
      </c>
    </row>
    <row r="70" spans="1:9" hidden="1" x14ac:dyDescent="0.3">
      <c r="A70" s="595" t="s">
        <v>320</v>
      </c>
      <c r="B70" s="370" t="s">
        <v>589</v>
      </c>
      <c r="C70" s="370" t="s">
        <v>582</v>
      </c>
      <c r="D70" s="917">
        <v>109</v>
      </c>
      <c r="E70" s="917">
        <v>0</v>
      </c>
      <c r="F70" s="917">
        <v>0</v>
      </c>
      <c r="G70" s="917">
        <v>0</v>
      </c>
      <c r="H70" s="917">
        <v>52</v>
      </c>
      <c r="I70" s="917">
        <v>0</v>
      </c>
    </row>
    <row r="71" spans="1:9" hidden="1" x14ac:dyDescent="0.3">
      <c r="A71" s="595" t="s">
        <v>325</v>
      </c>
      <c r="B71" s="370" t="s">
        <v>576</v>
      </c>
      <c r="C71" s="370" t="s">
        <v>561</v>
      </c>
      <c r="D71" s="917">
        <v>5</v>
      </c>
      <c r="E71" s="917">
        <v>0</v>
      </c>
      <c r="F71" s="917">
        <v>0</v>
      </c>
      <c r="G71" s="917">
        <v>0</v>
      </c>
      <c r="H71" s="917">
        <v>184</v>
      </c>
      <c r="I71" s="917">
        <v>0</v>
      </c>
    </row>
    <row r="72" spans="1:9" hidden="1" x14ac:dyDescent="0.3">
      <c r="A72" s="595" t="s">
        <v>325</v>
      </c>
      <c r="B72" s="370" t="s">
        <v>586</v>
      </c>
      <c r="C72" s="370" t="s">
        <v>587</v>
      </c>
      <c r="D72" s="917">
        <v>0</v>
      </c>
      <c r="E72" s="917">
        <v>0</v>
      </c>
      <c r="F72" s="917">
        <v>0</v>
      </c>
      <c r="G72" s="917">
        <v>0</v>
      </c>
      <c r="H72" s="917">
        <v>24</v>
      </c>
      <c r="I72" s="917">
        <v>0</v>
      </c>
    </row>
    <row r="73" spans="1:9" hidden="1" x14ac:dyDescent="0.3">
      <c r="A73" s="595" t="s">
        <v>326</v>
      </c>
      <c r="B73" s="370" t="s">
        <v>576</v>
      </c>
      <c r="C73" s="370" t="s">
        <v>561</v>
      </c>
      <c r="D73" s="917">
        <v>5</v>
      </c>
      <c r="E73" s="917">
        <v>0</v>
      </c>
      <c r="F73" s="917">
        <v>0</v>
      </c>
      <c r="G73" s="917">
        <v>0</v>
      </c>
      <c r="H73" s="917">
        <v>186</v>
      </c>
      <c r="I73" s="917">
        <v>0</v>
      </c>
    </row>
    <row r="74" spans="1:9" hidden="1" x14ac:dyDescent="0.3">
      <c r="A74" s="595" t="s">
        <v>326</v>
      </c>
      <c r="B74" s="370" t="s">
        <v>591</v>
      </c>
      <c r="C74" s="370" t="s">
        <v>411</v>
      </c>
      <c r="D74" s="917">
        <v>1</v>
      </c>
      <c r="E74" s="917">
        <v>0</v>
      </c>
      <c r="F74" s="917">
        <v>0</v>
      </c>
      <c r="G74" s="917">
        <v>0</v>
      </c>
      <c r="H74" s="917">
        <v>0</v>
      </c>
      <c r="I74" s="917">
        <v>0</v>
      </c>
    </row>
    <row r="75" spans="1:9" hidden="1" x14ac:dyDescent="0.3">
      <c r="A75" s="595" t="s">
        <v>326</v>
      </c>
      <c r="B75" s="370" t="s">
        <v>591</v>
      </c>
      <c r="C75" s="370" t="s">
        <v>578</v>
      </c>
      <c r="D75" s="917">
        <v>3169</v>
      </c>
      <c r="E75" s="917">
        <v>2708</v>
      </c>
      <c r="F75" s="917">
        <v>53</v>
      </c>
      <c r="G75" s="917">
        <v>0</v>
      </c>
      <c r="H75" s="917">
        <v>124</v>
      </c>
      <c r="I75" s="917">
        <v>269</v>
      </c>
    </row>
    <row r="76" spans="1:9" hidden="1" x14ac:dyDescent="0.3">
      <c r="A76" s="595" t="s">
        <v>326</v>
      </c>
      <c r="B76" s="370" t="s">
        <v>591</v>
      </c>
      <c r="C76" s="370" t="s">
        <v>579</v>
      </c>
      <c r="D76" s="917">
        <v>32</v>
      </c>
      <c r="E76" s="917">
        <v>0</v>
      </c>
      <c r="F76" s="917">
        <v>0</v>
      </c>
      <c r="G76" s="917">
        <v>167</v>
      </c>
      <c r="H76" s="917">
        <v>53</v>
      </c>
      <c r="I76" s="917">
        <v>0</v>
      </c>
    </row>
    <row r="77" spans="1:9" hidden="1" x14ac:dyDescent="0.3">
      <c r="A77" s="595" t="s">
        <v>326</v>
      </c>
      <c r="B77" s="370" t="s">
        <v>595</v>
      </c>
      <c r="C77" s="370" t="s">
        <v>411</v>
      </c>
      <c r="D77" s="917">
        <v>0</v>
      </c>
      <c r="E77" s="917">
        <v>0</v>
      </c>
      <c r="F77" s="917">
        <v>0</v>
      </c>
      <c r="G77" s="917">
        <v>0</v>
      </c>
      <c r="H77" s="917">
        <v>6</v>
      </c>
      <c r="I77" s="917">
        <v>0</v>
      </c>
    </row>
    <row r="78" spans="1:9" hidden="1" x14ac:dyDescent="0.3">
      <c r="A78" s="595" t="s">
        <v>326</v>
      </c>
      <c r="B78" s="370" t="s">
        <v>598</v>
      </c>
      <c r="C78" s="370" t="s">
        <v>600</v>
      </c>
      <c r="D78" s="917">
        <v>8</v>
      </c>
      <c r="E78" s="917">
        <v>0</v>
      </c>
      <c r="F78" s="917">
        <v>0</v>
      </c>
      <c r="G78" s="917">
        <v>0</v>
      </c>
      <c r="H78" s="917">
        <v>16</v>
      </c>
      <c r="I78" s="917">
        <v>0</v>
      </c>
    </row>
    <row r="79" spans="1:9" hidden="1" x14ac:dyDescent="0.3">
      <c r="A79" s="595" t="s">
        <v>328</v>
      </c>
      <c r="B79" s="370" t="s">
        <v>591</v>
      </c>
      <c r="C79" s="370" t="s">
        <v>411</v>
      </c>
      <c r="D79" s="917">
        <v>1</v>
      </c>
      <c r="E79" s="917">
        <v>0</v>
      </c>
      <c r="F79" s="917">
        <v>0</v>
      </c>
      <c r="G79" s="917">
        <v>0</v>
      </c>
      <c r="H79" s="917">
        <v>0</v>
      </c>
      <c r="I79" s="917">
        <v>0</v>
      </c>
    </row>
    <row r="80" spans="1:9" hidden="1" x14ac:dyDescent="0.3">
      <c r="A80" s="595" t="s">
        <v>328</v>
      </c>
      <c r="B80" s="370" t="s">
        <v>591</v>
      </c>
      <c r="C80" s="370" t="s">
        <v>579</v>
      </c>
      <c r="D80" s="917">
        <v>34</v>
      </c>
      <c r="E80" s="917">
        <v>0</v>
      </c>
      <c r="F80" s="917">
        <v>0</v>
      </c>
      <c r="G80" s="917">
        <v>168</v>
      </c>
      <c r="H80" s="917">
        <v>51</v>
      </c>
      <c r="I80" s="917">
        <v>0</v>
      </c>
    </row>
    <row r="81" spans="1:30" hidden="1" x14ac:dyDescent="0.3">
      <c r="A81" s="595" t="s">
        <v>328</v>
      </c>
      <c r="B81" s="370" t="s">
        <v>598</v>
      </c>
      <c r="C81" s="370" t="s">
        <v>411</v>
      </c>
      <c r="D81" s="917">
        <v>3</v>
      </c>
      <c r="E81" s="917">
        <v>0</v>
      </c>
      <c r="F81" s="917">
        <v>0</v>
      </c>
      <c r="G81" s="917">
        <v>0</v>
      </c>
      <c r="H81" s="917">
        <v>3</v>
      </c>
      <c r="I81" s="917">
        <v>0</v>
      </c>
    </row>
    <row r="82" spans="1:30" x14ac:dyDescent="0.3">
      <c r="A82" s="595" t="s">
        <v>412</v>
      </c>
      <c r="B82" s="370" t="s">
        <v>595</v>
      </c>
      <c r="C82" s="370" t="s">
        <v>596</v>
      </c>
      <c r="D82" s="917">
        <v>0</v>
      </c>
      <c r="E82" s="917">
        <v>0</v>
      </c>
      <c r="F82" s="917">
        <v>0</v>
      </c>
      <c r="G82" s="917">
        <v>0</v>
      </c>
      <c r="H82" s="917">
        <v>3</v>
      </c>
      <c r="I82" s="917">
        <v>0</v>
      </c>
    </row>
    <row r="83" spans="1:30" ht="15" thickBot="1" x14ac:dyDescent="0.35">
      <c r="A83" s="1011" t="s">
        <v>412</v>
      </c>
      <c r="B83" s="857" t="s">
        <v>589</v>
      </c>
      <c r="C83" s="857" t="s">
        <v>590</v>
      </c>
      <c r="D83" s="918">
        <v>14</v>
      </c>
      <c r="E83" s="918">
        <v>0</v>
      </c>
      <c r="F83" s="918">
        <v>0</v>
      </c>
      <c r="G83" s="918">
        <v>0</v>
      </c>
      <c r="H83" s="918">
        <v>47</v>
      </c>
      <c r="I83" s="918">
        <v>0</v>
      </c>
    </row>
    <row r="84" spans="1:30" hidden="1" x14ac:dyDescent="0.3">
      <c r="A84" s="595" t="s">
        <v>213</v>
      </c>
      <c r="C84" s="370" t="s">
        <v>564</v>
      </c>
      <c r="D84" s="917">
        <v>3</v>
      </c>
      <c r="E84" s="917"/>
      <c r="F84" s="917"/>
      <c r="G84" s="917"/>
      <c r="H84" s="917">
        <v>46</v>
      </c>
      <c r="I84" s="917"/>
    </row>
    <row r="85" spans="1:30" hidden="1" x14ac:dyDescent="0.3">
      <c r="A85" s="595" t="s">
        <v>312</v>
      </c>
      <c r="C85" s="370" t="s">
        <v>566</v>
      </c>
      <c r="D85" s="917"/>
      <c r="E85" s="917"/>
      <c r="F85" s="917"/>
      <c r="G85" s="917"/>
      <c r="H85" s="917">
        <v>73</v>
      </c>
      <c r="I85" s="917"/>
    </row>
    <row r="86" spans="1:30" hidden="1" x14ac:dyDescent="0.3">
      <c r="A86" s="595" t="s">
        <v>312</v>
      </c>
      <c r="C86" s="370" t="s">
        <v>575</v>
      </c>
      <c r="D86" s="917">
        <v>2</v>
      </c>
      <c r="E86" s="917"/>
      <c r="F86" s="917"/>
      <c r="G86" s="917"/>
      <c r="H86" s="917">
        <v>95</v>
      </c>
      <c r="I86" s="917"/>
    </row>
    <row r="87" spans="1:30" hidden="1" x14ac:dyDescent="0.3">
      <c r="A87" s="595" t="s">
        <v>312</v>
      </c>
      <c r="C87" s="370" t="s">
        <v>568</v>
      </c>
      <c r="D87" s="917">
        <v>52</v>
      </c>
      <c r="E87" s="917"/>
      <c r="F87" s="917"/>
      <c r="G87" s="917">
        <v>186</v>
      </c>
      <c r="H87" s="917">
        <v>77</v>
      </c>
      <c r="I87" s="917"/>
    </row>
    <row r="88" spans="1:30" hidden="1" x14ac:dyDescent="0.3">
      <c r="A88" s="595" t="s">
        <v>312</v>
      </c>
      <c r="C88" s="370" t="s">
        <v>569</v>
      </c>
      <c r="D88" s="917">
        <v>6</v>
      </c>
      <c r="E88" s="917"/>
      <c r="F88" s="917"/>
      <c r="G88" s="917"/>
      <c r="H88" s="917">
        <v>3</v>
      </c>
      <c r="I88" s="917"/>
    </row>
    <row r="89" spans="1:30" hidden="1" x14ac:dyDescent="0.3">
      <c r="A89" s="595" t="s">
        <v>312</v>
      </c>
      <c r="C89" s="370" t="s">
        <v>572</v>
      </c>
      <c r="D89" s="917">
        <v>2</v>
      </c>
      <c r="E89" s="917"/>
      <c r="F89" s="917"/>
      <c r="G89" s="917"/>
      <c r="H89" s="917">
        <v>61</v>
      </c>
      <c r="I89" s="917"/>
    </row>
    <row r="90" spans="1:30" hidden="1" x14ac:dyDescent="0.3">
      <c r="A90" s="595" t="s">
        <v>312</v>
      </c>
      <c r="C90" s="370" t="s">
        <v>534</v>
      </c>
      <c r="D90" s="917">
        <v>53</v>
      </c>
      <c r="E90" s="917"/>
      <c r="F90" s="917"/>
      <c r="G90" s="917">
        <v>2</v>
      </c>
      <c r="H90" s="917">
        <v>2</v>
      </c>
      <c r="I90" s="917"/>
    </row>
    <row r="91" spans="1:30" hidden="1" x14ac:dyDescent="0.3">
      <c r="A91" s="595" t="s">
        <v>320</v>
      </c>
      <c r="B91" s="370" t="s">
        <v>576</v>
      </c>
      <c r="C91" s="370" t="s">
        <v>563</v>
      </c>
      <c r="D91" s="917">
        <v>0</v>
      </c>
      <c r="E91" s="917">
        <v>0</v>
      </c>
      <c r="F91" s="917">
        <v>0</v>
      </c>
      <c r="G91" s="917">
        <v>0</v>
      </c>
      <c r="H91" s="917">
        <v>72</v>
      </c>
      <c r="I91" s="917">
        <v>0</v>
      </c>
    </row>
    <row r="92" spans="1:30" hidden="1" x14ac:dyDescent="0.3">
      <c r="A92" s="595" t="s">
        <v>320</v>
      </c>
      <c r="B92" s="370" t="s">
        <v>570</v>
      </c>
      <c r="C92" s="370" t="s">
        <v>580</v>
      </c>
      <c r="D92" s="917">
        <v>50</v>
      </c>
      <c r="E92" s="917">
        <v>0</v>
      </c>
      <c r="F92" s="917">
        <v>0</v>
      </c>
      <c r="G92" s="917">
        <v>0</v>
      </c>
      <c r="H92" s="917">
        <v>18</v>
      </c>
      <c r="I92" s="917">
        <v>0</v>
      </c>
      <c r="AD92" s="475"/>
    </row>
    <row r="93" spans="1:30" hidden="1" x14ac:dyDescent="0.3">
      <c r="A93" s="595" t="s">
        <v>320</v>
      </c>
      <c r="B93" s="370" t="s">
        <v>586</v>
      </c>
      <c r="C93" s="370" t="s">
        <v>588</v>
      </c>
      <c r="D93" s="917">
        <v>3</v>
      </c>
      <c r="E93" s="917">
        <v>0</v>
      </c>
      <c r="F93" s="917">
        <v>0</v>
      </c>
      <c r="G93" s="917">
        <v>0</v>
      </c>
      <c r="H93" s="917">
        <v>111</v>
      </c>
      <c r="I93" s="917">
        <v>0</v>
      </c>
    </row>
    <row r="94" spans="1:30" hidden="1" x14ac:dyDescent="0.3">
      <c r="A94" s="595" t="s">
        <v>325</v>
      </c>
      <c r="B94" s="370" t="s">
        <v>576</v>
      </c>
      <c r="C94" s="370" t="s">
        <v>563</v>
      </c>
      <c r="D94" s="917">
        <v>0</v>
      </c>
      <c r="E94" s="917">
        <v>0</v>
      </c>
      <c r="F94" s="917">
        <v>0</v>
      </c>
      <c r="G94" s="917">
        <v>0</v>
      </c>
      <c r="H94" s="917">
        <v>70</v>
      </c>
      <c r="I94" s="917">
        <v>0</v>
      </c>
    </row>
    <row r="95" spans="1:30" hidden="1" x14ac:dyDescent="0.3">
      <c r="A95" s="595" t="s">
        <v>325</v>
      </c>
      <c r="B95" s="370" t="s">
        <v>583</v>
      </c>
      <c r="C95" s="370" t="s">
        <v>475</v>
      </c>
      <c r="D95" s="917">
        <v>9</v>
      </c>
      <c r="E95" s="917">
        <v>0</v>
      </c>
      <c r="F95" s="917">
        <v>0</v>
      </c>
      <c r="G95" s="917">
        <v>7</v>
      </c>
      <c r="H95" s="917">
        <v>111</v>
      </c>
      <c r="I95" s="917">
        <v>0</v>
      </c>
    </row>
    <row r="96" spans="1:30" hidden="1" x14ac:dyDescent="0.3">
      <c r="A96" s="595" t="s">
        <v>325</v>
      </c>
      <c r="B96" s="370" t="s">
        <v>586</v>
      </c>
      <c r="C96" s="370" t="s">
        <v>588</v>
      </c>
      <c r="D96" s="917">
        <v>2</v>
      </c>
      <c r="E96" s="917">
        <v>0</v>
      </c>
      <c r="F96" s="917">
        <v>0</v>
      </c>
      <c r="G96" s="917">
        <v>0</v>
      </c>
      <c r="H96" s="917">
        <v>102</v>
      </c>
      <c r="I96" s="917">
        <v>0</v>
      </c>
    </row>
    <row r="97" spans="1:9" hidden="1" x14ac:dyDescent="0.3">
      <c r="A97" s="595" t="s">
        <v>326</v>
      </c>
      <c r="B97" s="370" t="s">
        <v>576</v>
      </c>
      <c r="C97" s="370" t="s">
        <v>584</v>
      </c>
      <c r="D97" s="917">
        <v>1</v>
      </c>
      <c r="E97" s="917">
        <v>0</v>
      </c>
      <c r="F97" s="917">
        <v>0</v>
      </c>
      <c r="G97" s="917">
        <v>0</v>
      </c>
      <c r="H97" s="917">
        <v>77</v>
      </c>
      <c r="I97" s="917">
        <v>0</v>
      </c>
    </row>
    <row r="98" spans="1:9" hidden="1" x14ac:dyDescent="0.3">
      <c r="A98" s="595" t="s">
        <v>326</v>
      </c>
      <c r="B98" s="370" t="s">
        <v>592</v>
      </c>
      <c r="C98" s="370" t="s">
        <v>594</v>
      </c>
      <c r="D98" s="917">
        <v>0</v>
      </c>
      <c r="E98" s="917">
        <v>0</v>
      </c>
      <c r="F98" s="917">
        <v>0</v>
      </c>
      <c r="G98" s="917">
        <v>0</v>
      </c>
      <c r="H98" s="917">
        <v>17</v>
      </c>
      <c r="I98" s="917">
        <v>0</v>
      </c>
    </row>
    <row r="99" spans="1:9" hidden="1" x14ac:dyDescent="0.3">
      <c r="A99" s="595" t="s">
        <v>326</v>
      </c>
      <c r="B99" s="370" t="s">
        <v>598</v>
      </c>
      <c r="C99" s="370" t="s">
        <v>599</v>
      </c>
      <c r="D99" s="917">
        <v>10</v>
      </c>
      <c r="E99" s="917">
        <v>0</v>
      </c>
      <c r="F99" s="917">
        <v>0</v>
      </c>
      <c r="G99" s="917">
        <v>0</v>
      </c>
      <c r="H99" s="917">
        <v>46</v>
      </c>
      <c r="I99" s="917">
        <v>0</v>
      </c>
    </row>
    <row r="100" spans="1:9" hidden="1" x14ac:dyDescent="0.3">
      <c r="A100" s="595" t="s">
        <v>326</v>
      </c>
      <c r="B100" s="370" t="s">
        <v>586</v>
      </c>
      <c r="C100" s="370" t="s">
        <v>587</v>
      </c>
      <c r="D100" s="917">
        <v>0</v>
      </c>
      <c r="E100" s="917">
        <v>0</v>
      </c>
      <c r="F100" s="917">
        <v>0</v>
      </c>
      <c r="G100" s="917">
        <v>0</v>
      </c>
      <c r="H100" s="917">
        <v>26</v>
      </c>
      <c r="I100" s="917">
        <v>0</v>
      </c>
    </row>
    <row r="101" spans="1:9" hidden="1" x14ac:dyDescent="0.3">
      <c r="A101" s="595" t="s">
        <v>328</v>
      </c>
      <c r="B101" s="370" t="s">
        <v>598</v>
      </c>
      <c r="C101" s="370" t="s">
        <v>600</v>
      </c>
      <c r="D101" s="917">
        <v>8</v>
      </c>
      <c r="E101" s="917">
        <v>0</v>
      </c>
      <c r="F101" s="917">
        <v>0</v>
      </c>
      <c r="G101" s="917">
        <v>0</v>
      </c>
      <c r="H101" s="917">
        <v>16</v>
      </c>
      <c r="I101" s="917">
        <v>0</v>
      </c>
    </row>
    <row r="102" spans="1:9" x14ac:dyDescent="0.3">
      <c r="A102" s="595" t="s">
        <v>412</v>
      </c>
      <c r="B102" s="370" t="s">
        <v>585</v>
      </c>
      <c r="C102" s="370" t="s">
        <v>411</v>
      </c>
      <c r="D102" s="917">
        <v>5</v>
      </c>
      <c r="E102" s="917">
        <v>0</v>
      </c>
      <c r="F102" s="917">
        <v>0</v>
      </c>
      <c r="G102" s="917">
        <v>0</v>
      </c>
      <c r="H102" s="917">
        <v>3</v>
      </c>
      <c r="I102" s="917">
        <v>0</v>
      </c>
    </row>
    <row r="103" spans="1:9" x14ac:dyDescent="0.3">
      <c r="A103" s="595" t="s">
        <v>412</v>
      </c>
      <c r="B103" s="370" t="s">
        <v>589</v>
      </c>
      <c r="C103" s="370" t="s">
        <v>582</v>
      </c>
      <c r="D103" s="917">
        <v>195</v>
      </c>
      <c r="E103" s="917">
        <v>0</v>
      </c>
      <c r="F103" s="917">
        <v>3</v>
      </c>
      <c r="G103" s="917">
        <v>0</v>
      </c>
      <c r="H103" s="917">
        <v>34</v>
      </c>
      <c r="I103" s="917">
        <v>0</v>
      </c>
    </row>
    <row r="104" spans="1:9" hidden="1" x14ac:dyDescent="0.3">
      <c r="A104" s="595" t="s">
        <v>213</v>
      </c>
      <c r="C104" s="370" t="s">
        <v>561</v>
      </c>
      <c r="D104" s="917">
        <v>5</v>
      </c>
      <c r="E104" s="917"/>
      <c r="F104" s="917"/>
      <c r="G104" s="917"/>
      <c r="H104" s="917">
        <v>182</v>
      </c>
      <c r="I104" s="917"/>
    </row>
    <row r="105" spans="1:9" ht="15" hidden="1" thickBot="1" x14ac:dyDescent="0.35">
      <c r="A105" s="1011" t="s">
        <v>312</v>
      </c>
      <c r="B105" s="857"/>
      <c r="C105" s="857" t="s">
        <v>573</v>
      </c>
      <c r="D105" s="918">
        <v>98</v>
      </c>
      <c r="E105" s="918"/>
      <c r="F105" s="918"/>
      <c r="G105" s="918"/>
      <c r="H105" s="918">
        <v>52</v>
      </c>
      <c r="I105" s="918"/>
    </row>
    <row r="106" spans="1:9" hidden="1" x14ac:dyDescent="0.3">
      <c r="A106" s="595" t="s">
        <v>318</v>
      </c>
      <c r="B106" s="370" t="s">
        <v>570</v>
      </c>
      <c r="C106" s="370" t="s">
        <v>582</v>
      </c>
      <c r="D106" s="917">
        <v>1</v>
      </c>
      <c r="E106" s="917">
        <v>0</v>
      </c>
      <c r="F106" s="917">
        <v>0</v>
      </c>
      <c r="G106" s="917">
        <v>0</v>
      </c>
      <c r="H106" s="917">
        <v>0</v>
      </c>
      <c r="I106" s="917">
        <v>0</v>
      </c>
    </row>
    <row r="107" spans="1:9" hidden="1" x14ac:dyDescent="0.3">
      <c r="A107" s="595" t="s">
        <v>320</v>
      </c>
      <c r="B107" s="370" t="s">
        <v>576</v>
      </c>
      <c r="C107" s="370" t="s">
        <v>561</v>
      </c>
      <c r="D107" s="917">
        <v>5</v>
      </c>
      <c r="E107" s="917">
        <v>0</v>
      </c>
      <c r="F107" s="917">
        <v>0</v>
      </c>
      <c r="G107" s="917">
        <v>0</v>
      </c>
      <c r="H107" s="917">
        <v>181</v>
      </c>
      <c r="I107" s="917">
        <v>0</v>
      </c>
    </row>
    <row r="108" spans="1:9" hidden="1" x14ac:dyDescent="0.3">
      <c r="A108" s="595" t="s">
        <v>325</v>
      </c>
      <c r="B108" s="370" t="s">
        <v>585</v>
      </c>
      <c r="C108" s="370" t="s">
        <v>411</v>
      </c>
      <c r="D108" s="917">
        <v>5</v>
      </c>
      <c r="E108" s="917">
        <v>0</v>
      </c>
      <c r="F108" s="917">
        <v>0</v>
      </c>
      <c r="G108" s="917">
        <v>0</v>
      </c>
      <c r="H108" s="917">
        <v>4</v>
      </c>
      <c r="I108" s="917">
        <v>0</v>
      </c>
    </row>
    <row r="109" spans="1:9" hidden="1" x14ac:dyDescent="0.3">
      <c r="A109" s="595" t="s">
        <v>326</v>
      </c>
      <c r="B109" s="370" t="s">
        <v>595</v>
      </c>
      <c r="C109" s="370" t="s">
        <v>596</v>
      </c>
      <c r="D109" s="917">
        <v>0</v>
      </c>
      <c r="E109" s="917">
        <v>0</v>
      </c>
      <c r="F109" s="917">
        <v>0</v>
      </c>
      <c r="G109" s="917">
        <v>0</v>
      </c>
      <c r="H109" s="917">
        <v>3</v>
      </c>
      <c r="I109" s="917">
        <v>0</v>
      </c>
    </row>
    <row r="110" spans="1:9" hidden="1" x14ac:dyDescent="0.3">
      <c r="A110" s="595" t="s">
        <v>328</v>
      </c>
      <c r="B110" s="370" t="s">
        <v>576</v>
      </c>
      <c r="C110" s="370" t="s">
        <v>584</v>
      </c>
      <c r="D110" s="917">
        <v>0</v>
      </c>
      <c r="E110" s="917">
        <v>0</v>
      </c>
      <c r="F110" s="917">
        <v>0</v>
      </c>
      <c r="G110" s="917">
        <v>0</v>
      </c>
      <c r="H110" s="917">
        <v>77</v>
      </c>
      <c r="I110" s="917">
        <v>0</v>
      </c>
    </row>
    <row r="111" spans="1:9" hidden="1" x14ac:dyDescent="0.3">
      <c r="A111" s="595" t="s">
        <v>328</v>
      </c>
      <c r="B111" s="370" t="s">
        <v>592</v>
      </c>
      <c r="C111" s="370" t="s">
        <v>411</v>
      </c>
      <c r="D111" s="917">
        <v>2</v>
      </c>
      <c r="E111" s="917">
        <v>0</v>
      </c>
      <c r="F111" s="917">
        <v>0</v>
      </c>
      <c r="G111" s="917">
        <v>0</v>
      </c>
      <c r="H111" s="917">
        <v>70</v>
      </c>
      <c r="I111" s="917">
        <v>0</v>
      </c>
    </row>
    <row r="112" spans="1:9" hidden="1" x14ac:dyDescent="0.3">
      <c r="A112" s="595" t="s">
        <v>328</v>
      </c>
      <c r="B112" s="370" t="s">
        <v>592</v>
      </c>
      <c r="C112" s="370" t="s">
        <v>594</v>
      </c>
      <c r="D112" s="917">
        <v>0</v>
      </c>
      <c r="E112" s="917">
        <v>0</v>
      </c>
      <c r="F112" s="917">
        <v>0</v>
      </c>
      <c r="G112" s="917">
        <v>0</v>
      </c>
      <c r="H112" s="917">
        <v>24</v>
      </c>
      <c r="I112" s="917">
        <v>0</v>
      </c>
    </row>
    <row r="113" spans="1:9" hidden="1" x14ac:dyDescent="0.3">
      <c r="A113" s="595" t="s">
        <v>328</v>
      </c>
      <c r="B113" s="370" t="s">
        <v>595</v>
      </c>
      <c r="C113" s="370" t="s">
        <v>596</v>
      </c>
      <c r="D113" s="917">
        <v>0</v>
      </c>
      <c r="E113" s="917">
        <v>0</v>
      </c>
      <c r="F113" s="917">
        <v>0</v>
      </c>
      <c r="G113" s="917">
        <v>0</v>
      </c>
      <c r="H113" s="917">
        <v>3</v>
      </c>
      <c r="I113" s="917">
        <v>0</v>
      </c>
    </row>
    <row r="114" spans="1:9" x14ac:dyDescent="0.3">
      <c r="A114" s="595" t="s">
        <v>412</v>
      </c>
      <c r="B114" s="370" t="s">
        <v>576</v>
      </c>
      <c r="C114" s="370" t="s">
        <v>563</v>
      </c>
      <c r="D114" s="917">
        <v>0</v>
      </c>
      <c r="E114" s="917">
        <v>0</v>
      </c>
      <c r="F114" s="917">
        <v>0</v>
      </c>
      <c r="G114" s="917">
        <v>0</v>
      </c>
      <c r="H114" s="917">
        <v>60</v>
      </c>
      <c r="I114" s="917">
        <v>0</v>
      </c>
    </row>
    <row r="115" spans="1:9" x14ac:dyDescent="0.3">
      <c r="A115" s="595" t="s">
        <v>412</v>
      </c>
      <c r="B115" s="370" t="s">
        <v>591</v>
      </c>
      <c r="C115" s="370" t="s">
        <v>578</v>
      </c>
      <c r="D115" s="917">
        <v>3110</v>
      </c>
      <c r="E115" s="917">
        <v>2747</v>
      </c>
      <c r="F115" s="917">
        <v>57</v>
      </c>
      <c r="G115" s="917">
        <v>0</v>
      </c>
      <c r="H115" s="917">
        <v>115</v>
      </c>
      <c r="I115" s="917">
        <v>252</v>
      </c>
    </row>
    <row r="116" spans="1:9" x14ac:dyDescent="0.3">
      <c r="A116" s="595" t="s">
        <v>412</v>
      </c>
      <c r="B116" s="370" t="s">
        <v>591</v>
      </c>
      <c r="C116" s="370" t="s">
        <v>579</v>
      </c>
      <c r="D116" s="917">
        <v>32</v>
      </c>
      <c r="E116" s="917">
        <v>0</v>
      </c>
      <c r="F116" s="917">
        <v>0</v>
      </c>
      <c r="G116" s="917">
        <v>173</v>
      </c>
      <c r="H116" s="917">
        <v>51</v>
      </c>
      <c r="I116" s="917">
        <v>0</v>
      </c>
    </row>
    <row r="117" spans="1:9" x14ac:dyDescent="0.3">
      <c r="A117" s="595" t="s">
        <v>412</v>
      </c>
      <c r="B117" s="370" t="s">
        <v>595</v>
      </c>
      <c r="C117" s="370" t="s">
        <v>597</v>
      </c>
      <c r="D117" s="917">
        <v>4</v>
      </c>
      <c r="E117" s="917">
        <v>0</v>
      </c>
      <c r="F117" s="917">
        <v>0</v>
      </c>
      <c r="G117" s="917">
        <v>4</v>
      </c>
      <c r="H117" s="917">
        <v>26</v>
      </c>
      <c r="I117" s="917">
        <v>0</v>
      </c>
    </row>
    <row r="118" spans="1:9" x14ac:dyDescent="0.3">
      <c r="A118" s="595" t="s">
        <v>412</v>
      </c>
      <c r="B118" s="370" t="s">
        <v>1285</v>
      </c>
      <c r="C118" s="370" t="s">
        <v>1287</v>
      </c>
      <c r="D118" s="917">
        <v>8</v>
      </c>
      <c r="E118" s="917">
        <v>0</v>
      </c>
      <c r="F118" s="917">
        <v>0</v>
      </c>
      <c r="G118" s="917">
        <v>0</v>
      </c>
      <c r="H118" s="917">
        <v>16</v>
      </c>
      <c r="I118" s="917">
        <v>0</v>
      </c>
    </row>
    <row r="119" spans="1:9" x14ac:dyDescent="0.3">
      <c r="A119" s="595" t="s">
        <v>412</v>
      </c>
      <c r="B119" s="370" t="s">
        <v>586</v>
      </c>
      <c r="C119" s="370" t="s">
        <v>588</v>
      </c>
      <c r="D119" s="917">
        <v>2</v>
      </c>
      <c r="E119" s="917">
        <v>0</v>
      </c>
      <c r="F119" s="917">
        <v>0</v>
      </c>
      <c r="G119" s="917">
        <v>0</v>
      </c>
      <c r="H119" s="917">
        <v>102</v>
      </c>
      <c r="I119" s="917">
        <v>0</v>
      </c>
    </row>
    <row r="120" spans="1:9" hidden="1" x14ac:dyDescent="0.3">
      <c r="A120" s="595" t="s">
        <v>213</v>
      </c>
      <c r="C120" s="370" t="s">
        <v>573</v>
      </c>
      <c r="D120" s="917">
        <v>203</v>
      </c>
      <c r="E120" s="917"/>
      <c r="F120" s="917"/>
      <c r="G120" s="917"/>
      <c r="H120" s="917">
        <v>58</v>
      </c>
      <c r="I120" s="917"/>
    </row>
    <row r="121" spans="1:9" hidden="1" x14ac:dyDescent="0.3">
      <c r="A121" s="595" t="s">
        <v>312</v>
      </c>
      <c r="C121" s="370" t="s">
        <v>561</v>
      </c>
      <c r="D121" s="917">
        <v>5</v>
      </c>
      <c r="E121" s="917"/>
      <c r="F121" s="917"/>
      <c r="G121" s="917"/>
      <c r="H121" s="917">
        <v>185</v>
      </c>
      <c r="I121" s="917"/>
    </row>
    <row r="122" spans="1:9" hidden="1" x14ac:dyDescent="0.3">
      <c r="A122" s="595" t="s">
        <v>312</v>
      </c>
      <c r="C122" s="370" t="s">
        <v>574</v>
      </c>
      <c r="D122" s="917">
        <v>2</v>
      </c>
      <c r="E122" s="917"/>
      <c r="F122" s="917"/>
      <c r="G122" s="917"/>
      <c r="H122" s="917">
        <v>17</v>
      </c>
      <c r="I122" s="917"/>
    </row>
    <row r="123" spans="1:9" hidden="1" x14ac:dyDescent="0.3">
      <c r="A123" s="595" t="s">
        <v>312</v>
      </c>
      <c r="C123" s="370" t="s">
        <v>570</v>
      </c>
      <c r="D123" s="917">
        <v>3358</v>
      </c>
      <c r="E123" s="917">
        <v>2937</v>
      </c>
      <c r="F123" s="917">
        <v>36</v>
      </c>
      <c r="G123" s="917"/>
      <c r="H123" s="917">
        <v>96</v>
      </c>
      <c r="I123" s="917">
        <v>315</v>
      </c>
    </row>
    <row r="124" spans="1:9" hidden="1" x14ac:dyDescent="0.3">
      <c r="A124" s="595" t="s">
        <v>318</v>
      </c>
      <c r="B124" s="370" t="s">
        <v>583</v>
      </c>
      <c r="C124" s="370" t="s">
        <v>475</v>
      </c>
      <c r="D124" s="917">
        <v>6</v>
      </c>
      <c r="E124" s="917">
        <v>0</v>
      </c>
      <c r="F124" s="917">
        <v>0</v>
      </c>
      <c r="G124" s="917">
        <v>0</v>
      </c>
      <c r="H124" s="917">
        <v>84</v>
      </c>
      <c r="I124" s="917">
        <v>0</v>
      </c>
    </row>
    <row r="125" spans="1:9" hidden="1" x14ac:dyDescent="0.3">
      <c r="A125" s="595" t="s">
        <v>320</v>
      </c>
      <c r="B125" s="370" t="s">
        <v>570</v>
      </c>
      <c r="C125" s="370" t="s">
        <v>578</v>
      </c>
      <c r="D125" s="917">
        <v>3228</v>
      </c>
      <c r="E125" s="917">
        <v>2758</v>
      </c>
      <c r="F125" s="917">
        <v>53</v>
      </c>
      <c r="G125" s="917">
        <v>0</v>
      </c>
      <c r="H125" s="917">
        <v>123</v>
      </c>
      <c r="I125" s="917">
        <v>277</v>
      </c>
    </row>
    <row r="126" spans="1:9" ht="15" hidden="1" thickBot="1" x14ac:dyDescent="0.35">
      <c r="A126" s="1011" t="s">
        <v>320</v>
      </c>
      <c r="B126" s="857" t="s">
        <v>570</v>
      </c>
      <c r="C126" s="857" t="s">
        <v>534</v>
      </c>
      <c r="D126" s="918">
        <v>65</v>
      </c>
      <c r="E126" s="918">
        <v>0</v>
      </c>
      <c r="F126" s="918">
        <v>0</v>
      </c>
      <c r="G126" s="918">
        <v>0</v>
      </c>
      <c r="H126" s="918">
        <v>0</v>
      </c>
      <c r="I126" s="918">
        <v>0</v>
      </c>
    </row>
    <row r="127" spans="1:9" hidden="1" x14ac:dyDescent="0.3">
      <c r="A127" s="595" t="s">
        <v>320</v>
      </c>
      <c r="B127" s="370" t="s">
        <v>589</v>
      </c>
      <c r="C127" s="370" t="s">
        <v>581</v>
      </c>
      <c r="D127" s="917">
        <v>3</v>
      </c>
      <c r="E127" s="917">
        <v>0</v>
      </c>
      <c r="F127" s="917">
        <v>0</v>
      </c>
      <c r="G127" s="917">
        <v>6</v>
      </c>
      <c r="H127" s="917">
        <v>2</v>
      </c>
      <c r="I127" s="917">
        <v>0</v>
      </c>
    </row>
    <row r="128" spans="1:9" hidden="1" x14ac:dyDescent="0.3">
      <c r="A128" s="595" t="s">
        <v>326</v>
      </c>
      <c r="B128" s="370" t="s">
        <v>576</v>
      </c>
      <c r="C128" s="370" t="s">
        <v>563</v>
      </c>
      <c r="D128" s="917">
        <v>0</v>
      </c>
      <c r="E128" s="917">
        <v>0</v>
      </c>
      <c r="F128" s="917">
        <v>0</v>
      </c>
      <c r="G128" s="917">
        <v>0</v>
      </c>
      <c r="H128" s="917">
        <v>65</v>
      </c>
      <c r="I128" s="917">
        <v>0</v>
      </c>
    </row>
    <row r="129" spans="1:9" hidden="1" x14ac:dyDescent="0.3">
      <c r="A129" s="595" t="s">
        <v>326</v>
      </c>
      <c r="B129" s="370" t="s">
        <v>585</v>
      </c>
      <c r="C129" s="370" t="s">
        <v>411</v>
      </c>
      <c r="D129" s="917">
        <v>5</v>
      </c>
      <c r="E129" s="917">
        <v>0</v>
      </c>
      <c r="F129" s="917">
        <v>0</v>
      </c>
      <c r="G129" s="917">
        <v>0</v>
      </c>
      <c r="H129" s="917">
        <v>4</v>
      </c>
      <c r="I129" s="917">
        <v>0</v>
      </c>
    </row>
    <row r="130" spans="1:9" hidden="1" x14ac:dyDescent="0.3">
      <c r="A130" s="595" t="s">
        <v>328</v>
      </c>
      <c r="B130" s="370" t="s">
        <v>576</v>
      </c>
      <c r="C130" s="370" t="s">
        <v>561</v>
      </c>
      <c r="D130" s="917">
        <v>5</v>
      </c>
      <c r="E130" s="917">
        <v>0</v>
      </c>
      <c r="F130" s="917">
        <v>0</v>
      </c>
      <c r="G130" s="917">
        <v>0</v>
      </c>
      <c r="H130" s="917">
        <v>194</v>
      </c>
      <c r="I130" s="917">
        <v>0</v>
      </c>
    </row>
    <row r="131" spans="1:9" hidden="1" x14ac:dyDescent="0.3">
      <c r="A131" s="595" t="s">
        <v>328</v>
      </c>
      <c r="B131" s="370" t="s">
        <v>592</v>
      </c>
      <c r="C131" s="370" t="s">
        <v>593</v>
      </c>
      <c r="D131" s="917">
        <v>0</v>
      </c>
      <c r="E131" s="917">
        <v>0</v>
      </c>
      <c r="F131" s="917">
        <v>0</v>
      </c>
      <c r="G131" s="917">
        <v>0</v>
      </c>
      <c r="H131" s="917">
        <v>12</v>
      </c>
      <c r="I131" s="917">
        <v>0</v>
      </c>
    </row>
    <row r="132" spans="1:9" hidden="1" x14ac:dyDescent="0.3">
      <c r="A132" s="595" t="s">
        <v>328</v>
      </c>
      <c r="B132" s="370" t="s">
        <v>585</v>
      </c>
      <c r="C132" s="370" t="s">
        <v>411</v>
      </c>
      <c r="D132" s="917">
        <v>5</v>
      </c>
      <c r="E132" s="917">
        <v>0</v>
      </c>
      <c r="F132" s="917">
        <v>0</v>
      </c>
      <c r="G132" s="917">
        <v>0</v>
      </c>
      <c r="H132" s="917">
        <v>5</v>
      </c>
      <c r="I132" s="917">
        <v>0</v>
      </c>
    </row>
    <row r="133" spans="1:9" hidden="1" x14ac:dyDescent="0.3">
      <c r="A133" s="595" t="s">
        <v>328</v>
      </c>
      <c r="B133" s="370" t="s">
        <v>589</v>
      </c>
      <c r="C133" s="370" t="s">
        <v>590</v>
      </c>
      <c r="D133" s="917">
        <v>11</v>
      </c>
      <c r="E133" s="917">
        <v>0</v>
      </c>
      <c r="F133" s="917">
        <v>0</v>
      </c>
      <c r="G133" s="917">
        <v>0</v>
      </c>
      <c r="H133" s="917">
        <v>17</v>
      </c>
      <c r="I133" s="917">
        <v>0</v>
      </c>
    </row>
    <row r="134" spans="1:9" x14ac:dyDescent="0.3">
      <c r="A134" s="595" t="s">
        <v>412</v>
      </c>
      <c r="B134" s="370" t="s">
        <v>576</v>
      </c>
      <c r="C134" s="370" t="s">
        <v>561</v>
      </c>
      <c r="D134" s="917">
        <v>11</v>
      </c>
      <c r="E134" s="917">
        <v>0</v>
      </c>
      <c r="F134" s="917">
        <v>0</v>
      </c>
      <c r="G134" s="917">
        <v>0</v>
      </c>
      <c r="H134" s="917">
        <v>196</v>
      </c>
      <c r="I134" s="917">
        <v>0</v>
      </c>
    </row>
    <row r="135" spans="1:9" x14ac:dyDescent="0.3">
      <c r="A135" s="595" t="s">
        <v>412</v>
      </c>
      <c r="B135" s="370" t="s">
        <v>1285</v>
      </c>
      <c r="C135" s="370" t="s">
        <v>601</v>
      </c>
      <c r="D135" s="917">
        <v>31</v>
      </c>
      <c r="E135" s="917">
        <v>0</v>
      </c>
      <c r="F135" s="917">
        <v>0</v>
      </c>
      <c r="G135" s="917">
        <v>0</v>
      </c>
      <c r="H135" s="917">
        <v>5</v>
      </c>
      <c r="I135" s="917">
        <v>0</v>
      </c>
    </row>
    <row r="136" spans="1:9" x14ac:dyDescent="0.3">
      <c r="A136" s="595" t="s">
        <v>412</v>
      </c>
      <c r="B136" s="370" t="s">
        <v>586</v>
      </c>
      <c r="C136" s="370" t="s">
        <v>587</v>
      </c>
      <c r="D136" s="917">
        <v>0</v>
      </c>
      <c r="E136" s="917">
        <v>0</v>
      </c>
      <c r="F136" s="917">
        <v>0</v>
      </c>
      <c r="G136" s="917">
        <v>0</v>
      </c>
      <c r="H136" s="917">
        <v>24</v>
      </c>
      <c r="I136" s="917">
        <v>0</v>
      </c>
    </row>
    <row r="137" spans="1:9" hidden="1" x14ac:dyDescent="0.3">
      <c r="A137" s="595" t="s">
        <v>213</v>
      </c>
      <c r="C137" s="370" t="s">
        <v>567</v>
      </c>
      <c r="D137" s="917">
        <v>200</v>
      </c>
      <c r="E137" s="917"/>
      <c r="F137" s="917"/>
      <c r="G137" s="917"/>
      <c r="H137" s="917">
        <v>82</v>
      </c>
      <c r="I137" s="917"/>
    </row>
    <row r="138" spans="1:9" hidden="1" x14ac:dyDescent="0.3">
      <c r="A138" s="595" t="s">
        <v>318</v>
      </c>
      <c r="B138" s="370" t="s">
        <v>570</v>
      </c>
      <c r="C138" s="370" t="s">
        <v>581</v>
      </c>
      <c r="D138" s="917">
        <v>13</v>
      </c>
      <c r="E138" s="917">
        <v>0</v>
      </c>
      <c r="F138" s="917">
        <v>0</v>
      </c>
      <c r="G138" s="917">
        <v>8</v>
      </c>
      <c r="H138" s="917">
        <v>4</v>
      </c>
      <c r="I138" s="917">
        <v>0</v>
      </c>
    </row>
    <row r="139" spans="1:9" hidden="1" x14ac:dyDescent="0.3">
      <c r="A139" s="595" t="s">
        <v>318</v>
      </c>
      <c r="B139" s="370" t="s">
        <v>585</v>
      </c>
      <c r="C139" s="370" t="s">
        <v>411</v>
      </c>
      <c r="D139" s="917">
        <v>5</v>
      </c>
      <c r="E139" s="917">
        <v>0</v>
      </c>
      <c r="F139" s="917">
        <v>0</v>
      </c>
      <c r="G139" s="917">
        <v>0</v>
      </c>
      <c r="H139" s="917">
        <v>3</v>
      </c>
      <c r="I139" s="917">
        <v>0</v>
      </c>
    </row>
    <row r="140" spans="1:9" hidden="1" x14ac:dyDescent="0.3">
      <c r="A140" s="595" t="s">
        <v>318</v>
      </c>
      <c r="B140" s="370" t="s">
        <v>586</v>
      </c>
      <c r="C140" s="370" t="s">
        <v>588</v>
      </c>
      <c r="D140" s="917">
        <v>2</v>
      </c>
      <c r="E140" s="917">
        <v>0</v>
      </c>
      <c r="F140" s="917">
        <v>0</v>
      </c>
      <c r="G140" s="917">
        <v>0</v>
      </c>
      <c r="H140" s="917">
        <v>102</v>
      </c>
      <c r="I140" s="917">
        <v>0</v>
      </c>
    </row>
    <row r="141" spans="1:9" hidden="1" x14ac:dyDescent="0.3">
      <c r="A141" s="595" t="s">
        <v>326</v>
      </c>
      <c r="B141" s="370" t="s">
        <v>592</v>
      </c>
      <c r="C141" s="370" t="s">
        <v>593</v>
      </c>
      <c r="D141" s="917">
        <v>0</v>
      </c>
      <c r="E141" s="917">
        <v>0</v>
      </c>
      <c r="F141" s="917">
        <v>0</v>
      </c>
      <c r="G141" s="917">
        <v>0</v>
      </c>
      <c r="H141" s="917">
        <v>13</v>
      </c>
      <c r="I141" s="917">
        <v>0</v>
      </c>
    </row>
    <row r="142" spans="1:9" hidden="1" x14ac:dyDescent="0.3">
      <c r="A142" s="595" t="s">
        <v>328</v>
      </c>
      <c r="B142" s="370" t="s">
        <v>576</v>
      </c>
      <c r="C142" s="370" t="s">
        <v>563</v>
      </c>
      <c r="D142" s="917">
        <v>0</v>
      </c>
      <c r="E142" s="917">
        <v>0</v>
      </c>
      <c r="F142" s="917">
        <v>0</v>
      </c>
      <c r="G142" s="917">
        <v>0</v>
      </c>
      <c r="H142" s="917">
        <v>67</v>
      </c>
      <c r="I142" s="917">
        <v>0</v>
      </c>
    </row>
    <row r="143" spans="1:9" hidden="1" x14ac:dyDescent="0.3">
      <c r="A143" s="595" t="s">
        <v>328</v>
      </c>
      <c r="B143" s="370" t="s">
        <v>598</v>
      </c>
      <c r="C143" s="370" t="s">
        <v>599</v>
      </c>
      <c r="D143" s="917">
        <v>13</v>
      </c>
      <c r="E143" s="917">
        <v>0</v>
      </c>
      <c r="F143" s="917">
        <v>0</v>
      </c>
      <c r="G143" s="917">
        <v>0</v>
      </c>
      <c r="H143" s="917">
        <v>48</v>
      </c>
      <c r="I143" s="917">
        <v>0</v>
      </c>
    </row>
    <row r="144" spans="1:9" hidden="1" x14ac:dyDescent="0.3">
      <c r="A144" s="595" t="s">
        <v>328</v>
      </c>
      <c r="B144" s="370" t="s">
        <v>586</v>
      </c>
      <c r="C144" s="370" t="s">
        <v>588</v>
      </c>
      <c r="D144" s="917">
        <v>2</v>
      </c>
      <c r="E144" s="917">
        <v>0</v>
      </c>
      <c r="F144" s="917">
        <v>0</v>
      </c>
      <c r="G144" s="917">
        <v>0</v>
      </c>
      <c r="H144" s="917">
        <v>111</v>
      </c>
      <c r="I144" s="917">
        <v>0</v>
      </c>
    </row>
    <row r="145" spans="1:9" hidden="1" x14ac:dyDescent="0.3">
      <c r="A145" s="595" t="s">
        <v>328</v>
      </c>
      <c r="B145" s="370" t="s">
        <v>589</v>
      </c>
      <c r="C145" s="370" t="s">
        <v>582</v>
      </c>
      <c r="D145" s="917">
        <v>189</v>
      </c>
      <c r="E145" s="917">
        <v>0</v>
      </c>
      <c r="F145" s="917">
        <v>4</v>
      </c>
      <c r="G145" s="917">
        <v>0</v>
      </c>
      <c r="H145" s="917">
        <v>36</v>
      </c>
      <c r="I145" s="917">
        <v>0</v>
      </c>
    </row>
    <row r="147" spans="1:9" x14ac:dyDescent="0.3">
      <c r="A147" s="595" t="s">
        <v>329</v>
      </c>
    </row>
    <row r="148" spans="1:9" x14ac:dyDescent="0.3">
      <c r="A148" s="1043" t="s">
        <v>602</v>
      </c>
      <c r="B148" s="1043"/>
      <c r="C148" s="1043"/>
      <c r="D148" s="1043"/>
      <c r="E148" s="1043"/>
      <c r="F148" s="1043"/>
      <c r="G148" s="1043"/>
      <c r="H148" s="1043"/>
    </row>
    <row r="149" spans="1:9" x14ac:dyDescent="0.3">
      <c r="A149" s="1010"/>
      <c r="B149" s="1010"/>
      <c r="C149" s="1010"/>
      <c r="D149" s="1010"/>
      <c r="E149" s="1010"/>
      <c r="F149" s="1010"/>
      <c r="G149" s="1010"/>
      <c r="H149" s="1010"/>
    </row>
    <row r="150" spans="1:9" x14ac:dyDescent="0.3">
      <c r="A150" s="1010"/>
      <c r="B150" s="1010"/>
      <c r="C150" s="1010"/>
      <c r="D150" s="1010"/>
      <c r="E150" s="1010"/>
      <c r="F150" s="1010"/>
      <c r="G150" s="1010"/>
      <c r="H150" s="1010"/>
    </row>
    <row r="151" spans="1:9" x14ac:dyDescent="0.3">
      <c r="A151" s="1010"/>
      <c r="B151" s="1010"/>
      <c r="C151" s="1010"/>
      <c r="D151" s="1010"/>
      <c r="E151" s="1010"/>
      <c r="F151" s="1010"/>
      <c r="G151" s="1010"/>
      <c r="H151" s="1010"/>
    </row>
    <row r="152" spans="1:9" x14ac:dyDescent="0.3">
      <c r="A152" s="1010"/>
      <c r="B152" s="1010"/>
      <c r="C152" s="1010"/>
      <c r="D152" s="1010"/>
      <c r="E152" s="1010"/>
      <c r="F152" s="1010"/>
      <c r="G152" s="1010"/>
      <c r="H152" s="1010"/>
    </row>
    <row r="153" spans="1:9" x14ac:dyDescent="0.3">
      <c r="A153" s="1010"/>
      <c r="B153" s="1010"/>
      <c r="C153" s="1010"/>
      <c r="D153" s="1010"/>
      <c r="E153" s="1010"/>
      <c r="F153" s="1010"/>
      <c r="G153" s="1010"/>
      <c r="H153" s="1010"/>
    </row>
    <row r="154" spans="1:9" s="339" customFormat="1" x14ac:dyDescent="0.3">
      <c r="A154" s="1010"/>
      <c r="B154" s="1010"/>
      <c r="C154" s="1010"/>
      <c r="D154" s="1010"/>
      <c r="E154" s="1010"/>
      <c r="F154" s="1010"/>
      <c r="G154" s="1010"/>
      <c r="H154" s="1010"/>
      <c r="I154" s="370"/>
    </row>
    <row r="155" spans="1:9" x14ac:dyDescent="0.3">
      <c r="A155" s="1010"/>
      <c r="B155" s="1010"/>
      <c r="C155" s="1010"/>
      <c r="D155" s="1010"/>
      <c r="E155" s="1010"/>
      <c r="F155" s="1010"/>
      <c r="G155" s="1010"/>
      <c r="H155" s="1010"/>
    </row>
    <row r="156" spans="1:9" x14ac:dyDescent="0.3">
      <c r="A156" s="1010"/>
      <c r="B156" s="1010"/>
      <c r="C156" s="1010"/>
      <c r="D156" s="1010"/>
      <c r="E156" s="1010"/>
      <c r="F156" s="1010"/>
      <c r="G156" s="1010"/>
      <c r="H156" s="1010"/>
    </row>
    <row r="157" spans="1:9" x14ac:dyDescent="0.3">
      <c r="A157" s="1010"/>
      <c r="B157" s="1010"/>
      <c r="C157" s="1010"/>
      <c r="D157" s="1010"/>
      <c r="E157" s="1010"/>
      <c r="F157" s="1010"/>
      <c r="G157" s="1010"/>
      <c r="H157" s="1010"/>
    </row>
    <row r="158" spans="1:9" x14ac:dyDescent="0.3">
      <c r="A158" s="1010"/>
      <c r="B158" s="1010"/>
      <c r="C158" s="1010"/>
      <c r="D158" s="1010"/>
      <c r="E158" s="1010"/>
      <c r="F158" s="1010"/>
      <c r="G158" s="1010"/>
      <c r="H158" s="1010"/>
    </row>
    <row r="159" spans="1:9" x14ac:dyDescent="0.3">
      <c r="A159" s="1010"/>
      <c r="B159" s="1010"/>
      <c r="C159" s="1010"/>
      <c r="D159" s="1010"/>
      <c r="E159" s="1010"/>
      <c r="F159" s="1010"/>
      <c r="G159" s="1010"/>
      <c r="H159" s="1010"/>
    </row>
    <row r="160" spans="1:9" x14ac:dyDescent="0.3">
      <c r="A160" s="1010"/>
      <c r="B160" s="1010"/>
      <c r="C160" s="1010"/>
      <c r="D160" s="1010"/>
      <c r="E160" s="1010"/>
      <c r="F160" s="1010"/>
      <c r="G160" s="1010"/>
      <c r="H160" s="1010"/>
    </row>
    <row r="161" spans="1:9" x14ac:dyDescent="0.3">
      <c r="A161" s="1010"/>
      <c r="B161" s="1010"/>
      <c r="C161" s="1010"/>
      <c r="D161" s="1010"/>
      <c r="E161" s="1010"/>
      <c r="F161" s="1010"/>
      <c r="G161" s="1010"/>
      <c r="H161" s="1010"/>
    </row>
    <row r="162" spans="1:9" x14ac:dyDescent="0.3">
      <c r="A162" s="1010"/>
      <c r="B162" s="1010"/>
      <c r="C162" s="1010"/>
      <c r="D162" s="1010"/>
      <c r="E162" s="1010"/>
      <c r="F162" s="1010"/>
      <c r="G162" s="1010"/>
      <c r="H162" s="1010"/>
    </row>
    <row r="167" spans="1:9" ht="15.6" x14ac:dyDescent="0.3">
      <c r="A167" s="514" t="s">
        <v>603</v>
      </c>
      <c r="B167" s="514"/>
      <c r="C167" s="514"/>
      <c r="D167" s="514"/>
      <c r="E167" s="514"/>
      <c r="F167" s="514"/>
      <c r="G167" s="514"/>
      <c r="H167" s="514"/>
    </row>
    <row r="168" spans="1:9" x14ac:dyDescent="0.3">
      <c r="A168" s="370" t="s">
        <v>203</v>
      </c>
      <c r="B168" s="370" t="s">
        <v>66</v>
      </c>
    </row>
    <row r="169" spans="1:9" x14ac:dyDescent="0.3">
      <c r="A169" s="370" t="s">
        <v>204</v>
      </c>
      <c r="B169" s="370" t="s">
        <v>205</v>
      </c>
    </row>
    <row r="170" spans="1:9" x14ac:dyDescent="0.3">
      <c r="A170" s="370" t="s">
        <v>206</v>
      </c>
      <c r="B170" s="370" t="s">
        <v>207</v>
      </c>
    </row>
    <row r="173" spans="1:9" x14ac:dyDescent="0.3">
      <c r="A173" s="989" t="s">
        <v>806</v>
      </c>
      <c r="B173" s="989" t="s">
        <v>559</v>
      </c>
      <c r="C173" s="989" t="s">
        <v>560</v>
      </c>
      <c r="D173" s="989" t="s">
        <v>517</v>
      </c>
      <c r="E173" s="989" t="s">
        <v>361</v>
      </c>
      <c r="F173" s="989" t="s">
        <v>518</v>
      </c>
      <c r="G173" s="989" t="s">
        <v>513</v>
      </c>
      <c r="H173" s="989" t="s">
        <v>514</v>
      </c>
      <c r="I173" s="339"/>
    </row>
    <row r="174" spans="1:9" hidden="1" x14ac:dyDescent="0.3">
      <c r="A174" s="595" t="s">
        <v>213</v>
      </c>
      <c r="C174" s="370" t="s">
        <v>561</v>
      </c>
      <c r="D174" s="370">
        <v>5</v>
      </c>
      <c r="H174" s="370">
        <v>178.47</v>
      </c>
    </row>
    <row r="175" spans="1:9" hidden="1" x14ac:dyDescent="0.3">
      <c r="A175" s="595" t="s">
        <v>213</v>
      </c>
      <c r="C175" s="370" t="s">
        <v>567</v>
      </c>
      <c r="D175" s="370">
        <v>198.93</v>
      </c>
      <c r="H175" s="370">
        <v>78.710000000000008</v>
      </c>
    </row>
    <row r="176" spans="1:9" hidden="1" x14ac:dyDescent="0.3">
      <c r="A176" s="595" t="s">
        <v>312</v>
      </c>
      <c r="C176" s="370" t="s">
        <v>574</v>
      </c>
      <c r="D176" s="370">
        <v>2</v>
      </c>
      <c r="H176" s="370">
        <v>16.86</v>
      </c>
    </row>
    <row r="177" spans="1:8" hidden="1" x14ac:dyDescent="0.3">
      <c r="A177" s="595" t="s">
        <v>312</v>
      </c>
      <c r="C177" s="370" t="s">
        <v>575</v>
      </c>
      <c r="D177" s="370">
        <v>2</v>
      </c>
      <c r="H177" s="370">
        <v>90.61999999999999</v>
      </c>
    </row>
    <row r="178" spans="1:8" hidden="1" x14ac:dyDescent="0.3">
      <c r="A178" s="595" t="s">
        <v>312</v>
      </c>
      <c r="C178" s="370" t="s">
        <v>534</v>
      </c>
      <c r="D178" s="370">
        <v>53</v>
      </c>
      <c r="G178" s="370">
        <v>2</v>
      </c>
      <c r="H178" s="370">
        <v>2</v>
      </c>
    </row>
    <row r="179" spans="1:8" hidden="1" x14ac:dyDescent="0.3">
      <c r="A179" s="595" t="s">
        <v>320</v>
      </c>
      <c r="B179" s="370" t="s">
        <v>589</v>
      </c>
      <c r="C179" s="370" t="s">
        <v>581</v>
      </c>
      <c r="D179" s="370">
        <v>3</v>
      </c>
      <c r="E179" s="370">
        <v>0</v>
      </c>
      <c r="F179" s="370">
        <v>0</v>
      </c>
      <c r="G179" s="370">
        <v>6</v>
      </c>
      <c r="H179" s="370">
        <v>2</v>
      </c>
    </row>
    <row r="180" spans="1:8" hidden="1" x14ac:dyDescent="0.3">
      <c r="A180" s="595" t="s">
        <v>325</v>
      </c>
      <c r="B180" s="370" t="s">
        <v>570</v>
      </c>
      <c r="C180" s="370" t="s">
        <v>580</v>
      </c>
      <c r="D180" s="370">
        <v>40</v>
      </c>
      <c r="E180" s="370">
        <v>0</v>
      </c>
      <c r="F180" s="370">
        <v>0</v>
      </c>
      <c r="G180" s="370">
        <v>0</v>
      </c>
      <c r="H180" s="370">
        <v>21</v>
      </c>
    </row>
    <row r="181" spans="1:8" hidden="1" x14ac:dyDescent="0.3">
      <c r="A181" s="595" t="s">
        <v>325</v>
      </c>
      <c r="B181" s="370" t="s">
        <v>589</v>
      </c>
      <c r="C181" s="370" t="s">
        <v>581</v>
      </c>
      <c r="D181" s="370">
        <v>1</v>
      </c>
      <c r="E181" s="370">
        <v>0</v>
      </c>
      <c r="F181" s="370">
        <v>0</v>
      </c>
      <c r="G181" s="370">
        <v>0</v>
      </c>
      <c r="H181" s="370">
        <v>0</v>
      </c>
    </row>
    <row r="182" spans="1:8" hidden="1" x14ac:dyDescent="0.3">
      <c r="A182" s="595" t="s">
        <v>326</v>
      </c>
      <c r="B182" s="370" t="s">
        <v>592</v>
      </c>
      <c r="C182" s="370" t="s">
        <v>411</v>
      </c>
      <c r="D182" s="370">
        <v>2</v>
      </c>
      <c r="E182" s="370">
        <v>0</v>
      </c>
      <c r="F182" s="370">
        <v>0</v>
      </c>
      <c r="G182" s="370">
        <v>0</v>
      </c>
      <c r="H182" s="370">
        <v>70.19</v>
      </c>
    </row>
    <row r="183" spans="1:8" hidden="1" x14ac:dyDescent="0.3">
      <c r="A183" s="595" t="s">
        <v>326</v>
      </c>
      <c r="B183" s="370" t="s">
        <v>583</v>
      </c>
      <c r="C183" s="370" t="s">
        <v>475</v>
      </c>
      <c r="D183" s="370">
        <v>0</v>
      </c>
      <c r="E183" s="370">
        <v>0</v>
      </c>
      <c r="F183" s="370">
        <v>0</v>
      </c>
      <c r="G183" s="370">
        <v>0</v>
      </c>
      <c r="H183" s="370">
        <v>1</v>
      </c>
    </row>
    <row r="184" spans="1:8" x14ac:dyDescent="0.3">
      <c r="A184" s="595" t="s">
        <v>412</v>
      </c>
      <c r="B184" s="370" t="s">
        <v>591</v>
      </c>
      <c r="C184" s="370" t="s">
        <v>578</v>
      </c>
      <c r="D184" s="370">
        <v>3106.39</v>
      </c>
      <c r="E184" s="370">
        <v>2287.2799999999979</v>
      </c>
      <c r="F184" s="370">
        <v>55</v>
      </c>
      <c r="G184" s="370">
        <v>0</v>
      </c>
      <c r="H184" s="370">
        <v>94.090000000000032</v>
      </c>
    </row>
    <row r="185" spans="1:8" x14ac:dyDescent="0.3">
      <c r="A185" s="595" t="s">
        <v>412</v>
      </c>
      <c r="B185" s="370" t="s">
        <v>589</v>
      </c>
      <c r="C185" s="370" t="s">
        <v>590</v>
      </c>
      <c r="D185" s="370">
        <v>14</v>
      </c>
      <c r="E185" s="370">
        <v>0</v>
      </c>
      <c r="F185" s="370">
        <v>0</v>
      </c>
      <c r="G185" s="370">
        <v>0</v>
      </c>
      <c r="H185" s="370">
        <v>43.710000000000008</v>
      </c>
    </row>
    <row r="186" spans="1:8" x14ac:dyDescent="0.3">
      <c r="A186" s="595" t="s">
        <v>412</v>
      </c>
      <c r="B186" s="370" t="s">
        <v>589</v>
      </c>
      <c r="C186" s="370" t="s">
        <v>582</v>
      </c>
      <c r="D186" s="370">
        <v>195</v>
      </c>
      <c r="E186" s="370">
        <v>0</v>
      </c>
      <c r="F186" s="370">
        <v>3</v>
      </c>
      <c r="G186" s="370">
        <v>0</v>
      </c>
      <c r="H186" s="370">
        <v>29.500000000000004</v>
      </c>
    </row>
    <row r="187" spans="1:8" hidden="1" x14ac:dyDescent="0.3">
      <c r="A187" s="595" t="s">
        <v>213</v>
      </c>
      <c r="C187" s="370" t="s">
        <v>564</v>
      </c>
      <c r="D187" s="370">
        <v>3</v>
      </c>
      <c r="H187" s="370">
        <v>42.75</v>
      </c>
    </row>
    <row r="188" spans="1:8" hidden="1" x14ac:dyDescent="0.3">
      <c r="A188" s="595" t="s">
        <v>213</v>
      </c>
      <c r="C188" s="370" t="s">
        <v>573</v>
      </c>
      <c r="D188" s="370">
        <v>203</v>
      </c>
      <c r="H188" s="370">
        <v>53.360000000000007</v>
      </c>
    </row>
    <row r="189" spans="1:8" hidden="1" x14ac:dyDescent="0.3">
      <c r="A189" s="595" t="s">
        <v>312</v>
      </c>
      <c r="C189" s="370" t="s">
        <v>567</v>
      </c>
      <c r="D189" s="370">
        <v>51</v>
      </c>
      <c r="H189" s="370">
        <v>16.689999999999998</v>
      </c>
    </row>
    <row r="190" spans="1:8" hidden="1" x14ac:dyDescent="0.3">
      <c r="A190" s="595" t="s">
        <v>312</v>
      </c>
      <c r="C190" s="370" t="s">
        <v>569</v>
      </c>
      <c r="D190" s="370">
        <v>6</v>
      </c>
      <c r="H190" s="370">
        <v>3</v>
      </c>
    </row>
    <row r="191" spans="1:8" hidden="1" x14ac:dyDescent="0.3">
      <c r="A191" s="595" t="s">
        <v>312</v>
      </c>
      <c r="C191" s="370" t="s">
        <v>573</v>
      </c>
      <c r="D191" s="370">
        <v>98</v>
      </c>
      <c r="H191" s="370">
        <v>46.81</v>
      </c>
    </row>
    <row r="192" spans="1:8" hidden="1" x14ac:dyDescent="0.3">
      <c r="A192" s="595" t="s">
        <v>318</v>
      </c>
      <c r="B192" s="370" t="s">
        <v>577</v>
      </c>
      <c r="C192" s="370" t="s">
        <v>575</v>
      </c>
      <c r="D192" s="370">
        <v>1</v>
      </c>
      <c r="E192" s="370">
        <v>0</v>
      </c>
      <c r="F192" s="370">
        <v>0</v>
      </c>
      <c r="G192" s="370">
        <v>0</v>
      </c>
      <c r="H192" s="370">
        <v>100.31999999999998</v>
      </c>
    </row>
    <row r="193" spans="1:8" hidden="1" x14ac:dyDescent="0.3">
      <c r="A193" s="595" t="s">
        <v>318</v>
      </c>
      <c r="B193" s="370" t="s">
        <v>583</v>
      </c>
      <c r="C193" s="370" t="s">
        <v>475</v>
      </c>
      <c r="D193" s="370">
        <v>6</v>
      </c>
      <c r="E193" s="370">
        <v>0</v>
      </c>
      <c r="F193" s="370">
        <v>0</v>
      </c>
      <c r="G193" s="370">
        <v>0</v>
      </c>
      <c r="H193" s="370">
        <v>82.990000000000009</v>
      </c>
    </row>
    <row r="194" spans="1:8" hidden="1" x14ac:dyDescent="0.3">
      <c r="A194" s="595" t="s">
        <v>320</v>
      </c>
      <c r="B194" s="370" t="s">
        <v>577</v>
      </c>
      <c r="C194" s="370" t="s">
        <v>575</v>
      </c>
      <c r="D194" s="370">
        <v>2</v>
      </c>
      <c r="E194" s="370">
        <v>0</v>
      </c>
      <c r="F194" s="370">
        <v>0</v>
      </c>
      <c r="G194" s="370">
        <v>0</v>
      </c>
      <c r="H194" s="370">
        <v>128.09999999999997</v>
      </c>
    </row>
    <row r="195" spans="1:8" hidden="1" x14ac:dyDescent="0.3">
      <c r="A195" s="595" t="s">
        <v>325</v>
      </c>
      <c r="B195" s="370" t="s">
        <v>585</v>
      </c>
      <c r="C195" s="370" t="s">
        <v>411</v>
      </c>
      <c r="D195" s="370">
        <v>5</v>
      </c>
      <c r="E195" s="370">
        <v>0</v>
      </c>
      <c r="F195" s="370">
        <v>0</v>
      </c>
      <c r="G195" s="370">
        <v>0</v>
      </c>
      <c r="H195" s="370">
        <v>4</v>
      </c>
    </row>
    <row r="196" spans="1:8" hidden="1" x14ac:dyDescent="0.3">
      <c r="A196" s="595" t="s">
        <v>325</v>
      </c>
      <c r="B196" s="370" t="s">
        <v>589</v>
      </c>
      <c r="C196" s="370" t="s">
        <v>582</v>
      </c>
      <c r="D196" s="370">
        <v>130</v>
      </c>
      <c r="E196" s="370">
        <v>0</v>
      </c>
      <c r="F196" s="370">
        <v>1</v>
      </c>
      <c r="G196" s="370">
        <v>0</v>
      </c>
      <c r="H196" s="370">
        <v>47.120000000000005</v>
      </c>
    </row>
    <row r="197" spans="1:8" hidden="1" x14ac:dyDescent="0.3">
      <c r="A197" s="595" t="s">
        <v>328</v>
      </c>
      <c r="B197" s="370" t="s">
        <v>591</v>
      </c>
      <c r="C197" s="370" t="s">
        <v>579</v>
      </c>
      <c r="D197" s="370">
        <v>34</v>
      </c>
      <c r="E197" s="370">
        <v>0</v>
      </c>
      <c r="F197" s="370">
        <v>0</v>
      </c>
      <c r="G197" s="370">
        <v>164.69</v>
      </c>
      <c r="H197" s="370">
        <v>47.07</v>
      </c>
    </row>
    <row r="198" spans="1:8" hidden="1" x14ac:dyDescent="0.3">
      <c r="A198" s="595" t="s">
        <v>328</v>
      </c>
      <c r="B198" s="370" t="s">
        <v>598</v>
      </c>
      <c r="C198" s="370" t="s">
        <v>411</v>
      </c>
      <c r="D198" s="370">
        <v>3</v>
      </c>
      <c r="E198" s="370">
        <v>0</v>
      </c>
      <c r="F198" s="370">
        <v>0</v>
      </c>
      <c r="G198" s="370">
        <v>0</v>
      </c>
      <c r="H198" s="370">
        <v>3</v>
      </c>
    </row>
    <row r="199" spans="1:8" hidden="1" x14ac:dyDescent="0.3">
      <c r="A199" s="595" t="s">
        <v>328</v>
      </c>
      <c r="B199" s="370" t="s">
        <v>598</v>
      </c>
      <c r="C199" s="370" t="s">
        <v>601</v>
      </c>
      <c r="D199" s="370">
        <v>31</v>
      </c>
      <c r="E199" s="370">
        <v>0</v>
      </c>
      <c r="F199" s="370">
        <v>0</v>
      </c>
      <c r="G199" s="370">
        <v>0</v>
      </c>
      <c r="H199" s="370">
        <v>4</v>
      </c>
    </row>
    <row r="200" spans="1:8" hidden="1" x14ac:dyDescent="0.3">
      <c r="A200" s="595" t="s">
        <v>328</v>
      </c>
      <c r="B200" s="370" t="s">
        <v>589</v>
      </c>
      <c r="C200" s="370" t="s">
        <v>590</v>
      </c>
      <c r="D200" s="370">
        <v>11</v>
      </c>
      <c r="E200" s="370">
        <v>0</v>
      </c>
      <c r="F200" s="370">
        <v>0</v>
      </c>
      <c r="G200" s="370">
        <v>0</v>
      </c>
      <c r="H200" s="370">
        <v>15.709999999999999</v>
      </c>
    </row>
    <row r="201" spans="1:8" hidden="1" x14ac:dyDescent="0.3">
      <c r="A201" s="595" t="s">
        <v>213</v>
      </c>
      <c r="C201" s="370" t="s">
        <v>562</v>
      </c>
      <c r="D201" s="370">
        <v>2</v>
      </c>
      <c r="H201" s="370">
        <v>58.51</v>
      </c>
    </row>
    <row r="202" spans="1:8" hidden="1" x14ac:dyDescent="0.3">
      <c r="A202" s="595" t="s">
        <v>312</v>
      </c>
      <c r="C202" s="370" t="s">
        <v>566</v>
      </c>
      <c r="H202" s="370">
        <v>71.489999999999995</v>
      </c>
    </row>
    <row r="203" spans="1:8" hidden="1" x14ac:dyDescent="0.3">
      <c r="A203" s="595" t="s">
        <v>312</v>
      </c>
      <c r="C203" s="370" t="s">
        <v>568</v>
      </c>
      <c r="D203" s="370">
        <v>52</v>
      </c>
      <c r="G203" s="370">
        <v>181.82999999999998</v>
      </c>
      <c r="H203" s="370">
        <v>72.070000000000007</v>
      </c>
    </row>
    <row r="204" spans="1:8" hidden="1" x14ac:dyDescent="0.3">
      <c r="A204" s="595" t="s">
        <v>312</v>
      </c>
      <c r="C204" s="370" t="s">
        <v>571</v>
      </c>
      <c r="D204" s="370">
        <v>5</v>
      </c>
      <c r="H204" s="370">
        <v>1</v>
      </c>
    </row>
    <row r="205" spans="1:8" hidden="1" x14ac:dyDescent="0.3">
      <c r="A205" s="595" t="s">
        <v>320</v>
      </c>
      <c r="B205" s="370" t="s">
        <v>576</v>
      </c>
      <c r="C205" s="370" t="s">
        <v>561</v>
      </c>
      <c r="D205" s="370">
        <v>5</v>
      </c>
      <c r="E205" s="370">
        <v>0</v>
      </c>
      <c r="F205" s="370">
        <v>0</v>
      </c>
      <c r="G205" s="370">
        <v>0</v>
      </c>
      <c r="H205" s="370">
        <v>179.20999999999998</v>
      </c>
    </row>
    <row r="206" spans="1:8" hidden="1" x14ac:dyDescent="0.3">
      <c r="A206" s="595" t="s">
        <v>325</v>
      </c>
      <c r="B206" s="370" t="s">
        <v>570</v>
      </c>
      <c r="C206" s="370" t="s">
        <v>534</v>
      </c>
      <c r="D206" s="370">
        <v>103</v>
      </c>
      <c r="E206" s="370">
        <v>0</v>
      </c>
      <c r="F206" s="370">
        <v>0</v>
      </c>
      <c r="G206" s="370">
        <v>0</v>
      </c>
      <c r="H206" s="370">
        <v>0</v>
      </c>
    </row>
    <row r="207" spans="1:8" hidden="1" x14ac:dyDescent="0.3">
      <c r="A207" s="595" t="s">
        <v>326</v>
      </c>
      <c r="B207" s="370" t="s">
        <v>576</v>
      </c>
      <c r="C207" s="370" t="s">
        <v>584</v>
      </c>
      <c r="D207" s="370">
        <v>1</v>
      </c>
      <c r="E207" s="370">
        <v>0</v>
      </c>
      <c r="F207" s="370">
        <v>0</v>
      </c>
      <c r="G207" s="370">
        <v>0</v>
      </c>
      <c r="H207" s="370">
        <v>76.489999999999995</v>
      </c>
    </row>
    <row r="208" spans="1:8" hidden="1" x14ac:dyDescent="0.3">
      <c r="A208" s="595" t="s">
        <v>326</v>
      </c>
      <c r="B208" s="370" t="s">
        <v>591</v>
      </c>
      <c r="C208" s="370" t="s">
        <v>579</v>
      </c>
      <c r="D208" s="370">
        <v>32</v>
      </c>
      <c r="E208" s="370">
        <v>0</v>
      </c>
      <c r="F208" s="370">
        <v>0</v>
      </c>
      <c r="G208" s="370">
        <v>162.21</v>
      </c>
      <c r="H208" s="370">
        <v>49.11</v>
      </c>
    </row>
    <row r="209" spans="1:8" hidden="1" x14ac:dyDescent="0.3">
      <c r="A209" s="595" t="s">
        <v>326</v>
      </c>
      <c r="B209" s="370" t="s">
        <v>598</v>
      </c>
      <c r="C209" s="370" t="s">
        <v>411</v>
      </c>
      <c r="D209" s="370">
        <v>6</v>
      </c>
      <c r="E209" s="370">
        <v>0</v>
      </c>
      <c r="F209" s="370">
        <v>0</v>
      </c>
      <c r="G209" s="370">
        <v>0</v>
      </c>
      <c r="H209" s="370">
        <v>3</v>
      </c>
    </row>
    <row r="210" spans="1:8" hidden="1" x14ac:dyDescent="0.3">
      <c r="A210" s="595" t="s">
        <v>326</v>
      </c>
      <c r="B210" s="370" t="s">
        <v>586</v>
      </c>
      <c r="C210" s="370" t="s">
        <v>588</v>
      </c>
      <c r="D210" s="370">
        <v>2</v>
      </c>
      <c r="E210" s="370">
        <v>0</v>
      </c>
      <c r="F210" s="370">
        <v>0</v>
      </c>
      <c r="G210" s="370">
        <v>0</v>
      </c>
      <c r="H210" s="370">
        <v>93.09999999999998</v>
      </c>
    </row>
    <row r="211" spans="1:8" hidden="1" x14ac:dyDescent="0.3">
      <c r="A211" s="595" t="s">
        <v>328</v>
      </c>
      <c r="B211" s="370" t="s">
        <v>598</v>
      </c>
      <c r="C211" s="370" t="s">
        <v>599</v>
      </c>
      <c r="D211" s="370">
        <v>13</v>
      </c>
      <c r="E211" s="370">
        <v>0</v>
      </c>
      <c r="F211" s="370">
        <v>0</v>
      </c>
      <c r="G211" s="370">
        <v>0</v>
      </c>
      <c r="H211" s="370">
        <v>44.8</v>
      </c>
    </row>
    <row r="212" spans="1:8" hidden="1" x14ac:dyDescent="0.3">
      <c r="A212" s="595" t="s">
        <v>328</v>
      </c>
      <c r="B212" s="370" t="s">
        <v>598</v>
      </c>
      <c r="C212" s="370" t="s">
        <v>600</v>
      </c>
      <c r="D212" s="370">
        <v>8</v>
      </c>
      <c r="E212" s="370">
        <v>0</v>
      </c>
      <c r="F212" s="370">
        <v>0</v>
      </c>
      <c r="G212" s="370">
        <v>0</v>
      </c>
      <c r="H212" s="370">
        <v>16</v>
      </c>
    </row>
    <row r="213" spans="1:8" hidden="1" x14ac:dyDescent="0.3">
      <c r="A213" s="595" t="s">
        <v>328</v>
      </c>
      <c r="B213" s="370" t="s">
        <v>586</v>
      </c>
      <c r="C213" s="370" t="s">
        <v>587</v>
      </c>
      <c r="D213" s="370">
        <v>0</v>
      </c>
      <c r="E213" s="370">
        <v>0</v>
      </c>
      <c r="F213" s="370">
        <v>0</v>
      </c>
      <c r="G213" s="370">
        <v>0</v>
      </c>
      <c r="H213" s="370">
        <v>27.77</v>
      </c>
    </row>
    <row r="214" spans="1:8" hidden="1" x14ac:dyDescent="0.3">
      <c r="A214" s="595" t="s">
        <v>328</v>
      </c>
      <c r="B214" s="370" t="s">
        <v>589</v>
      </c>
      <c r="C214" s="370" t="s">
        <v>582</v>
      </c>
      <c r="D214" s="370">
        <v>189</v>
      </c>
      <c r="E214" s="370">
        <v>0</v>
      </c>
      <c r="F214" s="370">
        <v>4</v>
      </c>
      <c r="G214" s="370">
        <v>0</v>
      </c>
      <c r="H214" s="370">
        <v>31.300000000000008</v>
      </c>
    </row>
    <row r="215" spans="1:8" hidden="1" x14ac:dyDescent="0.3">
      <c r="A215" s="595" t="s">
        <v>213</v>
      </c>
      <c r="C215" s="370" t="s">
        <v>566</v>
      </c>
      <c r="H215" s="370">
        <v>76</v>
      </c>
    </row>
    <row r="216" spans="1:8" hidden="1" x14ac:dyDescent="0.3">
      <c r="A216" s="595" t="s">
        <v>213</v>
      </c>
      <c r="C216" s="370" t="s">
        <v>568</v>
      </c>
      <c r="D216" s="370">
        <v>45</v>
      </c>
      <c r="G216" s="370">
        <v>192.33</v>
      </c>
      <c r="H216" s="370">
        <v>68.5</v>
      </c>
    </row>
    <row r="217" spans="1:8" hidden="1" x14ac:dyDescent="0.3">
      <c r="A217" s="595" t="s">
        <v>213</v>
      </c>
      <c r="C217" s="370" t="s">
        <v>569</v>
      </c>
      <c r="D217" s="370">
        <v>4</v>
      </c>
      <c r="H217" s="370">
        <v>3</v>
      </c>
    </row>
    <row r="218" spans="1:8" hidden="1" x14ac:dyDescent="0.3">
      <c r="A218" s="595" t="s">
        <v>213</v>
      </c>
      <c r="C218" s="370" t="s">
        <v>572</v>
      </c>
      <c r="D218" s="370">
        <v>2</v>
      </c>
      <c r="H218" s="370">
        <v>53.45</v>
      </c>
    </row>
    <row r="219" spans="1:8" hidden="1" x14ac:dyDescent="0.3">
      <c r="A219" s="595" t="s">
        <v>312</v>
      </c>
      <c r="C219" s="370" t="s">
        <v>562</v>
      </c>
      <c r="D219" s="370">
        <v>2</v>
      </c>
      <c r="H219" s="370">
        <v>63.31</v>
      </c>
    </row>
    <row r="220" spans="1:8" hidden="1" x14ac:dyDescent="0.3">
      <c r="A220" s="595" t="s">
        <v>318</v>
      </c>
      <c r="B220" s="370" t="s">
        <v>576</v>
      </c>
      <c r="C220" s="370" t="s">
        <v>563</v>
      </c>
      <c r="D220" s="370">
        <v>0</v>
      </c>
      <c r="E220" s="370">
        <v>0</v>
      </c>
      <c r="F220" s="370">
        <v>0</v>
      </c>
      <c r="G220" s="370">
        <v>0</v>
      </c>
      <c r="H220" s="370">
        <v>62.330000000000005</v>
      </c>
    </row>
    <row r="221" spans="1:8" hidden="1" x14ac:dyDescent="0.3">
      <c r="A221" s="595" t="s">
        <v>318</v>
      </c>
      <c r="B221" s="370" t="s">
        <v>570</v>
      </c>
      <c r="C221" s="370" t="s">
        <v>580</v>
      </c>
      <c r="D221" s="370">
        <v>52</v>
      </c>
      <c r="E221" s="370">
        <v>0</v>
      </c>
      <c r="F221" s="370">
        <v>0</v>
      </c>
      <c r="G221" s="370">
        <v>0</v>
      </c>
      <c r="H221" s="370">
        <v>17</v>
      </c>
    </row>
    <row r="222" spans="1:8" hidden="1" x14ac:dyDescent="0.3">
      <c r="A222" s="595" t="s">
        <v>318</v>
      </c>
      <c r="B222" s="370" t="s">
        <v>586</v>
      </c>
      <c r="C222" s="370" t="s">
        <v>587</v>
      </c>
      <c r="D222" s="370">
        <v>0</v>
      </c>
      <c r="E222" s="370">
        <v>0</v>
      </c>
      <c r="F222" s="370">
        <v>0</v>
      </c>
      <c r="G222" s="370">
        <v>0</v>
      </c>
      <c r="H222" s="370">
        <v>21.310000000000002</v>
      </c>
    </row>
    <row r="223" spans="1:8" hidden="1" x14ac:dyDescent="0.3">
      <c r="A223" s="595" t="s">
        <v>318</v>
      </c>
      <c r="B223" s="370" t="s">
        <v>589</v>
      </c>
      <c r="C223" s="370" t="s">
        <v>590</v>
      </c>
      <c r="D223" s="370">
        <v>9</v>
      </c>
      <c r="E223" s="370">
        <v>0</v>
      </c>
      <c r="F223" s="370">
        <v>0</v>
      </c>
      <c r="G223" s="370">
        <v>0</v>
      </c>
      <c r="H223" s="370">
        <v>17</v>
      </c>
    </row>
    <row r="224" spans="1:8" hidden="1" x14ac:dyDescent="0.3">
      <c r="A224" s="595" t="s">
        <v>325</v>
      </c>
      <c r="B224" s="370" t="s">
        <v>570</v>
      </c>
      <c r="C224" s="370" t="s">
        <v>578</v>
      </c>
      <c r="D224" s="370">
        <v>3142.43</v>
      </c>
      <c r="E224" s="370">
        <v>2333.12</v>
      </c>
      <c r="F224" s="370">
        <v>54</v>
      </c>
      <c r="G224" s="370">
        <v>0</v>
      </c>
      <c r="H224" s="370">
        <v>107.48</v>
      </c>
    </row>
    <row r="225" spans="1:8" hidden="1" x14ac:dyDescent="0.3">
      <c r="A225" s="595" t="s">
        <v>325</v>
      </c>
      <c r="B225" s="370" t="s">
        <v>586</v>
      </c>
      <c r="C225" s="370" t="s">
        <v>588</v>
      </c>
      <c r="D225" s="370">
        <v>2</v>
      </c>
      <c r="E225" s="370">
        <v>0</v>
      </c>
      <c r="F225" s="370">
        <v>0</v>
      </c>
      <c r="G225" s="370">
        <v>0</v>
      </c>
      <c r="H225" s="370">
        <v>94.049999999999983</v>
      </c>
    </row>
    <row r="226" spans="1:8" hidden="1" x14ac:dyDescent="0.3">
      <c r="A226" s="595" t="s">
        <v>326</v>
      </c>
      <c r="B226" s="370" t="s">
        <v>591</v>
      </c>
      <c r="C226" s="370" t="s">
        <v>411</v>
      </c>
      <c r="D226" s="370">
        <v>1</v>
      </c>
      <c r="E226" s="370">
        <v>0</v>
      </c>
      <c r="F226" s="370">
        <v>0</v>
      </c>
      <c r="G226" s="370">
        <v>0</v>
      </c>
      <c r="H226" s="370">
        <v>0</v>
      </c>
    </row>
    <row r="227" spans="1:8" hidden="1" x14ac:dyDescent="0.3">
      <c r="A227" s="595" t="s">
        <v>326</v>
      </c>
      <c r="B227" s="370" t="s">
        <v>592</v>
      </c>
      <c r="C227" s="370" t="s">
        <v>594</v>
      </c>
      <c r="D227" s="370">
        <v>0</v>
      </c>
      <c r="E227" s="370">
        <v>0</v>
      </c>
      <c r="F227" s="370">
        <v>0</v>
      </c>
      <c r="G227" s="370">
        <v>0</v>
      </c>
      <c r="H227" s="370">
        <v>16.25</v>
      </c>
    </row>
    <row r="228" spans="1:8" hidden="1" x14ac:dyDescent="0.3">
      <c r="A228" s="595" t="s">
        <v>326</v>
      </c>
      <c r="B228" s="370" t="s">
        <v>595</v>
      </c>
      <c r="C228" s="370" t="s">
        <v>596</v>
      </c>
      <c r="D228" s="370">
        <v>0</v>
      </c>
      <c r="E228" s="370">
        <v>0</v>
      </c>
      <c r="F228" s="370">
        <v>0</v>
      </c>
      <c r="G228" s="370">
        <v>0</v>
      </c>
      <c r="H228" s="370">
        <v>3</v>
      </c>
    </row>
    <row r="229" spans="1:8" hidden="1" x14ac:dyDescent="0.3">
      <c r="A229" s="595" t="s">
        <v>328</v>
      </c>
      <c r="B229" s="370" t="s">
        <v>591</v>
      </c>
      <c r="C229" s="370" t="s">
        <v>411</v>
      </c>
      <c r="D229" s="370">
        <v>1</v>
      </c>
      <c r="E229" s="370">
        <v>0</v>
      </c>
      <c r="F229" s="370">
        <v>0</v>
      </c>
      <c r="G229" s="370">
        <v>0</v>
      </c>
      <c r="H229" s="370">
        <v>0</v>
      </c>
    </row>
    <row r="230" spans="1:8" hidden="1" x14ac:dyDescent="0.3">
      <c r="A230" s="595" t="s">
        <v>328</v>
      </c>
      <c r="B230" s="370" t="s">
        <v>592</v>
      </c>
      <c r="C230" s="370" t="s">
        <v>593</v>
      </c>
      <c r="D230" s="370">
        <v>0</v>
      </c>
      <c r="E230" s="370">
        <v>0</v>
      </c>
      <c r="F230" s="370">
        <v>0</v>
      </c>
      <c r="G230" s="370">
        <v>0</v>
      </c>
      <c r="H230" s="370">
        <v>11.43</v>
      </c>
    </row>
    <row r="231" spans="1:8" x14ac:dyDescent="0.3">
      <c r="A231" s="595" t="s">
        <v>412</v>
      </c>
      <c r="B231" s="370" t="s">
        <v>592</v>
      </c>
      <c r="C231" s="370" t="s">
        <v>411</v>
      </c>
      <c r="D231" s="370">
        <v>2</v>
      </c>
      <c r="E231" s="370">
        <v>0</v>
      </c>
      <c r="F231" s="370">
        <v>0</v>
      </c>
      <c r="G231" s="370">
        <v>0</v>
      </c>
      <c r="H231" s="370">
        <v>72.009999999999991</v>
      </c>
    </row>
    <row r="232" spans="1:8" hidden="1" x14ac:dyDescent="0.3">
      <c r="A232" s="595" t="s">
        <v>213</v>
      </c>
      <c r="C232" s="370" t="s">
        <v>570</v>
      </c>
      <c r="D232" s="370">
        <v>3101</v>
      </c>
      <c r="E232" s="370">
        <v>2583.98</v>
      </c>
      <c r="F232" s="370">
        <v>18</v>
      </c>
      <c r="H232" s="370">
        <v>15.339999999999998</v>
      </c>
    </row>
    <row r="233" spans="1:8" hidden="1" x14ac:dyDescent="0.3">
      <c r="A233" s="595" t="s">
        <v>213</v>
      </c>
      <c r="C233" s="370" t="s">
        <v>534</v>
      </c>
      <c r="D233" s="370">
        <v>65</v>
      </c>
      <c r="G233" s="370">
        <v>10</v>
      </c>
      <c r="H233" s="370">
        <v>1</v>
      </c>
    </row>
    <row r="234" spans="1:8" hidden="1" x14ac:dyDescent="0.3">
      <c r="A234" s="595" t="s">
        <v>312</v>
      </c>
      <c r="C234" s="370" t="s">
        <v>563</v>
      </c>
      <c r="H234" s="370">
        <v>61.300000000000004</v>
      </c>
    </row>
    <row r="235" spans="1:8" hidden="1" x14ac:dyDescent="0.3">
      <c r="A235" s="595" t="s">
        <v>318</v>
      </c>
      <c r="B235" s="370" t="s">
        <v>570</v>
      </c>
      <c r="C235" s="370" t="s">
        <v>578</v>
      </c>
      <c r="D235" s="370">
        <v>3282.43</v>
      </c>
      <c r="E235" s="370">
        <v>2482.48</v>
      </c>
      <c r="F235" s="370">
        <v>54</v>
      </c>
      <c r="G235" s="370">
        <v>0</v>
      </c>
      <c r="H235" s="370">
        <v>80.560000000000016</v>
      </c>
    </row>
    <row r="236" spans="1:8" hidden="1" x14ac:dyDescent="0.3">
      <c r="A236" s="595" t="s">
        <v>318</v>
      </c>
      <c r="B236" s="370" t="s">
        <v>570</v>
      </c>
      <c r="C236" s="370" t="s">
        <v>581</v>
      </c>
      <c r="D236" s="370">
        <v>13</v>
      </c>
      <c r="E236" s="370">
        <v>0</v>
      </c>
      <c r="F236" s="370">
        <v>0</v>
      </c>
      <c r="G236" s="370">
        <v>8</v>
      </c>
      <c r="H236" s="370">
        <v>4</v>
      </c>
    </row>
    <row r="237" spans="1:8" hidden="1" x14ac:dyDescent="0.3">
      <c r="A237" s="595" t="s">
        <v>318</v>
      </c>
      <c r="B237" s="370" t="s">
        <v>586</v>
      </c>
      <c r="C237" s="370" t="s">
        <v>588</v>
      </c>
      <c r="D237" s="370">
        <v>2</v>
      </c>
      <c r="E237" s="370">
        <v>0</v>
      </c>
      <c r="F237" s="370">
        <v>0</v>
      </c>
      <c r="G237" s="370">
        <v>0</v>
      </c>
      <c r="H237" s="370">
        <v>94.610000000000014</v>
      </c>
    </row>
    <row r="238" spans="1:8" hidden="1" x14ac:dyDescent="0.3">
      <c r="A238" s="595" t="s">
        <v>325</v>
      </c>
      <c r="B238" s="370" t="s">
        <v>570</v>
      </c>
      <c r="C238" s="370" t="s">
        <v>579</v>
      </c>
      <c r="D238" s="370">
        <v>39</v>
      </c>
      <c r="E238" s="370">
        <v>0</v>
      </c>
      <c r="F238" s="370">
        <v>0</v>
      </c>
      <c r="G238" s="370">
        <v>161.06</v>
      </c>
      <c r="H238" s="370">
        <v>71.949999999999989</v>
      </c>
    </row>
    <row r="239" spans="1:8" hidden="1" x14ac:dyDescent="0.3">
      <c r="A239" s="595" t="s">
        <v>325</v>
      </c>
      <c r="B239" s="370" t="s">
        <v>583</v>
      </c>
      <c r="C239" s="370" t="s">
        <v>584</v>
      </c>
      <c r="D239" s="370">
        <v>0</v>
      </c>
      <c r="E239" s="370">
        <v>0</v>
      </c>
      <c r="F239" s="370">
        <v>0</v>
      </c>
      <c r="G239" s="370">
        <v>0</v>
      </c>
      <c r="H239" s="370">
        <v>1</v>
      </c>
    </row>
    <row r="240" spans="1:8" hidden="1" x14ac:dyDescent="0.3">
      <c r="A240" s="595" t="s">
        <v>325</v>
      </c>
      <c r="B240" s="370" t="s">
        <v>583</v>
      </c>
      <c r="C240" s="370" t="s">
        <v>475</v>
      </c>
      <c r="D240" s="370">
        <v>9</v>
      </c>
      <c r="E240" s="370">
        <v>0</v>
      </c>
      <c r="F240" s="370">
        <v>0</v>
      </c>
      <c r="G240" s="370">
        <v>7</v>
      </c>
      <c r="H240" s="370">
        <v>109.40999999999998</v>
      </c>
    </row>
    <row r="241" spans="1:8" hidden="1" x14ac:dyDescent="0.3">
      <c r="A241" s="595" t="s">
        <v>325</v>
      </c>
      <c r="B241" s="370" t="s">
        <v>589</v>
      </c>
      <c r="C241" s="370" t="s">
        <v>590</v>
      </c>
      <c r="D241" s="370">
        <v>9</v>
      </c>
      <c r="E241" s="370">
        <v>0</v>
      </c>
      <c r="F241" s="370">
        <v>0</v>
      </c>
      <c r="G241" s="370">
        <v>0</v>
      </c>
      <c r="H241" s="370">
        <v>17.09</v>
      </c>
    </row>
    <row r="242" spans="1:8" hidden="1" x14ac:dyDescent="0.3">
      <c r="A242" s="595" t="s">
        <v>326</v>
      </c>
      <c r="B242" s="370" t="s">
        <v>585</v>
      </c>
      <c r="C242" s="370" t="s">
        <v>411</v>
      </c>
      <c r="D242" s="370">
        <v>5</v>
      </c>
      <c r="E242" s="370">
        <v>0</v>
      </c>
      <c r="F242" s="370">
        <v>0</v>
      </c>
      <c r="G242" s="370">
        <v>0</v>
      </c>
      <c r="H242" s="370">
        <v>4</v>
      </c>
    </row>
    <row r="243" spans="1:8" hidden="1" x14ac:dyDescent="0.3">
      <c r="A243" s="595" t="s">
        <v>326</v>
      </c>
      <c r="B243" s="370" t="s">
        <v>589</v>
      </c>
      <c r="C243" s="370" t="s">
        <v>590</v>
      </c>
      <c r="D243" s="370">
        <v>11</v>
      </c>
      <c r="E243" s="370">
        <v>0</v>
      </c>
      <c r="F243" s="370">
        <v>0</v>
      </c>
      <c r="G243" s="370">
        <v>0</v>
      </c>
      <c r="H243" s="370">
        <v>18.09</v>
      </c>
    </row>
    <row r="244" spans="1:8" hidden="1" x14ac:dyDescent="0.3">
      <c r="A244" s="595" t="s">
        <v>328</v>
      </c>
      <c r="B244" s="370" t="s">
        <v>592</v>
      </c>
      <c r="C244" s="370" t="s">
        <v>411</v>
      </c>
      <c r="D244" s="370">
        <v>2</v>
      </c>
      <c r="E244" s="370">
        <v>0</v>
      </c>
      <c r="F244" s="370">
        <v>0</v>
      </c>
      <c r="G244" s="370">
        <v>0</v>
      </c>
      <c r="H244" s="370">
        <v>64.97</v>
      </c>
    </row>
    <row r="245" spans="1:8" hidden="1" x14ac:dyDescent="0.3">
      <c r="A245" s="595" t="s">
        <v>328</v>
      </c>
      <c r="B245" s="370" t="s">
        <v>595</v>
      </c>
      <c r="C245" s="370" t="s">
        <v>411</v>
      </c>
      <c r="D245" s="370">
        <v>0</v>
      </c>
      <c r="E245" s="370">
        <v>0</v>
      </c>
      <c r="F245" s="370">
        <v>0</v>
      </c>
      <c r="G245" s="370">
        <v>0</v>
      </c>
      <c r="H245" s="370">
        <v>4.8</v>
      </c>
    </row>
    <row r="246" spans="1:8" hidden="1" x14ac:dyDescent="0.3">
      <c r="A246" s="595" t="s">
        <v>328</v>
      </c>
      <c r="B246" s="370" t="s">
        <v>595</v>
      </c>
      <c r="C246" s="370" t="s">
        <v>596</v>
      </c>
      <c r="D246" s="370">
        <v>0</v>
      </c>
      <c r="E246" s="370">
        <v>0</v>
      </c>
      <c r="F246" s="370">
        <v>0</v>
      </c>
      <c r="G246" s="370">
        <v>0</v>
      </c>
      <c r="H246" s="370">
        <v>3</v>
      </c>
    </row>
    <row r="247" spans="1:8" hidden="1" x14ac:dyDescent="0.3">
      <c r="A247" s="595" t="s">
        <v>328</v>
      </c>
      <c r="B247" s="370" t="s">
        <v>585</v>
      </c>
      <c r="C247" s="370" t="s">
        <v>411</v>
      </c>
      <c r="D247" s="370">
        <v>5</v>
      </c>
      <c r="E247" s="370">
        <v>0</v>
      </c>
      <c r="F247" s="370">
        <v>0</v>
      </c>
      <c r="G247" s="370">
        <v>0</v>
      </c>
      <c r="H247" s="370">
        <v>5</v>
      </c>
    </row>
    <row r="248" spans="1:8" hidden="1" x14ac:dyDescent="0.3">
      <c r="A248" s="595" t="s">
        <v>328</v>
      </c>
      <c r="B248" s="370" t="s">
        <v>586</v>
      </c>
      <c r="C248" s="370" t="s">
        <v>588</v>
      </c>
      <c r="D248" s="370">
        <v>2</v>
      </c>
      <c r="E248" s="370">
        <v>0</v>
      </c>
      <c r="F248" s="370">
        <v>0</v>
      </c>
      <c r="G248" s="370">
        <v>0</v>
      </c>
      <c r="H248" s="370">
        <v>97.71999999999997</v>
      </c>
    </row>
    <row r="249" spans="1:8" x14ac:dyDescent="0.3">
      <c r="A249" s="595" t="s">
        <v>412</v>
      </c>
      <c r="B249" s="370" t="s">
        <v>576</v>
      </c>
      <c r="C249" s="370" t="s">
        <v>1286</v>
      </c>
      <c r="D249" s="370">
        <v>0</v>
      </c>
      <c r="E249" s="370">
        <v>0</v>
      </c>
      <c r="F249" s="370">
        <v>0</v>
      </c>
      <c r="G249" s="370">
        <v>0</v>
      </c>
      <c r="H249" s="370">
        <v>101.24</v>
      </c>
    </row>
    <row r="250" spans="1:8" x14ac:dyDescent="0.3">
      <c r="A250" s="595" t="s">
        <v>412</v>
      </c>
      <c r="B250" s="370" t="s">
        <v>595</v>
      </c>
      <c r="C250" s="370" t="s">
        <v>411</v>
      </c>
      <c r="D250" s="370">
        <v>0</v>
      </c>
      <c r="E250" s="370">
        <v>0</v>
      </c>
      <c r="F250" s="370">
        <v>0</v>
      </c>
      <c r="G250" s="370">
        <v>0</v>
      </c>
      <c r="H250" s="370">
        <v>4.82</v>
      </c>
    </row>
    <row r="251" spans="1:8" x14ac:dyDescent="0.3">
      <c r="A251" s="595" t="s">
        <v>412</v>
      </c>
      <c r="B251" s="370" t="s">
        <v>1285</v>
      </c>
      <c r="C251" s="370" t="s">
        <v>599</v>
      </c>
      <c r="D251" s="370">
        <v>13</v>
      </c>
      <c r="E251" s="370">
        <v>0</v>
      </c>
      <c r="F251" s="370">
        <v>0</v>
      </c>
      <c r="G251" s="370">
        <v>0</v>
      </c>
      <c r="H251" s="370">
        <v>43.99</v>
      </c>
    </row>
    <row r="252" spans="1:8" x14ac:dyDescent="0.3">
      <c r="A252" s="595" t="s">
        <v>412</v>
      </c>
      <c r="B252" s="370" t="s">
        <v>585</v>
      </c>
      <c r="C252" s="370" t="s">
        <v>411</v>
      </c>
      <c r="D252" s="370">
        <v>5</v>
      </c>
      <c r="E252" s="370">
        <v>0</v>
      </c>
      <c r="F252" s="370">
        <v>0</v>
      </c>
      <c r="G252" s="370">
        <v>0</v>
      </c>
      <c r="H252" s="370">
        <v>3</v>
      </c>
    </row>
    <row r="253" spans="1:8" x14ac:dyDescent="0.3">
      <c r="A253" s="595" t="s">
        <v>412</v>
      </c>
      <c r="B253" s="370" t="s">
        <v>586</v>
      </c>
      <c r="C253" s="370" t="s">
        <v>587</v>
      </c>
      <c r="D253" s="370">
        <v>0</v>
      </c>
      <c r="E253" s="370">
        <v>0</v>
      </c>
      <c r="F253" s="370">
        <v>0</v>
      </c>
      <c r="G253" s="370">
        <v>0</v>
      </c>
      <c r="H253" s="370">
        <v>23.77</v>
      </c>
    </row>
    <row r="254" spans="1:8" hidden="1" x14ac:dyDescent="0.3">
      <c r="A254" s="595" t="s">
        <v>213</v>
      </c>
      <c r="C254" s="370" t="s">
        <v>563</v>
      </c>
      <c r="H254" s="370">
        <v>63.54999999999999</v>
      </c>
    </row>
    <row r="255" spans="1:8" hidden="1" x14ac:dyDescent="0.3">
      <c r="A255" s="595" t="s">
        <v>318</v>
      </c>
      <c r="B255" s="370" t="s">
        <v>589</v>
      </c>
      <c r="C255" s="370" t="s">
        <v>582</v>
      </c>
      <c r="D255" s="370">
        <v>103</v>
      </c>
      <c r="E255" s="370">
        <v>0</v>
      </c>
      <c r="F255" s="370">
        <v>0</v>
      </c>
      <c r="G255" s="370">
        <v>0</v>
      </c>
      <c r="H255" s="370">
        <v>49.81</v>
      </c>
    </row>
    <row r="256" spans="1:8" hidden="1" x14ac:dyDescent="0.3">
      <c r="A256" s="595" t="s">
        <v>320</v>
      </c>
      <c r="B256" s="370" t="s">
        <v>570</v>
      </c>
      <c r="C256" s="370" t="s">
        <v>580</v>
      </c>
      <c r="D256" s="370">
        <v>50</v>
      </c>
      <c r="E256" s="370">
        <v>0</v>
      </c>
      <c r="F256" s="370">
        <v>0</v>
      </c>
      <c r="G256" s="370">
        <v>0</v>
      </c>
      <c r="H256" s="370">
        <v>18</v>
      </c>
    </row>
    <row r="257" spans="1:8" hidden="1" x14ac:dyDescent="0.3">
      <c r="A257" s="595" t="s">
        <v>320</v>
      </c>
      <c r="B257" s="370" t="s">
        <v>570</v>
      </c>
      <c r="C257" s="370" t="s">
        <v>534</v>
      </c>
      <c r="D257" s="370">
        <v>65</v>
      </c>
      <c r="E257" s="370">
        <v>0</v>
      </c>
      <c r="F257" s="370">
        <v>0</v>
      </c>
      <c r="G257" s="370">
        <v>0</v>
      </c>
      <c r="H257" s="370">
        <v>0</v>
      </c>
    </row>
    <row r="258" spans="1:8" hidden="1" x14ac:dyDescent="0.3">
      <c r="A258" s="595" t="s">
        <v>320</v>
      </c>
      <c r="B258" s="370" t="s">
        <v>583</v>
      </c>
      <c r="C258" s="370" t="s">
        <v>475</v>
      </c>
      <c r="D258" s="370">
        <v>7</v>
      </c>
      <c r="E258" s="370">
        <v>0</v>
      </c>
      <c r="F258" s="370">
        <v>0</v>
      </c>
      <c r="G258" s="370">
        <v>0</v>
      </c>
      <c r="H258" s="370">
        <v>98.99</v>
      </c>
    </row>
    <row r="259" spans="1:8" hidden="1" x14ac:dyDescent="0.3">
      <c r="A259" s="595" t="s">
        <v>320</v>
      </c>
      <c r="B259" s="370" t="s">
        <v>585</v>
      </c>
      <c r="C259" s="370" t="s">
        <v>411</v>
      </c>
      <c r="D259" s="370">
        <v>5</v>
      </c>
      <c r="E259" s="370">
        <v>0</v>
      </c>
      <c r="F259" s="370">
        <v>0</v>
      </c>
      <c r="G259" s="370">
        <v>0</v>
      </c>
      <c r="H259" s="370">
        <v>4</v>
      </c>
    </row>
    <row r="260" spans="1:8" hidden="1" x14ac:dyDescent="0.3">
      <c r="A260" s="595" t="s">
        <v>320</v>
      </c>
      <c r="B260" s="370" t="s">
        <v>586</v>
      </c>
      <c r="C260" s="370" t="s">
        <v>587</v>
      </c>
      <c r="D260" s="370">
        <v>0</v>
      </c>
      <c r="E260" s="370">
        <v>0</v>
      </c>
      <c r="F260" s="370">
        <v>0</v>
      </c>
      <c r="G260" s="370">
        <v>0</v>
      </c>
      <c r="H260" s="370">
        <v>21.31</v>
      </c>
    </row>
    <row r="261" spans="1:8" hidden="1" x14ac:dyDescent="0.3">
      <c r="A261" s="595" t="s">
        <v>325</v>
      </c>
      <c r="B261" s="370" t="s">
        <v>576</v>
      </c>
      <c r="C261" s="370" t="s">
        <v>563</v>
      </c>
      <c r="D261" s="370">
        <v>0</v>
      </c>
      <c r="E261" s="370">
        <v>0</v>
      </c>
      <c r="F261" s="370">
        <v>0</v>
      </c>
      <c r="G261" s="370">
        <v>0</v>
      </c>
      <c r="H261" s="370">
        <v>62.059999999999995</v>
      </c>
    </row>
    <row r="262" spans="1:8" hidden="1" x14ac:dyDescent="0.3">
      <c r="A262" s="595" t="s">
        <v>326</v>
      </c>
      <c r="B262" s="370" t="s">
        <v>591</v>
      </c>
      <c r="C262" s="370" t="s">
        <v>578</v>
      </c>
      <c r="D262" s="370">
        <v>3166.08</v>
      </c>
      <c r="E262" s="370">
        <v>2289.77</v>
      </c>
      <c r="F262" s="370">
        <v>53</v>
      </c>
      <c r="G262" s="370">
        <v>0</v>
      </c>
      <c r="H262" s="370">
        <v>104.05000000000004</v>
      </c>
    </row>
    <row r="263" spans="1:8" hidden="1" x14ac:dyDescent="0.3">
      <c r="A263" s="595" t="s">
        <v>326</v>
      </c>
      <c r="B263" s="370" t="s">
        <v>598</v>
      </c>
      <c r="C263" s="370" t="s">
        <v>601</v>
      </c>
      <c r="D263" s="370">
        <v>29</v>
      </c>
      <c r="E263" s="370">
        <v>0</v>
      </c>
      <c r="F263" s="370">
        <v>0</v>
      </c>
      <c r="G263" s="370">
        <v>0</v>
      </c>
      <c r="H263" s="370">
        <v>3.5</v>
      </c>
    </row>
    <row r="264" spans="1:8" hidden="1" x14ac:dyDescent="0.3">
      <c r="A264" s="595" t="s">
        <v>326</v>
      </c>
      <c r="B264" s="370" t="s">
        <v>586</v>
      </c>
      <c r="C264" s="370" t="s">
        <v>587</v>
      </c>
      <c r="D264" s="370">
        <v>0</v>
      </c>
      <c r="E264" s="370">
        <v>0</v>
      </c>
      <c r="F264" s="370">
        <v>0</v>
      </c>
      <c r="G264" s="370">
        <v>0</v>
      </c>
      <c r="H264" s="370">
        <v>26</v>
      </c>
    </row>
    <row r="265" spans="1:8" hidden="1" x14ac:dyDescent="0.3">
      <c r="A265" s="595" t="s">
        <v>328</v>
      </c>
      <c r="B265" s="370" t="s">
        <v>576</v>
      </c>
      <c r="C265" s="370" t="s">
        <v>561</v>
      </c>
      <c r="D265" s="370">
        <v>5</v>
      </c>
      <c r="E265" s="370">
        <v>0</v>
      </c>
      <c r="F265" s="370">
        <v>0</v>
      </c>
      <c r="G265" s="370">
        <v>0</v>
      </c>
      <c r="H265" s="370">
        <v>192.75</v>
      </c>
    </row>
    <row r="266" spans="1:8" hidden="1" x14ac:dyDescent="0.3">
      <c r="A266" s="595" t="s">
        <v>328</v>
      </c>
      <c r="B266" s="370" t="s">
        <v>576</v>
      </c>
      <c r="C266" s="370" t="s">
        <v>563</v>
      </c>
      <c r="D266" s="370">
        <v>0</v>
      </c>
      <c r="E266" s="370">
        <v>0</v>
      </c>
      <c r="F266" s="370">
        <v>0</v>
      </c>
      <c r="G266" s="370">
        <v>0</v>
      </c>
      <c r="H266" s="370">
        <v>61.399999999999991</v>
      </c>
    </row>
    <row r="267" spans="1:8" hidden="1" x14ac:dyDescent="0.3">
      <c r="A267" s="595" t="s">
        <v>328</v>
      </c>
      <c r="B267" s="370" t="s">
        <v>591</v>
      </c>
      <c r="C267" s="370" t="s">
        <v>578</v>
      </c>
      <c r="D267" s="370">
        <v>3118.08</v>
      </c>
      <c r="E267" s="370">
        <v>2293.9199999999896</v>
      </c>
      <c r="F267" s="370">
        <v>53</v>
      </c>
      <c r="G267" s="370">
        <v>0</v>
      </c>
      <c r="H267" s="370">
        <v>97.760000000000034</v>
      </c>
    </row>
    <row r="268" spans="1:8" x14ac:dyDescent="0.3">
      <c r="A268" s="595" t="s">
        <v>412</v>
      </c>
      <c r="B268" s="370" t="s">
        <v>576</v>
      </c>
      <c r="C268" s="370" t="s">
        <v>561</v>
      </c>
      <c r="D268" s="370">
        <v>11</v>
      </c>
      <c r="E268" s="370">
        <v>0</v>
      </c>
      <c r="F268" s="370">
        <v>0</v>
      </c>
      <c r="G268" s="370">
        <v>0</v>
      </c>
      <c r="H268" s="370">
        <v>193.83999999999997</v>
      </c>
    </row>
    <row r="269" spans="1:8" x14ac:dyDescent="0.3">
      <c r="A269" s="595" t="s">
        <v>412</v>
      </c>
      <c r="B269" s="370" t="s">
        <v>1285</v>
      </c>
      <c r="C269" s="370" t="s">
        <v>1287</v>
      </c>
      <c r="D269" s="370">
        <v>8</v>
      </c>
      <c r="E269" s="370">
        <v>0</v>
      </c>
      <c r="F269" s="370">
        <v>0</v>
      </c>
      <c r="G269" s="370">
        <v>0</v>
      </c>
      <c r="H269" s="370">
        <v>16</v>
      </c>
    </row>
    <row r="270" spans="1:8" hidden="1" x14ac:dyDescent="0.3">
      <c r="A270" s="595" t="s">
        <v>213</v>
      </c>
      <c r="C270" s="370" t="s">
        <v>571</v>
      </c>
      <c r="D270" s="370">
        <v>5</v>
      </c>
    </row>
    <row r="271" spans="1:8" hidden="1" x14ac:dyDescent="0.3">
      <c r="A271" s="595" t="s">
        <v>318</v>
      </c>
      <c r="B271" s="370" t="s">
        <v>570</v>
      </c>
      <c r="C271" s="370" t="s">
        <v>534</v>
      </c>
      <c r="D271" s="370">
        <v>58</v>
      </c>
      <c r="E271" s="370">
        <v>0</v>
      </c>
      <c r="F271" s="370">
        <v>0</v>
      </c>
      <c r="G271" s="370">
        <v>0</v>
      </c>
      <c r="H271" s="370">
        <v>0</v>
      </c>
    </row>
    <row r="272" spans="1:8" hidden="1" x14ac:dyDescent="0.3">
      <c r="A272" s="595" t="s">
        <v>318</v>
      </c>
      <c r="B272" s="370" t="s">
        <v>583</v>
      </c>
      <c r="C272" s="370" t="s">
        <v>584</v>
      </c>
      <c r="D272" s="370">
        <v>0</v>
      </c>
      <c r="E272" s="370">
        <v>0</v>
      </c>
      <c r="F272" s="370">
        <v>0</v>
      </c>
      <c r="G272" s="370">
        <v>0</v>
      </c>
      <c r="H272" s="370">
        <v>1</v>
      </c>
    </row>
    <row r="273" spans="1:8" hidden="1" x14ac:dyDescent="0.3">
      <c r="A273" s="595" t="s">
        <v>320</v>
      </c>
      <c r="B273" s="370" t="s">
        <v>576</v>
      </c>
      <c r="C273" s="370" t="s">
        <v>563</v>
      </c>
      <c r="D273" s="370">
        <v>0</v>
      </c>
      <c r="E273" s="370">
        <v>0</v>
      </c>
      <c r="F273" s="370">
        <v>0</v>
      </c>
      <c r="G273" s="370">
        <v>0</v>
      </c>
      <c r="H273" s="370">
        <v>65.460000000000008</v>
      </c>
    </row>
    <row r="274" spans="1:8" hidden="1" x14ac:dyDescent="0.3">
      <c r="A274" s="595" t="s">
        <v>320</v>
      </c>
      <c r="B274" s="370" t="s">
        <v>570</v>
      </c>
      <c r="C274" s="370" t="s">
        <v>579</v>
      </c>
      <c r="D274" s="370">
        <v>45</v>
      </c>
      <c r="E274" s="370">
        <v>0</v>
      </c>
      <c r="F274" s="370">
        <v>0</v>
      </c>
      <c r="G274" s="370">
        <v>164.46</v>
      </c>
      <c r="H274" s="370">
        <v>72.8</v>
      </c>
    </row>
    <row r="275" spans="1:8" hidden="1" x14ac:dyDescent="0.3">
      <c r="A275" s="595" t="s">
        <v>320</v>
      </c>
      <c r="B275" s="370" t="s">
        <v>583</v>
      </c>
      <c r="C275" s="370" t="s">
        <v>584</v>
      </c>
      <c r="D275" s="370">
        <v>0</v>
      </c>
      <c r="E275" s="370">
        <v>0</v>
      </c>
      <c r="F275" s="370">
        <v>0</v>
      </c>
      <c r="G275" s="370">
        <v>0</v>
      </c>
      <c r="H275" s="370">
        <v>1</v>
      </c>
    </row>
    <row r="276" spans="1:8" ht="15" hidden="1" thickBot="1" x14ac:dyDescent="0.35">
      <c r="A276" s="1011" t="s">
        <v>320</v>
      </c>
      <c r="B276" s="857" t="s">
        <v>586</v>
      </c>
      <c r="C276" s="857" t="s">
        <v>588</v>
      </c>
      <c r="D276" s="857">
        <v>3</v>
      </c>
      <c r="E276" s="857">
        <v>0</v>
      </c>
      <c r="F276" s="857">
        <v>0</v>
      </c>
      <c r="G276" s="857">
        <v>0</v>
      </c>
      <c r="H276" s="857">
        <v>97.77</v>
      </c>
    </row>
    <row r="277" spans="1:8" ht="15" hidden="1" thickBot="1" x14ac:dyDescent="0.35">
      <c r="A277" s="1011" t="s">
        <v>320</v>
      </c>
      <c r="B277" s="857" t="s">
        <v>589</v>
      </c>
      <c r="C277" s="857" t="s">
        <v>582</v>
      </c>
      <c r="D277" s="857">
        <v>109</v>
      </c>
      <c r="E277" s="857">
        <v>0</v>
      </c>
      <c r="F277" s="857">
        <v>0</v>
      </c>
      <c r="G277" s="857">
        <v>0</v>
      </c>
      <c r="H277" s="857">
        <v>48.400000000000006</v>
      </c>
    </row>
    <row r="278" spans="1:8" hidden="1" x14ac:dyDescent="0.3">
      <c r="A278" s="595" t="s">
        <v>325</v>
      </c>
      <c r="B278" s="370" t="s">
        <v>577</v>
      </c>
      <c r="C278" s="370" t="s">
        <v>575</v>
      </c>
      <c r="D278" s="370">
        <v>2</v>
      </c>
      <c r="E278" s="370">
        <v>0</v>
      </c>
      <c r="F278" s="370">
        <v>0</v>
      </c>
      <c r="G278" s="370">
        <v>0</v>
      </c>
      <c r="H278" s="370">
        <v>108.68999999999998</v>
      </c>
    </row>
    <row r="279" spans="1:8" hidden="1" x14ac:dyDescent="0.3">
      <c r="A279" s="595" t="s">
        <v>326</v>
      </c>
      <c r="B279" s="370" t="s">
        <v>576</v>
      </c>
      <c r="C279" s="370" t="s">
        <v>563</v>
      </c>
      <c r="D279" s="370">
        <v>0</v>
      </c>
      <c r="E279" s="370">
        <v>0</v>
      </c>
      <c r="F279" s="370">
        <v>0</v>
      </c>
      <c r="G279" s="370">
        <v>0</v>
      </c>
      <c r="H279" s="370">
        <v>58.870000000000005</v>
      </c>
    </row>
    <row r="280" spans="1:8" ht="15" hidden="1" thickBot="1" x14ac:dyDescent="0.35">
      <c r="A280" s="1011" t="s">
        <v>326</v>
      </c>
      <c r="B280" s="857" t="s">
        <v>592</v>
      </c>
      <c r="C280" s="857" t="s">
        <v>593</v>
      </c>
      <c r="D280" s="857">
        <v>0</v>
      </c>
      <c r="E280" s="857">
        <v>0</v>
      </c>
      <c r="F280" s="857">
        <v>0</v>
      </c>
      <c r="G280" s="857">
        <v>0</v>
      </c>
      <c r="H280" s="857">
        <v>12.43</v>
      </c>
    </row>
    <row r="281" spans="1:8" hidden="1" x14ac:dyDescent="0.3">
      <c r="A281" s="595" t="s">
        <v>326</v>
      </c>
      <c r="B281" s="370" t="s">
        <v>595</v>
      </c>
      <c r="C281" s="370" t="s">
        <v>597</v>
      </c>
      <c r="D281" s="370">
        <v>3</v>
      </c>
      <c r="E281" s="370">
        <v>0</v>
      </c>
      <c r="F281" s="370">
        <v>0</v>
      </c>
      <c r="G281" s="370">
        <v>4</v>
      </c>
      <c r="H281" s="370">
        <v>13.260000000000002</v>
      </c>
    </row>
    <row r="282" spans="1:8" ht="15" hidden="1" thickBot="1" x14ac:dyDescent="0.35">
      <c r="A282" s="1011" t="s">
        <v>326</v>
      </c>
      <c r="B282" s="857" t="s">
        <v>598</v>
      </c>
      <c r="C282" s="857" t="s">
        <v>599</v>
      </c>
      <c r="D282" s="857">
        <v>10</v>
      </c>
      <c r="E282" s="857">
        <v>0</v>
      </c>
      <c r="F282" s="857">
        <v>0</v>
      </c>
      <c r="G282" s="857">
        <v>0</v>
      </c>
      <c r="H282" s="857">
        <v>44.22</v>
      </c>
    </row>
    <row r="283" spans="1:8" x14ac:dyDescent="0.3">
      <c r="A283" s="595" t="s">
        <v>412</v>
      </c>
      <c r="B283" s="370" t="s">
        <v>591</v>
      </c>
      <c r="C283" s="370" t="s">
        <v>579</v>
      </c>
      <c r="D283" s="370">
        <v>32</v>
      </c>
      <c r="E283" s="370">
        <v>0</v>
      </c>
      <c r="F283" s="370">
        <v>0</v>
      </c>
      <c r="G283" s="370">
        <v>167.7</v>
      </c>
      <c r="H283" s="370">
        <v>47.699999999999996</v>
      </c>
    </row>
    <row r="284" spans="1:8" ht="15" thickBot="1" x14ac:dyDescent="0.35">
      <c r="A284" s="1011" t="s">
        <v>412</v>
      </c>
      <c r="B284" s="857" t="s">
        <v>595</v>
      </c>
      <c r="C284" s="857" t="s">
        <v>596</v>
      </c>
      <c r="D284" s="857">
        <v>0</v>
      </c>
      <c r="E284" s="857">
        <v>0</v>
      </c>
      <c r="F284" s="857">
        <v>0</v>
      </c>
      <c r="G284" s="857">
        <v>0</v>
      </c>
      <c r="H284" s="857">
        <v>3</v>
      </c>
    </row>
    <row r="285" spans="1:8" x14ac:dyDescent="0.3">
      <c r="A285" s="595" t="s">
        <v>412</v>
      </c>
      <c r="B285" s="370" t="s">
        <v>1285</v>
      </c>
      <c r="C285" s="370" t="s">
        <v>601</v>
      </c>
      <c r="D285" s="370">
        <v>31</v>
      </c>
      <c r="E285" s="370">
        <v>0</v>
      </c>
      <c r="F285" s="370">
        <v>0</v>
      </c>
      <c r="G285" s="370">
        <v>0</v>
      </c>
      <c r="H285" s="370">
        <v>4</v>
      </c>
    </row>
    <row r="286" spans="1:8" hidden="1" x14ac:dyDescent="0.3">
      <c r="A286" s="595" t="s">
        <v>213</v>
      </c>
      <c r="C286" s="370" t="s">
        <v>565</v>
      </c>
      <c r="D286" s="370">
        <v>2</v>
      </c>
      <c r="H286" s="370">
        <v>52.919999999999995</v>
      </c>
    </row>
    <row r="287" spans="1:8" ht="15" hidden="1" thickBot="1" x14ac:dyDescent="0.35">
      <c r="A287" s="1011" t="s">
        <v>312</v>
      </c>
      <c r="B287" s="857"/>
      <c r="C287" s="857" t="s">
        <v>561</v>
      </c>
      <c r="D287" s="857">
        <v>5</v>
      </c>
      <c r="E287" s="857"/>
      <c r="F287" s="857"/>
      <c r="G287" s="857"/>
      <c r="H287" s="857">
        <v>182.2</v>
      </c>
    </row>
    <row r="288" spans="1:8" hidden="1" x14ac:dyDescent="0.3">
      <c r="A288" s="595" t="s">
        <v>312</v>
      </c>
      <c r="C288" s="370" t="s">
        <v>570</v>
      </c>
      <c r="D288" s="370">
        <v>3355.93</v>
      </c>
      <c r="E288" s="370">
        <v>2551.73</v>
      </c>
      <c r="F288" s="370">
        <v>36</v>
      </c>
      <c r="H288" s="370">
        <v>78.529999999999987</v>
      </c>
    </row>
    <row r="289" spans="1:8" hidden="1" x14ac:dyDescent="0.3">
      <c r="A289" s="595" t="s">
        <v>312</v>
      </c>
      <c r="C289" s="370" t="s">
        <v>572</v>
      </c>
      <c r="D289" s="370">
        <v>2</v>
      </c>
      <c r="H289" s="370">
        <v>58.52</v>
      </c>
    </row>
    <row r="290" spans="1:8" ht="15" hidden="1" thickBot="1" x14ac:dyDescent="0.35">
      <c r="A290" s="1011" t="s">
        <v>318</v>
      </c>
      <c r="B290" s="857" t="s">
        <v>576</v>
      </c>
      <c r="C290" s="857" t="s">
        <v>561</v>
      </c>
      <c r="D290" s="857">
        <v>6</v>
      </c>
      <c r="E290" s="857">
        <v>0</v>
      </c>
      <c r="F290" s="857">
        <v>0</v>
      </c>
      <c r="G290" s="857">
        <v>0</v>
      </c>
      <c r="H290" s="857">
        <v>182.48999999999998</v>
      </c>
    </row>
    <row r="291" spans="1:8" hidden="1" x14ac:dyDescent="0.3">
      <c r="A291" s="595" t="s">
        <v>318</v>
      </c>
      <c r="B291" s="370" t="s">
        <v>570</v>
      </c>
      <c r="C291" s="370" t="s">
        <v>579</v>
      </c>
      <c r="D291" s="370">
        <v>40</v>
      </c>
      <c r="E291" s="370">
        <v>0</v>
      </c>
      <c r="F291" s="370">
        <v>0</v>
      </c>
      <c r="G291" s="370">
        <v>168.06</v>
      </c>
      <c r="H291" s="370">
        <v>69.87</v>
      </c>
    </row>
    <row r="292" spans="1:8" hidden="1" x14ac:dyDescent="0.3">
      <c r="A292" s="595" t="s">
        <v>318</v>
      </c>
      <c r="B292" s="370" t="s">
        <v>570</v>
      </c>
      <c r="C292" s="370" t="s">
        <v>582</v>
      </c>
      <c r="D292" s="370">
        <v>1</v>
      </c>
      <c r="E292" s="370">
        <v>0</v>
      </c>
      <c r="F292" s="370">
        <v>0</v>
      </c>
      <c r="G292" s="370">
        <v>0</v>
      </c>
      <c r="H292" s="370">
        <v>0</v>
      </c>
    </row>
    <row r="293" spans="1:8" hidden="1" x14ac:dyDescent="0.3">
      <c r="A293" s="595" t="s">
        <v>318</v>
      </c>
      <c r="B293" s="370" t="s">
        <v>585</v>
      </c>
      <c r="C293" s="370" t="s">
        <v>411</v>
      </c>
      <c r="D293" s="370">
        <v>5</v>
      </c>
      <c r="E293" s="370">
        <v>0</v>
      </c>
      <c r="F293" s="370">
        <v>0</v>
      </c>
      <c r="G293" s="370">
        <v>0</v>
      </c>
      <c r="H293" s="370">
        <v>3</v>
      </c>
    </row>
    <row r="294" spans="1:8" hidden="1" x14ac:dyDescent="0.3">
      <c r="A294" s="595" t="s">
        <v>320</v>
      </c>
      <c r="B294" s="370" t="s">
        <v>570</v>
      </c>
      <c r="C294" s="370" t="s">
        <v>578</v>
      </c>
      <c r="D294" s="370">
        <v>3226.43</v>
      </c>
      <c r="E294" s="370">
        <v>2375.48</v>
      </c>
      <c r="F294" s="370">
        <v>53</v>
      </c>
      <c r="G294" s="370">
        <v>0</v>
      </c>
      <c r="H294" s="370">
        <v>105.92000000000004</v>
      </c>
    </row>
    <row r="295" spans="1:8" hidden="1" x14ac:dyDescent="0.3">
      <c r="A295" s="595" t="s">
        <v>320</v>
      </c>
      <c r="B295" s="370" t="s">
        <v>589</v>
      </c>
      <c r="C295" s="370" t="s">
        <v>590</v>
      </c>
      <c r="D295" s="370">
        <v>8</v>
      </c>
      <c r="E295" s="370">
        <v>0</v>
      </c>
      <c r="F295" s="370">
        <v>0</v>
      </c>
      <c r="G295" s="370">
        <v>0</v>
      </c>
      <c r="H295" s="370">
        <v>19.5</v>
      </c>
    </row>
    <row r="296" spans="1:8" hidden="1" x14ac:dyDescent="0.3">
      <c r="A296" s="595" t="s">
        <v>325</v>
      </c>
      <c r="B296" s="370" t="s">
        <v>576</v>
      </c>
      <c r="C296" s="370" t="s">
        <v>561</v>
      </c>
      <c r="D296" s="370">
        <v>5</v>
      </c>
      <c r="E296" s="370">
        <v>0</v>
      </c>
      <c r="F296" s="370">
        <v>0</v>
      </c>
      <c r="G296" s="370">
        <v>0</v>
      </c>
      <c r="H296" s="370">
        <v>182.81</v>
      </c>
    </row>
    <row r="297" spans="1:8" hidden="1" x14ac:dyDescent="0.3">
      <c r="A297" s="595" t="s">
        <v>325</v>
      </c>
      <c r="B297" s="370" t="s">
        <v>586</v>
      </c>
      <c r="C297" s="370" t="s">
        <v>587</v>
      </c>
      <c r="D297" s="370">
        <v>0</v>
      </c>
      <c r="E297" s="370">
        <v>0</v>
      </c>
      <c r="F297" s="370">
        <v>0</v>
      </c>
      <c r="G297" s="370">
        <v>0</v>
      </c>
      <c r="H297" s="370">
        <v>23.689999999999998</v>
      </c>
    </row>
    <row r="298" spans="1:8" hidden="1" x14ac:dyDescent="0.3">
      <c r="A298" s="595" t="s">
        <v>326</v>
      </c>
      <c r="B298" s="370" t="s">
        <v>576</v>
      </c>
      <c r="C298" s="370" t="s">
        <v>561</v>
      </c>
      <c r="D298" s="370">
        <v>5</v>
      </c>
      <c r="E298" s="370">
        <v>0</v>
      </c>
      <c r="F298" s="370">
        <v>0</v>
      </c>
      <c r="G298" s="370">
        <v>0</v>
      </c>
      <c r="H298" s="370">
        <v>183.94</v>
      </c>
    </row>
    <row r="299" spans="1:8" hidden="1" x14ac:dyDescent="0.3">
      <c r="A299" s="595" t="s">
        <v>326</v>
      </c>
      <c r="B299" s="370" t="s">
        <v>595</v>
      </c>
      <c r="C299" s="370" t="s">
        <v>411</v>
      </c>
      <c r="D299" s="370">
        <v>0</v>
      </c>
      <c r="E299" s="370">
        <v>0</v>
      </c>
      <c r="F299" s="370">
        <v>0</v>
      </c>
      <c r="G299" s="370">
        <v>0</v>
      </c>
      <c r="H299" s="370">
        <v>5.8</v>
      </c>
    </row>
    <row r="300" spans="1:8" hidden="1" x14ac:dyDescent="0.3">
      <c r="A300" s="595" t="s">
        <v>326</v>
      </c>
      <c r="B300" s="370" t="s">
        <v>598</v>
      </c>
      <c r="C300" s="370" t="s">
        <v>600</v>
      </c>
      <c r="D300" s="370">
        <v>8</v>
      </c>
      <c r="E300" s="370">
        <v>0</v>
      </c>
      <c r="F300" s="370">
        <v>0</v>
      </c>
      <c r="G300" s="370">
        <v>0</v>
      </c>
      <c r="H300" s="370">
        <v>15.8</v>
      </c>
    </row>
    <row r="301" spans="1:8" hidden="1" x14ac:dyDescent="0.3">
      <c r="A301" s="595" t="s">
        <v>326</v>
      </c>
      <c r="B301" s="370" t="s">
        <v>589</v>
      </c>
      <c r="C301" s="370" t="s">
        <v>582</v>
      </c>
      <c r="D301" s="370">
        <v>138</v>
      </c>
      <c r="E301" s="370">
        <v>0</v>
      </c>
      <c r="F301" s="370">
        <v>2</v>
      </c>
      <c r="G301" s="370">
        <v>0</v>
      </c>
      <c r="H301" s="370">
        <v>27.3</v>
      </c>
    </row>
    <row r="302" spans="1:8" hidden="1" x14ac:dyDescent="0.3">
      <c r="A302" s="595" t="s">
        <v>328</v>
      </c>
      <c r="B302" s="370" t="s">
        <v>576</v>
      </c>
      <c r="C302" s="370" t="s">
        <v>584</v>
      </c>
      <c r="D302" s="370">
        <v>0</v>
      </c>
      <c r="E302" s="370">
        <v>0</v>
      </c>
      <c r="F302" s="370">
        <v>0</v>
      </c>
      <c r="G302" s="370">
        <v>0</v>
      </c>
      <c r="H302" s="370">
        <v>76.34</v>
      </c>
    </row>
    <row r="303" spans="1:8" hidden="1" x14ac:dyDescent="0.3">
      <c r="A303" s="595" t="s">
        <v>328</v>
      </c>
      <c r="B303" s="370" t="s">
        <v>592</v>
      </c>
      <c r="C303" s="370" t="s">
        <v>594</v>
      </c>
      <c r="D303" s="370">
        <v>0</v>
      </c>
      <c r="E303" s="370">
        <v>0</v>
      </c>
      <c r="F303" s="370">
        <v>0</v>
      </c>
      <c r="G303" s="370">
        <v>0</v>
      </c>
      <c r="H303" s="370">
        <v>22.11</v>
      </c>
    </row>
    <row r="304" spans="1:8" hidden="1" x14ac:dyDescent="0.3">
      <c r="A304" s="595" t="s">
        <v>328</v>
      </c>
      <c r="B304" s="370" t="s">
        <v>595</v>
      </c>
      <c r="C304" s="370" t="s">
        <v>597</v>
      </c>
      <c r="D304" s="370">
        <v>5</v>
      </c>
      <c r="E304" s="370">
        <v>0</v>
      </c>
      <c r="F304" s="370">
        <v>0</v>
      </c>
      <c r="G304" s="370">
        <v>3</v>
      </c>
      <c r="H304" s="370">
        <v>26.66</v>
      </c>
    </row>
    <row r="305" spans="1:8" x14ac:dyDescent="0.3">
      <c r="A305" s="595" t="s">
        <v>412</v>
      </c>
      <c r="B305" s="370" t="s">
        <v>576</v>
      </c>
      <c r="C305" s="370" t="s">
        <v>563</v>
      </c>
      <c r="D305" s="370">
        <v>0</v>
      </c>
      <c r="E305" s="370">
        <v>0</v>
      </c>
      <c r="F305" s="370">
        <v>0</v>
      </c>
      <c r="G305" s="370">
        <v>0</v>
      </c>
      <c r="H305" s="370">
        <v>55.550000000000004</v>
      </c>
    </row>
    <row r="306" spans="1:8" x14ac:dyDescent="0.3">
      <c r="A306" s="595" t="s">
        <v>412</v>
      </c>
      <c r="B306" s="370" t="s">
        <v>591</v>
      </c>
      <c r="C306" s="370" t="s">
        <v>411</v>
      </c>
      <c r="D306" s="370">
        <v>1</v>
      </c>
      <c r="E306" s="370">
        <v>0</v>
      </c>
      <c r="F306" s="370">
        <v>0</v>
      </c>
      <c r="G306" s="370">
        <v>0</v>
      </c>
      <c r="H306" s="370">
        <v>0</v>
      </c>
    </row>
    <row r="307" spans="1:8" x14ac:dyDescent="0.3">
      <c r="A307" s="595" t="s">
        <v>412</v>
      </c>
      <c r="B307" s="370" t="s">
        <v>595</v>
      </c>
      <c r="C307" s="370" t="s">
        <v>597</v>
      </c>
      <c r="D307" s="370">
        <v>4</v>
      </c>
      <c r="E307" s="370">
        <v>0</v>
      </c>
      <c r="F307" s="370">
        <v>0</v>
      </c>
      <c r="G307" s="370">
        <v>4</v>
      </c>
      <c r="H307" s="370">
        <v>25.32</v>
      </c>
    </row>
    <row r="308" spans="1:8" x14ac:dyDescent="0.3">
      <c r="A308" s="595" t="s">
        <v>412</v>
      </c>
      <c r="B308" s="370" t="s">
        <v>1285</v>
      </c>
      <c r="C308" s="370" t="s">
        <v>411</v>
      </c>
      <c r="D308" s="370">
        <v>3</v>
      </c>
      <c r="E308" s="370">
        <v>0</v>
      </c>
      <c r="F308" s="370">
        <v>0</v>
      </c>
      <c r="G308" s="370">
        <v>0</v>
      </c>
      <c r="H308" s="370">
        <v>1</v>
      </c>
    </row>
    <row r="309" spans="1:8" x14ac:dyDescent="0.3">
      <c r="A309" s="595" t="s">
        <v>412</v>
      </c>
      <c r="B309" s="370" t="s">
        <v>586</v>
      </c>
      <c r="C309" s="370" t="s">
        <v>588</v>
      </c>
      <c r="D309" s="370">
        <v>2</v>
      </c>
      <c r="E309" s="370">
        <v>0</v>
      </c>
      <c r="F309" s="370">
        <v>0</v>
      </c>
      <c r="G309" s="370">
        <v>0</v>
      </c>
      <c r="H309" s="370">
        <v>89.47</v>
      </c>
    </row>
    <row r="312" spans="1:8" x14ac:dyDescent="0.3">
      <c r="A312" s="595" t="s">
        <v>329</v>
      </c>
    </row>
    <row r="313" spans="1:8" x14ac:dyDescent="0.3">
      <c r="A313" s="1043" t="s">
        <v>602</v>
      </c>
      <c r="B313" s="1043"/>
      <c r="C313" s="1043"/>
      <c r="D313" s="1043"/>
      <c r="E313" s="1043"/>
      <c r="F313" s="1043"/>
      <c r="G313" s="1043"/>
      <c r="H313" s="1043"/>
    </row>
    <row r="314" spans="1:8" x14ac:dyDescent="0.3">
      <c r="A314" s="1044" t="s">
        <v>524</v>
      </c>
      <c r="B314" s="1044"/>
      <c r="C314" s="1044"/>
      <c r="D314" s="1044"/>
      <c r="E314" s="1044"/>
      <c r="F314" s="1044"/>
      <c r="G314" s="1044"/>
      <c r="H314" s="1044"/>
    </row>
    <row r="315" spans="1:8" x14ac:dyDescent="0.3">
      <c r="A315" s="370" t="s">
        <v>525</v>
      </c>
      <c r="E315" s="791"/>
    </row>
    <row r="316" spans="1:8" x14ac:dyDescent="0.3">
      <c r="A316" s="791" t="s">
        <v>526</v>
      </c>
    </row>
  </sheetData>
  <sheetProtection algorithmName="SHA-512" hashValue="rO8JVfmAukR7g2Sw4ibhZarfO6vx8cXsp4IIcd/K9ch+DbjSWPYUX/di9JthLhKxw7dACsQDHSzXrIa19qdS/Q==" saltValue="N+g3p/KnasMs4K1E7AggVg==" spinCount="100000" sheet="1" formatCells="0" sort="0" autoFilter="0" pivotTables="0"/>
  <mergeCells count="5">
    <mergeCell ref="A313:H313"/>
    <mergeCell ref="A314:H314"/>
    <mergeCell ref="A1:B1"/>
    <mergeCell ref="A4:B4"/>
    <mergeCell ref="A148:H148"/>
  </mergeCells>
  <hyperlinks>
    <hyperlink ref="A2" location="'Table of Contents'!A1" display="Back to Table of Contents" xr:uid="{D8A2377C-7140-433B-9CFE-EE3E5CFBDECC}"/>
  </hyperlinks>
  <pageMargins left="0.7" right="0.7" top="0.75" bottom="0.75" header="0.3" footer="0.3"/>
  <pageSetup paperSize="9" orientation="portrait" r:id="rId1"/>
  <drawing r:id="rId2"/>
  <tableParts count="2">
    <tablePart r:id="rId3"/>
    <tablePart r:id="rId4"/>
  </tableParts>
  <extLst>
    <ext xmlns:x15="http://schemas.microsoft.com/office/spreadsheetml/2010/11/main" uri="{3A4CF648-6AED-40f4-86FF-DC5316D8AED3}">
      <x14:slicerList xmlns:x14="http://schemas.microsoft.com/office/spreadsheetml/2009/9/main">
        <x14:slicer r:id="rId5"/>
      </x14:slicerList>
    </ext>
  </extLst>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theme="9" tint="0.39997558519241921"/>
  </sheetPr>
  <dimension ref="A1:G8"/>
  <sheetViews>
    <sheetView workbookViewId="0">
      <selection activeCell="C5" sqref="C5"/>
    </sheetView>
  </sheetViews>
  <sheetFormatPr defaultRowHeight="14.4" x14ac:dyDescent="0.3"/>
  <cols>
    <col min="1" max="1" width="12.5546875" bestFit="1" customWidth="1"/>
    <col min="2" max="2" width="27.44140625" bestFit="1" customWidth="1"/>
    <col min="3" max="3" width="10.77734375" bestFit="1" customWidth="1"/>
    <col min="4" max="4" width="13.77734375" bestFit="1" customWidth="1"/>
    <col min="5" max="5" width="14.33203125" bestFit="1" customWidth="1"/>
    <col min="6" max="6" width="15.88671875" bestFit="1" customWidth="1"/>
    <col min="7" max="7" width="18.109375" bestFit="1" customWidth="1"/>
  </cols>
  <sheetData>
    <row r="1" spans="1:7" x14ac:dyDescent="0.3">
      <c r="A1" s="386" t="s">
        <v>208</v>
      </c>
      <c r="B1" t="s">
        <v>412</v>
      </c>
    </row>
    <row r="3" spans="1:7" x14ac:dyDescent="0.3">
      <c r="A3" s="386" t="s">
        <v>350</v>
      </c>
      <c r="B3" t="s">
        <v>604</v>
      </c>
      <c r="C3" t="s">
        <v>605</v>
      </c>
      <c r="D3" t="s">
        <v>508</v>
      </c>
      <c r="E3" t="s">
        <v>509</v>
      </c>
      <c r="F3" t="s">
        <v>355</v>
      </c>
      <c r="G3" t="s">
        <v>507</v>
      </c>
    </row>
    <row r="4" spans="1:7" x14ac:dyDescent="0.3">
      <c r="A4" s="387" t="s">
        <v>537</v>
      </c>
      <c r="B4">
        <v>2810</v>
      </c>
      <c r="C4">
        <v>2747</v>
      </c>
      <c r="D4">
        <v>0</v>
      </c>
      <c r="E4">
        <v>0</v>
      </c>
      <c r="F4">
        <v>252</v>
      </c>
      <c r="G4">
        <v>0</v>
      </c>
    </row>
    <row r="5" spans="1:7" x14ac:dyDescent="0.3">
      <c r="A5" s="387" t="s">
        <v>540</v>
      </c>
      <c r="B5">
        <v>365</v>
      </c>
      <c r="C5">
        <v>0</v>
      </c>
      <c r="D5">
        <v>0</v>
      </c>
      <c r="E5">
        <v>0</v>
      </c>
      <c r="F5">
        <v>0</v>
      </c>
      <c r="G5">
        <v>60</v>
      </c>
    </row>
    <row r="6" spans="1:7" x14ac:dyDescent="0.3">
      <c r="A6" s="387" t="s">
        <v>542</v>
      </c>
      <c r="B6">
        <v>161</v>
      </c>
      <c r="C6">
        <v>0</v>
      </c>
      <c r="D6">
        <v>0</v>
      </c>
      <c r="E6">
        <v>0</v>
      </c>
      <c r="F6">
        <v>0</v>
      </c>
      <c r="G6">
        <v>0</v>
      </c>
    </row>
    <row r="7" spans="1:7" x14ac:dyDescent="0.3">
      <c r="A7" s="387" t="s">
        <v>544</v>
      </c>
      <c r="B7">
        <v>95</v>
      </c>
      <c r="C7">
        <v>0</v>
      </c>
      <c r="D7">
        <v>177</v>
      </c>
      <c r="E7">
        <v>922</v>
      </c>
      <c r="F7">
        <v>0</v>
      </c>
      <c r="G7">
        <v>0</v>
      </c>
    </row>
    <row r="8" spans="1:7" x14ac:dyDescent="0.3">
      <c r="A8" s="387" t="s">
        <v>357</v>
      </c>
      <c r="B8">
        <v>3431</v>
      </c>
      <c r="C8">
        <v>2747</v>
      </c>
      <c r="D8">
        <v>177</v>
      </c>
      <c r="E8">
        <v>922</v>
      </c>
      <c r="F8">
        <v>252</v>
      </c>
      <c r="G8">
        <v>60</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tabColor theme="9" tint="0.39997558519241921"/>
  </sheetPr>
  <dimension ref="A1:H53"/>
  <sheetViews>
    <sheetView topLeftCell="A2" workbookViewId="0">
      <selection activeCell="C8" sqref="C8"/>
    </sheetView>
  </sheetViews>
  <sheetFormatPr defaultRowHeight="14.4" x14ac:dyDescent="0.3"/>
  <cols>
    <col min="1" max="1" width="7.44140625" bestFit="1" customWidth="1"/>
    <col min="2" max="2" width="15.5546875" bestFit="1" customWidth="1"/>
    <col min="3" max="3" width="23" bestFit="1" customWidth="1"/>
    <col min="4" max="4" width="6.5546875" bestFit="1" customWidth="1"/>
    <col min="5" max="5" width="13.5546875" bestFit="1" customWidth="1"/>
    <col min="6" max="6" width="9.5546875" bestFit="1" customWidth="1"/>
    <col min="7" max="7" width="9.77734375" bestFit="1" customWidth="1"/>
    <col min="8" max="8" width="11.88671875" bestFit="1" customWidth="1"/>
  </cols>
  <sheetData>
    <row r="1" spans="1:8" x14ac:dyDescent="0.3">
      <c r="A1" t="s">
        <v>208</v>
      </c>
      <c r="B1" t="s">
        <v>547</v>
      </c>
      <c r="C1" t="s">
        <v>517</v>
      </c>
      <c r="D1" t="s">
        <v>606</v>
      </c>
      <c r="E1" t="s">
        <v>512</v>
      </c>
      <c r="F1" t="s">
        <v>513</v>
      </c>
      <c r="G1" t="s">
        <v>514</v>
      </c>
      <c r="H1" t="s">
        <v>339</v>
      </c>
    </row>
    <row r="2" spans="1:8" x14ac:dyDescent="0.3">
      <c r="A2" t="s">
        <v>365</v>
      </c>
      <c r="B2" t="s">
        <v>540</v>
      </c>
      <c r="C2">
        <v>270</v>
      </c>
    </row>
    <row r="3" spans="1:8" x14ac:dyDescent="0.3">
      <c r="A3" t="s">
        <v>366</v>
      </c>
      <c r="B3" t="s">
        <v>537</v>
      </c>
      <c r="C3">
        <v>3025</v>
      </c>
      <c r="D3">
        <v>2870</v>
      </c>
      <c r="H3">
        <v>342</v>
      </c>
    </row>
    <row r="4" spans="1:8" x14ac:dyDescent="0.3">
      <c r="A4" t="s">
        <v>366</v>
      </c>
      <c r="B4" t="s">
        <v>542</v>
      </c>
      <c r="C4">
        <v>85</v>
      </c>
      <c r="G4">
        <v>531</v>
      </c>
    </row>
    <row r="5" spans="1:8" x14ac:dyDescent="0.3">
      <c r="A5" t="s">
        <v>341</v>
      </c>
      <c r="B5" t="s">
        <v>540</v>
      </c>
      <c r="C5">
        <v>389</v>
      </c>
    </row>
    <row r="6" spans="1:8" x14ac:dyDescent="0.3">
      <c r="A6" t="s">
        <v>341</v>
      </c>
      <c r="B6" t="s">
        <v>542</v>
      </c>
      <c r="C6">
        <v>151</v>
      </c>
      <c r="G6">
        <v>571</v>
      </c>
    </row>
    <row r="7" spans="1:8" x14ac:dyDescent="0.3">
      <c r="A7" t="s">
        <v>312</v>
      </c>
      <c r="B7" t="s">
        <v>544</v>
      </c>
      <c r="C7">
        <v>90</v>
      </c>
      <c r="D7">
        <v>0</v>
      </c>
      <c r="E7">
        <v>0</v>
      </c>
      <c r="F7">
        <v>188</v>
      </c>
      <c r="G7">
        <v>817</v>
      </c>
      <c r="H7">
        <v>0</v>
      </c>
    </row>
    <row r="8" spans="1:8" x14ac:dyDescent="0.3">
      <c r="A8" t="s">
        <v>320</v>
      </c>
      <c r="B8" t="s">
        <v>537</v>
      </c>
      <c r="C8">
        <v>2843</v>
      </c>
      <c r="D8">
        <v>2758</v>
      </c>
      <c r="E8">
        <v>0</v>
      </c>
      <c r="F8">
        <v>0</v>
      </c>
      <c r="G8">
        <v>0</v>
      </c>
      <c r="H8">
        <v>277</v>
      </c>
    </row>
    <row r="9" spans="1:8" x14ac:dyDescent="0.3">
      <c r="A9" t="s">
        <v>320</v>
      </c>
      <c r="B9" t="s">
        <v>542</v>
      </c>
      <c r="C9">
        <v>221</v>
      </c>
      <c r="D9">
        <v>0</v>
      </c>
      <c r="E9">
        <v>0</v>
      </c>
      <c r="F9">
        <v>0</v>
      </c>
      <c r="G9">
        <v>0</v>
      </c>
      <c r="H9">
        <v>0</v>
      </c>
    </row>
    <row r="10" spans="1:8" x14ac:dyDescent="0.3">
      <c r="A10" t="s">
        <v>412</v>
      </c>
      <c r="B10" t="s">
        <v>540</v>
      </c>
      <c r="C10">
        <v>365</v>
      </c>
      <c r="D10">
        <v>0</v>
      </c>
      <c r="E10">
        <v>60</v>
      </c>
      <c r="F10">
        <v>0</v>
      </c>
      <c r="G10">
        <v>0</v>
      </c>
      <c r="H10">
        <v>0</v>
      </c>
    </row>
    <row r="11" spans="1:8" x14ac:dyDescent="0.3">
      <c r="A11" t="s">
        <v>364</v>
      </c>
      <c r="B11" t="s">
        <v>542</v>
      </c>
      <c r="C11">
        <v>268</v>
      </c>
      <c r="G11">
        <v>724</v>
      </c>
    </row>
    <row r="12" spans="1:8" x14ac:dyDescent="0.3">
      <c r="A12" t="s">
        <v>365</v>
      </c>
      <c r="B12" t="s">
        <v>537</v>
      </c>
      <c r="C12">
        <v>3285</v>
      </c>
      <c r="D12">
        <v>2950</v>
      </c>
      <c r="H12">
        <v>378</v>
      </c>
    </row>
    <row r="13" spans="1:8" x14ac:dyDescent="0.3">
      <c r="A13" t="s">
        <v>213</v>
      </c>
      <c r="B13" t="s">
        <v>537</v>
      </c>
      <c r="C13">
        <v>2955</v>
      </c>
      <c r="D13">
        <v>2935</v>
      </c>
      <c r="E13">
        <v>0</v>
      </c>
      <c r="F13">
        <v>0</v>
      </c>
      <c r="G13">
        <v>0</v>
      </c>
      <c r="H13">
        <v>321</v>
      </c>
    </row>
    <row r="14" spans="1:8" x14ac:dyDescent="0.3">
      <c r="A14" t="s">
        <v>312</v>
      </c>
      <c r="B14" t="s">
        <v>537</v>
      </c>
      <c r="C14">
        <v>2966</v>
      </c>
      <c r="D14">
        <v>2937</v>
      </c>
      <c r="E14">
        <v>0</v>
      </c>
      <c r="F14">
        <v>0</v>
      </c>
      <c r="G14">
        <v>0</v>
      </c>
      <c r="H14">
        <v>315</v>
      </c>
    </row>
    <row r="15" spans="1:8" x14ac:dyDescent="0.3">
      <c r="A15" t="s">
        <v>312</v>
      </c>
      <c r="B15" t="s">
        <v>540</v>
      </c>
      <c r="C15">
        <v>383</v>
      </c>
      <c r="D15">
        <v>0</v>
      </c>
      <c r="E15">
        <v>36</v>
      </c>
      <c r="F15">
        <v>0</v>
      </c>
      <c r="G15">
        <v>0</v>
      </c>
      <c r="H15">
        <v>0</v>
      </c>
    </row>
    <row r="16" spans="1:8" x14ac:dyDescent="0.3">
      <c r="A16" t="s">
        <v>325</v>
      </c>
      <c r="B16" t="s">
        <v>540</v>
      </c>
      <c r="C16">
        <v>328</v>
      </c>
      <c r="D16">
        <v>0</v>
      </c>
      <c r="E16">
        <v>55</v>
      </c>
      <c r="F16">
        <v>0</v>
      </c>
      <c r="G16">
        <v>0</v>
      </c>
      <c r="H16">
        <v>0</v>
      </c>
    </row>
    <row r="17" spans="1:8" x14ac:dyDescent="0.3">
      <c r="A17" t="s">
        <v>326</v>
      </c>
      <c r="B17" t="s">
        <v>537</v>
      </c>
      <c r="C17">
        <v>2870</v>
      </c>
      <c r="D17">
        <v>2708</v>
      </c>
      <c r="E17">
        <v>0</v>
      </c>
      <c r="F17">
        <v>0</v>
      </c>
      <c r="G17">
        <v>0</v>
      </c>
      <c r="H17">
        <v>269</v>
      </c>
    </row>
    <row r="18" spans="1:8" x14ac:dyDescent="0.3">
      <c r="A18" t="s">
        <v>328</v>
      </c>
      <c r="B18" t="s">
        <v>540</v>
      </c>
      <c r="C18">
        <v>279</v>
      </c>
      <c r="D18">
        <v>0</v>
      </c>
      <c r="E18">
        <v>60</v>
      </c>
      <c r="F18">
        <v>0</v>
      </c>
      <c r="G18">
        <v>0</v>
      </c>
      <c r="H18">
        <v>0</v>
      </c>
    </row>
    <row r="19" spans="1:8" x14ac:dyDescent="0.3">
      <c r="A19" t="s">
        <v>318</v>
      </c>
      <c r="B19" t="s">
        <v>540</v>
      </c>
      <c r="C19">
        <v>376</v>
      </c>
      <c r="D19">
        <v>0</v>
      </c>
      <c r="E19">
        <v>54</v>
      </c>
      <c r="F19">
        <v>0</v>
      </c>
      <c r="G19">
        <v>0</v>
      </c>
      <c r="H19">
        <v>0</v>
      </c>
    </row>
    <row r="20" spans="1:8" x14ac:dyDescent="0.3">
      <c r="A20" t="s">
        <v>320</v>
      </c>
      <c r="B20" t="s">
        <v>540</v>
      </c>
      <c r="C20">
        <v>378</v>
      </c>
      <c r="D20">
        <v>0</v>
      </c>
      <c r="E20">
        <v>53</v>
      </c>
      <c r="F20">
        <v>0</v>
      </c>
      <c r="G20">
        <v>0</v>
      </c>
      <c r="H20">
        <v>0</v>
      </c>
    </row>
    <row r="21" spans="1:8" x14ac:dyDescent="0.3">
      <c r="A21" t="s">
        <v>325</v>
      </c>
      <c r="B21" t="s">
        <v>542</v>
      </c>
      <c r="C21">
        <v>256</v>
      </c>
      <c r="D21">
        <v>0</v>
      </c>
      <c r="E21">
        <v>0</v>
      </c>
      <c r="F21">
        <v>0</v>
      </c>
      <c r="G21">
        <v>0</v>
      </c>
      <c r="H21">
        <v>0</v>
      </c>
    </row>
    <row r="22" spans="1:8" x14ac:dyDescent="0.3">
      <c r="A22" t="s">
        <v>412</v>
      </c>
      <c r="B22" t="s">
        <v>537</v>
      </c>
      <c r="C22">
        <v>2810</v>
      </c>
      <c r="D22">
        <v>2747</v>
      </c>
      <c r="E22">
        <v>0</v>
      </c>
      <c r="F22">
        <v>0</v>
      </c>
      <c r="G22">
        <v>0</v>
      </c>
      <c r="H22">
        <v>252</v>
      </c>
    </row>
    <row r="23" spans="1:8" x14ac:dyDescent="0.3">
      <c r="A23" t="s">
        <v>365</v>
      </c>
      <c r="B23" t="s">
        <v>544</v>
      </c>
      <c r="C23">
        <v>50</v>
      </c>
      <c r="F23">
        <v>230</v>
      </c>
      <c r="G23">
        <v>238</v>
      </c>
    </row>
    <row r="24" spans="1:8" x14ac:dyDescent="0.3">
      <c r="A24" t="s">
        <v>341</v>
      </c>
      <c r="B24" t="s">
        <v>544</v>
      </c>
      <c r="C24">
        <v>182</v>
      </c>
      <c r="F24">
        <v>165</v>
      </c>
      <c r="G24">
        <v>267</v>
      </c>
    </row>
    <row r="25" spans="1:8" x14ac:dyDescent="0.3">
      <c r="A25" t="s">
        <v>342</v>
      </c>
      <c r="B25" t="s">
        <v>540</v>
      </c>
      <c r="C25">
        <v>379</v>
      </c>
    </row>
    <row r="26" spans="1:8" x14ac:dyDescent="0.3">
      <c r="A26" t="s">
        <v>326</v>
      </c>
      <c r="B26" t="s">
        <v>540</v>
      </c>
      <c r="C26">
        <v>327</v>
      </c>
      <c r="D26">
        <v>0</v>
      </c>
      <c r="E26">
        <v>55</v>
      </c>
      <c r="F26">
        <v>0</v>
      </c>
      <c r="G26">
        <v>0</v>
      </c>
      <c r="H26">
        <v>0</v>
      </c>
    </row>
    <row r="27" spans="1:8" x14ac:dyDescent="0.3">
      <c r="A27" t="s">
        <v>326</v>
      </c>
      <c r="B27" t="s">
        <v>544</v>
      </c>
      <c r="C27">
        <v>84</v>
      </c>
      <c r="D27">
        <v>0</v>
      </c>
      <c r="E27">
        <v>0</v>
      </c>
      <c r="F27">
        <v>171</v>
      </c>
      <c r="G27">
        <v>887</v>
      </c>
      <c r="H27">
        <v>0</v>
      </c>
    </row>
    <row r="28" spans="1:8" x14ac:dyDescent="0.3">
      <c r="A28" t="s">
        <v>328</v>
      </c>
      <c r="B28" t="s">
        <v>537</v>
      </c>
      <c r="C28">
        <v>2792</v>
      </c>
      <c r="D28">
        <v>2705</v>
      </c>
      <c r="E28">
        <v>0</v>
      </c>
      <c r="F28">
        <v>0</v>
      </c>
      <c r="G28">
        <v>0</v>
      </c>
      <c r="H28">
        <v>273</v>
      </c>
    </row>
    <row r="29" spans="1:8" x14ac:dyDescent="0.3">
      <c r="A29" t="s">
        <v>364</v>
      </c>
      <c r="B29" t="s">
        <v>540</v>
      </c>
      <c r="C29">
        <v>285</v>
      </c>
    </row>
    <row r="30" spans="1:8" x14ac:dyDescent="0.3">
      <c r="A30" t="s">
        <v>342</v>
      </c>
      <c r="B30" t="s">
        <v>537</v>
      </c>
      <c r="C30">
        <v>2868</v>
      </c>
      <c r="D30">
        <v>2863</v>
      </c>
      <c r="H30">
        <v>336</v>
      </c>
    </row>
    <row r="31" spans="1:8" x14ac:dyDescent="0.3">
      <c r="A31" t="s">
        <v>213</v>
      </c>
      <c r="B31" t="s">
        <v>544</v>
      </c>
      <c r="C31">
        <v>149</v>
      </c>
      <c r="D31">
        <v>0</v>
      </c>
      <c r="E31">
        <v>0</v>
      </c>
      <c r="F31">
        <v>207</v>
      </c>
      <c r="G31">
        <v>792</v>
      </c>
      <c r="H31">
        <v>0</v>
      </c>
    </row>
    <row r="32" spans="1:8" x14ac:dyDescent="0.3">
      <c r="A32" t="s">
        <v>318</v>
      </c>
      <c r="B32" t="s">
        <v>537</v>
      </c>
      <c r="C32">
        <v>2903</v>
      </c>
      <c r="D32">
        <v>2872</v>
      </c>
      <c r="E32">
        <v>0</v>
      </c>
      <c r="F32">
        <v>0</v>
      </c>
      <c r="G32">
        <v>0</v>
      </c>
      <c r="H32">
        <v>303</v>
      </c>
    </row>
    <row r="33" spans="1:8" x14ac:dyDescent="0.3">
      <c r="A33" t="s">
        <v>325</v>
      </c>
      <c r="B33" t="s">
        <v>544</v>
      </c>
      <c r="C33">
        <v>69</v>
      </c>
      <c r="D33">
        <v>0</v>
      </c>
      <c r="E33">
        <v>0</v>
      </c>
      <c r="F33">
        <v>172</v>
      </c>
      <c r="G33">
        <v>901</v>
      </c>
      <c r="H33">
        <v>0</v>
      </c>
    </row>
    <row r="34" spans="1:8" x14ac:dyDescent="0.3">
      <c r="A34" t="s">
        <v>328</v>
      </c>
      <c r="B34" t="s">
        <v>542</v>
      </c>
      <c r="C34">
        <v>269</v>
      </c>
      <c r="D34">
        <v>0</v>
      </c>
      <c r="E34">
        <v>0</v>
      </c>
      <c r="F34">
        <v>0</v>
      </c>
      <c r="G34">
        <v>0</v>
      </c>
      <c r="H34">
        <v>0</v>
      </c>
    </row>
    <row r="35" spans="1:8" x14ac:dyDescent="0.3">
      <c r="A35" t="s">
        <v>364</v>
      </c>
      <c r="B35" t="s">
        <v>537</v>
      </c>
      <c r="C35">
        <v>3392</v>
      </c>
      <c r="D35">
        <v>2940</v>
      </c>
      <c r="H35">
        <v>359</v>
      </c>
    </row>
    <row r="36" spans="1:8" x14ac:dyDescent="0.3">
      <c r="A36" t="s">
        <v>365</v>
      </c>
      <c r="B36" t="s">
        <v>542</v>
      </c>
      <c r="C36">
        <v>251</v>
      </c>
      <c r="G36">
        <v>629</v>
      </c>
    </row>
    <row r="37" spans="1:8" x14ac:dyDescent="0.3">
      <c r="A37" t="s">
        <v>312</v>
      </c>
      <c r="B37" t="s">
        <v>542</v>
      </c>
      <c r="C37">
        <v>197</v>
      </c>
      <c r="D37">
        <v>0</v>
      </c>
      <c r="E37">
        <v>0</v>
      </c>
      <c r="F37">
        <v>0</v>
      </c>
      <c r="G37">
        <v>0</v>
      </c>
      <c r="H37">
        <v>0</v>
      </c>
    </row>
    <row r="38" spans="1:8" x14ac:dyDescent="0.3">
      <c r="A38" t="s">
        <v>318</v>
      </c>
      <c r="B38" t="s">
        <v>542</v>
      </c>
      <c r="C38">
        <v>212</v>
      </c>
      <c r="D38">
        <v>0</v>
      </c>
      <c r="E38">
        <v>0</v>
      </c>
      <c r="F38">
        <v>0</v>
      </c>
      <c r="G38">
        <v>0</v>
      </c>
      <c r="H38">
        <v>0</v>
      </c>
    </row>
    <row r="39" spans="1:8" x14ac:dyDescent="0.3">
      <c r="A39" t="s">
        <v>318</v>
      </c>
      <c r="B39" t="s">
        <v>544</v>
      </c>
      <c r="C39">
        <v>90</v>
      </c>
      <c r="D39">
        <v>0</v>
      </c>
      <c r="E39">
        <v>0</v>
      </c>
      <c r="F39">
        <v>182</v>
      </c>
      <c r="G39">
        <v>835</v>
      </c>
      <c r="H39">
        <v>0</v>
      </c>
    </row>
    <row r="40" spans="1:8" x14ac:dyDescent="0.3">
      <c r="A40" t="s">
        <v>325</v>
      </c>
      <c r="B40" t="s">
        <v>537</v>
      </c>
      <c r="C40">
        <v>2837</v>
      </c>
      <c r="D40">
        <v>2735</v>
      </c>
      <c r="E40">
        <v>0</v>
      </c>
      <c r="F40">
        <v>0</v>
      </c>
      <c r="G40">
        <v>0</v>
      </c>
      <c r="H40">
        <v>266</v>
      </c>
    </row>
    <row r="41" spans="1:8" x14ac:dyDescent="0.3">
      <c r="A41" t="s">
        <v>326</v>
      </c>
      <c r="B41" t="s">
        <v>542</v>
      </c>
      <c r="C41">
        <v>141</v>
      </c>
      <c r="D41">
        <v>0</v>
      </c>
      <c r="E41">
        <v>0</v>
      </c>
      <c r="F41">
        <v>0</v>
      </c>
      <c r="G41">
        <v>0</v>
      </c>
      <c r="H41">
        <v>0</v>
      </c>
    </row>
    <row r="42" spans="1:8" x14ac:dyDescent="0.3">
      <c r="A42" t="s">
        <v>328</v>
      </c>
      <c r="B42" t="s">
        <v>544</v>
      </c>
      <c r="C42">
        <v>90</v>
      </c>
      <c r="D42">
        <v>0</v>
      </c>
      <c r="E42">
        <v>0</v>
      </c>
      <c r="F42">
        <v>171</v>
      </c>
      <c r="G42">
        <v>917</v>
      </c>
      <c r="H42">
        <v>0</v>
      </c>
    </row>
    <row r="43" spans="1:8" x14ac:dyDescent="0.3">
      <c r="A43" t="s">
        <v>364</v>
      </c>
      <c r="B43" t="s">
        <v>544</v>
      </c>
      <c r="C43">
        <v>56</v>
      </c>
      <c r="F43">
        <v>223</v>
      </c>
      <c r="G43">
        <v>237</v>
      </c>
    </row>
    <row r="44" spans="1:8" x14ac:dyDescent="0.3">
      <c r="A44" t="s">
        <v>213</v>
      </c>
      <c r="B44" t="s">
        <v>540</v>
      </c>
      <c r="C44">
        <v>387</v>
      </c>
      <c r="D44">
        <v>0</v>
      </c>
      <c r="E44">
        <v>18</v>
      </c>
      <c r="F44">
        <v>0</v>
      </c>
      <c r="G44">
        <v>0</v>
      </c>
      <c r="H44">
        <v>0</v>
      </c>
    </row>
    <row r="45" spans="1:8" x14ac:dyDescent="0.3">
      <c r="A45" t="s">
        <v>213</v>
      </c>
      <c r="B45" t="s">
        <v>542</v>
      </c>
      <c r="C45">
        <v>146</v>
      </c>
      <c r="D45">
        <v>0</v>
      </c>
      <c r="E45">
        <v>0</v>
      </c>
      <c r="F45">
        <v>0</v>
      </c>
      <c r="G45">
        <v>0</v>
      </c>
      <c r="H45">
        <v>0</v>
      </c>
    </row>
    <row r="46" spans="1:8" x14ac:dyDescent="0.3">
      <c r="A46" t="s">
        <v>320</v>
      </c>
      <c r="B46" t="s">
        <v>544</v>
      </c>
      <c r="C46">
        <v>88</v>
      </c>
      <c r="D46">
        <v>0</v>
      </c>
      <c r="E46">
        <v>0</v>
      </c>
      <c r="F46">
        <v>174</v>
      </c>
      <c r="G46">
        <v>920</v>
      </c>
      <c r="H46">
        <v>0</v>
      </c>
    </row>
    <row r="47" spans="1:8" x14ac:dyDescent="0.3">
      <c r="A47" t="s">
        <v>366</v>
      </c>
      <c r="B47" t="s">
        <v>540</v>
      </c>
      <c r="C47">
        <v>385</v>
      </c>
    </row>
    <row r="48" spans="1:8" x14ac:dyDescent="0.3">
      <c r="A48" t="s">
        <v>366</v>
      </c>
      <c r="B48" t="s">
        <v>544</v>
      </c>
      <c r="C48">
        <v>195</v>
      </c>
      <c r="F48">
        <v>203</v>
      </c>
      <c r="G48">
        <v>297</v>
      </c>
    </row>
    <row r="49" spans="1:8" x14ac:dyDescent="0.3">
      <c r="A49" t="s">
        <v>341</v>
      </c>
      <c r="B49" t="s">
        <v>537</v>
      </c>
      <c r="C49">
        <v>2923</v>
      </c>
      <c r="D49">
        <v>2870</v>
      </c>
      <c r="H49">
        <v>320</v>
      </c>
    </row>
    <row r="50" spans="1:8" x14ac:dyDescent="0.3">
      <c r="A50" t="s">
        <v>342</v>
      </c>
      <c r="B50" t="s">
        <v>542</v>
      </c>
      <c r="C50">
        <v>156</v>
      </c>
      <c r="G50">
        <v>569</v>
      </c>
    </row>
    <row r="51" spans="1:8" x14ac:dyDescent="0.3">
      <c r="A51" t="s">
        <v>342</v>
      </c>
      <c r="B51" t="s">
        <v>544</v>
      </c>
      <c r="C51">
        <v>143</v>
      </c>
      <c r="F51">
        <v>189</v>
      </c>
      <c r="G51">
        <v>277</v>
      </c>
    </row>
    <row r="52" spans="1:8" x14ac:dyDescent="0.3">
      <c r="A52" t="s">
        <v>412</v>
      </c>
      <c r="B52" t="s">
        <v>542</v>
      </c>
      <c r="C52">
        <v>161</v>
      </c>
      <c r="D52">
        <v>0</v>
      </c>
      <c r="E52">
        <v>0</v>
      </c>
      <c r="F52">
        <v>0</v>
      </c>
      <c r="G52">
        <v>0</v>
      </c>
      <c r="H52">
        <v>0</v>
      </c>
    </row>
    <row r="53" spans="1:8" x14ac:dyDescent="0.3">
      <c r="A53" t="s">
        <v>412</v>
      </c>
      <c r="B53" t="s">
        <v>544</v>
      </c>
      <c r="C53">
        <v>95</v>
      </c>
      <c r="D53">
        <v>0</v>
      </c>
      <c r="E53">
        <v>0</v>
      </c>
      <c r="F53">
        <v>177</v>
      </c>
      <c r="G53">
        <v>922</v>
      </c>
      <c r="H53">
        <v>0</v>
      </c>
    </row>
  </sheetData>
  <pageMargins left="0.7" right="0.7" top="0.75" bottom="0.75" header="0.3" footer="0.3"/>
  <tableParts count="1">
    <tablePart r:id="rId1"/>
  </tableParts>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Sheet5">
    <tabColor theme="9" tint="0.39997558519241921"/>
    <pageSetUpPr fitToPage="1"/>
  </sheetPr>
  <dimension ref="A1:K40"/>
  <sheetViews>
    <sheetView showGridLines="0" workbookViewId="0">
      <pane ySplit="2" topLeftCell="A3" activePane="bottomLeft" state="frozen"/>
      <selection pane="bottomLeft" sqref="A1:I1"/>
    </sheetView>
  </sheetViews>
  <sheetFormatPr defaultRowHeight="14.4" x14ac:dyDescent="0.3"/>
  <cols>
    <col min="1" max="1" width="27.44140625" customWidth="1"/>
    <col min="2" max="2" width="12.44140625" bestFit="1" customWidth="1"/>
    <col min="3" max="4" width="9.33203125" customWidth="1"/>
    <col min="5" max="6" width="9" bestFit="1" customWidth="1"/>
    <col min="7" max="7" width="10.5546875" customWidth="1"/>
    <col min="8" max="8" width="11.109375" customWidth="1"/>
    <col min="9" max="9" width="10.6640625" customWidth="1"/>
    <col min="10" max="10" width="9.33203125" customWidth="1"/>
    <col min="11" max="11" width="11.44140625" customWidth="1"/>
    <col min="12" max="12" width="12.44140625" customWidth="1"/>
  </cols>
  <sheetData>
    <row r="1" spans="1:11" ht="15.6" x14ac:dyDescent="0.3">
      <c r="A1" s="1030" t="s">
        <v>515</v>
      </c>
      <c r="B1" s="1030"/>
      <c r="C1" s="1030"/>
      <c r="D1" s="1030"/>
      <c r="E1" s="1030"/>
      <c r="F1" s="1030"/>
      <c r="G1" s="1030"/>
      <c r="H1" s="1030"/>
      <c r="I1" s="1030"/>
    </row>
    <row r="2" spans="1:11" ht="17.399999999999999" x14ac:dyDescent="0.3">
      <c r="A2" s="498" t="s">
        <v>202</v>
      </c>
      <c r="B2" s="1"/>
      <c r="C2" s="1"/>
      <c r="D2" s="1"/>
      <c r="E2" s="1"/>
      <c r="F2" s="1"/>
      <c r="G2" s="1"/>
      <c r="H2" s="1"/>
      <c r="I2" s="1"/>
    </row>
    <row r="3" spans="1:11" ht="17.399999999999999" x14ac:dyDescent="0.3">
      <c r="A3" s="1"/>
      <c r="B3" s="1"/>
      <c r="C3" s="1"/>
      <c r="D3" s="1"/>
      <c r="E3" s="1"/>
      <c r="F3" s="1"/>
      <c r="G3" s="1"/>
      <c r="H3" s="1"/>
      <c r="I3" s="1"/>
      <c r="J3" s="25"/>
      <c r="K3" s="25"/>
    </row>
    <row r="4" spans="1:11" ht="37.5" customHeight="1" x14ac:dyDescent="0.3">
      <c r="A4" s="438" t="s">
        <v>1300</v>
      </c>
      <c r="B4" s="438"/>
      <c r="C4" s="438"/>
      <c r="D4" s="438"/>
      <c r="E4" s="438"/>
      <c r="F4" s="438"/>
      <c r="G4" s="438"/>
      <c r="H4" s="438"/>
      <c r="I4" s="438"/>
      <c r="J4" s="438"/>
      <c r="K4" s="438"/>
    </row>
    <row r="5" spans="1:11" ht="15" customHeight="1" x14ac:dyDescent="0.3">
      <c r="A5" t="s">
        <v>203</v>
      </c>
      <c r="B5" t="s">
        <v>68</v>
      </c>
      <c r="C5" s="231"/>
      <c r="D5" s="231"/>
      <c r="E5" s="231"/>
      <c r="F5" s="231"/>
      <c r="G5" s="231"/>
      <c r="H5" s="231"/>
      <c r="I5" s="231"/>
      <c r="J5" s="231"/>
      <c r="K5" s="231"/>
    </row>
    <row r="6" spans="1:11" ht="15" customHeight="1" x14ac:dyDescent="0.3">
      <c r="A6" t="s">
        <v>204</v>
      </c>
      <c r="B6" t="s">
        <v>205</v>
      </c>
      <c r="C6" s="231"/>
      <c r="D6" s="231"/>
      <c r="E6" s="231"/>
      <c r="F6" s="231"/>
      <c r="G6" s="231"/>
      <c r="H6" s="231"/>
      <c r="I6" s="231"/>
      <c r="J6" s="231"/>
      <c r="K6" s="231"/>
    </row>
    <row r="7" spans="1:11" ht="15" customHeight="1" x14ac:dyDescent="0.3">
      <c r="A7" t="s">
        <v>206</v>
      </c>
      <c r="B7" t="s">
        <v>207</v>
      </c>
      <c r="C7" s="231"/>
      <c r="D7" s="231"/>
      <c r="E7" s="231"/>
      <c r="F7" s="231"/>
      <c r="G7" s="231"/>
      <c r="H7" s="231"/>
      <c r="I7" s="231"/>
      <c r="J7" s="231"/>
      <c r="K7" s="231"/>
    </row>
    <row r="8" spans="1:11" ht="17.25" customHeight="1" x14ac:dyDescent="0.3">
      <c r="A8" s="231"/>
      <c r="B8" s="26"/>
      <c r="C8" s="26"/>
      <c r="D8" s="26"/>
      <c r="E8" s="26"/>
      <c r="F8" s="26"/>
      <c r="G8" s="26"/>
      <c r="H8" s="441"/>
      <c r="I8" s="234" t="s">
        <v>346</v>
      </c>
      <c r="J8" s="234"/>
      <c r="K8" s="234" t="s">
        <v>94</v>
      </c>
    </row>
    <row r="9" spans="1:11" ht="40.5" customHeight="1" x14ac:dyDescent="0.3">
      <c r="A9" s="2" t="s">
        <v>550</v>
      </c>
      <c r="B9" s="3" t="s">
        <v>517</v>
      </c>
      <c r="C9" s="3" t="s">
        <v>606</v>
      </c>
      <c r="D9" s="3" t="s">
        <v>607</v>
      </c>
      <c r="E9" s="209" t="s">
        <v>513</v>
      </c>
      <c r="F9" s="209" t="s">
        <v>514</v>
      </c>
      <c r="G9" s="209" t="s">
        <v>339</v>
      </c>
      <c r="H9" s="443" t="s">
        <v>608</v>
      </c>
      <c r="I9" s="423" t="s">
        <v>609</v>
      </c>
      <c r="J9" s="443" t="s">
        <v>608</v>
      </c>
      <c r="K9" s="442" t="s">
        <v>610</v>
      </c>
    </row>
    <row r="10" spans="1:11" ht="22.5" customHeight="1" x14ac:dyDescent="0.3">
      <c r="A10" s="5" t="s">
        <v>611</v>
      </c>
      <c r="B10" s="601">
        <f>geographicpivot!B4</f>
        <v>2810</v>
      </c>
      <c r="C10" s="601">
        <f>geographicpivot!C4</f>
        <v>2747</v>
      </c>
      <c r="D10" s="601">
        <f>GETPIVOTDATA("Sum of RDS Fulltime",geographicpivot!$A$3,"ReportingLevel","1:LA")</f>
        <v>0</v>
      </c>
      <c r="E10" s="601">
        <f>geographicpivot!D4</f>
        <v>0</v>
      </c>
      <c r="F10" s="601">
        <f>geographicpivot!E4</f>
        <v>0</v>
      </c>
      <c r="G10" s="601">
        <f>geographicpivot!F4</f>
        <v>252</v>
      </c>
      <c r="H10" s="279">
        <f>SUM(B10:G10)</f>
        <v>5809</v>
      </c>
      <c r="I10" s="279">
        <f>SUM(B10:F10)</f>
        <v>5557</v>
      </c>
      <c r="J10" s="288">
        <f>H10/$H$14</f>
        <v>0.76544999341151665</v>
      </c>
      <c r="K10" s="287">
        <f>I10/$I$14</f>
        <v>0.75739403025759844</v>
      </c>
    </row>
    <row r="11" spans="1:11" ht="15" customHeight="1" x14ac:dyDescent="0.3">
      <c r="A11" s="5" t="s">
        <v>612</v>
      </c>
      <c r="B11" s="601">
        <f>geographicpivot!B5</f>
        <v>365</v>
      </c>
      <c r="C11" s="601">
        <f>geographicpivot!C5</f>
        <v>0</v>
      </c>
      <c r="D11" s="601">
        <f>GETPIVOTDATA("Sum of RDS Fulltime",geographicpivot!$A$3,"ReportingLevel","2:LSO")</f>
        <v>60</v>
      </c>
      <c r="E11" s="601">
        <f>geographicpivot!D5</f>
        <v>0</v>
      </c>
      <c r="F11" s="601">
        <f>geographicpivot!E5</f>
        <v>0</v>
      </c>
      <c r="G11" s="601">
        <f>geographicpivot!F5</f>
        <v>0</v>
      </c>
      <c r="H11" s="279">
        <f>SUM(B11:G11)</f>
        <v>425</v>
      </c>
      <c r="I11" s="279">
        <f>SUM(B11:F11)</f>
        <v>425</v>
      </c>
      <c r="J11" s="288">
        <f>H11/$H$14</f>
        <v>5.6002108314665962E-2</v>
      </c>
      <c r="K11" s="288">
        <f>I11/$I$14</f>
        <v>5.7925582663213848E-2</v>
      </c>
    </row>
    <row r="12" spans="1:11" ht="15" customHeight="1" x14ac:dyDescent="0.3">
      <c r="A12" s="5" t="s">
        <v>212</v>
      </c>
      <c r="B12" s="601">
        <f>geographicpivot!B6</f>
        <v>161</v>
      </c>
      <c r="C12" s="601">
        <f>geographicpivot!C6</f>
        <v>0</v>
      </c>
      <c r="D12" s="601">
        <f>GETPIVOTDATA("Sum of RDS Fulltime",geographicpivot!$A$3,"ReportingLevel","3:SDA")</f>
        <v>0</v>
      </c>
      <c r="E12" s="601">
        <f>geographicpivot!D6</f>
        <v>0</v>
      </c>
      <c r="F12" s="601">
        <f>geographicpivot!E6</f>
        <v>0</v>
      </c>
      <c r="G12" s="601">
        <f>geographicpivot!F6</f>
        <v>0</v>
      </c>
      <c r="H12" s="279">
        <f>SUM(B12:G12)</f>
        <v>161</v>
      </c>
      <c r="I12" s="279">
        <f>SUM(B12:F12)</f>
        <v>161</v>
      </c>
      <c r="J12" s="288">
        <f>H12/$H$14</f>
        <v>2.1214916326261695E-2</v>
      </c>
      <c r="K12" s="288">
        <f>I12/$I$14</f>
        <v>2.1943573667711599E-2</v>
      </c>
    </row>
    <row r="13" spans="1:11" ht="15" customHeight="1" x14ac:dyDescent="0.3">
      <c r="A13" s="16" t="s">
        <v>613</v>
      </c>
      <c r="B13" s="601">
        <f>geographicpivot!B7</f>
        <v>95</v>
      </c>
      <c r="C13" s="601">
        <f>geographicpivot!C7</f>
        <v>0</v>
      </c>
      <c r="D13" s="601">
        <f>GETPIVOTDATA("Sum of RDS Fulltime",geographicpivot!$A$3,"ReportingLevel","4:National")</f>
        <v>0</v>
      </c>
      <c r="E13" s="601">
        <f>geographicpivot!D7</f>
        <v>177</v>
      </c>
      <c r="F13" s="628">
        <f>geographicpivot!E7</f>
        <v>922</v>
      </c>
      <c r="G13" s="628">
        <f>geographicpivot!F7</f>
        <v>0</v>
      </c>
      <c r="H13" s="445">
        <f>SUM(B13:G13)</f>
        <v>1194</v>
      </c>
      <c r="I13" s="445">
        <f>SUM(B13:F13)</f>
        <v>1194</v>
      </c>
      <c r="J13" s="446">
        <f>H13/$H$14</f>
        <v>0.15733298194755568</v>
      </c>
      <c r="K13" s="288">
        <f>I13/$I$14</f>
        <v>0.16273681341147608</v>
      </c>
    </row>
    <row r="14" spans="1:11" ht="30" customHeight="1" thickBot="1" x14ac:dyDescent="0.35">
      <c r="A14" s="27" t="s">
        <v>614</v>
      </c>
      <c r="B14" s="283">
        <f t="shared" ref="B14:I14" si="0">SUM(B10:B13)</f>
        <v>3431</v>
      </c>
      <c r="C14" s="283">
        <f t="shared" si="0"/>
        <v>2747</v>
      </c>
      <c r="D14" s="283">
        <f t="shared" si="0"/>
        <v>60</v>
      </c>
      <c r="E14" s="283">
        <f t="shared" si="0"/>
        <v>177</v>
      </c>
      <c r="F14" s="289">
        <f t="shared" si="0"/>
        <v>922</v>
      </c>
      <c r="G14" s="289">
        <f t="shared" si="0"/>
        <v>252</v>
      </c>
      <c r="H14" s="289">
        <f>SUM(H10:H13)</f>
        <v>7589</v>
      </c>
      <c r="I14" s="289">
        <f t="shared" si="0"/>
        <v>7337</v>
      </c>
      <c r="J14" s="444">
        <f>H14/H14</f>
        <v>1</v>
      </c>
      <c r="K14" s="28">
        <f>I14/I14</f>
        <v>1</v>
      </c>
    </row>
    <row r="15" spans="1:11" ht="15" customHeight="1" x14ac:dyDescent="0.3">
      <c r="A15" s="336"/>
    </row>
    <row r="16" spans="1:11" ht="15" customHeight="1" x14ac:dyDescent="0.3">
      <c r="A16" s="348" t="s">
        <v>329</v>
      </c>
    </row>
    <row r="17" spans="1:11" ht="15" customHeight="1" x14ac:dyDescent="0.3">
      <c r="A17" s="561" t="s">
        <v>615</v>
      </c>
    </row>
    <row r="18" spans="1:11" ht="50.4" customHeight="1" x14ac:dyDescent="0.3">
      <c r="A18" s="1047" t="s">
        <v>616</v>
      </c>
      <c r="B18" s="1047"/>
      <c r="C18" s="1047"/>
      <c r="D18" s="1047"/>
      <c r="E18" s="1047"/>
      <c r="F18" s="1047"/>
      <c r="G18" s="1047"/>
      <c r="H18" s="1047"/>
      <c r="I18" s="1047"/>
      <c r="J18" s="1047"/>
      <c r="K18" s="1047"/>
    </row>
    <row r="19" spans="1:11" ht="15" customHeight="1" x14ac:dyDescent="0.3"/>
    <row r="20" spans="1:11" ht="15" customHeight="1" x14ac:dyDescent="0.3"/>
    <row r="21" spans="1:11" ht="15" customHeight="1" x14ac:dyDescent="0.3">
      <c r="B21" s="231"/>
    </row>
    <row r="22" spans="1:11" ht="15" customHeight="1" x14ac:dyDescent="0.3"/>
    <row r="23" spans="1:11" ht="15" customHeight="1" x14ac:dyDescent="0.3"/>
    <row r="24" spans="1:11" ht="15" customHeight="1" x14ac:dyDescent="0.3"/>
    <row r="25" spans="1:11" ht="15" customHeight="1" x14ac:dyDescent="0.3"/>
    <row r="26" spans="1:11" ht="15" customHeight="1" x14ac:dyDescent="0.3">
      <c r="A26" s="29"/>
      <c r="B26" s="290"/>
      <c r="C26" s="290"/>
      <c r="D26" s="290"/>
      <c r="E26" s="290"/>
      <c r="F26" s="290"/>
      <c r="G26" s="290"/>
      <c r="H26" s="290"/>
      <c r="I26" s="290"/>
      <c r="J26" s="30"/>
      <c r="K26" s="292"/>
    </row>
    <row r="27" spans="1:11" ht="15" customHeight="1" x14ac:dyDescent="0.3"/>
    <row r="28" spans="1:11" ht="15" customHeight="1" x14ac:dyDescent="0.3"/>
    <row r="29" spans="1:11" ht="33" customHeight="1" x14ac:dyDescent="0.3"/>
    <row r="30" spans="1:11" ht="15" customHeight="1" x14ac:dyDescent="0.3"/>
    <row r="31" spans="1:11" ht="15" customHeight="1" x14ac:dyDescent="0.3"/>
    <row r="32" spans="1:11" ht="15" customHeight="1" x14ac:dyDescent="0.3"/>
    <row r="33" ht="15" customHeight="1" x14ac:dyDescent="0.3"/>
    <row r="34" ht="15" customHeight="1" x14ac:dyDescent="0.3"/>
    <row r="35" ht="15" customHeight="1" x14ac:dyDescent="0.3"/>
    <row r="36" ht="15" customHeight="1" x14ac:dyDescent="0.3"/>
    <row r="37" ht="15" customHeight="1" x14ac:dyDescent="0.3"/>
    <row r="40" ht="30" customHeight="1" x14ac:dyDescent="0.3"/>
  </sheetData>
  <sheetProtection algorithmName="SHA-512" hashValue="o5mFmDPuPr9GRb8QAXUBRCPiTKGyFmApHUSzIOjMWTQCZNvRV7R/X0qVpR/ZrPrVTVn0wu9E4GIQf4f4x3MDlg==" saltValue="aVUGzPHgIkL+WZxl+KlpfQ==" spinCount="100000" sheet="1" scenarios="1" formatCells="0" sort="0" autoFilter="0" pivotTables="0"/>
  <mergeCells count="2">
    <mergeCell ref="A18:K18"/>
    <mergeCell ref="A1:I1"/>
  </mergeCells>
  <hyperlinks>
    <hyperlink ref="A2" location="'Table of Contents'!A1" display="Back to Table of Contents" xr:uid="{00000000-0004-0000-2300-000000000000}"/>
  </hyperlinks>
  <pageMargins left="0.70866141732283472" right="0.70866141732283472" top="0.74803149606299213" bottom="0.74803149606299213" header="0.31496062992125984" footer="0.31496062992125984"/>
  <pageSetup paperSize="9" scale="59" orientation="portrait" r:id="rId1"/>
  <drawing r:id="rId2"/>
  <extLst>
    <ext xmlns:x14="http://schemas.microsoft.com/office/spreadsheetml/2009/9/main" uri="{A8765BA9-456A-4dab-B4F3-ACF838C121DE}">
      <x14:slicerList>
        <x14:slicer r:id="rId3"/>
      </x14:slicerList>
    </ext>
  </extLst>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tabColor theme="9" tint="0.39997558519241921"/>
  </sheetPr>
  <dimension ref="A1:G62"/>
  <sheetViews>
    <sheetView topLeftCell="A38" zoomScale="69" zoomScaleNormal="90" workbookViewId="0">
      <selection activeCell="C44" sqref="C44"/>
    </sheetView>
  </sheetViews>
  <sheetFormatPr defaultRowHeight="14.4" x14ac:dyDescent="0.3"/>
  <cols>
    <col min="1" max="1" width="61.77734375" bestFit="1" customWidth="1"/>
    <col min="2" max="2" width="14.33203125" bestFit="1" customWidth="1"/>
    <col min="3" max="3" width="14.88671875" bestFit="1" customWidth="1"/>
    <col min="4" max="4" width="19" bestFit="1" customWidth="1"/>
    <col min="5" max="5" width="27.6640625" bestFit="1" customWidth="1"/>
    <col min="6" max="6" width="16.88671875" bestFit="1" customWidth="1"/>
    <col min="7" max="7" width="29.21875" bestFit="1" customWidth="1"/>
  </cols>
  <sheetData>
    <row r="1" spans="1:7" x14ac:dyDescent="0.3">
      <c r="A1" s="386" t="s">
        <v>208</v>
      </c>
      <c r="B1" t="s">
        <v>412</v>
      </c>
    </row>
    <row r="3" spans="1:7" x14ac:dyDescent="0.3">
      <c r="A3" s="386" t="s">
        <v>350</v>
      </c>
      <c r="B3" t="s">
        <v>508</v>
      </c>
      <c r="C3" t="s">
        <v>509</v>
      </c>
      <c r="D3" t="s">
        <v>507</v>
      </c>
      <c r="E3" t="s">
        <v>506</v>
      </c>
      <c r="F3" t="s">
        <v>355</v>
      </c>
      <c r="G3" t="s">
        <v>604</v>
      </c>
    </row>
    <row r="4" spans="1:7" x14ac:dyDescent="0.3">
      <c r="A4" s="387" t="s">
        <v>537</v>
      </c>
    </row>
    <row r="5" spans="1:7" x14ac:dyDescent="0.3">
      <c r="A5" s="388" t="s">
        <v>215</v>
      </c>
      <c r="B5">
        <v>0</v>
      </c>
      <c r="C5">
        <v>0</v>
      </c>
      <c r="D5">
        <v>0</v>
      </c>
      <c r="E5">
        <v>9</v>
      </c>
      <c r="F5">
        <v>0</v>
      </c>
      <c r="G5">
        <v>109</v>
      </c>
    </row>
    <row r="6" spans="1:7" x14ac:dyDescent="0.3">
      <c r="A6" s="388" t="s">
        <v>220</v>
      </c>
      <c r="B6">
        <v>0</v>
      </c>
      <c r="C6">
        <v>0</v>
      </c>
      <c r="D6">
        <v>0</v>
      </c>
      <c r="E6">
        <v>277</v>
      </c>
      <c r="F6">
        <v>0</v>
      </c>
      <c r="G6">
        <v>42</v>
      </c>
    </row>
    <row r="7" spans="1:7" x14ac:dyDescent="0.3">
      <c r="A7" s="388" t="s">
        <v>224</v>
      </c>
      <c r="B7">
        <v>0</v>
      </c>
      <c r="C7">
        <v>0</v>
      </c>
      <c r="D7">
        <v>0</v>
      </c>
      <c r="E7">
        <v>95</v>
      </c>
      <c r="F7">
        <v>0</v>
      </c>
      <c r="G7">
        <v>26</v>
      </c>
    </row>
    <row r="8" spans="1:7" x14ac:dyDescent="0.3">
      <c r="A8" s="388" t="s">
        <v>228</v>
      </c>
      <c r="B8">
        <v>0</v>
      </c>
      <c r="C8">
        <v>0</v>
      </c>
      <c r="D8">
        <v>0</v>
      </c>
      <c r="E8">
        <v>174</v>
      </c>
      <c r="F8">
        <v>164</v>
      </c>
      <c r="G8">
        <v>52</v>
      </c>
    </row>
    <row r="9" spans="1:7" x14ac:dyDescent="0.3">
      <c r="A9" s="388" t="s">
        <v>234</v>
      </c>
      <c r="B9">
        <v>0</v>
      </c>
      <c r="C9">
        <v>0</v>
      </c>
      <c r="D9">
        <v>0</v>
      </c>
      <c r="E9">
        <v>10</v>
      </c>
      <c r="F9">
        <v>0</v>
      </c>
      <c r="G9">
        <v>303</v>
      </c>
    </row>
    <row r="10" spans="1:7" x14ac:dyDescent="0.3">
      <c r="A10" s="388" t="s">
        <v>240</v>
      </c>
      <c r="B10">
        <v>0</v>
      </c>
      <c r="C10">
        <v>0</v>
      </c>
      <c r="D10">
        <v>0</v>
      </c>
      <c r="E10">
        <v>24</v>
      </c>
      <c r="F10">
        <v>0</v>
      </c>
      <c r="G10">
        <v>27</v>
      </c>
    </row>
    <row r="11" spans="1:7" x14ac:dyDescent="0.3">
      <c r="A11" s="388" t="s">
        <v>244</v>
      </c>
      <c r="B11">
        <v>0</v>
      </c>
      <c r="C11">
        <v>0</v>
      </c>
      <c r="D11">
        <v>0</v>
      </c>
      <c r="E11">
        <v>191</v>
      </c>
      <c r="F11">
        <v>4</v>
      </c>
      <c r="G11">
        <v>64</v>
      </c>
    </row>
    <row r="12" spans="1:7" x14ac:dyDescent="0.3">
      <c r="A12" s="388" t="s">
        <v>247</v>
      </c>
      <c r="B12">
        <v>0</v>
      </c>
      <c r="C12">
        <v>0</v>
      </c>
      <c r="D12">
        <v>0</v>
      </c>
      <c r="E12">
        <v>14</v>
      </c>
      <c r="F12">
        <v>0</v>
      </c>
      <c r="G12">
        <v>158</v>
      </c>
    </row>
    <row r="13" spans="1:7" x14ac:dyDescent="0.3">
      <c r="A13" s="388" t="s">
        <v>249</v>
      </c>
      <c r="B13">
        <v>0</v>
      </c>
      <c r="C13">
        <v>0</v>
      </c>
      <c r="D13">
        <v>0</v>
      </c>
      <c r="E13">
        <v>74</v>
      </c>
      <c r="F13">
        <v>0</v>
      </c>
      <c r="G13">
        <v>53</v>
      </c>
    </row>
    <row r="14" spans="1:7" x14ac:dyDescent="0.3">
      <c r="A14" s="388" t="s">
        <v>253</v>
      </c>
      <c r="B14">
        <v>0</v>
      </c>
      <c r="C14">
        <v>0</v>
      </c>
      <c r="D14">
        <v>0</v>
      </c>
      <c r="E14">
        <v>0</v>
      </c>
      <c r="F14">
        <v>0</v>
      </c>
      <c r="G14">
        <v>81</v>
      </c>
    </row>
    <row r="15" spans="1:7" x14ac:dyDescent="0.3">
      <c r="A15" s="388" t="s">
        <v>255</v>
      </c>
      <c r="B15">
        <v>0</v>
      </c>
      <c r="C15">
        <v>0</v>
      </c>
      <c r="D15">
        <v>0</v>
      </c>
      <c r="E15">
        <v>56</v>
      </c>
      <c r="F15">
        <v>0</v>
      </c>
      <c r="G15">
        <v>25</v>
      </c>
    </row>
    <row r="16" spans="1:7" x14ac:dyDescent="0.3">
      <c r="A16" s="388" t="s">
        <v>259</v>
      </c>
      <c r="B16">
        <v>0</v>
      </c>
      <c r="C16">
        <v>0</v>
      </c>
      <c r="D16">
        <v>0</v>
      </c>
      <c r="E16">
        <v>0</v>
      </c>
      <c r="F16">
        <v>0</v>
      </c>
      <c r="G16">
        <v>50</v>
      </c>
    </row>
    <row r="17" spans="1:7" x14ac:dyDescent="0.3">
      <c r="A17" s="388" t="s">
        <v>263</v>
      </c>
      <c r="B17">
        <v>0</v>
      </c>
      <c r="C17">
        <v>0</v>
      </c>
      <c r="D17">
        <v>0</v>
      </c>
      <c r="E17">
        <v>60</v>
      </c>
      <c r="F17">
        <v>0</v>
      </c>
      <c r="G17">
        <v>84</v>
      </c>
    </row>
    <row r="18" spans="1:7" x14ac:dyDescent="0.3">
      <c r="A18" s="388" t="s">
        <v>267</v>
      </c>
      <c r="B18">
        <v>0</v>
      </c>
      <c r="C18">
        <v>0</v>
      </c>
      <c r="D18">
        <v>0</v>
      </c>
      <c r="E18">
        <v>96</v>
      </c>
      <c r="F18">
        <v>0</v>
      </c>
      <c r="G18">
        <v>204</v>
      </c>
    </row>
    <row r="19" spans="1:7" x14ac:dyDescent="0.3">
      <c r="A19" s="388" t="s">
        <v>270</v>
      </c>
      <c r="B19">
        <v>0</v>
      </c>
      <c r="C19">
        <v>0</v>
      </c>
      <c r="D19">
        <v>0</v>
      </c>
      <c r="E19">
        <v>0</v>
      </c>
      <c r="F19">
        <v>0</v>
      </c>
      <c r="G19">
        <v>452</v>
      </c>
    </row>
    <row r="20" spans="1:7" x14ac:dyDescent="0.3">
      <c r="A20" s="388" t="s">
        <v>275</v>
      </c>
      <c r="B20">
        <v>0</v>
      </c>
      <c r="C20">
        <v>0</v>
      </c>
      <c r="D20">
        <v>0</v>
      </c>
      <c r="E20">
        <v>457</v>
      </c>
      <c r="F20">
        <v>43</v>
      </c>
      <c r="G20">
        <v>83</v>
      </c>
    </row>
    <row r="21" spans="1:7" x14ac:dyDescent="0.3">
      <c r="A21" s="388" t="s">
        <v>277</v>
      </c>
      <c r="B21">
        <v>0</v>
      </c>
      <c r="C21">
        <v>0</v>
      </c>
      <c r="D21">
        <v>0</v>
      </c>
      <c r="E21">
        <v>40</v>
      </c>
      <c r="F21">
        <v>0</v>
      </c>
      <c r="G21">
        <v>66</v>
      </c>
    </row>
    <row r="22" spans="1:7" x14ac:dyDescent="0.3">
      <c r="A22" s="388" t="s">
        <v>279</v>
      </c>
      <c r="B22">
        <v>0</v>
      </c>
      <c r="C22">
        <v>0</v>
      </c>
      <c r="D22">
        <v>0</v>
      </c>
      <c r="E22">
        <v>13</v>
      </c>
      <c r="F22">
        <v>0</v>
      </c>
      <c r="G22">
        <v>31</v>
      </c>
    </row>
    <row r="23" spans="1:7" x14ac:dyDescent="0.3">
      <c r="A23" s="388" t="s">
        <v>281</v>
      </c>
      <c r="B23">
        <v>0</v>
      </c>
      <c r="C23">
        <v>0</v>
      </c>
      <c r="D23">
        <v>0</v>
      </c>
      <c r="E23">
        <v>105</v>
      </c>
      <c r="F23">
        <v>1</v>
      </c>
      <c r="G23">
        <v>29</v>
      </c>
    </row>
    <row r="24" spans="1:7" x14ac:dyDescent="0.3">
      <c r="A24" s="388" t="s">
        <v>283</v>
      </c>
      <c r="B24">
        <v>0</v>
      </c>
      <c r="C24">
        <v>0</v>
      </c>
      <c r="D24">
        <v>0</v>
      </c>
      <c r="E24">
        <v>132</v>
      </c>
      <c r="F24">
        <v>0</v>
      </c>
      <c r="G24">
        <v>3</v>
      </c>
    </row>
    <row r="25" spans="1:7" x14ac:dyDescent="0.3">
      <c r="A25" s="388" t="s">
        <v>287</v>
      </c>
      <c r="B25">
        <v>0</v>
      </c>
      <c r="C25">
        <v>0</v>
      </c>
      <c r="D25">
        <v>0</v>
      </c>
      <c r="E25">
        <v>104</v>
      </c>
      <c r="F25">
        <v>19</v>
      </c>
      <c r="G25">
        <v>76</v>
      </c>
    </row>
    <row r="26" spans="1:7" x14ac:dyDescent="0.3">
      <c r="A26" s="388" t="s">
        <v>289</v>
      </c>
      <c r="B26">
        <v>0</v>
      </c>
      <c r="C26">
        <v>0</v>
      </c>
      <c r="D26">
        <v>0</v>
      </c>
      <c r="E26">
        <v>31</v>
      </c>
      <c r="F26">
        <v>0</v>
      </c>
      <c r="G26">
        <v>170</v>
      </c>
    </row>
    <row r="27" spans="1:7" x14ac:dyDescent="0.3">
      <c r="A27" s="388" t="s">
        <v>292</v>
      </c>
      <c r="B27">
        <v>0</v>
      </c>
      <c r="C27">
        <v>0</v>
      </c>
      <c r="D27">
        <v>0</v>
      </c>
      <c r="E27">
        <v>104</v>
      </c>
      <c r="F27">
        <v>0</v>
      </c>
      <c r="G27">
        <v>1</v>
      </c>
    </row>
    <row r="28" spans="1:7" x14ac:dyDescent="0.3">
      <c r="A28" s="388" t="s">
        <v>294</v>
      </c>
      <c r="B28">
        <v>0</v>
      </c>
      <c r="C28">
        <v>0</v>
      </c>
      <c r="D28">
        <v>0</v>
      </c>
      <c r="E28">
        <v>114</v>
      </c>
      <c r="F28">
        <v>21</v>
      </c>
      <c r="G28">
        <v>70</v>
      </c>
    </row>
    <row r="29" spans="1:7" x14ac:dyDescent="0.3">
      <c r="A29" s="388" t="s">
        <v>296</v>
      </c>
      <c r="B29">
        <v>0</v>
      </c>
      <c r="C29">
        <v>0</v>
      </c>
      <c r="D29">
        <v>0</v>
      </c>
      <c r="E29">
        <v>14</v>
      </c>
      <c r="F29">
        <v>0</v>
      </c>
      <c r="G29">
        <v>101</v>
      </c>
    </row>
    <row r="30" spans="1:7" x14ac:dyDescent="0.3">
      <c r="A30" s="388" t="s">
        <v>298</v>
      </c>
      <c r="B30">
        <v>0</v>
      </c>
      <c r="C30">
        <v>0</v>
      </c>
      <c r="D30">
        <v>0</v>
      </c>
      <c r="E30">
        <v>153</v>
      </c>
      <c r="F30">
        <v>0</v>
      </c>
      <c r="G30">
        <v>58</v>
      </c>
    </row>
    <row r="31" spans="1:7" x14ac:dyDescent="0.3">
      <c r="A31" s="388" t="s">
        <v>300</v>
      </c>
      <c r="B31">
        <v>0</v>
      </c>
      <c r="C31">
        <v>0</v>
      </c>
      <c r="D31">
        <v>0</v>
      </c>
      <c r="E31">
        <v>117</v>
      </c>
      <c r="F31">
        <v>0</v>
      </c>
      <c r="G31">
        <v>0</v>
      </c>
    </row>
    <row r="32" spans="1:7" x14ac:dyDescent="0.3">
      <c r="A32" s="388" t="s">
        <v>302</v>
      </c>
      <c r="B32">
        <v>0</v>
      </c>
      <c r="C32">
        <v>0</v>
      </c>
      <c r="D32">
        <v>0</v>
      </c>
      <c r="E32">
        <v>47</v>
      </c>
      <c r="F32">
        <v>0</v>
      </c>
      <c r="G32">
        <v>51</v>
      </c>
    </row>
    <row r="33" spans="1:7" x14ac:dyDescent="0.3">
      <c r="A33" s="388" t="s">
        <v>304</v>
      </c>
      <c r="B33">
        <v>0</v>
      </c>
      <c r="C33">
        <v>0</v>
      </c>
      <c r="D33">
        <v>0</v>
      </c>
      <c r="E33">
        <v>82</v>
      </c>
      <c r="F33">
        <v>0</v>
      </c>
      <c r="G33">
        <v>150</v>
      </c>
    </row>
    <row r="34" spans="1:7" x14ac:dyDescent="0.3">
      <c r="A34" s="388" t="s">
        <v>307</v>
      </c>
      <c r="B34">
        <v>0</v>
      </c>
      <c r="C34">
        <v>0</v>
      </c>
      <c r="D34">
        <v>0</v>
      </c>
      <c r="E34">
        <v>74</v>
      </c>
      <c r="F34">
        <v>0</v>
      </c>
      <c r="G34">
        <v>49</v>
      </c>
    </row>
    <row r="35" spans="1:7" x14ac:dyDescent="0.3">
      <c r="A35" s="388" t="s">
        <v>309</v>
      </c>
      <c r="B35">
        <v>0</v>
      </c>
      <c r="C35">
        <v>0</v>
      </c>
      <c r="D35">
        <v>0</v>
      </c>
      <c r="E35">
        <v>22</v>
      </c>
      <c r="F35">
        <v>0</v>
      </c>
      <c r="G35">
        <v>77</v>
      </c>
    </row>
    <row r="36" spans="1:7" x14ac:dyDescent="0.3">
      <c r="A36" s="388" t="s">
        <v>311</v>
      </c>
      <c r="B36">
        <v>0</v>
      </c>
      <c r="C36">
        <v>0</v>
      </c>
      <c r="D36">
        <v>0</v>
      </c>
      <c r="E36">
        <v>58</v>
      </c>
      <c r="F36">
        <v>0</v>
      </c>
      <c r="G36">
        <v>65</v>
      </c>
    </row>
    <row r="37" spans="1:7" x14ac:dyDescent="0.3">
      <c r="A37" s="387" t="s">
        <v>539</v>
      </c>
      <c r="B37">
        <v>0</v>
      </c>
      <c r="C37">
        <v>0</v>
      </c>
      <c r="D37">
        <v>0</v>
      </c>
      <c r="E37">
        <v>2747</v>
      </c>
      <c r="F37">
        <v>252</v>
      </c>
      <c r="G37">
        <v>2810</v>
      </c>
    </row>
    <row r="38" spans="1:7" x14ac:dyDescent="0.3">
      <c r="A38" s="387" t="s">
        <v>540</v>
      </c>
    </row>
    <row r="39" spans="1:7" x14ac:dyDescent="0.3">
      <c r="A39" s="388" t="s">
        <v>230</v>
      </c>
      <c r="B39">
        <v>0</v>
      </c>
      <c r="C39">
        <v>0</v>
      </c>
      <c r="D39">
        <v>6</v>
      </c>
      <c r="E39">
        <v>0</v>
      </c>
      <c r="F39">
        <v>0</v>
      </c>
      <c r="G39">
        <v>24</v>
      </c>
    </row>
    <row r="40" spans="1:7" x14ac:dyDescent="0.3">
      <c r="A40" s="388" t="s">
        <v>244</v>
      </c>
      <c r="B40">
        <v>0</v>
      </c>
      <c r="C40">
        <v>0</v>
      </c>
      <c r="D40">
        <v>4</v>
      </c>
      <c r="E40">
        <v>0</v>
      </c>
      <c r="F40">
        <v>0</v>
      </c>
      <c r="G40">
        <v>11</v>
      </c>
    </row>
    <row r="41" spans="1:7" x14ac:dyDescent="0.3">
      <c r="A41" s="388" t="s">
        <v>226</v>
      </c>
      <c r="B41">
        <v>0</v>
      </c>
      <c r="C41">
        <v>0</v>
      </c>
      <c r="D41">
        <v>3</v>
      </c>
      <c r="E41">
        <v>0</v>
      </c>
      <c r="F41">
        <v>0</v>
      </c>
      <c r="G41">
        <v>22</v>
      </c>
    </row>
    <row r="42" spans="1:7" x14ac:dyDescent="0.3">
      <c r="A42" s="388" t="s">
        <v>251</v>
      </c>
      <c r="B42">
        <v>0</v>
      </c>
      <c r="C42">
        <v>0</v>
      </c>
      <c r="D42">
        <v>4</v>
      </c>
      <c r="E42">
        <v>0</v>
      </c>
      <c r="F42">
        <v>0</v>
      </c>
      <c r="G42">
        <v>25</v>
      </c>
    </row>
    <row r="43" spans="1:7" x14ac:dyDescent="0.3">
      <c r="A43" s="388" t="s">
        <v>257</v>
      </c>
      <c r="B43">
        <v>0</v>
      </c>
      <c r="C43">
        <v>0</v>
      </c>
      <c r="D43">
        <v>4</v>
      </c>
      <c r="E43">
        <v>0</v>
      </c>
      <c r="F43">
        <v>0</v>
      </c>
      <c r="G43">
        <v>26</v>
      </c>
    </row>
    <row r="44" spans="1:7" x14ac:dyDescent="0.3">
      <c r="A44" s="388" t="s">
        <v>261</v>
      </c>
      <c r="B44">
        <v>0</v>
      </c>
      <c r="C44">
        <v>0</v>
      </c>
      <c r="D44">
        <v>0</v>
      </c>
      <c r="E44">
        <v>0</v>
      </c>
      <c r="F44">
        <v>0</v>
      </c>
      <c r="G44">
        <v>18</v>
      </c>
    </row>
    <row r="45" spans="1:7" x14ac:dyDescent="0.3">
      <c r="A45" s="388" t="s">
        <v>236</v>
      </c>
      <c r="B45">
        <v>0</v>
      </c>
      <c r="C45">
        <v>0</v>
      </c>
      <c r="D45">
        <v>0</v>
      </c>
      <c r="E45">
        <v>0</v>
      </c>
      <c r="F45">
        <v>0</v>
      </c>
      <c r="G45">
        <v>31</v>
      </c>
    </row>
    <row r="46" spans="1:7" x14ac:dyDescent="0.3">
      <c r="A46" s="388" t="s">
        <v>265</v>
      </c>
      <c r="B46">
        <v>0</v>
      </c>
      <c r="C46">
        <v>0</v>
      </c>
      <c r="D46">
        <v>2</v>
      </c>
      <c r="E46">
        <v>0</v>
      </c>
      <c r="F46">
        <v>0</v>
      </c>
      <c r="G46">
        <v>19</v>
      </c>
    </row>
    <row r="47" spans="1:7" x14ac:dyDescent="0.3">
      <c r="A47" s="388" t="s">
        <v>270</v>
      </c>
      <c r="B47">
        <v>0</v>
      </c>
      <c r="C47">
        <v>0</v>
      </c>
      <c r="D47">
        <v>0</v>
      </c>
      <c r="E47">
        <v>0</v>
      </c>
      <c r="F47">
        <v>0</v>
      </c>
      <c r="G47">
        <v>30</v>
      </c>
    </row>
    <row r="48" spans="1:7" x14ac:dyDescent="0.3">
      <c r="A48" s="388" t="s">
        <v>275</v>
      </c>
      <c r="B48">
        <v>0</v>
      </c>
      <c r="C48">
        <v>0</v>
      </c>
      <c r="D48">
        <v>11</v>
      </c>
      <c r="E48">
        <v>0</v>
      </c>
      <c r="F48">
        <v>0</v>
      </c>
      <c r="G48">
        <v>24</v>
      </c>
    </row>
    <row r="49" spans="1:7" x14ac:dyDescent="0.3">
      <c r="A49" s="388" t="s">
        <v>313</v>
      </c>
      <c r="B49">
        <v>0</v>
      </c>
      <c r="C49">
        <v>0</v>
      </c>
      <c r="D49">
        <v>4</v>
      </c>
      <c r="E49">
        <v>0</v>
      </c>
      <c r="F49">
        <v>0</v>
      </c>
      <c r="G49">
        <v>32</v>
      </c>
    </row>
    <row r="50" spans="1:7" x14ac:dyDescent="0.3">
      <c r="A50" s="388" t="s">
        <v>285</v>
      </c>
      <c r="B50">
        <v>0</v>
      </c>
      <c r="C50">
        <v>0</v>
      </c>
      <c r="D50">
        <v>12</v>
      </c>
      <c r="E50">
        <v>0</v>
      </c>
      <c r="F50">
        <v>0</v>
      </c>
      <c r="G50">
        <v>10</v>
      </c>
    </row>
    <row r="51" spans="1:7" x14ac:dyDescent="0.3">
      <c r="A51" s="388" t="s">
        <v>322</v>
      </c>
      <c r="B51">
        <v>0</v>
      </c>
      <c r="C51">
        <v>0</v>
      </c>
      <c r="D51">
        <v>8</v>
      </c>
      <c r="E51">
        <v>0</v>
      </c>
      <c r="F51">
        <v>0</v>
      </c>
      <c r="G51">
        <v>73</v>
      </c>
    </row>
    <row r="52" spans="1:7" x14ac:dyDescent="0.3">
      <c r="A52" s="388" t="s">
        <v>324</v>
      </c>
      <c r="B52">
        <v>0</v>
      </c>
      <c r="C52">
        <v>0</v>
      </c>
      <c r="D52">
        <v>2</v>
      </c>
      <c r="E52">
        <v>0</v>
      </c>
      <c r="F52">
        <v>0</v>
      </c>
      <c r="G52">
        <v>20</v>
      </c>
    </row>
    <row r="53" spans="1:7" x14ac:dyDescent="0.3">
      <c r="A53" s="387" t="s">
        <v>541</v>
      </c>
      <c r="B53">
        <v>0</v>
      </c>
      <c r="C53">
        <v>0</v>
      </c>
      <c r="D53">
        <v>60</v>
      </c>
      <c r="E53">
        <v>0</v>
      </c>
      <c r="F53">
        <v>0</v>
      </c>
      <c r="G53">
        <v>365</v>
      </c>
    </row>
    <row r="54" spans="1:7" x14ac:dyDescent="0.3">
      <c r="A54" s="387" t="s">
        <v>542</v>
      </c>
    </row>
    <row r="55" spans="1:7" x14ac:dyDescent="0.3">
      <c r="A55" s="388" t="s">
        <v>238</v>
      </c>
      <c r="B55">
        <v>0</v>
      </c>
      <c r="C55">
        <v>0</v>
      </c>
      <c r="D55">
        <v>0</v>
      </c>
      <c r="E55">
        <v>0</v>
      </c>
      <c r="F55">
        <v>0</v>
      </c>
      <c r="G55">
        <v>40</v>
      </c>
    </row>
    <row r="56" spans="1:7" x14ac:dyDescent="0.3">
      <c r="A56" s="388" t="s">
        <v>218</v>
      </c>
      <c r="B56">
        <v>0</v>
      </c>
      <c r="C56">
        <v>0</v>
      </c>
      <c r="D56">
        <v>0</v>
      </c>
      <c r="E56">
        <v>0</v>
      </c>
      <c r="F56">
        <v>0</v>
      </c>
      <c r="G56">
        <v>27</v>
      </c>
    </row>
    <row r="57" spans="1:7" x14ac:dyDescent="0.3">
      <c r="A57" s="388" t="s">
        <v>232</v>
      </c>
      <c r="B57">
        <v>0</v>
      </c>
      <c r="C57">
        <v>0</v>
      </c>
      <c r="D57">
        <v>0</v>
      </c>
      <c r="E57">
        <v>0</v>
      </c>
      <c r="F57">
        <v>0</v>
      </c>
      <c r="G57">
        <v>94</v>
      </c>
    </row>
    <row r="58" spans="1:7" x14ac:dyDescent="0.3">
      <c r="A58" s="387" t="s">
        <v>543</v>
      </c>
      <c r="B58">
        <v>0</v>
      </c>
      <c r="C58">
        <v>0</v>
      </c>
      <c r="D58">
        <v>0</v>
      </c>
      <c r="E58">
        <v>0</v>
      </c>
      <c r="F58">
        <v>0</v>
      </c>
      <c r="G58">
        <v>161</v>
      </c>
    </row>
    <row r="59" spans="1:7" x14ac:dyDescent="0.3">
      <c r="A59" s="387" t="s">
        <v>544</v>
      </c>
    </row>
    <row r="60" spans="1:7" x14ac:dyDescent="0.3">
      <c r="A60" s="388" t="s">
        <v>545</v>
      </c>
      <c r="B60">
        <v>177</v>
      </c>
      <c r="C60">
        <v>922</v>
      </c>
      <c r="D60">
        <v>0</v>
      </c>
      <c r="E60">
        <v>0</v>
      </c>
      <c r="F60">
        <v>0</v>
      </c>
      <c r="G60">
        <v>95</v>
      </c>
    </row>
    <row r="61" spans="1:7" x14ac:dyDescent="0.3">
      <c r="A61" s="387" t="s">
        <v>546</v>
      </c>
      <c r="B61">
        <v>177</v>
      </c>
      <c r="C61">
        <v>922</v>
      </c>
      <c r="D61">
        <v>0</v>
      </c>
      <c r="E61">
        <v>0</v>
      </c>
      <c r="F61">
        <v>0</v>
      </c>
      <c r="G61">
        <v>95</v>
      </c>
    </row>
    <row r="62" spans="1:7" x14ac:dyDescent="0.3">
      <c r="A62" s="387" t="s">
        <v>357</v>
      </c>
      <c r="B62">
        <v>177</v>
      </c>
      <c r="C62">
        <v>922</v>
      </c>
      <c r="D62">
        <v>60</v>
      </c>
      <c r="E62">
        <v>2747</v>
      </c>
      <c r="F62">
        <v>252</v>
      </c>
      <c r="G62">
        <v>3431</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tabColor theme="9" tint="0.39997558519241921"/>
  </sheetPr>
  <dimension ref="A1:K682"/>
  <sheetViews>
    <sheetView topLeftCell="A16" zoomScale="60" zoomScaleNormal="60" workbookViewId="0">
      <selection activeCell="C34" sqref="C34"/>
    </sheetView>
  </sheetViews>
  <sheetFormatPr defaultRowHeight="14.4" x14ac:dyDescent="0.3"/>
  <cols>
    <col min="1" max="1" width="11" bestFit="1" customWidth="1"/>
    <col min="2" max="2" width="23.77734375" bestFit="1" customWidth="1"/>
    <col min="3" max="3" width="63.33203125" bestFit="1" customWidth="1"/>
    <col min="4" max="4" width="12.21875" bestFit="1" customWidth="1"/>
    <col min="5" max="5" width="11.88671875" bestFit="1" customWidth="1"/>
    <col min="6" max="6" width="14.6640625" bestFit="1" customWidth="1"/>
    <col min="7" max="7" width="21.33203125" bestFit="1" customWidth="1"/>
    <col min="8" max="8" width="32.109375" bestFit="1" customWidth="1"/>
    <col min="9" max="9" width="15" bestFit="1" customWidth="1"/>
    <col min="10" max="10" width="17.109375" bestFit="1" customWidth="1"/>
    <col min="11" max="11" width="33" bestFit="1" customWidth="1"/>
    <col min="12" max="12" width="12.88671875" bestFit="1" customWidth="1"/>
    <col min="13" max="13" width="9.88671875" bestFit="1" customWidth="1"/>
    <col min="14" max="15" width="5.88671875" bestFit="1" customWidth="1"/>
  </cols>
  <sheetData>
    <row r="1" spans="1:11" x14ac:dyDescent="0.3">
      <c r="A1" t="s">
        <v>208</v>
      </c>
      <c r="B1" t="s">
        <v>547</v>
      </c>
      <c r="C1" t="s">
        <v>548</v>
      </c>
      <c r="D1" t="s">
        <v>25</v>
      </c>
      <c r="E1" t="s">
        <v>340</v>
      </c>
      <c r="F1" t="s">
        <v>513</v>
      </c>
      <c r="G1" t="s">
        <v>512</v>
      </c>
      <c r="H1" t="s">
        <v>361</v>
      </c>
      <c r="I1" t="s">
        <v>514</v>
      </c>
      <c r="J1" t="s">
        <v>339</v>
      </c>
      <c r="K1" t="s">
        <v>517</v>
      </c>
    </row>
    <row r="2" spans="1:11" x14ac:dyDescent="0.3">
      <c r="A2" t="s">
        <v>412</v>
      </c>
      <c r="B2" t="s">
        <v>537</v>
      </c>
      <c r="C2" t="s">
        <v>294</v>
      </c>
      <c r="E2">
        <v>205</v>
      </c>
      <c r="F2">
        <v>0</v>
      </c>
      <c r="G2">
        <v>0</v>
      </c>
      <c r="H2">
        <v>114</v>
      </c>
      <c r="I2">
        <v>0</v>
      </c>
      <c r="J2">
        <v>21</v>
      </c>
      <c r="K2">
        <v>70</v>
      </c>
    </row>
    <row r="3" spans="1:11" x14ac:dyDescent="0.3">
      <c r="A3" t="s">
        <v>213</v>
      </c>
      <c r="B3" t="s">
        <v>540</v>
      </c>
      <c r="C3" t="s">
        <v>267</v>
      </c>
      <c r="D3" t="s">
        <v>268</v>
      </c>
      <c r="E3">
        <v>18</v>
      </c>
      <c r="F3">
        <v>0</v>
      </c>
      <c r="G3">
        <v>1</v>
      </c>
      <c r="H3">
        <v>0</v>
      </c>
      <c r="I3">
        <v>0</v>
      </c>
      <c r="J3">
        <v>0</v>
      </c>
      <c r="K3">
        <v>18</v>
      </c>
    </row>
    <row r="4" spans="1:11" x14ac:dyDescent="0.3">
      <c r="A4" t="s">
        <v>318</v>
      </c>
      <c r="B4" t="s">
        <v>540</v>
      </c>
      <c r="C4" t="s">
        <v>251</v>
      </c>
      <c r="D4" t="s">
        <v>231</v>
      </c>
      <c r="E4">
        <v>27</v>
      </c>
      <c r="F4">
        <v>0</v>
      </c>
      <c r="G4">
        <v>4</v>
      </c>
      <c r="H4">
        <v>0</v>
      </c>
      <c r="I4">
        <v>0</v>
      </c>
      <c r="J4">
        <v>0</v>
      </c>
      <c r="K4">
        <v>27</v>
      </c>
    </row>
    <row r="5" spans="1:11" x14ac:dyDescent="0.3">
      <c r="A5" t="s">
        <v>328</v>
      </c>
      <c r="B5" t="s">
        <v>540</v>
      </c>
      <c r="C5" t="s">
        <v>244</v>
      </c>
      <c r="E5">
        <v>1</v>
      </c>
      <c r="F5">
        <v>0</v>
      </c>
      <c r="G5">
        <v>4</v>
      </c>
      <c r="H5">
        <v>0</v>
      </c>
      <c r="I5">
        <v>0</v>
      </c>
      <c r="J5">
        <v>0</v>
      </c>
      <c r="K5">
        <v>1</v>
      </c>
    </row>
    <row r="6" spans="1:11" x14ac:dyDescent="0.3">
      <c r="A6" t="s">
        <v>318</v>
      </c>
      <c r="B6" t="s">
        <v>540</v>
      </c>
      <c r="C6" t="s">
        <v>265</v>
      </c>
      <c r="D6" t="s">
        <v>237</v>
      </c>
      <c r="E6">
        <v>19</v>
      </c>
      <c r="F6">
        <v>0</v>
      </c>
      <c r="G6">
        <v>2</v>
      </c>
      <c r="H6">
        <v>0</v>
      </c>
      <c r="I6">
        <v>0</v>
      </c>
      <c r="J6">
        <v>0</v>
      </c>
      <c r="K6">
        <v>19</v>
      </c>
    </row>
    <row r="7" spans="1:11" x14ac:dyDescent="0.3">
      <c r="A7" t="s">
        <v>320</v>
      </c>
      <c r="B7" t="s">
        <v>537</v>
      </c>
      <c r="C7" t="s">
        <v>234</v>
      </c>
      <c r="E7">
        <v>302</v>
      </c>
      <c r="F7">
        <v>0</v>
      </c>
      <c r="G7">
        <v>0</v>
      </c>
      <c r="H7">
        <v>7</v>
      </c>
      <c r="I7">
        <v>0</v>
      </c>
      <c r="J7">
        <v>0</v>
      </c>
      <c r="K7">
        <v>295</v>
      </c>
    </row>
    <row r="8" spans="1:11" x14ac:dyDescent="0.3">
      <c r="A8" t="s">
        <v>312</v>
      </c>
      <c r="B8" t="s">
        <v>537</v>
      </c>
      <c r="C8" t="s">
        <v>283</v>
      </c>
      <c r="D8" t="s">
        <v>217</v>
      </c>
      <c r="E8">
        <v>135</v>
      </c>
      <c r="F8">
        <v>0</v>
      </c>
      <c r="G8">
        <v>0</v>
      </c>
      <c r="H8">
        <v>135</v>
      </c>
      <c r="I8">
        <v>0</v>
      </c>
      <c r="J8">
        <v>0</v>
      </c>
      <c r="K8">
        <v>0</v>
      </c>
    </row>
    <row r="9" spans="1:11" x14ac:dyDescent="0.3">
      <c r="A9" t="s">
        <v>328</v>
      </c>
      <c r="B9" t="s">
        <v>537</v>
      </c>
      <c r="C9" t="s">
        <v>224</v>
      </c>
      <c r="E9">
        <v>125</v>
      </c>
      <c r="F9">
        <v>0</v>
      </c>
      <c r="G9">
        <v>0</v>
      </c>
      <c r="H9">
        <v>99</v>
      </c>
      <c r="I9">
        <v>0</v>
      </c>
      <c r="J9">
        <v>0</v>
      </c>
      <c r="K9">
        <v>26</v>
      </c>
    </row>
    <row r="10" spans="1:11" x14ac:dyDescent="0.3">
      <c r="A10" t="s">
        <v>326</v>
      </c>
      <c r="B10" t="s">
        <v>542</v>
      </c>
      <c r="C10" t="s">
        <v>218</v>
      </c>
      <c r="E10">
        <v>52</v>
      </c>
      <c r="F10">
        <v>0</v>
      </c>
      <c r="G10">
        <v>0</v>
      </c>
      <c r="H10">
        <v>0</v>
      </c>
      <c r="I10">
        <v>0</v>
      </c>
      <c r="J10">
        <v>0</v>
      </c>
      <c r="K10">
        <v>52</v>
      </c>
    </row>
    <row r="11" spans="1:11" x14ac:dyDescent="0.3">
      <c r="A11" t="s">
        <v>320</v>
      </c>
      <c r="B11" t="s">
        <v>540</v>
      </c>
      <c r="C11" t="s">
        <v>257</v>
      </c>
      <c r="E11">
        <v>29</v>
      </c>
      <c r="F11">
        <v>0</v>
      </c>
      <c r="G11">
        <v>4</v>
      </c>
      <c r="H11">
        <v>0</v>
      </c>
      <c r="I11">
        <v>0</v>
      </c>
      <c r="J11">
        <v>0</v>
      </c>
      <c r="K11">
        <v>29</v>
      </c>
    </row>
    <row r="12" spans="1:11" x14ac:dyDescent="0.3">
      <c r="A12" t="s">
        <v>312</v>
      </c>
      <c r="B12" t="s">
        <v>537</v>
      </c>
      <c r="C12" t="s">
        <v>234</v>
      </c>
      <c r="D12" t="s">
        <v>237</v>
      </c>
      <c r="E12">
        <v>314</v>
      </c>
      <c r="F12">
        <v>0</v>
      </c>
      <c r="G12">
        <v>0</v>
      </c>
      <c r="H12">
        <v>8</v>
      </c>
      <c r="I12">
        <v>0</v>
      </c>
      <c r="J12">
        <v>0</v>
      </c>
      <c r="K12">
        <v>306</v>
      </c>
    </row>
    <row r="13" spans="1:11" x14ac:dyDescent="0.3">
      <c r="A13" t="s">
        <v>412</v>
      </c>
      <c r="B13" t="s">
        <v>540</v>
      </c>
      <c r="C13" t="s">
        <v>230</v>
      </c>
      <c r="E13">
        <v>24</v>
      </c>
      <c r="F13">
        <v>0</v>
      </c>
      <c r="G13">
        <v>6</v>
      </c>
      <c r="H13">
        <v>0</v>
      </c>
      <c r="I13">
        <v>0</v>
      </c>
      <c r="J13">
        <v>0</v>
      </c>
      <c r="K13">
        <v>24</v>
      </c>
    </row>
    <row r="14" spans="1:11" x14ac:dyDescent="0.3">
      <c r="A14" t="s">
        <v>326</v>
      </c>
      <c r="B14" t="s">
        <v>537</v>
      </c>
      <c r="C14" t="s">
        <v>259</v>
      </c>
      <c r="E14">
        <v>53</v>
      </c>
      <c r="F14">
        <v>0</v>
      </c>
      <c r="G14">
        <v>0</v>
      </c>
      <c r="H14">
        <v>0</v>
      </c>
      <c r="I14">
        <v>0</v>
      </c>
      <c r="J14">
        <v>0</v>
      </c>
      <c r="K14">
        <v>53</v>
      </c>
    </row>
    <row r="15" spans="1:11" x14ac:dyDescent="0.3">
      <c r="A15" t="s">
        <v>326</v>
      </c>
      <c r="B15" t="s">
        <v>537</v>
      </c>
      <c r="C15" t="s">
        <v>309</v>
      </c>
      <c r="E15">
        <v>96</v>
      </c>
      <c r="F15">
        <v>0</v>
      </c>
      <c r="G15">
        <v>0</v>
      </c>
      <c r="H15">
        <v>21</v>
      </c>
      <c r="I15">
        <v>0</v>
      </c>
      <c r="J15">
        <v>0</v>
      </c>
      <c r="K15">
        <v>75</v>
      </c>
    </row>
    <row r="16" spans="1:11" x14ac:dyDescent="0.3">
      <c r="A16" t="s">
        <v>213</v>
      </c>
      <c r="B16" t="s">
        <v>540</v>
      </c>
      <c r="C16" t="s">
        <v>265</v>
      </c>
      <c r="D16" t="s">
        <v>264</v>
      </c>
      <c r="E16">
        <v>20</v>
      </c>
      <c r="F16">
        <v>0</v>
      </c>
      <c r="G16">
        <v>0</v>
      </c>
      <c r="H16">
        <v>0</v>
      </c>
      <c r="I16">
        <v>0</v>
      </c>
      <c r="J16">
        <v>0</v>
      </c>
      <c r="K16">
        <v>20</v>
      </c>
    </row>
    <row r="17" spans="1:11" x14ac:dyDescent="0.3">
      <c r="A17" t="s">
        <v>326</v>
      </c>
      <c r="B17" t="s">
        <v>537</v>
      </c>
      <c r="C17" t="s">
        <v>283</v>
      </c>
      <c r="E17">
        <v>135</v>
      </c>
      <c r="F17">
        <v>0</v>
      </c>
      <c r="G17">
        <v>0</v>
      </c>
      <c r="H17">
        <v>132</v>
      </c>
      <c r="I17">
        <v>0</v>
      </c>
      <c r="J17">
        <v>0</v>
      </c>
      <c r="K17">
        <v>3</v>
      </c>
    </row>
    <row r="18" spans="1:11" x14ac:dyDescent="0.3">
      <c r="A18" t="s">
        <v>320</v>
      </c>
      <c r="B18" t="s">
        <v>537</v>
      </c>
      <c r="C18" t="s">
        <v>300</v>
      </c>
      <c r="E18">
        <v>133</v>
      </c>
      <c r="F18">
        <v>0</v>
      </c>
      <c r="G18">
        <v>0</v>
      </c>
      <c r="H18">
        <v>133</v>
      </c>
      <c r="I18">
        <v>0</v>
      </c>
      <c r="J18">
        <v>0</v>
      </c>
      <c r="K18">
        <v>0</v>
      </c>
    </row>
    <row r="19" spans="1:11" x14ac:dyDescent="0.3">
      <c r="A19" t="s">
        <v>320</v>
      </c>
      <c r="B19" t="s">
        <v>540</v>
      </c>
      <c r="C19" t="s">
        <v>226</v>
      </c>
      <c r="E19">
        <v>31</v>
      </c>
      <c r="F19">
        <v>0</v>
      </c>
      <c r="G19">
        <v>3</v>
      </c>
      <c r="H19">
        <v>0</v>
      </c>
      <c r="I19">
        <v>0</v>
      </c>
      <c r="J19">
        <v>0</v>
      </c>
      <c r="K19">
        <v>31</v>
      </c>
    </row>
    <row r="20" spans="1:11" x14ac:dyDescent="0.3">
      <c r="A20" t="s">
        <v>318</v>
      </c>
      <c r="B20" t="s">
        <v>537</v>
      </c>
      <c r="C20" t="s">
        <v>249</v>
      </c>
      <c r="D20" t="s">
        <v>231</v>
      </c>
      <c r="E20">
        <v>125</v>
      </c>
      <c r="F20">
        <v>0</v>
      </c>
      <c r="G20">
        <v>0</v>
      </c>
      <c r="H20">
        <v>78</v>
      </c>
      <c r="I20">
        <v>0</v>
      </c>
      <c r="J20">
        <v>0</v>
      </c>
      <c r="K20">
        <v>47</v>
      </c>
    </row>
    <row r="21" spans="1:11" x14ac:dyDescent="0.3">
      <c r="A21" t="s">
        <v>325</v>
      </c>
      <c r="B21" t="s">
        <v>537</v>
      </c>
      <c r="C21" t="s">
        <v>247</v>
      </c>
      <c r="E21">
        <v>181</v>
      </c>
      <c r="F21">
        <v>0</v>
      </c>
      <c r="G21">
        <v>0</v>
      </c>
      <c r="H21">
        <v>12</v>
      </c>
      <c r="I21">
        <v>0</v>
      </c>
      <c r="J21">
        <v>0</v>
      </c>
      <c r="K21">
        <v>169</v>
      </c>
    </row>
    <row r="22" spans="1:11" x14ac:dyDescent="0.3">
      <c r="A22" t="s">
        <v>325</v>
      </c>
      <c r="B22" t="s">
        <v>540</v>
      </c>
      <c r="C22" t="s">
        <v>285</v>
      </c>
      <c r="E22">
        <v>9</v>
      </c>
      <c r="F22">
        <v>0</v>
      </c>
      <c r="G22">
        <v>8</v>
      </c>
      <c r="H22">
        <v>0</v>
      </c>
      <c r="I22">
        <v>0</v>
      </c>
      <c r="J22">
        <v>0</v>
      </c>
      <c r="K22">
        <v>9</v>
      </c>
    </row>
    <row r="23" spans="1:11" x14ac:dyDescent="0.3">
      <c r="A23" t="s">
        <v>318</v>
      </c>
      <c r="B23" t="s">
        <v>540</v>
      </c>
      <c r="C23" t="s">
        <v>285</v>
      </c>
      <c r="D23" t="s">
        <v>217</v>
      </c>
      <c r="E23">
        <v>15</v>
      </c>
      <c r="F23">
        <v>0</v>
      </c>
      <c r="G23">
        <v>7</v>
      </c>
      <c r="H23">
        <v>0</v>
      </c>
      <c r="I23">
        <v>0</v>
      </c>
      <c r="J23">
        <v>0</v>
      </c>
      <c r="K23">
        <v>15</v>
      </c>
    </row>
    <row r="24" spans="1:11" x14ac:dyDescent="0.3">
      <c r="A24" t="s">
        <v>412</v>
      </c>
      <c r="B24" t="s">
        <v>537</v>
      </c>
      <c r="C24" t="s">
        <v>304</v>
      </c>
      <c r="E24">
        <v>232</v>
      </c>
      <c r="F24">
        <v>0</v>
      </c>
      <c r="G24">
        <v>0</v>
      </c>
      <c r="H24">
        <v>82</v>
      </c>
      <c r="I24">
        <v>0</v>
      </c>
      <c r="J24">
        <v>0</v>
      </c>
      <c r="K24">
        <v>150</v>
      </c>
    </row>
    <row r="25" spans="1:11" x14ac:dyDescent="0.3">
      <c r="A25" t="s">
        <v>213</v>
      </c>
      <c r="B25" t="s">
        <v>537</v>
      </c>
      <c r="C25" t="s">
        <v>281</v>
      </c>
      <c r="D25" t="s">
        <v>280</v>
      </c>
      <c r="E25">
        <v>154</v>
      </c>
      <c r="F25">
        <v>0</v>
      </c>
      <c r="G25">
        <v>0</v>
      </c>
      <c r="H25">
        <v>120</v>
      </c>
      <c r="I25">
        <v>0</v>
      </c>
      <c r="J25">
        <v>4</v>
      </c>
      <c r="K25">
        <v>30</v>
      </c>
    </row>
    <row r="26" spans="1:11" x14ac:dyDescent="0.3">
      <c r="A26" t="s">
        <v>325</v>
      </c>
      <c r="B26" t="s">
        <v>540</v>
      </c>
      <c r="C26" t="s">
        <v>275</v>
      </c>
      <c r="E26">
        <v>20</v>
      </c>
      <c r="F26">
        <v>0</v>
      </c>
      <c r="G26">
        <v>11</v>
      </c>
      <c r="H26">
        <v>0</v>
      </c>
      <c r="I26">
        <v>0</v>
      </c>
      <c r="J26">
        <v>0</v>
      </c>
      <c r="K26">
        <v>20</v>
      </c>
    </row>
    <row r="27" spans="1:11" x14ac:dyDescent="0.3">
      <c r="A27" t="s">
        <v>312</v>
      </c>
      <c r="B27" t="s">
        <v>537</v>
      </c>
      <c r="C27" t="s">
        <v>307</v>
      </c>
      <c r="D27" t="s">
        <v>237</v>
      </c>
      <c r="E27">
        <v>126</v>
      </c>
      <c r="F27">
        <v>0</v>
      </c>
      <c r="G27">
        <v>0</v>
      </c>
      <c r="H27">
        <v>75</v>
      </c>
      <c r="I27">
        <v>0</v>
      </c>
      <c r="J27">
        <v>0</v>
      </c>
      <c r="K27">
        <v>51</v>
      </c>
    </row>
    <row r="28" spans="1:11" x14ac:dyDescent="0.3">
      <c r="A28" t="s">
        <v>412</v>
      </c>
      <c r="B28" t="s">
        <v>540</v>
      </c>
      <c r="C28" t="s">
        <v>275</v>
      </c>
      <c r="E28">
        <v>24</v>
      </c>
      <c r="F28">
        <v>0</v>
      </c>
      <c r="G28">
        <v>11</v>
      </c>
      <c r="H28">
        <v>0</v>
      </c>
      <c r="I28">
        <v>0</v>
      </c>
      <c r="J28">
        <v>0</v>
      </c>
      <c r="K28">
        <v>24</v>
      </c>
    </row>
    <row r="29" spans="1:11" x14ac:dyDescent="0.3">
      <c r="A29" t="s">
        <v>320</v>
      </c>
      <c r="B29" t="s">
        <v>537</v>
      </c>
      <c r="C29" t="s">
        <v>249</v>
      </c>
      <c r="E29">
        <v>123</v>
      </c>
      <c r="F29">
        <v>0</v>
      </c>
      <c r="G29">
        <v>0</v>
      </c>
      <c r="H29">
        <v>77</v>
      </c>
      <c r="I29">
        <v>0</v>
      </c>
      <c r="J29">
        <v>0</v>
      </c>
      <c r="K29">
        <v>46</v>
      </c>
    </row>
    <row r="30" spans="1:11" x14ac:dyDescent="0.3">
      <c r="A30" t="s">
        <v>213</v>
      </c>
      <c r="B30" t="s">
        <v>537</v>
      </c>
      <c r="C30" t="s">
        <v>287</v>
      </c>
      <c r="D30" t="s">
        <v>286</v>
      </c>
      <c r="E30">
        <v>205</v>
      </c>
      <c r="F30">
        <v>0</v>
      </c>
      <c r="G30">
        <v>0</v>
      </c>
      <c r="H30">
        <v>107</v>
      </c>
      <c r="I30">
        <v>0</v>
      </c>
      <c r="J30">
        <v>22</v>
      </c>
      <c r="K30">
        <v>76</v>
      </c>
    </row>
    <row r="31" spans="1:11" x14ac:dyDescent="0.3">
      <c r="A31" t="s">
        <v>328</v>
      </c>
      <c r="B31" t="s">
        <v>537</v>
      </c>
      <c r="C31" t="s">
        <v>234</v>
      </c>
      <c r="E31">
        <v>296</v>
      </c>
      <c r="F31">
        <v>0</v>
      </c>
      <c r="G31">
        <v>0</v>
      </c>
      <c r="H31">
        <v>8</v>
      </c>
      <c r="I31">
        <v>0</v>
      </c>
      <c r="J31">
        <v>0</v>
      </c>
      <c r="K31">
        <v>288</v>
      </c>
    </row>
    <row r="32" spans="1:11" x14ac:dyDescent="0.3">
      <c r="A32" t="s">
        <v>320</v>
      </c>
      <c r="B32" t="s">
        <v>540</v>
      </c>
      <c r="C32" t="s">
        <v>313</v>
      </c>
      <c r="E32">
        <v>38</v>
      </c>
      <c r="F32">
        <v>0</v>
      </c>
      <c r="G32">
        <v>4</v>
      </c>
      <c r="H32">
        <v>0</v>
      </c>
      <c r="I32">
        <v>0</v>
      </c>
      <c r="J32">
        <v>0</v>
      </c>
      <c r="K32">
        <v>38</v>
      </c>
    </row>
    <row r="33" spans="1:11" x14ac:dyDescent="0.3">
      <c r="A33" t="s">
        <v>326</v>
      </c>
      <c r="B33" t="s">
        <v>540</v>
      </c>
      <c r="C33" t="s">
        <v>236</v>
      </c>
      <c r="E33">
        <v>27</v>
      </c>
      <c r="F33">
        <v>0</v>
      </c>
      <c r="G33">
        <v>0</v>
      </c>
      <c r="H33">
        <v>0</v>
      </c>
      <c r="I33">
        <v>0</v>
      </c>
      <c r="J33">
        <v>0</v>
      </c>
      <c r="K33">
        <v>27</v>
      </c>
    </row>
    <row r="34" spans="1:11" x14ac:dyDescent="0.3">
      <c r="A34" t="s">
        <v>318</v>
      </c>
      <c r="B34" t="s">
        <v>537</v>
      </c>
      <c r="C34" t="s">
        <v>240</v>
      </c>
      <c r="D34" t="s">
        <v>617</v>
      </c>
      <c r="E34">
        <v>51</v>
      </c>
      <c r="F34">
        <v>0</v>
      </c>
      <c r="G34">
        <v>0</v>
      </c>
      <c r="H34">
        <v>27</v>
      </c>
      <c r="I34">
        <v>0</v>
      </c>
      <c r="J34">
        <v>0</v>
      </c>
      <c r="K34">
        <v>24</v>
      </c>
    </row>
    <row r="35" spans="1:11" x14ac:dyDescent="0.3">
      <c r="A35" t="s">
        <v>328</v>
      </c>
      <c r="B35" t="s">
        <v>540</v>
      </c>
      <c r="C35" t="s">
        <v>236</v>
      </c>
      <c r="E35">
        <v>25</v>
      </c>
      <c r="F35">
        <v>0</v>
      </c>
      <c r="G35">
        <v>0</v>
      </c>
      <c r="H35">
        <v>0</v>
      </c>
      <c r="I35">
        <v>0</v>
      </c>
      <c r="J35">
        <v>0</v>
      </c>
      <c r="K35">
        <v>25</v>
      </c>
    </row>
    <row r="36" spans="1:11" x14ac:dyDescent="0.3">
      <c r="A36" t="s">
        <v>213</v>
      </c>
      <c r="B36" t="s">
        <v>540</v>
      </c>
      <c r="C36" t="s">
        <v>244</v>
      </c>
      <c r="D36" t="s">
        <v>245</v>
      </c>
      <c r="E36">
        <v>22</v>
      </c>
      <c r="F36">
        <v>0</v>
      </c>
      <c r="G36">
        <v>1</v>
      </c>
      <c r="H36">
        <v>0</v>
      </c>
      <c r="I36">
        <v>0</v>
      </c>
      <c r="J36">
        <v>0</v>
      </c>
      <c r="K36">
        <v>22</v>
      </c>
    </row>
    <row r="37" spans="1:11" x14ac:dyDescent="0.3">
      <c r="A37" t="s">
        <v>326</v>
      </c>
      <c r="B37" t="s">
        <v>537</v>
      </c>
      <c r="C37" t="s">
        <v>224</v>
      </c>
      <c r="E37">
        <v>127</v>
      </c>
      <c r="F37">
        <v>0</v>
      </c>
      <c r="G37">
        <v>0</v>
      </c>
      <c r="H37">
        <v>100</v>
      </c>
      <c r="I37">
        <v>0</v>
      </c>
      <c r="J37">
        <v>0</v>
      </c>
      <c r="K37">
        <v>27</v>
      </c>
    </row>
    <row r="38" spans="1:11" x14ac:dyDescent="0.3">
      <c r="A38" t="s">
        <v>412</v>
      </c>
      <c r="B38" t="s">
        <v>542</v>
      </c>
      <c r="C38" t="s">
        <v>238</v>
      </c>
      <c r="D38" t="s">
        <v>237</v>
      </c>
      <c r="E38">
        <v>40</v>
      </c>
      <c r="F38">
        <v>0</v>
      </c>
      <c r="G38">
        <v>0</v>
      </c>
      <c r="H38">
        <v>0</v>
      </c>
      <c r="I38">
        <v>0</v>
      </c>
      <c r="J38">
        <v>0</v>
      </c>
      <c r="K38">
        <v>40</v>
      </c>
    </row>
    <row r="39" spans="1:11" x14ac:dyDescent="0.3">
      <c r="A39" t="s">
        <v>325</v>
      </c>
      <c r="B39" t="s">
        <v>537</v>
      </c>
      <c r="C39" t="s">
        <v>220</v>
      </c>
      <c r="E39">
        <v>306</v>
      </c>
      <c r="F39">
        <v>0</v>
      </c>
      <c r="G39">
        <v>0</v>
      </c>
      <c r="H39">
        <v>278</v>
      </c>
      <c r="I39">
        <v>0</v>
      </c>
      <c r="J39">
        <v>0</v>
      </c>
      <c r="K39">
        <v>28</v>
      </c>
    </row>
    <row r="40" spans="1:11" x14ac:dyDescent="0.3">
      <c r="A40" t="s">
        <v>320</v>
      </c>
      <c r="B40" t="s">
        <v>537</v>
      </c>
      <c r="C40" t="s">
        <v>270</v>
      </c>
      <c r="E40">
        <v>493</v>
      </c>
      <c r="F40">
        <v>0</v>
      </c>
      <c r="G40">
        <v>0</v>
      </c>
      <c r="H40">
        <v>0</v>
      </c>
      <c r="I40">
        <v>0</v>
      </c>
      <c r="J40">
        <v>0</v>
      </c>
      <c r="K40">
        <v>493</v>
      </c>
    </row>
    <row r="41" spans="1:11" x14ac:dyDescent="0.3">
      <c r="A41" t="s">
        <v>412</v>
      </c>
      <c r="B41" t="s">
        <v>537</v>
      </c>
      <c r="C41" t="s">
        <v>240</v>
      </c>
      <c r="E41">
        <v>51</v>
      </c>
      <c r="F41">
        <v>0</v>
      </c>
      <c r="G41">
        <v>0</v>
      </c>
      <c r="H41">
        <v>24</v>
      </c>
      <c r="I41">
        <v>0</v>
      </c>
      <c r="J41">
        <v>0</v>
      </c>
      <c r="K41">
        <v>27</v>
      </c>
    </row>
    <row r="42" spans="1:11" x14ac:dyDescent="0.3">
      <c r="A42" t="s">
        <v>326</v>
      </c>
      <c r="B42" t="s">
        <v>540</v>
      </c>
      <c r="C42" t="s">
        <v>265</v>
      </c>
      <c r="E42">
        <v>19</v>
      </c>
      <c r="F42">
        <v>0</v>
      </c>
      <c r="G42">
        <v>2</v>
      </c>
      <c r="H42">
        <v>0</v>
      </c>
      <c r="I42">
        <v>0</v>
      </c>
      <c r="J42">
        <v>0</v>
      </c>
      <c r="K42">
        <v>19</v>
      </c>
    </row>
    <row r="43" spans="1:11" x14ac:dyDescent="0.3">
      <c r="A43" t="s">
        <v>325</v>
      </c>
      <c r="B43" t="s">
        <v>537</v>
      </c>
      <c r="C43" t="s">
        <v>228</v>
      </c>
      <c r="E43">
        <v>389</v>
      </c>
      <c r="F43">
        <v>0</v>
      </c>
      <c r="G43">
        <v>0</v>
      </c>
      <c r="H43">
        <v>167</v>
      </c>
      <c r="I43">
        <v>0</v>
      </c>
      <c r="J43">
        <v>172</v>
      </c>
      <c r="K43">
        <v>50</v>
      </c>
    </row>
    <row r="44" spans="1:11" x14ac:dyDescent="0.3">
      <c r="A44" t="s">
        <v>328</v>
      </c>
      <c r="B44" t="s">
        <v>540</v>
      </c>
      <c r="C44" t="s">
        <v>324</v>
      </c>
      <c r="E44">
        <v>23</v>
      </c>
      <c r="F44">
        <v>0</v>
      </c>
      <c r="G44">
        <v>2</v>
      </c>
      <c r="H44">
        <v>0</v>
      </c>
      <c r="I44">
        <v>0</v>
      </c>
      <c r="J44">
        <v>0</v>
      </c>
      <c r="K44">
        <v>23</v>
      </c>
    </row>
    <row r="45" spans="1:11" x14ac:dyDescent="0.3">
      <c r="A45" t="s">
        <v>412</v>
      </c>
      <c r="B45" t="s">
        <v>540</v>
      </c>
      <c r="C45" t="s">
        <v>322</v>
      </c>
      <c r="E45">
        <v>73</v>
      </c>
      <c r="F45">
        <v>0</v>
      </c>
      <c r="G45">
        <v>8</v>
      </c>
      <c r="H45">
        <v>0</v>
      </c>
      <c r="I45">
        <v>0</v>
      </c>
      <c r="J45">
        <v>0</v>
      </c>
      <c r="K45">
        <v>73</v>
      </c>
    </row>
    <row r="46" spans="1:11" x14ac:dyDescent="0.3">
      <c r="A46" t="s">
        <v>412</v>
      </c>
      <c r="B46" t="s">
        <v>537</v>
      </c>
      <c r="C46" t="s">
        <v>302</v>
      </c>
      <c r="E46">
        <v>98</v>
      </c>
      <c r="F46">
        <v>0</v>
      </c>
      <c r="G46">
        <v>0</v>
      </c>
      <c r="H46">
        <v>47</v>
      </c>
      <c r="I46">
        <v>0</v>
      </c>
      <c r="J46">
        <v>0</v>
      </c>
      <c r="K46">
        <v>51</v>
      </c>
    </row>
    <row r="47" spans="1:11" x14ac:dyDescent="0.3">
      <c r="A47" t="s">
        <v>318</v>
      </c>
      <c r="B47" t="s">
        <v>537</v>
      </c>
      <c r="C47" t="s">
        <v>234</v>
      </c>
      <c r="D47" t="s">
        <v>237</v>
      </c>
      <c r="E47">
        <v>308</v>
      </c>
      <c r="F47">
        <v>0</v>
      </c>
      <c r="G47">
        <v>0</v>
      </c>
      <c r="H47">
        <v>8</v>
      </c>
      <c r="I47">
        <v>0</v>
      </c>
      <c r="J47">
        <v>0</v>
      </c>
      <c r="K47">
        <v>300</v>
      </c>
    </row>
    <row r="48" spans="1:11" x14ac:dyDescent="0.3">
      <c r="A48" t="s">
        <v>312</v>
      </c>
      <c r="B48" t="s">
        <v>537</v>
      </c>
      <c r="C48" t="s">
        <v>224</v>
      </c>
      <c r="D48" t="s">
        <v>217</v>
      </c>
      <c r="E48">
        <v>130</v>
      </c>
      <c r="F48">
        <v>0</v>
      </c>
      <c r="G48">
        <v>0</v>
      </c>
      <c r="H48">
        <v>103</v>
      </c>
      <c r="I48">
        <v>0</v>
      </c>
      <c r="J48">
        <v>0</v>
      </c>
      <c r="K48">
        <v>27</v>
      </c>
    </row>
    <row r="49" spans="1:11" x14ac:dyDescent="0.3">
      <c r="A49" t="s">
        <v>326</v>
      </c>
      <c r="B49" t="s">
        <v>544</v>
      </c>
      <c r="C49" t="s">
        <v>545</v>
      </c>
      <c r="D49" t="s">
        <v>549</v>
      </c>
      <c r="E49">
        <v>1142</v>
      </c>
      <c r="F49">
        <v>171</v>
      </c>
      <c r="G49">
        <v>0</v>
      </c>
      <c r="H49">
        <v>0</v>
      </c>
      <c r="I49">
        <v>887</v>
      </c>
      <c r="J49">
        <v>0</v>
      </c>
      <c r="K49">
        <v>84</v>
      </c>
    </row>
    <row r="50" spans="1:11" x14ac:dyDescent="0.3">
      <c r="A50" t="s">
        <v>328</v>
      </c>
      <c r="B50" t="s">
        <v>537</v>
      </c>
      <c r="C50" t="s">
        <v>296</v>
      </c>
      <c r="E50">
        <v>116</v>
      </c>
      <c r="F50">
        <v>0</v>
      </c>
      <c r="G50">
        <v>0</v>
      </c>
      <c r="H50">
        <v>14</v>
      </c>
      <c r="I50">
        <v>0</v>
      </c>
      <c r="J50">
        <v>0</v>
      </c>
      <c r="K50">
        <v>102</v>
      </c>
    </row>
    <row r="51" spans="1:11" x14ac:dyDescent="0.3">
      <c r="A51" t="s">
        <v>328</v>
      </c>
      <c r="B51" t="s">
        <v>537</v>
      </c>
      <c r="C51" t="s">
        <v>267</v>
      </c>
      <c r="E51">
        <v>313</v>
      </c>
      <c r="F51">
        <v>0</v>
      </c>
      <c r="G51">
        <v>0</v>
      </c>
      <c r="H51">
        <v>102</v>
      </c>
      <c r="I51">
        <v>0</v>
      </c>
      <c r="J51">
        <v>0</v>
      </c>
      <c r="K51">
        <v>211</v>
      </c>
    </row>
    <row r="52" spans="1:11" x14ac:dyDescent="0.3">
      <c r="A52" t="s">
        <v>213</v>
      </c>
      <c r="B52" t="s">
        <v>537</v>
      </c>
      <c r="C52" t="s">
        <v>215</v>
      </c>
      <c r="D52" t="s">
        <v>214</v>
      </c>
      <c r="E52">
        <v>163</v>
      </c>
      <c r="F52">
        <v>0</v>
      </c>
      <c r="G52">
        <v>0</v>
      </c>
      <c r="H52">
        <v>9</v>
      </c>
      <c r="I52">
        <v>0</v>
      </c>
      <c r="J52">
        <v>0</v>
      </c>
      <c r="K52">
        <v>154</v>
      </c>
    </row>
    <row r="53" spans="1:11" x14ac:dyDescent="0.3">
      <c r="A53" t="s">
        <v>213</v>
      </c>
      <c r="B53" t="s">
        <v>540</v>
      </c>
      <c r="C53" t="s">
        <v>242</v>
      </c>
      <c r="D53" t="s">
        <v>241</v>
      </c>
      <c r="E53">
        <v>18</v>
      </c>
      <c r="F53">
        <v>0</v>
      </c>
      <c r="G53">
        <v>1</v>
      </c>
      <c r="H53">
        <v>0</v>
      </c>
      <c r="I53">
        <v>0</v>
      </c>
      <c r="J53">
        <v>0</v>
      </c>
      <c r="K53">
        <v>18</v>
      </c>
    </row>
    <row r="54" spans="1:11" x14ac:dyDescent="0.3">
      <c r="A54" t="s">
        <v>320</v>
      </c>
      <c r="B54" t="s">
        <v>537</v>
      </c>
      <c r="C54" t="s">
        <v>307</v>
      </c>
      <c r="E54">
        <v>118</v>
      </c>
      <c r="F54">
        <v>0</v>
      </c>
      <c r="G54">
        <v>0</v>
      </c>
      <c r="H54">
        <v>69</v>
      </c>
      <c r="I54">
        <v>0</v>
      </c>
      <c r="J54">
        <v>0</v>
      </c>
      <c r="K54">
        <v>49</v>
      </c>
    </row>
    <row r="55" spans="1:11" x14ac:dyDescent="0.3">
      <c r="A55" t="s">
        <v>213</v>
      </c>
      <c r="B55" t="s">
        <v>537</v>
      </c>
      <c r="C55" t="s">
        <v>289</v>
      </c>
      <c r="D55" t="s">
        <v>288</v>
      </c>
      <c r="E55">
        <v>201</v>
      </c>
      <c r="F55">
        <v>0</v>
      </c>
      <c r="G55">
        <v>0</v>
      </c>
      <c r="H55">
        <v>35</v>
      </c>
      <c r="I55">
        <v>0</v>
      </c>
      <c r="J55">
        <v>0</v>
      </c>
      <c r="K55">
        <v>166</v>
      </c>
    </row>
    <row r="56" spans="1:11" x14ac:dyDescent="0.3">
      <c r="A56" t="s">
        <v>312</v>
      </c>
      <c r="B56" t="s">
        <v>537</v>
      </c>
      <c r="C56" t="s">
        <v>304</v>
      </c>
      <c r="D56" t="s">
        <v>231</v>
      </c>
      <c r="E56">
        <v>256</v>
      </c>
      <c r="F56">
        <v>0</v>
      </c>
      <c r="G56">
        <v>0</v>
      </c>
      <c r="H56">
        <v>86</v>
      </c>
      <c r="I56">
        <v>0</v>
      </c>
      <c r="J56">
        <v>2</v>
      </c>
      <c r="K56">
        <v>168</v>
      </c>
    </row>
    <row r="57" spans="1:11" x14ac:dyDescent="0.3">
      <c r="A57" t="s">
        <v>326</v>
      </c>
      <c r="B57" t="s">
        <v>540</v>
      </c>
      <c r="C57" t="s">
        <v>285</v>
      </c>
      <c r="E57">
        <v>1</v>
      </c>
      <c r="F57">
        <v>0</v>
      </c>
      <c r="G57">
        <v>7</v>
      </c>
      <c r="H57">
        <v>0</v>
      </c>
      <c r="I57">
        <v>0</v>
      </c>
      <c r="J57">
        <v>0</v>
      </c>
      <c r="K57">
        <v>1</v>
      </c>
    </row>
    <row r="58" spans="1:11" x14ac:dyDescent="0.3">
      <c r="A58" t="s">
        <v>318</v>
      </c>
      <c r="B58" t="s">
        <v>540</v>
      </c>
      <c r="C58" t="s">
        <v>270</v>
      </c>
      <c r="D58" t="s">
        <v>231</v>
      </c>
      <c r="E58">
        <v>26</v>
      </c>
      <c r="F58">
        <v>0</v>
      </c>
      <c r="G58">
        <v>0</v>
      </c>
      <c r="H58">
        <v>0</v>
      </c>
      <c r="I58">
        <v>0</v>
      </c>
      <c r="J58">
        <v>0</v>
      </c>
      <c r="K58">
        <v>26</v>
      </c>
    </row>
    <row r="59" spans="1:11" x14ac:dyDescent="0.3">
      <c r="A59" t="s">
        <v>412</v>
      </c>
      <c r="B59" t="s">
        <v>537</v>
      </c>
      <c r="C59" t="s">
        <v>283</v>
      </c>
      <c r="E59">
        <v>135</v>
      </c>
      <c r="F59">
        <v>0</v>
      </c>
      <c r="G59">
        <v>0</v>
      </c>
      <c r="H59">
        <v>132</v>
      </c>
      <c r="I59">
        <v>0</v>
      </c>
      <c r="J59">
        <v>0</v>
      </c>
      <c r="K59">
        <v>3</v>
      </c>
    </row>
    <row r="60" spans="1:11" x14ac:dyDescent="0.3">
      <c r="A60" t="s">
        <v>318</v>
      </c>
      <c r="B60" t="s">
        <v>537</v>
      </c>
      <c r="C60" t="s">
        <v>275</v>
      </c>
      <c r="D60" t="s">
        <v>217</v>
      </c>
      <c r="E60">
        <v>622</v>
      </c>
      <c r="F60">
        <v>0</v>
      </c>
      <c r="G60">
        <v>0</v>
      </c>
      <c r="H60">
        <v>500</v>
      </c>
      <c r="I60">
        <v>0</v>
      </c>
      <c r="J60">
        <v>48</v>
      </c>
      <c r="K60">
        <v>74</v>
      </c>
    </row>
    <row r="61" spans="1:11" x14ac:dyDescent="0.3">
      <c r="A61" t="s">
        <v>328</v>
      </c>
      <c r="B61" t="s">
        <v>537</v>
      </c>
      <c r="C61" t="s">
        <v>215</v>
      </c>
      <c r="E61">
        <v>165</v>
      </c>
      <c r="F61">
        <v>0</v>
      </c>
      <c r="G61">
        <v>0</v>
      </c>
      <c r="H61">
        <v>8</v>
      </c>
      <c r="I61">
        <v>0</v>
      </c>
      <c r="J61">
        <v>0</v>
      </c>
      <c r="K61">
        <v>157</v>
      </c>
    </row>
    <row r="62" spans="1:11" x14ac:dyDescent="0.3">
      <c r="A62" t="s">
        <v>326</v>
      </c>
      <c r="B62" t="s">
        <v>537</v>
      </c>
      <c r="C62" t="s">
        <v>304</v>
      </c>
      <c r="E62">
        <v>234</v>
      </c>
      <c r="F62">
        <v>0</v>
      </c>
      <c r="G62">
        <v>0</v>
      </c>
      <c r="H62">
        <v>73</v>
      </c>
      <c r="I62">
        <v>0</v>
      </c>
      <c r="J62">
        <v>0</v>
      </c>
      <c r="K62">
        <v>161</v>
      </c>
    </row>
    <row r="63" spans="1:11" x14ac:dyDescent="0.3">
      <c r="A63" t="s">
        <v>326</v>
      </c>
      <c r="B63" t="s">
        <v>537</v>
      </c>
      <c r="C63" t="s">
        <v>228</v>
      </c>
      <c r="E63">
        <v>400</v>
      </c>
      <c r="F63">
        <v>0</v>
      </c>
      <c r="G63">
        <v>0</v>
      </c>
      <c r="H63">
        <v>173</v>
      </c>
      <c r="I63">
        <v>0</v>
      </c>
      <c r="J63">
        <v>172</v>
      </c>
      <c r="K63">
        <v>55</v>
      </c>
    </row>
    <row r="64" spans="1:11" x14ac:dyDescent="0.3">
      <c r="A64" t="s">
        <v>318</v>
      </c>
      <c r="B64" t="s">
        <v>537</v>
      </c>
      <c r="C64" t="s">
        <v>287</v>
      </c>
      <c r="D64" t="s">
        <v>231</v>
      </c>
      <c r="E64">
        <v>197</v>
      </c>
      <c r="F64">
        <v>0</v>
      </c>
      <c r="G64">
        <v>0</v>
      </c>
      <c r="H64">
        <v>100</v>
      </c>
      <c r="I64">
        <v>0</v>
      </c>
      <c r="J64">
        <v>22</v>
      </c>
      <c r="K64">
        <v>75</v>
      </c>
    </row>
    <row r="65" spans="1:11" x14ac:dyDescent="0.3">
      <c r="A65" t="s">
        <v>213</v>
      </c>
      <c r="B65" t="s">
        <v>540</v>
      </c>
      <c r="C65" t="s">
        <v>289</v>
      </c>
      <c r="D65" t="s">
        <v>290</v>
      </c>
      <c r="E65">
        <v>17</v>
      </c>
      <c r="F65">
        <v>0</v>
      </c>
      <c r="G65">
        <v>0</v>
      </c>
      <c r="H65">
        <v>0</v>
      </c>
      <c r="I65">
        <v>0</v>
      </c>
      <c r="J65">
        <v>0</v>
      </c>
      <c r="K65">
        <v>17</v>
      </c>
    </row>
    <row r="66" spans="1:11" x14ac:dyDescent="0.3">
      <c r="A66" t="s">
        <v>320</v>
      </c>
      <c r="B66" t="s">
        <v>537</v>
      </c>
      <c r="C66" t="s">
        <v>309</v>
      </c>
      <c r="E66">
        <v>90</v>
      </c>
      <c r="F66">
        <v>0</v>
      </c>
      <c r="G66">
        <v>0</v>
      </c>
      <c r="H66">
        <v>21</v>
      </c>
      <c r="I66">
        <v>0</v>
      </c>
      <c r="J66">
        <v>0</v>
      </c>
      <c r="K66">
        <v>69</v>
      </c>
    </row>
    <row r="67" spans="1:11" x14ac:dyDescent="0.3">
      <c r="A67" t="s">
        <v>213</v>
      </c>
      <c r="B67" t="s">
        <v>540</v>
      </c>
      <c r="C67" t="s">
        <v>236</v>
      </c>
      <c r="D67" t="s">
        <v>235</v>
      </c>
      <c r="E67">
        <v>30</v>
      </c>
      <c r="F67">
        <v>0</v>
      </c>
      <c r="G67">
        <v>0</v>
      </c>
      <c r="H67">
        <v>0</v>
      </c>
      <c r="I67">
        <v>0</v>
      </c>
      <c r="J67">
        <v>0</v>
      </c>
      <c r="K67">
        <v>30</v>
      </c>
    </row>
    <row r="68" spans="1:11" x14ac:dyDescent="0.3">
      <c r="A68" t="s">
        <v>318</v>
      </c>
      <c r="B68" t="s">
        <v>537</v>
      </c>
      <c r="C68" t="s">
        <v>253</v>
      </c>
      <c r="D68" t="s">
        <v>231</v>
      </c>
      <c r="E68">
        <v>76</v>
      </c>
      <c r="F68">
        <v>0</v>
      </c>
      <c r="G68">
        <v>0</v>
      </c>
      <c r="H68">
        <v>0</v>
      </c>
      <c r="I68">
        <v>0</v>
      </c>
      <c r="J68">
        <v>0</v>
      </c>
      <c r="K68">
        <v>76</v>
      </c>
    </row>
    <row r="69" spans="1:11" x14ac:dyDescent="0.3">
      <c r="A69" t="s">
        <v>326</v>
      </c>
      <c r="B69" t="s">
        <v>537</v>
      </c>
      <c r="C69" t="s">
        <v>279</v>
      </c>
      <c r="E69">
        <v>42</v>
      </c>
      <c r="F69">
        <v>0</v>
      </c>
      <c r="G69">
        <v>0</v>
      </c>
      <c r="H69">
        <v>13</v>
      </c>
      <c r="I69">
        <v>0</v>
      </c>
      <c r="J69">
        <v>0</v>
      </c>
      <c r="K69">
        <v>29</v>
      </c>
    </row>
    <row r="70" spans="1:11" x14ac:dyDescent="0.3">
      <c r="A70" t="s">
        <v>325</v>
      </c>
      <c r="B70" t="s">
        <v>537</v>
      </c>
      <c r="C70" t="s">
        <v>234</v>
      </c>
      <c r="E70">
        <v>292</v>
      </c>
      <c r="F70">
        <v>0</v>
      </c>
      <c r="G70">
        <v>0</v>
      </c>
      <c r="H70">
        <v>9</v>
      </c>
      <c r="I70">
        <v>0</v>
      </c>
      <c r="J70">
        <v>0</v>
      </c>
      <c r="K70">
        <v>283</v>
      </c>
    </row>
    <row r="71" spans="1:11" x14ac:dyDescent="0.3">
      <c r="A71" t="s">
        <v>326</v>
      </c>
      <c r="B71" t="s">
        <v>540</v>
      </c>
      <c r="C71" t="s">
        <v>257</v>
      </c>
      <c r="E71">
        <v>26</v>
      </c>
      <c r="F71">
        <v>0</v>
      </c>
      <c r="G71">
        <v>3</v>
      </c>
      <c r="H71">
        <v>0</v>
      </c>
      <c r="I71">
        <v>0</v>
      </c>
      <c r="J71">
        <v>0</v>
      </c>
      <c r="K71">
        <v>26</v>
      </c>
    </row>
    <row r="72" spans="1:11" x14ac:dyDescent="0.3">
      <c r="A72" t="s">
        <v>320</v>
      </c>
      <c r="B72" t="s">
        <v>537</v>
      </c>
      <c r="C72" t="s">
        <v>228</v>
      </c>
      <c r="E72">
        <v>401</v>
      </c>
      <c r="F72">
        <v>0</v>
      </c>
      <c r="G72">
        <v>0</v>
      </c>
      <c r="H72">
        <v>172</v>
      </c>
      <c r="I72">
        <v>0</v>
      </c>
      <c r="J72">
        <v>183</v>
      </c>
      <c r="K72">
        <v>46</v>
      </c>
    </row>
    <row r="73" spans="1:11" x14ac:dyDescent="0.3">
      <c r="A73" t="s">
        <v>412</v>
      </c>
      <c r="B73" t="s">
        <v>540</v>
      </c>
      <c r="C73" t="s">
        <v>251</v>
      </c>
      <c r="E73">
        <v>25</v>
      </c>
      <c r="F73">
        <v>0</v>
      </c>
      <c r="G73">
        <v>4</v>
      </c>
      <c r="H73">
        <v>0</v>
      </c>
      <c r="I73">
        <v>0</v>
      </c>
      <c r="J73">
        <v>0</v>
      </c>
      <c r="K73">
        <v>25</v>
      </c>
    </row>
    <row r="74" spans="1:11" x14ac:dyDescent="0.3">
      <c r="A74" t="s">
        <v>328</v>
      </c>
      <c r="B74" t="s">
        <v>537</v>
      </c>
      <c r="C74" t="s">
        <v>228</v>
      </c>
      <c r="E74">
        <v>416</v>
      </c>
      <c r="F74">
        <v>0</v>
      </c>
      <c r="G74">
        <v>0</v>
      </c>
      <c r="H74">
        <v>182</v>
      </c>
      <c r="I74">
        <v>0</v>
      </c>
      <c r="J74">
        <v>181</v>
      </c>
      <c r="K74">
        <v>53</v>
      </c>
    </row>
    <row r="75" spans="1:11" x14ac:dyDescent="0.3">
      <c r="A75" t="s">
        <v>326</v>
      </c>
      <c r="B75" t="s">
        <v>537</v>
      </c>
      <c r="C75" t="s">
        <v>247</v>
      </c>
      <c r="E75">
        <v>182</v>
      </c>
      <c r="F75">
        <v>0</v>
      </c>
      <c r="G75">
        <v>0</v>
      </c>
      <c r="H75">
        <v>14</v>
      </c>
      <c r="I75">
        <v>0</v>
      </c>
      <c r="J75">
        <v>0</v>
      </c>
      <c r="K75">
        <v>168</v>
      </c>
    </row>
    <row r="76" spans="1:11" x14ac:dyDescent="0.3">
      <c r="A76" t="s">
        <v>320</v>
      </c>
      <c r="B76" t="s">
        <v>537</v>
      </c>
      <c r="C76" t="s">
        <v>247</v>
      </c>
      <c r="E76">
        <v>187</v>
      </c>
      <c r="F76">
        <v>0</v>
      </c>
      <c r="G76">
        <v>0</v>
      </c>
      <c r="H76">
        <v>13</v>
      </c>
      <c r="I76">
        <v>0</v>
      </c>
      <c r="J76">
        <v>0</v>
      </c>
      <c r="K76">
        <v>174</v>
      </c>
    </row>
    <row r="77" spans="1:11" x14ac:dyDescent="0.3">
      <c r="A77" t="s">
        <v>312</v>
      </c>
      <c r="B77" t="s">
        <v>537</v>
      </c>
      <c r="C77" t="s">
        <v>296</v>
      </c>
      <c r="D77" t="s">
        <v>231</v>
      </c>
      <c r="E77">
        <v>117</v>
      </c>
      <c r="F77">
        <v>0</v>
      </c>
      <c r="G77">
        <v>0</v>
      </c>
      <c r="H77">
        <v>15</v>
      </c>
      <c r="I77">
        <v>0</v>
      </c>
      <c r="J77">
        <v>0</v>
      </c>
      <c r="K77">
        <v>102</v>
      </c>
    </row>
    <row r="78" spans="1:11" x14ac:dyDescent="0.3">
      <c r="A78" t="s">
        <v>412</v>
      </c>
      <c r="B78" t="s">
        <v>537</v>
      </c>
      <c r="C78" t="s">
        <v>289</v>
      </c>
      <c r="E78">
        <v>201</v>
      </c>
      <c r="F78">
        <v>0</v>
      </c>
      <c r="G78">
        <v>0</v>
      </c>
      <c r="H78">
        <v>31</v>
      </c>
      <c r="I78">
        <v>0</v>
      </c>
      <c r="J78">
        <v>0</v>
      </c>
      <c r="K78">
        <v>170</v>
      </c>
    </row>
    <row r="79" spans="1:11" x14ac:dyDescent="0.3">
      <c r="A79" t="s">
        <v>320</v>
      </c>
      <c r="B79" t="s">
        <v>537</v>
      </c>
      <c r="C79" t="s">
        <v>215</v>
      </c>
      <c r="E79">
        <v>165</v>
      </c>
      <c r="F79">
        <v>0</v>
      </c>
      <c r="G79">
        <v>0</v>
      </c>
      <c r="H79">
        <v>11</v>
      </c>
      <c r="I79">
        <v>0</v>
      </c>
      <c r="J79">
        <v>0</v>
      </c>
      <c r="K79">
        <v>154</v>
      </c>
    </row>
    <row r="80" spans="1:11" x14ac:dyDescent="0.3">
      <c r="A80" t="s">
        <v>213</v>
      </c>
      <c r="B80" t="s">
        <v>537</v>
      </c>
      <c r="C80" t="s">
        <v>277</v>
      </c>
      <c r="D80" t="s">
        <v>276</v>
      </c>
      <c r="E80">
        <v>116</v>
      </c>
      <c r="F80">
        <v>0</v>
      </c>
      <c r="G80">
        <v>0</v>
      </c>
      <c r="H80">
        <v>44</v>
      </c>
      <c r="I80">
        <v>0</v>
      </c>
      <c r="J80">
        <v>0</v>
      </c>
      <c r="K80">
        <v>72</v>
      </c>
    </row>
    <row r="81" spans="1:11" x14ac:dyDescent="0.3">
      <c r="A81" t="s">
        <v>412</v>
      </c>
      <c r="B81" t="s">
        <v>540</v>
      </c>
      <c r="C81" t="s">
        <v>270</v>
      </c>
      <c r="E81">
        <v>30</v>
      </c>
      <c r="F81">
        <v>0</v>
      </c>
      <c r="G81">
        <v>0</v>
      </c>
      <c r="H81">
        <v>0</v>
      </c>
      <c r="I81">
        <v>0</v>
      </c>
      <c r="J81">
        <v>0</v>
      </c>
      <c r="K81">
        <v>30</v>
      </c>
    </row>
    <row r="82" spans="1:11" x14ac:dyDescent="0.3">
      <c r="A82" t="s">
        <v>318</v>
      </c>
      <c r="B82" t="s">
        <v>537</v>
      </c>
      <c r="C82" t="s">
        <v>283</v>
      </c>
      <c r="D82" t="s">
        <v>217</v>
      </c>
      <c r="E82">
        <v>131</v>
      </c>
      <c r="F82">
        <v>0</v>
      </c>
      <c r="G82">
        <v>0</v>
      </c>
      <c r="H82">
        <v>131</v>
      </c>
      <c r="I82">
        <v>0</v>
      </c>
      <c r="J82">
        <v>0</v>
      </c>
      <c r="K82">
        <v>0</v>
      </c>
    </row>
    <row r="83" spans="1:11" x14ac:dyDescent="0.3">
      <c r="A83" t="s">
        <v>328</v>
      </c>
      <c r="B83" t="s">
        <v>537</v>
      </c>
      <c r="C83" t="s">
        <v>275</v>
      </c>
      <c r="E83">
        <v>557</v>
      </c>
      <c r="F83">
        <v>0</v>
      </c>
      <c r="G83">
        <v>0</v>
      </c>
      <c r="H83">
        <v>441</v>
      </c>
      <c r="I83">
        <v>0</v>
      </c>
      <c r="J83">
        <v>43</v>
      </c>
      <c r="K83">
        <v>73</v>
      </c>
    </row>
    <row r="84" spans="1:11" x14ac:dyDescent="0.3">
      <c r="A84" t="s">
        <v>325</v>
      </c>
      <c r="B84" t="s">
        <v>537</v>
      </c>
      <c r="C84" t="s">
        <v>277</v>
      </c>
      <c r="E84">
        <v>103</v>
      </c>
      <c r="F84">
        <v>0</v>
      </c>
      <c r="G84">
        <v>0</v>
      </c>
      <c r="H84">
        <v>36</v>
      </c>
      <c r="I84">
        <v>0</v>
      </c>
      <c r="J84">
        <v>0</v>
      </c>
      <c r="K84">
        <v>67</v>
      </c>
    </row>
    <row r="85" spans="1:11" x14ac:dyDescent="0.3">
      <c r="A85" t="s">
        <v>412</v>
      </c>
      <c r="B85" t="s">
        <v>540</v>
      </c>
      <c r="C85" t="s">
        <v>226</v>
      </c>
      <c r="E85">
        <v>22</v>
      </c>
      <c r="F85">
        <v>0</v>
      </c>
      <c r="G85">
        <v>3</v>
      </c>
      <c r="H85">
        <v>0</v>
      </c>
      <c r="I85">
        <v>0</v>
      </c>
      <c r="J85">
        <v>0</v>
      </c>
      <c r="K85">
        <v>22</v>
      </c>
    </row>
    <row r="86" spans="1:11" x14ac:dyDescent="0.3">
      <c r="A86" t="s">
        <v>320</v>
      </c>
      <c r="B86" t="s">
        <v>537</v>
      </c>
      <c r="C86" t="s">
        <v>287</v>
      </c>
      <c r="E86">
        <v>188</v>
      </c>
      <c r="F86">
        <v>0</v>
      </c>
      <c r="G86">
        <v>0</v>
      </c>
      <c r="H86">
        <v>95</v>
      </c>
      <c r="I86">
        <v>0</v>
      </c>
      <c r="J86">
        <v>19</v>
      </c>
      <c r="K86">
        <v>74</v>
      </c>
    </row>
    <row r="87" spans="1:11" x14ac:dyDescent="0.3">
      <c r="A87" t="s">
        <v>213</v>
      </c>
      <c r="B87" t="s">
        <v>537</v>
      </c>
      <c r="C87" t="s">
        <v>298</v>
      </c>
      <c r="D87" t="s">
        <v>297</v>
      </c>
      <c r="E87">
        <v>199</v>
      </c>
      <c r="F87">
        <v>0</v>
      </c>
      <c r="G87">
        <v>0</v>
      </c>
      <c r="H87">
        <v>143</v>
      </c>
      <c r="I87">
        <v>0</v>
      </c>
      <c r="J87">
        <v>0</v>
      </c>
      <c r="K87">
        <v>56</v>
      </c>
    </row>
    <row r="88" spans="1:11" x14ac:dyDescent="0.3">
      <c r="A88" t="s">
        <v>326</v>
      </c>
      <c r="B88" t="s">
        <v>540</v>
      </c>
      <c r="C88" t="s">
        <v>251</v>
      </c>
      <c r="E88">
        <v>25</v>
      </c>
      <c r="F88">
        <v>0</v>
      </c>
      <c r="G88">
        <v>4</v>
      </c>
      <c r="H88">
        <v>0</v>
      </c>
      <c r="I88">
        <v>0</v>
      </c>
      <c r="J88">
        <v>0</v>
      </c>
      <c r="K88">
        <v>25</v>
      </c>
    </row>
    <row r="89" spans="1:11" x14ac:dyDescent="0.3">
      <c r="A89" t="s">
        <v>318</v>
      </c>
      <c r="B89" t="s">
        <v>537</v>
      </c>
      <c r="C89" t="s">
        <v>267</v>
      </c>
      <c r="D89" t="s">
        <v>617</v>
      </c>
      <c r="E89">
        <v>363</v>
      </c>
      <c r="F89">
        <v>0</v>
      </c>
      <c r="G89">
        <v>0</v>
      </c>
      <c r="H89">
        <v>109</v>
      </c>
      <c r="I89">
        <v>0</v>
      </c>
      <c r="J89">
        <v>0</v>
      </c>
      <c r="K89">
        <v>254</v>
      </c>
    </row>
    <row r="90" spans="1:11" x14ac:dyDescent="0.3">
      <c r="A90" t="s">
        <v>312</v>
      </c>
      <c r="B90" t="s">
        <v>540</v>
      </c>
      <c r="C90" t="s">
        <v>265</v>
      </c>
      <c r="D90" t="s">
        <v>237</v>
      </c>
      <c r="E90">
        <v>19</v>
      </c>
      <c r="F90">
        <v>0</v>
      </c>
      <c r="G90">
        <v>1</v>
      </c>
      <c r="H90">
        <v>0</v>
      </c>
      <c r="I90">
        <v>0</v>
      </c>
      <c r="J90">
        <v>0</v>
      </c>
      <c r="K90">
        <v>19</v>
      </c>
    </row>
    <row r="91" spans="1:11" x14ac:dyDescent="0.3">
      <c r="A91" t="s">
        <v>320</v>
      </c>
      <c r="B91" t="s">
        <v>540</v>
      </c>
      <c r="C91" t="s">
        <v>244</v>
      </c>
      <c r="E91">
        <v>22</v>
      </c>
      <c r="F91">
        <v>0</v>
      </c>
      <c r="G91">
        <v>4</v>
      </c>
      <c r="H91">
        <v>0</v>
      </c>
      <c r="I91">
        <v>0</v>
      </c>
      <c r="J91">
        <v>0</v>
      </c>
      <c r="K91">
        <v>22</v>
      </c>
    </row>
    <row r="92" spans="1:11" x14ac:dyDescent="0.3">
      <c r="A92" t="s">
        <v>213</v>
      </c>
      <c r="B92" t="s">
        <v>537</v>
      </c>
      <c r="C92" t="s">
        <v>296</v>
      </c>
      <c r="D92" t="s">
        <v>295</v>
      </c>
      <c r="E92">
        <v>116</v>
      </c>
      <c r="F92">
        <v>0</v>
      </c>
      <c r="G92">
        <v>0</v>
      </c>
      <c r="H92">
        <v>17</v>
      </c>
      <c r="I92">
        <v>0</v>
      </c>
      <c r="J92">
        <v>0</v>
      </c>
      <c r="K92">
        <v>99</v>
      </c>
    </row>
    <row r="93" spans="1:11" x14ac:dyDescent="0.3">
      <c r="A93" t="s">
        <v>365</v>
      </c>
      <c r="B93" t="s">
        <v>537</v>
      </c>
      <c r="C93" t="s">
        <v>215</v>
      </c>
      <c r="D93" t="s">
        <v>214</v>
      </c>
      <c r="E93">
        <v>181</v>
      </c>
      <c r="H93">
        <v>8</v>
      </c>
      <c r="J93">
        <v>0</v>
      </c>
      <c r="K93">
        <v>173</v>
      </c>
    </row>
    <row r="94" spans="1:11" x14ac:dyDescent="0.3">
      <c r="A94" t="s">
        <v>341</v>
      </c>
      <c r="B94" t="s">
        <v>537</v>
      </c>
      <c r="C94" t="s">
        <v>307</v>
      </c>
      <c r="D94" t="s">
        <v>306</v>
      </c>
      <c r="E94">
        <v>126</v>
      </c>
      <c r="H94">
        <v>73</v>
      </c>
      <c r="J94">
        <v>0</v>
      </c>
      <c r="K94">
        <v>53</v>
      </c>
    </row>
    <row r="95" spans="1:11" x14ac:dyDescent="0.3">
      <c r="A95" t="s">
        <v>341</v>
      </c>
      <c r="B95" t="s">
        <v>537</v>
      </c>
      <c r="C95" t="s">
        <v>298</v>
      </c>
      <c r="D95" t="s">
        <v>297</v>
      </c>
      <c r="E95">
        <v>199</v>
      </c>
      <c r="H95">
        <v>143</v>
      </c>
      <c r="J95">
        <v>0</v>
      </c>
      <c r="K95">
        <v>56</v>
      </c>
    </row>
    <row r="96" spans="1:11" x14ac:dyDescent="0.3">
      <c r="A96" t="s">
        <v>341</v>
      </c>
      <c r="B96" t="s">
        <v>537</v>
      </c>
      <c r="C96" t="s">
        <v>240</v>
      </c>
      <c r="D96" t="s">
        <v>239</v>
      </c>
      <c r="E96">
        <v>46</v>
      </c>
      <c r="H96">
        <v>24</v>
      </c>
      <c r="J96">
        <v>0</v>
      </c>
      <c r="K96">
        <v>22</v>
      </c>
    </row>
    <row r="97" spans="1:11" x14ac:dyDescent="0.3">
      <c r="A97" t="s">
        <v>364</v>
      </c>
      <c r="B97" t="s">
        <v>537</v>
      </c>
      <c r="C97" t="s">
        <v>270</v>
      </c>
      <c r="D97" t="s">
        <v>269</v>
      </c>
      <c r="E97">
        <v>562</v>
      </c>
      <c r="H97">
        <v>2</v>
      </c>
      <c r="J97">
        <v>0</v>
      </c>
      <c r="K97">
        <v>560</v>
      </c>
    </row>
    <row r="98" spans="1:11" x14ac:dyDescent="0.3">
      <c r="A98" t="s">
        <v>366</v>
      </c>
      <c r="B98" t="s">
        <v>537</v>
      </c>
      <c r="C98" t="s">
        <v>240</v>
      </c>
      <c r="D98" t="s">
        <v>239</v>
      </c>
      <c r="E98">
        <v>47</v>
      </c>
      <c r="H98">
        <v>21</v>
      </c>
      <c r="J98">
        <v>0</v>
      </c>
      <c r="K98">
        <v>26</v>
      </c>
    </row>
    <row r="99" spans="1:11" x14ac:dyDescent="0.3">
      <c r="A99" t="s">
        <v>365</v>
      </c>
      <c r="B99" t="s">
        <v>537</v>
      </c>
      <c r="C99" t="s">
        <v>224</v>
      </c>
      <c r="D99" t="s">
        <v>223</v>
      </c>
      <c r="E99">
        <v>122</v>
      </c>
      <c r="H99">
        <v>95</v>
      </c>
      <c r="J99">
        <v>0</v>
      </c>
      <c r="K99">
        <v>27</v>
      </c>
    </row>
    <row r="100" spans="1:11" x14ac:dyDescent="0.3">
      <c r="A100" t="s">
        <v>342</v>
      </c>
      <c r="B100" t="s">
        <v>540</v>
      </c>
      <c r="C100" t="s">
        <v>215</v>
      </c>
      <c r="D100" t="s">
        <v>216</v>
      </c>
      <c r="E100">
        <v>15</v>
      </c>
      <c r="K100">
        <v>15</v>
      </c>
    </row>
    <row r="101" spans="1:11" x14ac:dyDescent="0.3">
      <c r="A101" t="s">
        <v>364</v>
      </c>
      <c r="B101" t="s">
        <v>537</v>
      </c>
      <c r="C101" t="s">
        <v>296</v>
      </c>
      <c r="D101" t="s">
        <v>295</v>
      </c>
      <c r="E101">
        <v>130</v>
      </c>
      <c r="H101">
        <v>14</v>
      </c>
      <c r="J101">
        <v>0</v>
      </c>
      <c r="K101">
        <v>116</v>
      </c>
    </row>
    <row r="102" spans="1:11" x14ac:dyDescent="0.3">
      <c r="A102" t="s">
        <v>366</v>
      </c>
      <c r="B102" t="s">
        <v>540</v>
      </c>
      <c r="C102" t="s">
        <v>275</v>
      </c>
      <c r="D102" t="s">
        <v>274</v>
      </c>
      <c r="E102">
        <v>29</v>
      </c>
      <c r="K102">
        <v>29</v>
      </c>
    </row>
    <row r="103" spans="1:11" x14ac:dyDescent="0.3">
      <c r="A103" t="s">
        <v>341</v>
      </c>
      <c r="B103" t="s">
        <v>537</v>
      </c>
      <c r="C103" t="s">
        <v>296</v>
      </c>
      <c r="D103" t="s">
        <v>295</v>
      </c>
      <c r="E103">
        <v>110</v>
      </c>
      <c r="H103">
        <v>13</v>
      </c>
      <c r="J103">
        <v>0</v>
      </c>
      <c r="K103">
        <v>97</v>
      </c>
    </row>
    <row r="104" spans="1:11" x14ac:dyDescent="0.3">
      <c r="A104" t="s">
        <v>364</v>
      </c>
      <c r="B104" t="s">
        <v>542</v>
      </c>
      <c r="C104" t="s">
        <v>238</v>
      </c>
      <c r="D104" t="s">
        <v>237</v>
      </c>
      <c r="E104">
        <v>255</v>
      </c>
      <c r="I104">
        <v>175</v>
      </c>
      <c r="K104">
        <v>80</v>
      </c>
    </row>
    <row r="105" spans="1:11" x14ac:dyDescent="0.3">
      <c r="A105" t="s">
        <v>364</v>
      </c>
      <c r="B105" t="s">
        <v>537</v>
      </c>
      <c r="C105" t="s">
        <v>249</v>
      </c>
      <c r="D105" t="s">
        <v>248</v>
      </c>
      <c r="E105">
        <v>136</v>
      </c>
      <c r="H105">
        <v>77</v>
      </c>
      <c r="J105">
        <v>0</v>
      </c>
      <c r="K105">
        <v>59</v>
      </c>
    </row>
    <row r="106" spans="1:11" x14ac:dyDescent="0.3">
      <c r="A106" t="s">
        <v>342</v>
      </c>
      <c r="B106" t="s">
        <v>537</v>
      </c>
      <c r="C106" t="s">
        <v>215</v>
      </c>
      <c r="D106" t="s">
        <v>214</v>
      </c>
      <c r="E106">
        <v>153</v>
      </c>
      <c r="H106">
        <v>8</v>
      </c>
      <c r="K106">
        <v>145</v>
      </c>
    </row>
    <row r="107" spans="1:11" x14ac:dyDescent="0.3">
      <c r="A107" t="s">
        <v>364</v>
      </c>
      <c r="B107" t="s">
        <v>537</v>
      </c>
      <c r="C107" t="s">
        <v>228</v>
      </c>
      <c r="D107" t="s">
        <v>227</v>
      </c>
      <c r="E107">
        <v>448</v>
      </c>
      <c r="H107">
        <v>187</v>
      </c>
      <c r="J107">
        <v>203</v>
      </c>
      <c r="K107">
        <v>58</v>
      </c>
    </row>
    <row r="108" spans="1:11" x14ac:dyDescent="0.3">
      <c r="A108" t="s">
        <v>341</v>
      </c>
      <c r="B108" t="s">
        <v>537</v>
      </c>
      <c r="C108" t="s">
        <v>309</v>
      </c>
      <c r="D108" t="s">
        <v>308</v>
      </c>
      <c r="E108">
        <v>86</v>
      </c>
      <c r="H108">
        <v>17</v>
      </c>
      <c r="J108">
        <v>0</v>
      </c>
      <c r="K108">
        <v>69</v>
      </c>
    </row>
    <row r="109" spans="1:11" x14ac:dyDescent="0.3">
      <c r="A109" t="s">
        <v>341</v>
      </c>
      <c r="B109" t="s">
        <v>537</v>
      </c>
      <c r="C109" t="s">
        <v>277</v>
      </c>
      <c r="D109" t="s">
        <v>276</v>
      </c>
      <c r="E109">
        <v>107</v>
      </c>
      <c r="H109">
        <v>39</v>
      </c>
      <c r="J109">
        <v>0</v>
      </c>
      <c r="K109">
        <v>68</v>
      </c>
    </row>
    <row r="110" spans="1:11" x14ac:dyDescent="0.3">
      <c r="A110" t="s">
        <v>365</v>
      </c>
      <c r="B110" t="s">
        <v>542</v>
      </c>
      <c r="C110" t="s">
        <v>232</v>
      </c>
      <c r="D110" t="s">
        <v>231</v>
      </c>
      <c r="E110">
        <v>445</v>
      </c>
      <c r="I110">
        <v>340</v>
      </c>
      <c r="K110">
        <v>105</v>
      </c>
    </row>
    <row r="111" spans="1:11" x14ac:dyDescent="0.3">
      <c r="A111" t="s">
        <v>366</v>
      </c>
      <c r="B111" t="s">
        <v>537</v>
      </c>
      <c r="C111" t="s">
        <v>270</v>
      </c>
      <c r="D111" t="s">
        <v>269</v>
      </c>
      <c r="E111">
        <v>505</v>
      </c>
      <c r="H111">
        <v>6</v>
      </c>
      <c r="J111">
        <v>0</v>
      </c>
      <c r="K111">
        <v>499</v>
      </c>
    </row>
    <row r="112" spans="1:11" x14ac:dyDescent="0.3">
      <c r="A112" t="s">
        <v>341</v>
      </c>
      <c r="B112" t="s">
        <v>537</v>
      </c>
      <c r="C112" t="s">
        <v>281</v>
      </c>
      <c r="D112" t="s">
        <v>280</v>
      </c>
      <c r="E112">
        <v>156</v>
      </c>
      <c r="H112">
        <v>125</v>
      </c>
      <c r="J112">
        <v>4</v>
      </c>
      <c r="K112">
        <v>27</v>
      </c>
    </row>
    <row r="113" spans="1:11" x14ac:dyDescent="0.3">
      <c r="A113" t="s">
        <v>366</v>
      </c>
      <c r="B113" t="s">
        <v>537</v>
      </c>
      <c r="C113" t="s">
        <v>220</v>
      </c>
      <c r="D113" t="s">
        <v>219</v>
      </c>
      <c r="E113">
        <v>303</v>
      </c>
      <c r="H113">
        <v>271</v>
      </c>
      <c r="J113">
        <v>0</v>
      </c>
      <c r="K113">
        <v>32</v>
      </c>
    </row>
    <row r="114" spans="1:11" x14ac:dyDescent="0.3">
      <c r="A114" t="s">
        <v>342</v>
      </c>
      <c r="B114" t="s">
        <v>537</v>
      </c>
      <c r="C114" t="s">
        <v>259</v>
      </c>
      <c r="D114" t="s">
        <v>258</v>
      </c>
      <c r="E114">
        <v>51</v>
      </c>
      <c r="K114">
        <v>51</v>
      </c>
    </row>
    <row r="115" spans="1:11" x14ac:dyDescent="0.3">
      <c r="A115" t="s">
        <v>366</v>
      </c>
      <c r="B115" t="s">
        <v>537</v>
      </c>
      <c r="C115" t="s">
        <v>255</v>
      </c>
      <c r="D115" t="s">
        <v>254</v>
      </c>
      <c r="E115">
        <v>82</v>
      </c>
      <c r="H115">
        <v>55</v>
      </c>
      <c r="J115">
        <v>0</v>
      </c>
      <c r="K115">
        <v>27</v>
      </c>
    </row>
    <row r="116" spans="1:11" x14ac:dyDescent="0.3">
      <c r="A116" t="s">
        <v>342</v>
      </c>
      <c r="B116" t="s">
        <v>537</v>
      </c>
      <c r="C116" t="s">
        <v>304</v>
      </c>
      <c r="D116" t="s">
        <v>303</v>
      </c>
      <c r="E116">
        <v>241</v>
      </c>
      <c r="H116">
        <v>73</v>
      </c>
      <c r="J116">
        <v>2</v>
      </c>
      <c r="K116">
        <v>166</v>
      </c>
    </row>
    <row r="117" spans="1:11" x14ac:dyDescent="0.3">
      <c r="A117" t="s">
        <v>325</v>
      </c>
      <c r="B117" t="s">
        <v>537</v>
      </c>
      <c r="C117" t="s">
        <v>244</v>
      </c>
      <c r="E117">
        <v>251</v>
      </c>
      <c r="F117">
        <v>0</v>
      </c>
      <c r="G117">
        <v>0</v>
      </c>
      <c r="H117">
        <v>194</v>
      </c>
      <c r="I117">
        <v>0</v>
      </c>
      <c r="J117">
        <v>6</v>
      </c>
      <c r="K117">
        <v>51</v>
      </c>
    </row>
    <row r="118" spans="1:11" x14ac:dyDescent="0.3">
      <c r="A118" t="s">
        <v>326</v>
      </c>
      <c r="B118" t="s">
        <v>537</v>
      </c>
      <c r="C118" t="s">
        <v>253</v>
      </c>
      <c r="E118">
        <v>76</v>
      </c>
      <c r="F118">
        <v>0</v>
      </c>
      <c r="G118">
        <v>0</v>
      </c>
      <c r="H118">
        <v>0</v>
      </c>
      <c r="I118">
        <v>0</v>
      </c>
      <c r="J118">
        <v>0</v>
      </c>
      <c r="K118">
        <v>76</v>
      </c>
    </row>
    <row r="119" spans="1:11" x14ac:dyDescent="0.3">
      <c r="A119" t="s">
        <v>312</v>
      </c>
      <c r="B119" t="s">
        <v>540</v>
      </c>
      <c r="C119" t="s">
        <v>244</v>
      </c>
      <c r="D119" t="s">
        <v>231</v>
      </c>
      <c r="E119">
        <v>22</v>
      </c>
      <c r="F119">
        <v>0</v>
      </c>
      <c r="G119">
        <v>2</v>
      </c>
      <c r="H119">
        <v>0</v>
      </c>
      <c r="I119">
        <v>0</v>
      </c>
      <c r="J119">
        <v>0</v>
      </c>
      <c r="K119">
        <v>22</v>
      </c>
    </row>
    <row r="120" spans="1:11" x14ac:dyDescent="0.3">
      <c r="A120" t="s">
        <v>312</v>
      </c>
      <c r="B120" t="s">
        <v>540</v>
      </c>
      <c r="C120" t="s">
        <v>226</v>
      </c>
      <c r="D120" t="s">
        <v>217</v>
      </c>
      <c r="E120">
        <v>31</v>
      </c>
      <c r="F120">
        <v>0</v>
      </c>
      <c r="G120">
        <v>2</v>
      </c>
      <c r="H120">
        <v>0</v>
      </c>
      <c r="I120">
        <v>0</v>
      </c>
      <c r="J120">
        <v>0</v>
      </c>
      <c r="K120">
        <v>31</v>
      </c>
    </row>
    <row r="121" spans="1:11" x14ac:dyDescent="0.3">
      <c r="A121" t="s">
        <v>328</v>
      </c>
      <c r="B121" t="s">
        <v>537</v>
      </c>
      <c r="C121" t="s">
        <v>220</v>
      </c>
      <c r="E121">
        <v>299</v>
      </c>
      <c r="F121">
        <v>0</v>
      </c>
      <c r="G121">
        <v>0</v>
      </c>
      <c r="H121">
        <v>268</v>
      </c>
      <c r="I121">
        <v>0</v>
      </c>
      <c r="J121">
        <v>0</v>
      </c>
      <c r="K121">
        <v>31</v>
      </c>
    </row>
    <row r="122" spans="1:11" x14ac:dyDescent="0.3">
      <c r="A122" t="s">
        <v>318</v>
      </c>
      <c r="B122" t="s">
        <v>537</v>
      </c>
      <c r="C122" t="s">
        <v>281</v>
      </c>
      <c r="D122" t="s">
        <v>217</v>
      </c>
      <c r="E122">
        <v>147</v>
      </c>
      <c r="F122">
        <v>0</v>
      </c>
      <c r="G122">
        <v>0</v>
      </c>
      <c r="H122">
        <v>114</v>
      </c>
      <c r="I122">
        <v>0</v>
      </c>
      <c r="J122">
        <v>3</v>
      </c>
      <c r="K122">
        <v>30</v>
      </c>
    </row>
    <row r="123" spans="1:11" x14ac:dyDescent="0.3">
      <c r="A123" t="s">
        <v>325</v>
      </c>
      <c r="B123" t="s">
        <v>542</v>
      </c>
      <c r="C123" t="s">
        <v>218</v>
      </c>
      <c r="E123">
        <v>70</v>
      </c>
      <c r="F123">
        <v>0</v>
      </c>
      <c r="G123">
        <v>0</v>
      </c>
      <c r="H123">
        <v>0</v>
      </c>
      <c r="I123">
        <v>0</v>
      </c>
      <c r="J123">
        <v>0</v>
      </c>
      <c r="K123">
        <v>70</v>
      </c>
    </row>
    <row r="124" spans="1:11" x14ac:dyDescent="0.3">
      <c r="A124" t="s">
        <v>412</v>
      </c>
      <c r="B124" t="s">
        <v>537</v>
      </c>
      <c r="C124" t="s">
        <v>307</v>
      </c>
      <c r="E124">
        <v>123</v>
      </c>
      <c r="F124">
        <v>0</v>
      </c>
      <c r="G124">
        <v>0</v>
      </c>
      <c r="H124">
        <v>74</v>
      </c>
      <c r="I124">
        <v>0</v>
      </c>
      <c r="J124">
        <v>0</v>
      </c>
      <c r="K124">
        <v>49</v>
      </c>
    </row>
    <row r="125" spans="1:11" x14ac:dyDescent="0.3">
      <c r="A125" t="s">
        <v>328</v>
      </c>
      <c r="B125" t="s">
        <v>537</v>
      </c>
      <c r="C125" t="s">
        <v>259</v>
      </c>
      <c r="E125">
        <v>52</v>
      </c>
      <c r="F125">
        <v>0</v>
      </c>
      <c r="G125">
        <v>0</v>
      </c>
      <c r="H125">
        <v>0</v>
      </c>
      <c r="I125">
        <v>0</v>
      </c>
      <c r="J125">
        <v>0</v>
      </c>
      <c r="K125">
        <v>52</v>
      </c>
    </row>
    <row r="126" spans="1:11" x14ac:dyDescent="0.3">
      <c r="A126" t="s">
        <v>312</v>
      </c>
      <c r="B126" t="s">
        <v>537</v>
      </c>
      <c r="C126" t="s">
        <v>267</v>
      </c>
      <c r="D126" t="s">
        <v>237</v>
      </c>
      <c r="E126">
        <v>382</v>
      </c>
      <c r="F126">
        <v>0</v>
      </c>
      <c r="G126">
        <v>0</v>
      </c>
      <c r="H126">
        <v>113</v>
      </c>
      <c r="I126">
        <v>0</v>
      </c>
      <c r="J126">
        <v>0</v>
      </c>
      <c r="K126">
        <v>269</v>
      </c>
    </row>
    <row r="127" spans="1:11" x14ac:dyDescent="0.3">
      <c r="A127" t="s">
        <v>312</v>
      </c>
      <c r="B127" t="s">
        <v>537</v>
      </c>
      <c r="C127" t="s">
        <v>289</v>
      </c>
      <c r="D127" t="s">
        <v>231</v>
      </c>
      <c r="E127">
        <v>200</v>
      </c>
      <c r="F127">
        <v>0</v>
      </c>
      <c r="G127">
        <v>0</v>
      </c>
      <c r="H127">
        <v>37</v>
      </c>
      <c r="I127">
        <v>0</v>
      </c>
      <c r="J127">
        <v>0</v>
      </c>
      <c r="K127">
        <v>163</v>
      </c>
    </row>
    <row r="128" spans="1:11" x14ac:dyDescent="0.3">
      <c r="A128" t="s">
        <v>312</v>
      </c>
      <c r="B128" t="s">
        <v>540</v>
      </c>
      <c r="C128" t="s">
        <v>257</v>
      </c>
      <c r="D128" t="s">
        <v>237</v>
      </c>
      <c r="E128">
        <v>29</v>
      </c>
      <c r="F128">
        <v>0</v>
      </c>
      <c r="G128">
        <v>3</v>
      </c>
      <c r="H128">
        <v>0</v>
      </c>
      <c r="I128">
        <v>0</v>
      </c>
      <c r="J128">
        <v>0</v>
      </c>
      <c r="K128">
        <v>29</v>
      </c>
    </row>
    <row r="129" spans="1:11" x14ac:dyDescent="0.3">
      <c r="A129" t="s">
        <v>326</v>
      </c>
      <c r="B129" t="s">
        <v>540</v>
      </c>
      <c r="C129" t="s">
        <v>324</v>
      </c>
      <c r="E129">
        <v>27</v>
      </c>
      <c r="F129">
        <v>0</v>
      </c>
      <c r="G129">
        <v>2</v>
      </c>
      <c r="H129">
        <v>0</v>
      </c>
      <c r="I129">
        <v>0</v>
      </c>
      <c r="J129">
        <v>0</v>
      </c>
      <c r="K129">
        <v>27</v>
      </c>
    </row>
    <row r="130" spans="1:11" x14ac:dyDescent="0.3">
      <c r="A130" t="s">
        <v>326</v>
      </c>
      <c r="B130" t="s">
        <v>540</v>
      </c>
      <c r="C130" t="s">
        <v>322</v>
      </c>
      <c r="E130">
        <v>22</v>
      </c>
      <c r="F130">
        <v>0</v>
      </c>
      <c r="G130">
        <v>9</v>
      </c>
      <c r="H130">
        <v>0</v>
      </c>
      <c r="I130">
        <v>0</v>
      </c>
      <c r="J130">
        <v>0</v>
      </c>
      <c r="K130">
        <v>22</v>
      </c>
    </row>
    <row r="131" spans="1:11" x14ac:dyDescent="0.3">
      <c r="A131" t="s">
        <v>412</v>
      </c>
      <c r="B131" t="s">
        <v>537</v>
      </c>
      <c r="C131" t="s">
        <v>311</v>
      </c>
      <c r="E131">
        <v>123</v>
      </c>
      <c r="F131">
        <v>0</v>
      </c>
      <c r="G131">
        <v>0</v>
      </c>
      <c r="H131">
        <v>58</v>
      </c>
      <c r="I131">
        <v>0</v>
      </c>
      <c r="J131">
        <v>0</v>
      </c>
      <c r="K131">
        <v>65</v>
      </c>
    </row>
    <row r="132" spans="1:11" x14ac:dyDescent="0.3">
      <c r="A132" t="s">
        <v>412</v>
      </c>
      <c r="B132" t="s">
        <v>537</v>
      </c>
      <c r="C132" t="s">
        <v>279</v>
      </c>
      <c r="E132">
        <v>44</v>
      </c>
      <c r="F132">
        <v>0</v>
      </c>
      <c r="G132">
        <v>0</v>
      </c>
      <c r="H132">
        <v>13</v>
      </c>
      <c r="I132">
        <v>0</v>
      </c>
      <c r="J132">
        <v>0</v>
      </c>
      <c r="K132">
        <v>31</v>
      </c>
    </row>
    <row r="133" spans="1:11" x14ac:dyDescent="0.3">
      <c r="A133" t="s">
        <v>342</v>
      </c>
      <c r="B133" t="s">
        <v>540</v>
      </c>
      <c r="C133" t="s">
        <v>289</v>
      </c>
      <c r="D133" t="s">
        <v>290</v>
      </c>
      <c r="E133">
        <v>17</v>
      </c>
      <c r="K133">
        <v>17</v>
      </c>
    </row>
    <row r="134" spans="1:11" x14ac:dyDescent="0.3">
      <c r="A134" t="s">
        <v>366</v>
      </c>
      <c r="B134" t="s">
        <v>537</v>
      </c>
      <c r="C134" t="s">
        <v>304</v>
      </c>
      <c r="D134" t="s">
        <v>303</v>
      </c>
      <c r="E134">
        <v>252</v>
      </c>
      <c r="H134">
        <v>71</v>
      </c>
      <c r="J134">
        <v>3</v>
      </c>
      <c r="K134">
        <v>178</v>
      </c>
    </row>
    <row r="135" spans="1:11" x14ac:dyDescent="0.3">
      <c r="A135" t="s">
        <v>366</v>
      </c>
      <c r="B135" t="s">
        <v>537</v>
      </c>
      <c r="C135" t="s">
        <v>273</v>
      </c>
      <c r="D135" t="s">
        <v>272</v>
      </c>
      <c r="E135">
        <v>661</v>
      </c>
      <c r="H135">
        <v>525</v>
      </c>
      <c r="J135">
        <v>68</v>
      </c>
      <c r="K135">
        <v>68</v>
      </c>
    </row>
    <row r="136" spans="1:11" x14ac:dyDescent="0.3">
      <c r="A136" t="s">
        <v>365</v>
      </c>
      <c r="B136" t="s">
        <v>540</v>
      </c>
      <c r="C136" t="s">
        <v>289</v>
      </c>
      <c r="D136" t="s">
        <v>290</v>
      </c>
      <c r="E136">
        <v>16</v>
      </c>
      <c r="K136">
        <v>16</v>
      </c>
    </row>
    <row r="137" spans="1:11" x14ac:dyDescent="0.3">
      <c r="A137" t="s">
        <v>364</v>
      </c>
      <c r="B137" t="s">
        <v>540</v>
      </c>
      <c r="C137" t="s">
        <v>244</v>
      </c>
      <c r="D137" t="s">
        <v>245</v>
      </c>
      <c r="E137">
        <v>16</v>
      </c>
      <c r="K137">
        <v>16</v>
      </c>
    </row>
    <row r="138" spans="1:11" x14ac:dyDescent="0.3">
      <c r="A138" t="s">
        <v>365</v>
      </c>
      <c r="B138" t="s">
        <v>537</v>
      </c>
      <c r="C138" t="s">
        <v>249</v>
      </c>
      <c r="D138" t="s">
        <v>248</v>
      </c>
      <c r="E138">
        <v>136</v>
      </c>
      <c r="H138">
        <v>80</v>
      </c>
      <c r="J138">
        <v>0</v>
      </c>
      <c r="K138">
        <v>56</v>
      </c>
    </row>
    <row r="139" spans="1:11" x14ac:dyDescent="0.3">
      <c r="A139" t="s">
        <v>366</v>
      </c>
      <c r="B139" t="s">
        <v>540</v>
      </c>
      <c r="C139" t="s">
        <v>222</v>
      </c>
      <c r="D139" t="s">
        <v>221</v>
      </c>
      <c r="E139">
        <v>27</v>
      </c>
      <c r="K139">
        <v>27</v>
      </c>
    </row>
    <row r="140" spans="1:11" x14ac:dyDescent="0.3">
      <c r="A140" t="s">
        <v>365</v>
      </c>
      <c r="B140" t="s">
        <v>540</v>
      </c>
      <c r="C140" t="s">
        <v>304</v>
      </c>
      <c r="D140" t="s">
        <v>305</v>
      </c>
      <c r="E140">
        <v>10</v>
      </c>
      <c r="K140">
        <v>10</v>
      </c>
    </row>
    <row r="141" spans="1:11" x14ac:dyDescent="0.3">
      <c r="A141" t="s">
        <v>366</v>
      </c>
      <c r="B141" t="s">
        <v>540</v>
      </c>
      <c r="C141" t="s">
        <v>267</v>
      </c>
      <c r="D141" t="s">
        <v>268</v>
      </c>
      <c r="E141">
        <v>26</v>
      </c>
      <c r="K141">
        <v>26</v>
      </c>
    </row>
    <row r="142" spans="1:11" x14ac:dyDescent="0.3">
      <c r="A142" t="s">
        <v>364</v>
      </c>
      <c r="B142" t="s">
        <v>537</v>
      </c>
      <c r="C142" t="s">
        <v>247</v>
      </c>
      <c r="D142" t="s">
        <v>246</v>
      </c>
      <c r="E142">
        <v>229</v>
      </c>
      <c r="H142">
        <v>14</v>
      </c>
      <c r="J142">
        <v>0</v>
      </c>
      <c r="K142">
        <v>215</v>
      </c>
    </row>
    <row r="143" spans="1:11" x14ac:dyDescent="0.3">
      <c r="A143" t="s">
        <v>366</v>
      </c>
      <c r="B143" t="s">
        <v>537</v>
      </c>
      <c r="C143" t="s">
        <v>287</v>
      </c>
      <c r="D143" t="s">
        <v>286</v>
      </c>
      <c r="E143">
        <v>208</v>
      </c>
      <c r="H143">
        <v>108</v>
      </c>
      <c r="J143">
        <v>22</v>
      </c>
      <c r="K143">
        <v>78</v>
      </c>
    </row>
    <row r="144" spans="1:11" x14ac:dyDescent="0.3">
      <c r="A144" t="s">
        <v>342</v>
      </c>
      <c r="B144" t="s">
        <v>537</v>
      </c>
      <c r="C144" t="s">
        <v>296</v>
      </c>
      <c r="D144" t="s">
        <v>295</v>
      </c>
      <c r="E144">
        <v>110</v>
      </c>
      <c r="H144">
        <v>16</v>
      </c>
      <c r="K144">
        <v>94</v>
      </c>
    </row>
    <row r="145" spans="1:11" x14ac:dyDescent="0.3">
      <c r="A145" t="s">
        <v>341</v>
      </c>
      <c r="B145" t="s">
        <v>540</v>
      </c>
      <c r="C145" t="s">
        <v>257</v>
      </c>
      <c r="D145" t="s">
        <v>256</v>
      </c>
      <c r="E145">
        <v>31</v>
      </c>
      <c r="K145">
        <v>31</v>
      </c>
    </row>
    <row r="146" spans="1:11" x14ac:dyDescent="0.3">
      <c r="A146" t="s">
        <v>341</v>
      </c>
      <c r="B146" t="s">
        <v>537</v>
      </c>
      <c r="C146" t="s">
        <v>267</v>
      </c>
      <c r="D146" t="s">
        <v>266</v>
      </c>
      <c r="E146">
        <v>379</v>
      </c>
      <c r="H146">
        <v>109</v>
      </c>
      <c r="J146">
        <v>0</v>
      </c>
      <c r="K146">
        <v>270</v>
      </c>
    </row>
    <row r="147" spans="1:11" x14ac:dyDescent="0.3">
      <c r="A147" t="s">
        <v>366</v>
      </c>
      <c r="B147" t="s">
        <v>542</v>
      </c>
      <c r="C147" t="s">
        <v>238</v>
      </c>
      <c r="D147" t="s">
        <v>237</v>
      </c>
      <c r="E147">
        <v>149</v>
      </c>
      <c r="I147">
        <v>124</v>
      </c>
      <c r="K147">
        <v>25</v>
      </c>
    </row>
    <row r="148" spans="1:11" x14ac:dyDescent="0.3">
      <c r="A148" t="s">
        <v>366</v>
      </c>
      <c r="B148" t="s">
        <v>540</v>
      </c>
      <c r="C148" t="s">
        <v>270</v>
      </c>
      <c r="D148" t="s">
        <v>271</v>
      </c>
      <c r="E148">
        <v>32</v>
      </c>
      <c r="K148">
        <v>32</v>
      </c>
    </row>
    <row r="149" spans="1:11" x14ac:dyDescent="0.3">
      <c r="A149" t="s">
        <v>364</v>
      </c>
      <c r="B149" t="s">
        <v>537</v>
      </c>
      <c r="C149" t="s">
        <v>255</v>
      </c>
      <c r="D149" t="s">
        <v>254</v>
      </c>
      <c r="E149">
        <v>81</v>
      </c>
      <c r="H149">
        <v>52</v>
      </c>
      <c r="J149">
        <v>0</v>
      </c>
      <c r="K149">
        <v>29</v>
      </c>
    </row>
    <row r="150" spans="1:11" x14ac:dyDescent="0.3">
      <c r="A150" t="s">
        <v>365</v>
      </c>
      <c r="B150" t="s">
        <v>537</v>
      </c>
      <c r="C150" t="s">
        <v>277</v>
      </c>
      <c r="D150" t="s">
        <v>276</v>
      </c>
      <c r="E150">
        <v>117</v>
      </c>
      <c r="H150">
        <v>40</v>
      </c>
      <c r="J150">
        <v>0</v>
      </c>
      <c r="K150">
        <v>77</v>
      </c>
    </row>
    <row r="151" spans="1:11" x14ac:dyDescent="0.3">
      <c r="A151" t="s">
        <v>341</v>
      </c>
      <c r="B151" t="s">
        <v>540</v>
      </c>
      <c r="C151" t="s">
        <v>275</v>
      </c>
      <c r="D151" t="s">
        <v>274</v>
      </c>
      <c r="E151">
        <v>37</v>
      </c>
      <c r="K151">
        <v>37</v>
      </c>
    </row>
    <row r="152" spans="1:11" x14ac:dyDescent="0.3">
      <c r="A152" t="s">
        <v>366</v>
      </c>
      <c r="B152" t="s">
        <v>537</v>
      </c>
      <c r="C152" t="s">
        <v>307</v>
      </c>
      <c r="D152" t="s">
        <v>306</v>
      </c>
      <c r="E152">
        <v>124</v>
      </c>
      <c r="H152">
        <v>73</v>
      </c>
      <c r="J152">
        <v>0</v>
      </c>
      <c r="K152">
        <v>51</v>
      </c>
    </row>
    <row r="153" spans="1:11" x14ac:dyDescent="0.3">
      <c r="A153" t="s">
        <v>341</v>
      </c>
      <c r="B153" t="s">
        <v>537</v>
      </c>
      <c r="C153" t="s">
        <v>304</v>
      </c>
      <c r="D153" t="s">
        <v>303</v>
      </c>
      <c r="E153">
        <v>248</v>
      </c>
      <c r="H153">
        <v>74</v>
      </c>
      <c r="J153">
        <v>3</v>
      </c>
      <c r="K153">
        <v>171</v>
      </c>
    </row>
    <row r="154" spans="1:11" x14ac:dyDescent="0.3">
      <c r="A154" t="s">
        <v>341</v>
      </c>
      <c r="B154" t="s">
        <v>537</v>
      </c>
      <c r="C154" t="s">
        <v>270</v>
      </c>
      <c r="D154" t="s">
        <v>269</v>
      </c>
      <c r="E154">
        <v>475</v>
      </c>
      <c r="H154">
        <v>0</v>
      </c>
      <c r="J154">
        <v>0</v>
      </c>
      <c r="K154">
        <v>475</v>
      </c>
    </row>
    <row r="155" spans="1:11" x14ac:dyDescent="0.3">
      <c r="A155" t="s">
        <v>366</v>
      </c>
      <c r="B155" t="s">
        <v>537</v>
      </c>
      <c r="C155" t="s">
        <v>277</v>
      </c>
      <c r="D155" t="s">
        <v>276</v>
      </c>
      <c r="E155">
        <v>111</v>
      </c>
      <c r="H155">
        <v>41</v>
      </c>
      <c r="J155">
        <v>0</v>
      </c>
      <c r="K155">
        <v>70</v>
      </c>
    </row>
    <row r="156" spans="1:11" x14ac:dyDescent="0.3">
      <c r="A156" t="s">
        <v>341</v>
      </c>
      <c r="B156" t="s">
        <v>537</v>
      </c>
      <c r="C156" t="s">
        <v>247</v>
      </c>
      <c r="D156" t="s">
        <v>246</v>
      </c>
      <c r="E156">
        <v>205</v>
      </c>
      <c r="H156">
        <v>13</v>
      </c>
      <c r="J156">
        <v>0</v>
      </c>
      <c r="K156">
        <v>192</v>
      </c>
    </row>
    <row r="157" spans="1:11" x14ac:dyDescent="0.3">
      <c r="A157" t="s">
        <v>341</v>
      </c>
      <c r="B157" t="s">
        <v>540</v>
      </c>
      <c r="C157" t="s">
        <v>304</v>
      </c>
      <c r="D157" t="s">
        <v>305</v>
      </c>
      <c r="E157">
        <v>15</v>
      </c>
      <c r="K157">
        <v>15</v>
      </c>
    </row>
    <row r="158" spans="1:11" x14ac:dyDescent="0.3">
      <c r="A158" t="s">
        <v>364</v>
      </c>
      <c r="B158" t="s">
        <v>540</v>
      </c>
      <c r="C158" t="s">
        <v>242</v>
      </c>
      <c r="D158" t="s">
        <v>241</v>
      </c>
      <c r="E158">
        <v>8</v>
      </c>
      <c r="K158">
        <v>8</v>
      </c>
    </row>
    <row r="159" spans="1:11" x14ac:dyDescent="0.3">
      <c r="A159" t="s">
        <v>365</v>
      </c>
      <c r="B159" t="s">
        <v>537</v>
      </c>
      <c r="C159" t="s">
        <v>307</v>
      </c>
      <c r="D159" t="s">
        <v>306</v>
      </c>
      <c r="E159">
        <v>130</v>
      </c>
      <c r="H159">
        <v>75</v>
      </c>
      <c r="J159">
        <v>0</v>
      </c>
      <c r="K159">
        <v>55</v>
      </c>
    </row>
    <row r="160" spans="1:11" x14ac:dyDescent="0.3">
      <c r="A160" t="s">
        <v>342</v>
      </c>
      <c r="B160" t="s">
        <v>537</v>
      </c>
      <c r="C160" t="s">
        <v>255</v>
      </c>
      <c r="D160" t="s">
        <v>254</v>
      </c>
      <c r="E160">
        <v>79</v>
      </c>
      <c r="H160">
        <v>56</v>
      </c>
      <c r="K160">
        <v>23</v>
      </c>
    </row>
    <row r="161" spans="1:11" x14ac:dyDescent="0.3">
      <c r="A161" t="s">
        <v>365</v>
      </c>
      <c r="B161" t="s">
        <v>540</v>
      </c>
      <c r="C161" t="s">
        <v>285</v>
      </c>
      <c r="D161" t="s">
        <v>284</v>
      </c>
      <c r="E161">
        <v>7</v>
      </c>
      <c r="K161">
        <v>7</v>
      </c>
    </row>
    <row r="162" spans="1:11" x14ac:dyDescent="0.3">
      <c r="A162" t="s">
        <v>341</v>
      </c>
      <c r="B162" t="s">
        <v>537</v>
      </c>
      <c r="C162" t="s">
        <v>300</v>
      </c>
      <c r="D162" t="s">
        <v>299</v>
      </c>
      <c r="E162">
        <v>122</v>
      </c>
      <c r="H162">
        <v>122</v>
      </c>
      <c r="J162">
        <v>0</v>
      </c>
      <c r="K162">
        <v>0</v>
      </c>
    </row>
    <row r="163" spans="1:11" x14ac:dyDescent="0.3">
      <c r="A163" t="s">
        <v>342</v>
      </c>
      <c r="B163" t="s">
        <v>540</v>
      </c>
      <c r="C163" t="s">
        <v>275</v>
      </c>
      <c r="D163" t="s">
        <v>274</v>
      </c>
      <c r="E163">
        <v>32</v>
      </c>
      <c r="K163">
        <v>32</v>
      </c>
    </row>
    <row r="164" spans="1:11" x14ac:dyDescent="0.3">
      <c r="A164" t="s">
        <v>366</v>
      </c>
      <c r="B164" t="s">
        <v>540</v>
      </c>
      <c r="C164" t="s">
        <v>285</v>
      </c>
      <c r="D164" t="s">
        <v>284</v>
      </c>
      <c r="E164">
        <v>11</v>
      </c>
      <c r="K164">
        <v>11</v>
      </c>
    </row>
    <row r="165" spans="1:11" x14ac:dyDescent="0.3">
      <c r="A165" t="s">
        <v>342</v>
      </c>
      <c r="B165" t="s">
        <v>537</v>
      </c>
      <c r="C165" t="s">
        <v>220</v>
      </c>
      <c r="D165" t="s">
        <v>219</v>
      </c>
      <c r="E165">
        <v>299</v>
      </c>
      <c r="H165">
        <v>275</v>
      </c>
      <c r="K165">
        <v>24</v>
      </c>
    </row>
    <row r="166" spans="1:11" x14ac:dyDescent="0.3">
      <c r="A166" t="s">
        <v>342</v>
      </c>
      <c r="B166" t="s">
        <v>542</v>
      </c>
      <c r="C166" t="s">
        <v>232</v>
      </c>
      <c r="D166" t="s">
        <v>231</v>
      </c>
      <c r="E166">
        <v>373</v>
      </c>
      <c r="I166">
        <v>300</v>
      </c>
      <c r="K166">
        <v>73</v>
      </c>
    </row>
    <row r="167" spans="1:11" x14ac:dyDescent="0.3">
      <c r="A167" t="s">
        <v>328</v>
      </c>
      <c r="B167" t="s">
        <v>540</v>
      </c>
      <c r="C167" t="s">
        <v>257</v>
      </c>
      <c r="E167">
        <v>20</v>
      </c>
      <c r="F167">
        <v>0</v>
      </c>
      <c r="G167">
        <v>4</v>
      </c>
      <c r="H167">
        <v>0</v>
      </c>
      <c r="I167">
        <v>0</v>
      </c>
      <c r="J167">
        <v>0</v>
      </c>
      <c r="K167">
        <v>20</v>
      </c>
    </row>
    <row r="168" spans="1:11" x14ac:dyDescent="0.3">
      <c r="A168" t="s">
        <v>328</v>
      </c>
      <c r="B168" t="s">
        <v>537</v>
      </c>
      <c r="C168" t="s">
        <v>289</v>
      </c>
      <c r="E168">
        <v>189</v>
      </c>
      <c r="F168">
        <v>0</v>
      </c>
      <c r="G168">
        <v>0</v>
      </c>
      <c r="H168">
        <v>26</v>
      </c>
      <c r="I168">
        <v>0</v>
      </c>
      <c r="J168">
        <v>0</v>
      </c>
      <c r="K168">
        <v>163</v>
      </c>
    </row>
    <row r="169" spans="1:11" x14ac:dyDescent="0.3">
      <c r="A169" t="s">
        <v>312</v>
      </c>
      <c r="B169" t="s">
        <v>540</v>
      </c>
      <c r="C169" t="s">
        <v>261</v>
      </c>
      <c r="D169" t="s">
        <v>231</v>
      </c>
      <c r="E169">
        <v>13</v>
      </c>
      <c r="F169">
        <v>0</v>
      </c>
      <c r="G169">
        <v>0</v>
      </c>
      <c r="H169">
        <v>0</v>
      </c>
      <c r="I169">
        <v>0</v>
      </c>
      <c r="J169">
        <v>0</v>
      </c>
      <c r="K169">
        <v>13</v>
      </c>
    </row>
    <row r="170" spans="1:11" x14ac:dyDescent="0.3">
      <c r="A170" t="s">
        <v>318</v>
      </c>
      <c r="B170" t="s">
        <v>537</v>
      </c>
      <c r="C170" t="s">
        <v>279</v>
      </c>
      <c r="D170" t="s">
        <v>237</v>
      </c>
      <c r="E170">
        <v>38</v>
      </c>
      <c r="F170">
        <v>0</v>
      </c>
      <c r="G170">
        <v>0</v>
      </c>
      <c r="H170">
        <v>11</v>
      </c>
      <c r="I170">
        <v>0</v>
      </c>
      <c r="J170">
        <v>0</v>
      </c>
      <c r="K170">
        <v>27</v>
      </c>
    </row>
    <row r="171" spans="1:11" x14ac:dyDescent="0.3">
      <c r="A171" t="s">
        <v>326</v>
      </c>
      <c r="B171" t="s">
        <v>537</v>
      </c>
      <c r="C171" t="s">
        <v>249</v>
      </c>
      <c r="E171">
        <v>119</v>
      </c>
      <c r="F171">
        <v>0</v>
      </c>
      <c r="G171">
        <v>0</v>
      </c>
      <c r="H171">
        <v>71</v>
      </c>
      <c r="I171">
        <v>0</v>
      </c>
      <c r="J171">
        <v>0</v>
      </c>
      <c r="K171">
        <v>48</v>
      </c>
    </row>
    <row r="172" spans="1:11" x14ac:dyDescent="0.3">
      <c r="A172" t="s">
        <v>312</v>
      </c>
      <c r="B172" t="s">
        <v>537</v>
      </c>
      <c r="C172" t="s">
        <v>277</v>
      </c>
      <c r="D172" t="s">
        <v>231</v>
      </c>
      <c r="E172">
        <v>112</v>
      </c>
      <c r="F172">
        <v>0</v>
      </c>
      <c r="G172">
        <v>0</v>
      </c>
      <c r="H172">
        <v>42</v>
      </c>
      <c r="I172">
        <v>0</v>
      </c>
      <c r="J172">
        <v>0</v>
      </c>
      <c r="K172">
        <v>70</v>
      </c>
    </row>
    <row r="173" spans="1:11" x14ac:dyDescent="0.3">
      <c r="A173" t="s">
        <v>318</v>
      </c>
      <c r="B173" t="s">
        <v>537</v>
      </c>
      <c r="C173" t="s">
        <v>300</v>
      </c>
      <c r="D173" t="s">
        <v>217</v>
      </c>
      <c r="E173">
        <v>132</v>
      </c>
      <c r="F173">
        <v>0</v>
      </c>
      <c r="G173">
        <v>0</v>
      </c>
      <c r="H173">
        <v>132</v>
      </c>
      <c r="I173">
        <v>0</v>
      </c>
      <c r="J173">
        <v>0</v>
      </c>
      <c r="K173">
        <v>0</v>
      </c>
    </row>
    <row r="174" spans="1:11" x14ac:dyDescent="0.3">
      <c r="A174" t="s">
        <v>312</v>
      </c>
      <c r="B174" t="s">
        <v>537</v>
      </c>
      <c r="C174" t="s">
        <v>309</v>
      </c>
      <c r="D174" t="s">
        <v>231</v>
      </c>
      <c r="E174">
        <v>93</v>
      </c>
      <c r="F174">
        <v>0</v>
      </c>
      <c r="G174">
        <v>0</v>
      </c>
      <c r="H174">
        <v>20</v>
      </c>
      <c r="I174">
        <v>0</v>
      </c>
      <c r="J174">
        <v>0</v>
      </c>
      <c r="K174">
        <v>73</v>
      </c>
    </row>
    <row r="175" spans="1:11" x14ac:dyDescent="0.3">
      <c r="A175" t="s">
        <v>328</v>
      </c>
      <c r="B175" t="s">
        <v>540</v>
      </c>
      <c r="C175" t="s">
        <v>270</v>
      </c>
      <c r="E175">
        <v>20</v>
      </c>
      <c r="F175">
        <v>0</v>
      </c>
      <c r="G175">
        <v>0</v>
      </c>
      <c r="H175">
        <v>0</v>
      </c>
      <c r="I175">
        <v>0</v>
      </c>
      <c r="J175">
        <v>0</v>
      </c>
      <c r="K175">
        <v>20</v>
      </c>
    </row>
    <row r="176" spans="1:11" x14ac:dyDescent="0.3">
      <c r="A176" t="s">
        <v>326</v>
      </c>
      <c r="B176" t="s">
        <v>537</v>
      </c>
      <c r="C176" t="s">
        <v>244</v>
      </c>
      <c r="E176">
        <v>239</v>
      </c>
      <c r="F176">
        <v>0</v>
      </c>
      <c r="G176">
        <v>0</v>
      </c>
      <c r="H176">
        <v>179</v>
      </c>
      <c r="I176">
        <v>0</v>
      </c>
      <c r="J176">
        <v>7</v>
      </c>
      <c r="K176">
        <v>53</v>
      </c>
    </row>
    <row r="177" spans="1:11" x14ac:dyDescent="0.3">
      <c r="A177" t="s">
        <v>412</v>
      </c>
      <c r="B177" t="s">
        <v>537</v>
      </c>
      <c r="C177" t="s">
        <v>255</v>
      </c>
      <c r="E177">
        <v>81</v>
      </c>
      <c r="F177">
        <v>0</v>
      </c>
      <c r="G177">
        <v>0</v>
      </c>
      <c r="H177">
        <v>56</v>
      </c>
      <c r="I177">
        <v>0</v>
      </c>
      <c r="J177">
        <v>0</v>
      </c>
      <c r="K177">
        <v>25</v>
      </c>
    </row>
    <row r="178" spans="1:11" x14ac:dyDescent="0.3">
      <c r="A178" t="s">
        <v>412</v>
      </c>
      <c r="B178" t="s">
        <v>537</v>
      </c>
      <c r="C178" t="s">
        <v>281</v>
      </c>
      <c r="E178">
        <v>135</v>
      </c>
      <c r="F178">
        <v>0</v>
      </c>
      <c r="G178">
        <v>0</v>
      </c>
      <c r="H178">
        <v>105</v>
      </c>
      <c r="I178">
        <v>0</v>
      </c>
      <c r="J178">
        <v>1</v>
      </c>
      <c r="K178">
        <v>29</v>
      </c>
    </row>
    <row r="179" spans="1:11" x14ac:dyDescent="0.3">
      <c r="A179" t="s">
        <v>326</v>
      </c>
      <c r="B179" t="s">
        <v>537</v>
      </c>
      <c r="C179" t="s">
        <v>287</v>
      </c>
      <c r="E179">
        <v>202</v>
      </c>
      <c r="F179">
        <v>0</v>
      </c>
      <c r="G179">
        <v>0</v>
      </c>
      <c r="H179">
        <v>98</v>
      </c>
      <c r="I179">
        <v>0</v>
      </c>
      <c r="J179">
        <v>19</v>
      </c>
      <c r="K179">
        <v>85</v>
      </c>
    </row>
    <row r="180" spans="1:11" x14ac:dyDescent="0.3">
      <c r="A180" t="s">
        <v>326</v>
      </c>
      <c r="B180" t="s">
        <v>537</v>
      </c>
      <c r="C180" t="s">
        <v>215</v>
      </c>
      <c r="E180">
        <v>172</v>
      </c>
      <c r="F180">
        <v>0</v>
      </c>
      <c r="G180">
        <v>0</v>
      </c>
      <c r="H180">
        <v>10</v>
      </c>
      <c r="I180">
        <v>0</v>
      </c>
      <c r="J180">
        <v>0</v>
      </c>
      <c r="K180">
        <v>162</v>
      </c>
    </row>
    <row r="181" spans="1:11" x14ac:dyDescent="0.3">
      <c r="A181" t="s">
        <v>312</v>
      </c>
      <c r="B181" t="s">
        <v>537</v>
      </c>
      <c r="C181" t="s">
        <v>279</v>
      </c>
      <c r="D181" t="s">
        <v>237</v>
      </c>
      <c r="E181">
        <v>39</v>
      </c>
      <c r="F181">
        <v>0</v>
      </c>
      <c r="G181">
        <v>0</v>
      </c>
      <c r="H181">
        <v>13</v>
      </c>
      <c r="I181">
        <v>0</v>
      </c>
      <c r="J181">
        <v>0</v>
      </c>
      <c r="K181">
        <v>26</v>
      </c>
    </row>
    <row r="182" spans="1:11" x14ac:dyDescent="0.3">
      <c r="A182" t="s">
        <v>320</v>
      </c>
      <c r="B182" t="s">
        <v>537</v>
      </c>
      <c r="C182" t="s">
        <v>302</v>
      </c>
      <c r="E182">
        <v>95</v>
      </c>
      <c r="F182">
        <v>0</v>
      </c>
      <c r="G182">
        <v>0</v>
      </c>
      <c r="H182">
        <v>48</v>
      </c>
      <c r="I182">
        <v>0</v>
      </c>
      <c r="J182">
        <v>0</v>
      </c>
      <c r="K182">
        <v>47</v>
      </c>
    </row>
    <row r="183" spans="1:11" x14ac:dyDescent="0.3">
      <c r="A183" t="s">
        <v>326</v>
      </c>
      <c r="B183" t="s">
        <v>540</v>
      </c>
      <c r="C183" t="s">
        <v>313</v>
      </c>
      <c r="E183">
        <v>33</v>
      </c>
      <c r="F183">
        <v>0</v>
      </c>
      <c r="G183">
        <v>4</v>
      </c>
      <c r="H183">
        <v>0</v>
      </c>
      <c r="I183">
        <v>0</v>
      </c>
      <c r="J183">
        <v>0</v>
      </c>
      <c r="K183">
        <v>33</v>
      </c>
    </row>
    <row r="184" spans="1:11" x14ac:dyDescent="0.3">
      <c r="A184" t="s">
        <v>320</v>
      </c>
      <c r="B184" t="s">
        <v>537</v>
      </c>
      <c r="C184" t="s">
        <v>275</v>
      </c>
      <c r="E184">
        <v>593</v>
      </c>
      <c r="F184">
        <v>0</v>
      </c>
      <c r="G184">
        <v>0</v>
      </c>
      <c r="H184">
        <v>478</v>
      </c>
      <c r="I184">
        <v>0</v>
      </c>
      <c r="J184">
        <v>45</v>
      </c>
      <c r="K184">
        <v>70</v>
      </c>
    </row>
    <row r="185" spans="1:11" x14ac:dyDescent="0.3">
      <c r="A185" t="s">
        <v>320</v>
      </c>
      <c r="B185" t="s">
        <v>540</v>
      </c>
      <c r="C185" t="s">
        <v>270</v>
      </c>
      <c r="E185">
        <v>23</v>
      </c>
      <c r="F185">
        <v>0</v>
      </c>
      <c r="G185">
        <v>0</v>
      </c>
      <c r="H185">
        <v>0</v>
      </c>
      <c r="I185">
        <v>0</v>
      </c>
      <c r="J185">
        <v>0</v>
      </c>
      <c r="K185">
        <v>23</v>
      </c>
    </row>
    <row r="186" spans="1:11" x14ac:dyDescent="0.3">
      <c r="A186" t="s">
        <v>312</v>
      </c>
      <c r="B186" t="s">
        <v>537</v>
      </c>
      <c r="C186" t="s">
        <v>244</v>
      </c>
      <c r="D186" t="s">
        <v>231</v>
      </c>
      <c r="E186">
        <v>249</v>
      </c>
      <c r="F186">
        <v>0</v>
      </c>
      <c r="G186">
        <v>0</v>
      </c>
      <c r="H186">
        <v>192</v>
      </c>
      <c r="I186">
        <v>0</v>
      </c>
      <c r="J186">
        <v>5</v>
      </c>
      <c r="K186">
        <v>52</v>
      </c>
    </row>
    <row r="187" spans="1:11" x14ac:dyDescent="0.3">
      <c r="A187" t="s">
        <v>412</v>
      </c>
      <c r="B187" t="s">
        <v>537</v>
      </c>
      <c r="C187" t="s">
        <v>309</v>
      </c>
      <c r="E187">
        <v>99</v>
      </c>
      <c r="F187">
        <v>0</v>
      </c>
      <c r="G187">
        <v>0</v>
      </c>
      <c r="H187">
        <v>22</v>
      </c>
      <c r="I187">
        <v>0</v>
      </c>
      <c r="J187">
        <v>0</v>
      </c>
      <c r="K187">
        <v>77</v>
      </c>
    </row>
    <row r="188" spans="1:11" x14ac:dyDescent="0.3">
      <c r="A188" t="s">
        <v>328</v>
      </c>
      <c r="B188" t="s">
        <v>537</v>
      </c>
      <c r="C188" t="s">
        <v>240</v>
      </c>
      <c r="E188">
        <v>49</v>
      </c>
      <c r="F188">
        <v>0</v>
      </c>
      <c r="G188">
        <v>0</v>
      </c>
      <c r="H188">
        <v>23</v>
      </c>
      <c r="I188">
        <v>0</v>
      </c>
      <c r="J188">
        <v>0</v>
      </c>
      <c r="K188">
        <v>26</v>
      </c>
    </row>
    <row r="189" spans="1:11" x14ac:dyDescent="0.3">
      <c r="A189" t="s">
        <v>320</v>
      </c>
      <c r="B189" t="s">
        <v>537</v>
      </c>
      <c r="C189" t="s">
        <v>294</v>
      </c>
      <c r="E189">
        <v>204</v>
      </c>
      <c r="F189">
        <v>0</v>
      </c>
      <c r="G189">
        <v>0</v>
      </c>
      <c r="H189">
        <v>116</v>
      </c>
      <c r="I189">
        <v>0</v>
      </c>
      <c r="J189">
        <v>22</v>
      </c>
      <c r="K189">
        <v>66</v>
      </c>
    </row>
    <row r="190" spans="1:11" x14ac:dyDescent="0.3">
      <c r="A190" t="s">
        <v>325</v>
      </c>
      <c r="B190" t="s">
        <v>537</v>
      </c>
      <c r="C190" t="s">
        <v>294</v>
      </c>
      <c r="E190">
        <v>209</v>
      </c>
      <c r="F190">
        <v>0</v>
      </c>
      <c r="G190">
        <v>0</v>
      </c>
      <c r="H190">
        <v>119</v>
      </c>
      <c r="I190">
        <v>0</v>
      </c>
      <c r="J190">
        <v>21</v>
      </c>
      <c r="K190">
        <v>69</v>
      </c>
    </row>
    <row r="191" spans="1:11" x14ac:dyDescent="0.3">
      <c r="A191" t="s">
        <v>318</v>
      </c>
      <c r="B191" t="s">
        <v>537</v>
      </c>
      <c r="C191" t="s">
        <v>220</v>
      </c>
      <c r="D191" t="s">
        <v>217</v>
      </c>
      <c r="E191">
        <v>315</v>
      </c>
      <c r="F191">
        <v>0</v>
      </c>
      <c r="G191">
        <v>0</v>
      </c>
      <c r="H191">
        <v>286</v>
      </c>
      <c r="I191">
        <v>0</v>
      </c>
      <c r="J191">
        <v>0</v>
      </c>
      <c r="K191">
        <v>29</v>
      </c>
    </row>
    <row r="192" spans="1:11" x14ac:dyDescent="0.3">
      <c r="A192" t="s">
        <v>320</v>
      </c>
      <c r="B192" t="s">
        <v>537</v>
      </c>
      <c r="C192" t="s">
        <v>255</v>
      </c>
      <c r="E192">
        <v>80</v>
      </c>
      <c r="F192">
        <v>0</v>
      </c>
      <c r="G192">
        <v>0</v>
      </c>
      <c r="H192">
        <v>56</v>
      </c>
      <c r="I192">
        <v>0</v>
      </c>
      <c r="J192">
        <v>0</v>
      </c>
      <c r="K192">
        <v>24</v>
      </c>
    </row>
    <row r="193" spans="1:11" x14ac:dyDescent="0.3">
      <c r="A193" t="s">
        <v>318</v>
      </c>
      <c r="B193" t="s">
        <v>537</v>
      </c>
      <c r="C193" t="s">
        <v>294</v>
      </c>
      <c r="D193" t="s">
        <v>217</v>
      </c>
      <c r="E193">
        <v>214</v>
      </c>
      <c r="F193">
        <v>0</v>
      </c>
      <c r="G193">
        <v>0</v>
      </c>
      <c r="H193">
        <v>130</v>
      </c>
      <c r="I193">
        <v>0</v>
      </c>
      <c r="J193">
        <v>21</v>
      </c>
      <c r="K193">
        <v>63</v>
      </c>
    </row>
    <row r="194" spans="1:11" x14ac:dyDescent="0.3">
      <c r="A194" t="s">
        <v>320</v>
      </c>
      <c r="B194" t="s">
        <v>542</v>
      </c>
      <c r="C194" t="s">
        <v>238</v>
      </c>
      <c r="D194" t="s">
        <v>237</v>
      </c>
      <c r="E194">
        <v>66</v>
      </c>
      <c r="F194">
        <v>0</v>
      </c>
      <c r="G194">
        <v>0</v>
      </c>
      <c r="H194">
        <v>0</v>
      </c>
      <c r="I194">
        <v>0</v>
      </c>
      <c r="J194">
        <v>0</v>
      </c>
      <c r="K194">
        <v>66</v>
      </c>
    </row>
    <row r="195" spans="1:11" x14ac:dyDescent="0.3">
      <c r="A195" t="s">
        <v>325</v>
      </c>
      <c r="B195" t="s">
        <v>537</v>
      </c>
      <c r="C195" t="s">
        <v>275</v>
      </c>
      <c r="E195">
        <v>11</v>
      </c>
      <c r="F195">
        <v>0</v>
      </c>
      <c r="G195">
        <v>0</v>
      </c>
      <c r="H195">
        <v>0</v>
      </c>
      <c r="I195">
        <v>0</v>
      </c>
      <c r="J195">
        <v>0</v>
      </c>
      <c r="K195">
        <v>11</v>
      </c>
    </row>
    <row r="196" spans="1:11" x14ac:dyDescent="0.3">
      <c r="A196" t="s">
        <v>318</v>
      </c>
      <c r="B196" t="s">
        <v>537</v>
      </c>
      <c r="C196" t="s">
        <v>277</v>
      </c>
      <c r="D196" t="s">
        <v>231</v>
      </c>
      <c r="E196">
        <v>114</v>
      </c>
      <c r="F196">
        <v>0</v>
      </c>
      <c r="G196">
        <v>0</v>
      </c>
      <c r="H196">
        <v>44</v>
      </c>
      <c r="I196">
        <v>0</v>
      </c>
      <c r="J196">
        <v>0</v>
      </c>
      <c r="K196">
        <v>70</v>
      </c>
    </row>
    <row r="197" spans="1:11" x14ac:dyDescent="0.3">
      <c r="A197" t="s">
        <v>328</v>
      </c>
      <c r="B197" t="s">
        <v>537</v>
      </c>
      <c r="C197" t="s">
        <v>249</v>
      </c>
      <c r="E197">
        <v>124</v>
      </c>
      <c r="F197">
        <v>0</v>
      </c>
      <c r="G197">
        <v>0</v>
      </c>
      <c r="H197">
        <v>69</v>
      </c>
      <c r="I197">
        <v>0</v>
      </c>
      <c r="J197">
        <v>0</v>
      </c>
      <c r="K197">
        <v>55</v>
      </c>
    </row>
    <row r="198" spans="1:11" x14ac:dyDescent="0.3">
      <c r="A198" t="s">
        <v>312</v>
      </c>
      <c r="B198" t="s">
        <v>537</v>
      </c>
      <c r="C198" t="s">
        <v>249</v>
      </c>
      <c r="D198" t="s">
        <v>231</v>
      </c>
      <c r="E198">
        <v>129</v>
      </c>
      <c r="F198">
        <v>0</v>
      </c>
      <c r="G198">
        <v>0</v>
      </c>
      <c r="H198">
        <v>80</v>
      </c>
      <c r="I198">
        <v>0</v>
      </c>
      <c r="J198">
        <v>0</v>
      </c>
      <c r="K198">
        <v>49</v>
      </c>
    </row>
    <row r="199" spans="1:11" x14ac:dyDescent="0.3">
      <c r="A199" t="s">
        <v>318</v>
      </c>
      <c r="B199" t="s">
        <v>540</v>
      </c>
      <c r="C199" t="s">
        <v>236</v>
      </c>
      <c r="D199" t="s">
        <v>237</v>
      </c>
      <c r="E199">
        <v>28</v>
      </c>
      <c r="F199">
        <v>0</v>
      </c>
      <c r="G199">
        <v>0</v>
      </c>
      <c r="H199">
        <v>0</v>
      </c>
      <c r="I199">
        <v>0</v>
      </c>
      <c r="J199">
        <v>0</v>
      </c>
      <c r="K199">
        <v>28</v>
      </c>
    </row>
    <row r="200" spans="1:11" x14ac:dyDescent="0.3">
      <c r="A200" t="s">
        <v>328</v>
      </c>
      <c r="B200" t="s">
        <v>537</v>
      </c>
      <c r="C200" t="s">
        <v>298</v>
      </c>
      <c r="E200">
        <v>203</v>
      </c>
      <c r="F200">
        <v>0</v>
      </c>
      <c r="G200">
        <v>0</v>
      </c>
      <c r="H200">
        <v>145</v>
      </c>
      <c r="I200">
        <v>0</v>
      </c>
      <c r="J200">
        <v>0</v>
      </c>
      <c r="K200">
        <v>58</v>
      </c>
    </row>
    <row r="201" spans="1:11" x14ac:dyDescent="0.3">
      <c r="A201" t="s">
        <v>318</v>
      </c>
      <c r="B201" t="s">
        <v>537</v>
      </c>
      <c r="C201" t="s">
        <v>228</v>
      </c>
      <c r="D201" t="s">
        <v>231</v>
      </c>
      <c r="E201">
        <v>421</v>
      </c>
      <c r="F201">
        <v>0</v>
      </c>
      <c r="G201">
        <v>0</v>
      </c>
      <c r="H201">
        <v>168</v>
      </c>
      <c r="I201">
        <v>0</v>
      </c>
      <c r="J201">
        <v>201</v>
      </c>
      <c r="K201">
        <v>52</v>
      </c>
    </row>
    <row r="202" spans="1:11" x14ac:dyDescent="0.3">
      <c r="A202" t="s">
        <v>213</v>
      </c>
      <c r="B202" t="s">
        <v>537</v>
      </c>
      <c r="C202" t="s">
        <v>311</v>
      </c>
      <c r="D202" t="s">
        <v>310</v>
      </c>
      <c r="E202">
        <v>115</v>
      </c>
      <c r="F202">
        <v>0</v>
      </c>
      <c r="G202">
        <v>0</v>
      </c>
      <c r="H202">
        <v>59</v>
      </c>
      <c r="I202">
        <v>0</v>
      </c>
      <c r="J202">
        <v>0</v>
      </c>
      <c r="K202">
        <v>56</v>
      </c>
    </row>
    <row r="203" spans="1:11" x14ac:dyDescent="0.3">
      <c r="A203" t="s">
        <v>328</v>
      </c>
      <c r="B203" t="s">
        <v>537</v>
      </c>
      <c r="C203" t="s">
        <v>294</v>
      </c>
      <c r="E203">
        <v>197</v>
      </c>
      <c r="F203">
        <v>0</v>
      </c>
      <c r="G203">
        <v>0</v>
      </c>
      <c r="H203">
        <v>117</v>
      </c>
      <c r="I203">
        <v>0</v>
      </c>
      <c r="J203">
        <v>21</v>
      </c>
      <c r="K203">
        <v>59</v>
      </c>
    </row>
    <row r="204" spans="1:11" x14ac:dyDescent="0.3">
      <c r="A204" t="s">
        <v>325</v>
      </c>
      <c r="B204" t="s">
        <v>537</v>
      </c>
      <c r="C204" t="s">
        <v>283</v>
      </c>
      <c r="E204">
        <v>138</v>
      </c>
      <c r="F204">
        <v>0</v>
      </c>
      <c r="G204">
        <v>0</v>
      </c>
      <c r="H204">
        <v>135</v>
      </c>
      <c r="I204">
        <v>0</v>
      </c>
      <c r="J204">
        <v>0</v>
      </c>
      <c r="K204">
        <v>3</v>
      </c>
    </row>
    <row r="205" spans="1:11" x14ac:dyDescent="0.3">
      <c r="A205" t="s">
        <v>328</v>
      </c>
      <c r="B205" t="s">
        <v>540</v>
      </c>
      <c r="C205" t="s">
        <v>265</v>
      </c>
      <c r="E205">
        <v>15</v>
      </c>
      <c r="F205">
        <v>0</v>
      </c>
      <c r="G205">
        <v>2</v>
      </c>
      <c r="H205">
        <v>0</v>
      </c>
      <c r="I205">
        <v>0</v>
      </c>
      <c r="J205">
        <v>0</v>
      </c>
      <c r="K205">
        <v>15</v>
      </c>
    </row>
    <row r="206" spans="1:11" x14ac:dyDescent="0.3">
      <c r="A206" t="s">
        <v>325</v>
      </c>
      <c r="B206" t="s">
        <v>537</v>
      </c>
      <c r="C206" t="s">
        <v>279</v>
      </c>
      <c r="E206">
        <v>36</v>
      </c>
      <c r="F206">
        <v>0</v>
      </c>
      <c r="G206">
        <v>0</v>
      </c>
      <c r="H206">
        <v>11</v>
      </c>
      <c r="I206">
        <v>0</v>
      </c>
      <c r="J206">
        <v>0</v>
      </c>
      <c r="K206">
        <v>25</v>
      </c>
    </row>
    <row r="207" spans="1:11" x14ac:dyDescent="0.3">
      <c r="A207" t="s">
        <v>412</v>
      </c>
      <c r="B207" t="s">
        <v>537</v>
      </c>
      <c r="C207" t="s">
        <v>244</v>
      </c>
      <c r="E207">
        <v>259</v>
      </c>
      <c r="F207">
        <v>0</v>
      </c>
      <c r="G207">
        <v>0</v>
      </c>
      <c r="H207">
        <v>191</v>
      </c>
      <c r="I207">
        <v>0</v>
      </c>
      <c r="J207">
        <v>4</v>
      </c>
      <c r="K207">
        <v>64</v>
      </c>
    </row>
    <row r="208" spans="1:11" x14ac:dyDescent="0.3">
      <c r="A208" t="s">
        <v>412</v>
      </c>
      <c r="B208" t="s">
        <v>537</v>
      </c>
      <c r="C208" t="s">
        <v>287</v>
      </c>
      <c r="E208">
        <v>199</v>
      </c>
      <c r="F208">
        <v>0</v>
      </c>
      <c r="G208">
        <v>0</v>
      </c>
      <c r="H208">
        <v>104</v>
      </c>
      <c r="I208">
        <v>0</v>
      </c>
      <c r="J208">
        <v>19</v>
      </c>
      <c r="K208">
        <v>76</v>
      </c>
    </row>
    <row r="209" spans="1:11" x14ac:dyDescent="0.3">
      <c r="A209" t="s">
        <v>412</v>
      </c>
      <c r="B209" t="s">
        <v>537</v>
      </c>
      <c r="C209" t="s">
        <v>234</v>
      </c>
      <c r="E209">
        <v>313</v>
      </c>
      <c r="F209">
        <v>0</v>
      </c>
      <c r="G209">
        <v>0</v>
      </c>
      <c r="H209">
        <v>10</v>
      </c>
      <c r="I209">
        <v>0</v>
      </c>
      <c r="J209">
        <v>0</v>
      </c>
      <c r="K209">
        <v>303</v>
      </c>
    </row>
    <row r="210" spans="1:11" x14ac:dyDescent="0.3">
      <c r="A210" t="s">
        <v>320</v>
      </c>
      <c r="B210" t="s">
        <v>540</v>
      </c>
      <c r="C210" t="s">
        <v>324</v>
      </c>
      <c r="E210">
        <v>30</v>
      </c>
      <c r="F210">
        <v>0</v>
      </c>
      <c r="G210">
        <v>2</v>
      </c>
      <c r="H210">
        <v>0</v>
      </c>
      <c r="I210">
        <v>0</v>
      </c>
      <c r="J210">
        <v>0</v>
      </c>
      <c r="K210">
        <v>30</v>
      </c>
    </row>
    <row r="211" spans="1:11" x14ac:dyDescent="0.3">
      <c r="A211" t="s">
        <v>312</v>
      </c>
      <c r="B211" t="s">
        <v>537</v>
      </c>
      <c r="C211" t="s">
        <v>255</v>
      </c>
      <c r="D211" t="s">
        <v>237</v>
      </c>
      <c r="E211">
        <v>90</v>
      </c>
      <c r="F211">
        <v>0</v>
      </c>
      <c r="G211">
        <v>0</v>
      </c>
      <c r="H211">
        <v>65</v>
      </c>
      <c r="I211">
        <v>0</v>
      </c>
      <c r="J211">
        <v>0</v>
      </c>
      <c r="K211">
        <v>25</v>
      </c>
    </row>
    <row r="212" spans="1:11" x14ac:dyDescent="0.3">
      <c r="A212" t="s">
        <v>320</v>
      </c>
      <c r="B212" t="s">
        <v>540</v>
      </c>
      <c r="C212" t="s">
        <v>285</v>
      </c>
      <c r="E212">
        <v>17</v>
      </c>
      <c r="F212">
        <v>0</v>
      </c>
      <c r="G212">
        <v>7</v>
      </c>
      <c r="H212">
        <v>0</v>
      </c>
      <c r="I212">
        <v>0</v>
      </c>
      <c r="J212">
        <v>0</v>
      </c>
      <c r="K212">
        <v>17</v>
      </c>
    </row>
    <row r="213" spans="1:11" x14ac:dyDescent="0.3">
      <c r="A213" t="s">
        <v>312</v>
      </c>
      <c r="B213" t="s">
        <v>537</v>
      </c>
      <c r="C213" t="s">
        <v>240</v>
      </c>
      <c r="D213" t="s">
        <v>237</v>
      </c>
      <c r="E213">
        <v>50</v>
      </c>
      <c r="F213">
        <v>0</v>
      </c>
      <c r="G213">
        <v>0</v>
      </c>
      <c r="H213">
        <v>25</v>
      </c>
      <c r="I213">
        <v>0</v>
      </c>
      <c r="J213">
        <v>0</v>
      </c>
      <c r="K213">
        <v>25</v>
      </c>
    </row>
    <row r="214" spans="1:11" x14ac:dyDescent="0.3">
      <c r="A214" t="s">
        <v>312</v>
      </c>
      <c r="B214" t="s">
        <v>540</v>
      </c>
      <c r="C214" t="s">
        <v>270</v>
      </c>
      <c r="D214" t="s">
        <v>231</v>
      </c>
      <c r="E214">
        <v>25</v>
      </c>
      <c r="F214">
        <v>0</v>
      </c>
      <c r="G214">
        <v>0</v>
      </c>
      <c r="H214">
        <v>0</v>
      </c>
      <c r="I214">
        <v>0</v>
      </c>
      <c r="J214">
        <v>0</v>
      </c>
      <c r="K214">
        <v>25</v>
      </c>
    </row>
    <row r="215" spans="1:11" x14ac:dyDescent="0.3">
      <c r="A215" t="s">
        <v>318</v>
      </c>
      <c r="B215" t="s">
        <v>542</v>
      </c>
      <c r="C215" t="s">
        <v>232</v>
      </c>
      <c r="D215" t="s">
        <v>231</v>
      </c>
      <c r="E215">
        <v>91</v>
      </c>
      <c r="F215">
        <v>0</v>
      </c>
      <c r="G215">
        <v>0</v>
      </c>
      <c r="H215">
        <v>0</v>
      </c>
      <c r="I215">
        <v>0</v>
      </c>
      <c r="J215">
        <v>0</v>
      </c>
      <c r="K215">
        <v>91</v>
      </c>
    </row>
    <row r="216" spans="1:11" x14ac:dyDescent="0.3">
      <c r="A216" t="s">
        <v>412</v>
      </c>
      <c r="B216" t="s">
        <v>537</v>
      </c>
      <c r="C216" t="s">
        <v>270</v>
      </c>
      <c r="E216">
        <v>452</v>
      </c>
      <c r="F216">
        <v>0</v>
      </c>
      <c r="G216">
        <v>0</v>
      </c>
      <c r="H216">
        <v>0</v>
      </c>
      <c r="I216">
        <v>0</v>
      </c>
      <c r="J216">
        <v>0</v>
      </c>
      <c r="K216">
        <v>452</v>
      </c>
    </row>
    <row r="217" spans="1:11" x14ac:dyDescent="0.3">
      <c r="A217" t="s">
        <v>325</v>
      </c>
      <c r="B217" t="s">
        <v>537</v>
      </c>
      <c r="C217" t="s">
        <v>270</v>
      </c>
      <c r="E217">
        <v>491</v>
      </c>
      <c r="F217">
        <v>0</v>
      </c>
      <c r="G217">
        <v>0</v>
      </c>
      <c r="H217">
        <v>0</v>
      </c>
      <c r="I217">
        <v>0</v>
      </c>
      <c r="J217">
        <v>0</v>
      </c>
      <c r="K217">
        <v>491</v>
      </c>
    </row>
    <row r="218" spans="1:11" x14ac:dyDescent="0.3">
      <c r="A218" t="s">
        <v>328</v>
      </c>
      <c r="B218" t="s">
        <v>537</v>
      </c>
      <c r="C218" t="s">
        <v>255</v>
      </c>
      <c r="E218">
        <v>81</v>
      </c>
      <c r="F218">
        <v>0</v>
      </c>
      <c r="G218">
        <v>0</v>
      </c>
      <c r="H218">
        <v>55</v>
      </c>
      <c r="I218">
        <v>0</v>
      </c>
      <c r="J218">
        <v>0</v>
      </c>
      <c r="K218">
        <v>26</v>
      </c>
    </row>
    <row r="219" spans="1:11" x14ac:dyDescent="0.3">
      <c r="A219" t="s">
        <v>325</v>
      </c>
      <c r="B219" t="s">
        <v>537</v>
      </c>
      <c r="C219" t="s">
        <v>287</v>
      </c>
      <c r="E219">
        <v>191</v>
      </c>
      <c r="F219">
        <v>0</v>
      </c>
      <c r="G219">
        <v>0</v>
      </c>
      <c r="H219">
        <v>96</v>
      </c>
      <c r="I219">
        <v>0</v>
      </c>
      <c r="J219">
        <v>20</v>
      </c>
      <c r="K219">
        <v>75</v>
      </c>
    </row>
    <row r="220" spans="1:11" x14ac:dyDescent="0.3">
      <c r="A220" t="s">
        <v>213</v>
      </c>
      <c r="B220" t="s">
        <v>537</v>
      </c>
      <c r="C220" t="s">
        <v>224</v>
      </c>
      <c r="D220" t="s">
        <v>223</v>
      </c>
      <c r="E220">
        <v>126</v>
      </c>
      <c r="F220">
        <v>0</v>
      </c>
      <c r="G220">
        <v>0</v>
      </c>
      <c r="H220">
        <v>98</v>
      </c>
      <c r="I220">
        <v>0</v>
      </c>
      <c r="J220">
        <v>0</v>
      </c>
      <c r="K220">
        <v>28</v>
      </c>
    </row>
    <row r="221" spans="1:11" x14ac:dyDescent="0.3">
      <c r="A221" t="s">
        <v>325</v>
      </c>
      <c r="B221" t="s">
        <v>540</v>
      </c>
      <c r="C221" t="s">
        <v>322</v>
      </c>
      <c r="E221">
        <v>24</v>
      </c>
      <c r="F221">
        <v>0</v>
      </c>
      <c r="G221">
        <v>8</v>
      </c>
      <c r="H221">
        <v>0</v>
      </c>
      <c r="I221">
        <v>0</v>
      </c>
      <c r="J221">
        <v>0</v>
      </c>
      <c r="K221">
        <v>24</v>
      </c>
    </row>
    <row r="222" spans="1:11" x14ac:dyDescent="0.3">
      <c r="A222" t="s">
        <v>213</v>
      </c>
      <c r="B222" t="s">
        <v>540</v>
      </c>
      <c r="C222" t="s">
        <v>257</v>
      </c>
      <c r="D222" t="s">
        <v>256</v>
      </c>
      <c r="E222">
        <v>25</v>
      </c>
      <c r="F222">
        <v>0</v>
      </c>
      <c r="G222">
        <v>2</v>
      </c>
      <c r="H222">
        <v>0</v>
      </c>
      <c r="I222">
        <v>0</v>
      </c>
      <c r="J222">
        <v>0</v>
      </c>
      <c r="K222">
        <v>25</v>
      </c>
    </row>
    <row r="223" spans="1:11" x14ac:dyDescent="0.3">
      <c r="A223" t="s">
        <v>328</v>
      </c>
      <c r="B223" t="s">
        <v>537</v>
      </c>
      <c r="C223" t="s">
        <v>263</v>
      </c>
      <c r="E223">
        <v>142</v>
      </c>
      <c r="F223">
        <v>0</v>
      </c>
      <c r="G223">
        <v>0</v>
      </c>
      <c r="H223">
        <v>59</v>
      </c>
      <c r="I223">
        <v>0</v>
      </c>
      <c r="J223">
        <v>0</v>
      </c>
      <c r="K223">
        <v>83</v>
      </c>
    </row>
    <row r="224" spans="1:11" x14ac:dyDescent="0.3">
      <c r="A224" t="s">
        <v>325</v>
      </c>
      <c r="B224" t="s">
        <v>540</v>
      </c>
      <c r="C224" t="s">
        <v>261</v>
      </c>
      <c r="E224">
        <v>19</v>
      </c>
      <c r="F224">
        <v>0</v>
      </c>
      <c r="G224">
        <v>0</v>
      </c>
      <c r="H224">
        <v>0</v>
      </c>
      <c r="I224">
        <v>0</v>
      </c>
      <c r="J224">
        <v>0</v>
      </c>
      <c r="K224">
        <v>19</v>
      </c>
    </row>
    <row r="225" spans="1:11" x14ac:dyDescent="0.3">
      <c r="A225" t="s">
        <v>412</v>
      </c>
      <c r="B225" t="s">
        <v>537</v>
      </c>
      <c r="C225" t="s">
        <v>247</v>
      </c>
      <c r="E225">
        <v>172</v>
      </c>
      <c r="F225">
        <v>0</v>
      </c>
      <c r="G225">
        <v>0</v>
      </c>
      <c r="H225">
        <v>14</v>
      </c>
      <c r="I225">
        <v>0</v>
      </c>
      <c r="J225">
        <v>0</v>
      </c>
      <c r="K225">
        <v>158</v>
      </c>
    </row>
    <row r="226" spans="1:11" x14ac:dyDescent="0.3">
      <c r="A226" t="s">
        <v>312</v>
      </c>
      <c r="B226" t="s">
        <v>540</v>
      </c>
      <c r="C226" t="s">
        <v>324</v>
      </c>
      <c r="D226" t="s">
        <v>231</v>
      </c>
      <c r="E226">
        <v>16</v>
      </c>
      <c r="F226">
        <v>0</v>
      </c>
      <c r="G226">
        <v>2</v>
      </c>
      <c r="H226">
        <v>0</v>
      </c>
      <c r="I226">
        <v>0</v>
      </c>
      <c r="J226">
        <v>0</v>
      </c>
      <c r="K226">
        <v>16</v>
      </c>
    </row>
    <row r="227" spans="1:11" x14ac:dyDescent="0.3">
      <c r="A227" t="s">
        <v>325</v>
      </c>
      <c r="B227" t="s">
        <v>537</v>
      </c>
      <c r="C227" t="s">
        <v>263</v>
      </c>
      <c r="E227">
        <v>137</v>
      </c>
      <c r="F227">
        <v>0</v>
      </c>
      <c r="G227">
        <v>0</v>
      </c>
      <c r="H227">
        <v>53</v>
      </c>
      <c r="I227">
        <v>0</v>
      </c>
      <c r="J227">
        <v>0</v>
      </c>
      <c r="K227">
        <v>84</v>
      </c>
    </row>
    <row r="228" spans="1:11" x14ac:dyDescent="0.3">
      <c r="A228" t="s">
        <v>320</v>
      </c>
      <c r="B228" t="s">
        <v>537</v>
      </c>
      <c r="C228" t="s">
        <v>263</v>
      </c>
      <c r="E228">
        <v>137</v>
      </c>
      <c r="F228">
        <v>0</v>
      </c>
      <c r="G228">
        <v>0</v>
      </c>
      <c r="H228">
        <v>50</v>
      </c>
      <c r="I228">
        <v>0</v>
      </c>
      <c r="J228">
        <v>0</v>
      </c>
      <c r="K228">
        <v>87</v>
      </c>
    </row>
    <row r="229" spans="1:11" x14ac:dyDescent="0.3">
      <c r="A229" t="s">
        <v>320</v>
      </c>
      <c r="B229" t="s">
        <v>537</v>
      </c>
      <c r="C229" t="s">
        <v>298</v>
      </c>
      <c r="E229">
        <v>193</v>
      </c>
      <c r="F229">
        <v>0</v>
      </c>
      <c r="G229">
        <v>0</v>
      </c>
      <c r="H229">
        <v>140</v>
      </c>
      <c r="I229">
        <v>0</v>
      </c>
      <c r="J229">
        <v>0</v>
      </c>
      <c r="K229">
        <v>53</v>
      </c>
    </row>
    <row r="230" spans="1:11" x14ac:dyDescent="0.3">
      <c r="A230" t="s">
        <v>213</v>
      </c>
      <c r="B230" t="s">
        <v>537</v>
      </c>
      <c r="C230" t="s">
        <v>234</v>
      </c>
      <c r="D230" t="s">
        <v>233</v>
      </c>
      <c r="E230">
        <v>306</v>
      </c>
      <c r="F230">
        <v>0</v>
      </c>
      <c r="G230">
        <v>0</v>
      </c>
      <c r="H230">
        <v>9</v>
      </c>
      <c r="I230">
        <v>0</v>
      </c>
      <c r="J230">
        <v>0</v>
      </c>
      <c r="K230">
        <v>297</v>
      </c>
    </row>
    <row r="231" spans="1:11" x14ac:dyDescent="0.3">
      <c r="A231" t="s">
        <v>312</v>
      </c>
      <c r="B231" t="s">
        <v>537</v>
      </c>
      <c r="C231" t="s">
        <v>300</v>
      </c>
      <c r="D231" t="s">
        <v>217</v>
      </c>
      <c r="E231">
        <v>134</v>
      </c>
      <c r="F231">
        <v>0</v>
      </c>
      <c r="G231">
        <v>0</v>
      </c>
      <c r="H231">
        <v>134</v>
      </c>
      <c r="I231">
        <v>0</v>
      </c>
      <c r="J231">
        <v>0</v>
      </c>
      <c r="K231">
        <v>0</v>
      </c>
    </row>
    <row r="232" spans="1:11" x14ac:dyDescent="0.3">
      <c r="A232" t="s">
        <v>326</v>
      </c>
      <c r="B232" t="s">
        <v>537</v>
      </c>
      <c r="C232" t="s">
        <v>255</v>
      </c>
      <c r="E232">
        <v>81</v>
      </c>
      <c r="F232">
        <v>0</v>
      </c>
      <c r="G232">
        <v>0</v>
      </c>
      <c r="H232">
        <v>56</v>
      </c>
      <c r="I232">
        <v>0</v>
      </c>
      <c r="J232">
        <v>0</v>
      </c>
      <c r="K232">
        <v>25</v>
      </c>
    </row>
    <row r="233" spans="1:11" x14ac:dyDescent="0.3">
      <c r="A233" t="s">
        <v>318</v>
      </c>
      <c r="B233" t="s">
        <v>537</v>
      </c>
      <c r="C233" t="s">
        <v>255</v>
      </c>
      <c r="D233" t="s">
        <v>237</v>
      </c>
      <c r="E233">
        <v>90</v>
      </c>
      <c r="F233">
        <v>0</v>
      </c>
      <c r="G233">
        <v>0</v>
      </c>
      <c r="H233">
        <v>64</v>
      </c>
      <c r="I233">
        <v>0</v>
      </c>
      <c r="J233">
        <v>0</v>
      </c>
      <c r="K233">
        <v>26</v>
      </c>
    </row>
    <row r="234" spans="1:11" x14ac:dyDescent="0.3">
      <c r="A234" t="s">
        <v>318</v>
      </c>
      <c r="B234" t="s">
        <v>537</v>
      </c>
      <c r="C234" t="s">
        <v>289</v>
      </c>
      <c r="D234" t="s">
        <v>231</v>
      </c>
      <c r="E234">
        <v>198</v>
      </c>
      <c r="F234">
        <v>0</v>
      </c>
      <c r="G234">
        <v>0</v>
      </c>
      <c r="H234">
        <v>38</v>
      </c>
      <c r="I234">
        <v>0</v>
      </c>
      <c r="J234">
        <v>0</v>
      </c>
      <c r="K234">
        <v>160</v>
      </c>
    </row>
    <row r="235" spans="1:11" x14ac:dyDescent="0.3">
      <c r="A235" t="s">
        <v>318</v>
      </c>
      <c r="B235" t="s">
        <v>540</v>
      </c>
      <c r="C235" t="s">
        <v>244</v>
      </c>
      <c r="D235" t="s">
        <v>231</v>
      </c>
      <c r="E235">
        <v>21</v>
      </c>
      <c r="F235">
        <v>0</v>
      </c>
      <c r="G235">
        <v>4</v>
      </c>
      <c r="H235">
        <v>0</v>
      </c>
      <c r="I235">
        <v>0</v>
      </c>
      <c r="J235">
        <v>0</v>
      </c>
      <c r="K235">
        <v>21</v>
      </c>
    </row>
    <row r="236" spans="1:11" x14ac:dyDescent="0.3">
      <c r="A236" t="s">
        <v>412</v>
      </c>
      <c r="B236" t="s">
        <v>537</v>
      </c>
      <c r="C236" t="s">
        <v>215</v>
      </c>
      <c r="E236">
        <v>118</v>
      </c>
      <c r="F236">
        <v>0</v>
      </c>
      <c r="G236">
        <v>0</v>
      </c>
      <c r="H236">
        <v>9</v>
      </c>
      <c r="I236">
        <v>0</v>
      </c>
      <c r="J236">
        <v>0</v>
      </c>
      <c r="K236">
        <v>109</v>
      </c>
    </row>
    <row r="237" spans="1:11" x14ac:dyDescent="0.3">
      <c r="A237" t="s">
        <v>328</v>
      </c>
      <c r="B237" t="s">
        <v>537</v>
      </c>
      <c r="C237" t="s">
        <v>304</v>
      </c>
      <c r="E237">
        <v>229</v>
      </c>
      <c r="F237">
        <v>0</v>
      </c>
      <c r="G237">
        <v>0</v>
      </c>
      <c r="H237">
        <v>74</v>
      </c>
      <c r="I237">
        <v>0</v>
      </c>
      <c r="J237">
        <v>0</v>
      </c>
      <c r="K237">
        <v>155</v>
      </c>
    </row>
    <row r="238" spans="1:11" x14ac:dyDescent="0.3">
      <c r="A238" t="s">
        <v>312</v>
      </c>
      <c r="B238" t="s">
        <v>537</v>
      </c>
      <c r="C238" t="s">
        <v>253</v>
      </c>
      <c r="D238" t="s">
        <v>231</v>
      </c>
      <c r="E238">
        <v>79</v>
      </c>
      <c r="F238">
        <v>0</v>
      </c>
      <c r="G238">
        <v>0</v>
      </c>
      <c r="H238">
        <v>0</v>
      </c>
      <c r="I238">
        <v>0</v>
      </c>
      <c r="J238">
        <v>0</v>
      </c>
      <c r="K238">
        <v>79</v>
      </c>
    </row>
    <row r="239" spans="1:11" x14ac:dyDescent="0.3">
      <c r="A239" t="s">
        <v>326</v>
      </c>
      <c r="B239" t="s">
        <v>537</v>
      </c>
      <c r="C239" t="s">
        <v>220</v>
      </c>
      <c r="E239">
        <v>294</v>
      </c>
      <c r="F239">
        <v>0</v>
      </c>
      <c r="G239">
        <v>0</v>
      </c>
      <c r="H239">
        <v>266</v>
      </c>
      <c r="I239">
        <v>0</v>
      </c>
      <c r="J239">
        <v>0</v>
      </c>
      <c r="K239">
        <v>28</v>
      </c>
    </row>
    <row r="240" spans="1:11" x14ac:dyDescent="0.3">
      <c r="A240" t="s">
        <v>412</v>
      </c>
      <c r="B240" t="s">
        <v>537</v>
      </c>
      <c r="C240" t="s">
        <v>220</v>
      </c>
      <c r="E240">
        <v>319</v>
      </c>
      <c r="F240">
        <v>0</v>
      </c>
      <c r="G240">
        <v>0</v>
      </c>
      <c r="H240">
        <v>277</v>
      </c>
      <c r="I240">
        <v>0</v>
      </c>
      <c r="J240">
        <v>0</v>
      </c>
      <c r="K240">
        <v>42</v>
      </c>
    </row>
    <row r="241" spans="1:11" x14ac:dyDescent="0.3">
      <c r="A241" t="s">
        <v>326</v>
      </c>
      <c r="B241" t="s">
        <v>537</v>
      </c>
      <c r="C241" t="s">
        <v>281</v>
      </c>
      <c r="E241">
        <v>149</v>
      </c>
      <c r="F241">
        <v>0</v>
      </c>
      <c r="G241">
        <v>0</v>
      </c>
      <c r="H241">
        <v>116</v>
      </c>
      <c r="I241">
        <v>0</v>
      </c>
      <c r="J241">
        <v>3</v>
      </c>
      <c r="K241">
        <v>30</v>
      </c>
    </row>
    <row r="242" spans="1:11" x14ac:dyDescent="0.3">
      <c r="A242" t="s">
        <v>412</v>
      </c>
      <c r="B242" t="s">
        <v>537</v>
      </c>
      <c r="C242" t="s">
        <v>300</v>
      </c>
      <c r="E242">
        <v>117</v>
      </c>
      <c r="F242">
        <v>0</v>
      </c>
      <c r="G242">
        <v>0</v>
      </c>
      <c r="H242">
        <v>117</v>
      </c>
      <c r="I242">
        <v>0</v>
      </c>
      <c r="J242">
        <v>0</v>
      </c>
      <c r="K242">
        <v>0</v>
      </c>
    </row>
    <row r="243" spans="1:11" x14ac:dyDescent="0.3">
      <c r="A243" t="s">
        <v>312</v>
      </c>
      <c r="B243" t="s">
        <v>542</v>
      </c>
      <c r="C243" t="s">
        <v>218</v>
      </c>
      <c r="D243" t="s">
        <v>217</v>
      </c>
      <c r="E243">
        <v>42</v>
      </c>
      <c r="F243">
        <v>0</v>
      </c>
      <c r="G243">
        <v>0</v>
      </c>
      <c r="H243">
        <v>0</v>
      </c>
      <c r="I243">
        <v>0</v>
      </c>
      <c r="J243">
        <v>0</v>
      </c>
      <c r="K243">
        <v>42</v>
      </c>
    </row>
    <row r="244" spans="1:11" x14ac:dyDescent="0.3">
      <c r="A244" t="s">
        <v>213</v>
      </c>
      <c r="B244" t="s">
        <v>537</v>
      </c>
      <c r="C244" t="s">
        <v>307</v>
      </c>
      <c r="D244" t="s">
        <v>306</v>
      </c>
      <c r="E244">
        <v>124</v>
      </c>
      <c r="F244">
        <v>0</v>
      </c>
      <c r="G244">
        <v>0</v>
      </c>
      <c r="H244">
        <v>75</v>
      </c>
      <c r="I244">
        <v>0</v>
      </c>
      <c r="J244">
        <v>0</v>
      </c>
      <c r="K244">
        <v>49</v>
      </c>
    </row>
    <row r="245" spans="1:11" x14ac:dyDescent="0.3">
      <c r="A245" t="s">
        <v>312</v>
      </c>
      <c r="B245" t="s">
        <v>537</v>
      </c>
      <c r="C245" t="s">
        <v>259</v>
      </c>
      <c r="D245" t="s">
        <v>231</v>
      </c>
      <c r="E245">
        <v>50</v>
      </c>
      <c r="F245">
        <v>0</v>
      </c>
      <c r="G245">
        <v>0</v>
      </c>
      <c r="H245">
        <v>0</v>
      </c>
      <c r="I245">
        <v>0</v>
      </c>
      <c r="J245">
        <v>0</v>
      </c>
      <c r="K245">
        <v>50</v>
      </c>
    </row>
    <row r="246" spans="1:11" x14ac:dyDescent="0.3">
      <c r="A246" t="s">
        <v>412</v>
      </c>
      <c r="B246" t="s">
        <v>542</v>
      </c>
      <c r="C246" t="s">
        <v>232</v>
      </c>
      <c r="E246">
        <v>94</v>
      </c>
      <c r="F246">
        <v>0</v>
      </c>
      <c r="G246">
        <v>0</v>
      </c>
      <c r="H246">
        <v>0</v>
      </c>
      <c r="I246">
        <v>0</v>
      </c>
      <c r="J246">
        <v>0</v>
      </c>
      <c r="K246">
        <v>94</v>
      </c>
    </row>
    <row r="247" spans="1:11" x14ac:dyDescent="0.3">
      <c r="A247" t="s">
        <v>318</v>
      </c>
      <c r="B247" t="s">
        <v>542</v>
      </c>
      <c r="C247" t="s">
        <v>238</v>
      </c>
      <c r="D247" t="s">
        <v>237</v>
      </c>
      <c r="E247">
        <v>66</v>
      </c>
      <c r="F247">
        <v>0</v>
      </c>
      <c r="G247">
        <v>0</v>
      </c>
      <c r="H247">
        <v>0</v>
      </c>
      <c r="I247">
        <v>0</v>
      </c>
      <c r="J247">
        <v>0</v>
      </c>
      <c r="K247">
        <v>66</v>
      </c>
    </row>
    <row r="248" spans="1:11" x14ac:dyDescent="0.3">
      <c r="A248" t="s">
        <v>325</v>
      </c>
      <c r="B248" t="s">
        <v>540</v>
      </c>
      <c r="C248" t="s">
        <v>324</v>
      </c>
      <c r="E248">
        <v>27</v>
      </c>
      <c r="F248">
        <v>0</v>
      </c>
      <c r="G248">
        <v>2</v>
      </c>
      <c r="H248">
        <v>0</v>
      </c>
      <c r="I248">
        <v>0</v>
      </c>
      <c r="J248">
        <v>0</v>
      </c>
      <c r="K248">
        <v>27</v>
      </c>
    </row>
    <row r="249" spans="1:11" x14ac:dyDescent="0.3">
      <c r="A249" t="s">
        <v>328</v>
      </c>
      <c r="B249" t="s">
        <v>537</v>
      </c>
      <c r="C249" t="s">
        <v>253</v>
      </c>
      <c r="E249">
        <v>75</v>
      </c>
      <c r="F249">
        <v>0</v>
      </c>
      <c r="G249">
        <v>0</v>
      </c>
      <c r="H249">
        <v>0</v>
      </c>
      <c r="I249">
        <v>0</v>
      </c>
      <c r="J249">
        <v>0</v>
      </c>
      <c r="K249">
        <v>75</v>
      </c>
    </row>
    <row r="250" spans="1:11" x14ac:dyDescent="0.3">
      <c r="A250" t="s">
        <v>318</v>
      </c>
      <c r="B250" t="s">
        <v>537</v>
      </c>
      <c r="C250" t="s">
        <v>247</v>
      </c>
      <c r="D250" t="s">
        <v>217</v>
      </c>
      <c r="E250">
        <v>193</v>
      </c>
      <c r="F250">
        <v>0</v>
      </c>
      <c r="G250">
        <v>0</v>
      </c>
      <c r="H250">
        <v>11</v>
      </c>
      <c r="I250">
        <v>0</v>
      </c>
      <c r="J250">
        <v>0</v>
      </c>
      <c r="K250">
        <v>182</v>
      </c>
    </row>
    <row r="251" spans="1:11" x14ac:dyDescent="0.3">
      <c r="A251" t="s">
        <v>312</v>
      </c>
      <c r="B251" t="s">
        <v>542</v>
      </c>
      <c r="C251" t="s">
        <v>232</v>
      </c>
      <c r="D251" t="s">
        <v>231</v>
      </c>
      <c r="E251">
        <v>103</v>
      </c>
      <c r="F251">
        <v>0</v>
      </c>
      <c r="G251">
        <v>0</v>
      </c>
      <c r="H251">
        <v>0</v>
      </c>
      <c r="I251">
        <v>0</v>
      </c>
      <c r="J251">
        <v>0</v>
      </c>
      <c r="K251">
        <v>103</v>
      </c>
    </row>
    <row r="252" spans="1:11" x14ac:dyDescent="0.3">
      <c r="A252" t="s">
        <v>318</v>
      </c>
      <c r="B252" t="s">
        <v>537</v>
      </c>
      <c r="C252" t="s">
        <v>302</v>
      </c>
      <c r="D252" t="s">
        <v>231</v>
      </c>
      <c r="E252">
        <v>103</v>
      </c>
      <c r="F252">
        <v>0</v>
      </c>
      <c r="G252">
        <v>0</v>
      </c>
      <c r="H252">
        <v>52</v>
      </c>
      <c r="I252">
        <v>0</v>
      </c>
      <c r="J252">
        <v>0</v>
      </c>
      <c r="K252">
        <v>51</v>
      </c>
    </row>
    <row r="253" spans="1:11" x14ac:dyDescent="0.3">
      <c r="A253" t="s">
        <v>318</v>
      </c>
      <c r="B253" t="s">
        <v>540</v>
      </c>
      <c r="C253" t="s">
        <v>289</v>
      </c>
      <c r="D253" t="s">
        <v>231</v>
      </c>
      <c r="E253">
        <v>15</v>
      </c>
      <c r="F253">
        <v>0</v>
      </c>
      <c r="G253">
        <v>0</v>
      </c>
      <c r="H253">
        <v>0</v>
      </c>
      <c r="I253">
        <v>0</v>
      </c>
      <c r="J253">
        <v>0</v>
      </c>
      <c r="K253">
        <v>15</v>
      </c>
    </row>
    <row r="254" spans="1:11" x14ac:dyDescent="0.3">
      <c r="A254" t="s">
        <v>318</v>
      </c>
      <c r="B254" t="s">
        <v>540</v>
      </c>
      <c r="C254" t="s">
        <v>261</v>
      </c>
      <c r="D254" t="s">
        <v>231</v>
      </c>
      <c r="E254">
        <v>17</v>
      </c>
      <c r="F254">
        <v>0</v>
      </c>
      <c r="G254">
        <v>0</v>
      </c>
      <c r="H254">
        <v>0</v>
      </c>
      <c r="I254">
        <v>0</v>
      </c>
      <c r="J254">
        <v>0</v>
      </c>
      <c r="K254">
        <v>17</v>
      </c>
    </row>
    <row r="255" spans="1:11" x14ac:dyDescent="0.3">
      <c r="A255" t="s">
        <v>412</v>
      </c>
      <c r="B255" t="s">
        <v>537</v>
      </c>
      <c r="C255" t="s">
        <v>249</v>
      </c>
      <c r="E255">
        <v>127</v>
      </c>
      <c r="F255">
        <v>0</v>
      </c>
      <c r="G255">
        <v>0</v>
      </c>
      <c r="H255">
        <v>74</v>
      </c>
      <c r="I255">
        <v>0</v>
      </c>
      <c r="J255">
        <v>0</v>
      </c>
      <c r="K255">
        <v>53</v>
      </c>
    </row>
    <row r="256" spans="1:11" x14ac:dyDescent="0.3">
      <c r="A256" t="s">
        <v>318</v>
      </c>
      <c r="B256" t="s">
        <v>537</v>
      </c>
      <c r="C256" t="s">
        <v>292</v>
      </c>
      <c r="D256" t="s">
        <v>217</v>
      </c>
      <c r="E256">
        <v>112</v>
      </c>
      <c r="F256">
        <v>0</v>
      </c>
      <c r="G256">
        <v>0</v>
      </c>
      <c r="H256">
        <v>112</v>
      </c>
      <c r="I256">
        <v>0</v>
      </c>
      <c r="J256">
        <v>0</v>
      </c>
      <c r="K256">
        <v>0</v>
      </c>
    </row>
    <row r="257" spans="1:11" x14ac:dyDescent="0.3">
      <c r="A257" t="s">
        <v>325</v>
      </c>
      <c r="B257" t="s">
        <v>540</v>
      </c>
      <c r="C257" t="s">
        <v>226</v>
      </c>
      <c r="E257">
        <v>23</v>
      </c>
      <c r="F257">
        <v>0</v>
      </c>
      <c r="G257">
        <v>2</v>
      </c>
      <c r="H257">
        <v>0</v>
      </c>
      <c r="I257">
        <v>0</v>
      </c>
      <c r="J257">
        <v>0</v>
      </c>
      <c r="K257">
        <v>23</v>
      </c>
    </row>
    <row r="258" spans="1:11" x14ac:dyDescent="0.3">
      <c r="A258" t="s">
        <v>213</v>
      </c>
      <c r="B258" t="s">
        <v>537</v>
      </c>
      <c r="C258" t="s">
        <v>259</v>
      </c>
      <c r="D258" t="s">
        <v>258</v>
      </c>
      <c r="E258">
        <v>52</v>
      </c>
      <c r="F258">
        <v>0</v>
      </c>
      <c r="G258">
        <v>0</v>
      </c>
      <c r="H258">
        <v>0</v>
      </c>
      <c r="I258">
        <v>0</v>
      </c>
      <c r="J258">
        <v>0</v>
      </c>
      <c r="K258">
        <v>52</v>
      </c>
    </row>
    <row r="259" spans="1:11" x14ac:dyDescent="0.3">
      <c r="A259" t="s">
        <v>328</v>
      </c>
      <c r="B259" t="s">
        <v>540</v>
      </c>
      <c r="C259" t="s">
        <v>244</v>
      </c>
      <c r="E259">
        <v>15</v>
      </c>
      <c r="F259">
        <v>0</v>
      </c>
      <c r="G259">
        <v>0</v>
      </c>
      <c r="H259">
        <v>0</v>
      </c>
      <c r="I259">
        <v>0</v>
      </c>
      <c r="J259">
        <v>0</v>
      </c>
      <c r="K259">
        <v>15</v>
      </c>
    </row>
    <row r="260" spans="1:11" x14ac:dyDescent="0.3">
      <c r="A260" t="s">
        <v>412</v>
      </c>
      <c r="B260" t="s">
        <v>540</v>
      </c>
      <c r="C260" t="s">
        <v>236</v>
      </c>
      <c r="E260">
        <v>31</v>
      </c>
      <c r="F260">
        <v>0</v>
      </c>
      <c r="G260">
        <v>0</v>
      </c>
      <c r="H260">
        <v>0</v>
      </c>
      <c r="I260">
        <v>0</v>
      </c>
      <c r="J260">
        <v>0</v>
      </c>
      <c r="K260">
        <v>31</v>
      </c>
    </row>
    <row r="261" spans="1:11" x14ac:dyDescent="0.3">
      <c r="A261" t="s">
        <v>328</v>
      </c>
      <c r="B261" t="s">
        <v>537</v>
      </c>
      <c r="C261" t="s">
        <v>292</v>
      </c>
      <c r="E261">
        <v>102</v>
      </c>
      <c r="F261">
        <v>0</v>
      </c>
      <c r="G261">
        <v>0</v>
      </c>
      <c r="H261">
        <v>102</v>
      </c>
      <c r="I261">
        <v>0</v>
      </c>
      <c r="J261">
        <v>0</v>
      </c>
      <c r="K261">
        <v>0</v>
      </c>
    </row>
    <row r="262" spans="1:11" x14ac:dyDescent="0.3">
      <c r="A262" t="s">
        <v>326</v>
      </c>
      <c r="B262" t="s">
        <v>537</v>
      </c>
      <c r="C262" t="s">
        <v>234</v>
      </c>
      <c r="E262">
        <v>302</v>
      </c>
      <c r="F262">
        <v>0</v>
      </c>
      <c r="G262">
        <v>0</v>
      </c>
      <c r="H262">
        <v>9</v>
      </c>
      <c r="I262">
        <v>0</v>
      </c>
      <c r="J262">
        <v>0</v>
      </c>
      <c r="K262">
        <v>293</v>
      </c>
    </row>
    <row r="263" spans="1:11" x14ac:dyDescent="0.3">
      <c r="A263" t="s">
        <v>312</v>
      </c>
      <c r="B263" t="s">
        <v>537</v>
      </c>
      <c r="C263" t="s">
        <v>281</v>
      </c>
      <c r="D263" t="s">
        <v>217</v>
      </c>
      <c r="E263">
        <v>155</v>
      </c>
      <c r="F263">
        <v>0</v>
      </c>
      <c r="G263">
        <v>0</v>
      </c>
      <c r="H263">
        <v>121</v>
      </c>
      <c r="I263">
        <v>0</v>
      </c>
      <c r="J263">
        <v>4</v>
      </c>
      <c r="K263">
        <v>30</v>
      </c>
    </row>
    <row r="264" spans="1:11" x14ac:dyDescent="0.3">
      <c r="A264" t="s">
        <v>213</v>
      </c>
      <c r="B264" t="s">
        <v>540</v>
      </c>
      <c r="C264" t="s">
        <v>230</v>
      </c>
      <c r="D264" t="s">
        <v>229</v>
      </c>
      <c r="E264">
        <v>26</v>
      </c>
      <c r="F264">
        <v>0</v>
      </c>
      <c r="G264">
        <v>1</v>
      </c>
      <c r="H264">
        <v>0</v>
      </c>
      <c r="I264">
        <v>0</v>
      </c>
      <c r="J264">
        <v>0</v>
      </c>
      <c r="K264">
        <v>26</v>
      </c>
    </row>
    <row r="265" spans="1:11" x14ac:dyDescent="0.3">
      <c r="A265" t="s">
        <v>320</v>
      </c>
      <c r="B265" t="s">
        <v>537</v>
      </c>
      <c r="C265" t="s">
        <v>311</v>
      </c>
      <c r="E265">
        <v>116</v>
      </c>
      <c r="F265">
        <v>0</v>
      </c>
      <c r="G265">
        <v>0</v>
      </c>
      <c r="H265">
        <v>58</v>
      </c>
      <c r="I265">
        <v>0</v>
      </c>
      <c r="J265">
        <v>0</v>
      </c>
      <c r="K265">
        <v>58</v>
      </c>
    </row>
    <row r="266" spans="1:11" x14ac:dyDescent="0.3">
      <c r="A266" t="s">
        <v>325</v>
      </c>
      <c r="B266" t="s">
        <v>544</v>
      </c>
      <c r="C266" t="s">
        <v>545</v>
      </c>
      <c r="D266" t="s">
        <v>549</v>
      </c>
      <c r="E266">
        <v>1142</v>
      </c>
      <c r="F266">
        <v>172</v>
      </c>
      <c r="G266">
        <v>0</v>
      </c>
      <c r="H266">
        <v>0</v>
      </c>
      <c r="I266">
        <v>901</v>
      </c>
      <c r="J266">
        <v>0</v>
      </c>
      <c r="K266">
        <v>69</v>
      </c>
    </row>
    <row r="267" spans="1:11" x14ac:dyDescent="0.3">
      <c r="A267" t="s">
        <v>318</v>
      </c>
      <c r="B267" t="s">
        <v>540</v>
      </c>
      <c r="C267" t="s">
        <v>313</v>
      </c>
      <c r="E267">
        <v>37</v>
      </c>
      <c r="F267">
        <v>0</v>
      </c>
      <c r="G267">
        <v>4</v>
      </c>
      <c r="H267">
        <v>0</v>
      </c>
      <c r="I267">
        <v>0</v>
      </c>
      <c r="J267">
        <v>0</v>
      </c>
      <c r="K267">
        <v>37</v>
      </c>
    </row>
    <row r="268" spans="1:11" x14ac:dyDescent="0.3">
      <c r="A268" t="s">
        <v>364</v>
      </c>
      <c r="B268" t="s">
        <v>544</v>
      </c>
      <c r="C268" t="s">
        <v>545</v>
      </c>
      <c r="D268" t="s">
        <v>549</v>
      </c>
      <c r="E268">
        <v>516</v>
      </c>
      <c r="F268">
        <v>223</v>
      </c>
      <c r="I268">
        <v>237</v>
      </c>
      <c r="K268">
        <v>56</v>
      </c>
    </row>
    <row r="269" spans="1:11" x14ac:dyDescent="0.3">
      <c r="A269" t="s">
        <v>342</v>
      </c>
      <c r="B269" t="s">
        <v>537</v>
      </c>
      <c r="C269" t="s">
        <v>302</v>
      </c>
      <c r="D269" t="s">
        <v>301</v>
      </c>
      <c r="E269">
        <v>99</v>
      </c>
      <c r="H269">
        <v>49</v>
      </c>
      <c r="K269">
        <v>50</v>
      </c>
    </row>
    <row r="270" spans="1:11" x14ac:dyDescent="0.3">
      <c r="A270" t="s">
        <v>341</v>
      </c>
      <c r="B270" t="s">
        <v>540</v>
      </c>
      <c r="C270" t="s">
        <v>244</v>
      </c>
      <c r="D270" t="s">
        <v>245</v>
      </c>
      <c r="E270">
        <v>22</v>
      </c>
      <c r="K270">
        <v>22</v>
      </c>
    </row>
    <row r="271" spans="1:11" x14ac:dyDescent="0.3">
      <c r="A271" t="s">
        <v>365</v>
      </c>
      <c r="B271" t="s">
        <v>537</v>
      </c>
      <c r="C271" t="s">
        <v>263</v>
      </c>
      <c r="D271" t="s">
        <v>262</v>
      </c>
      <c r="E271">
        <v>162</v>
      </c>
      <c r="H271">
        <v>68</v>
      </c>
      <c r="J271">
        <v>0</v>
      </c>
      <c r="K271">
        <v>94</v>
      </c>
    </row>
    <row r="272" spans="1:11" x14ac:dyDescent="0.3">
      <c r="A272" t="s">
        <v>342</v>
      </c>
      <c r="B272" t="s">
        <v>537</v>
      </c>
      <c r="C272" t="s">
        <v>298</v>
      </c>
      <c r="D272" t="s">
        <v>297</v>
      </c>
      <c r="E272">
        <v>194</v>
      </c>
      <c r="H272">
        <v>143</v>
      </c>
      <c r="K272">
        <v>51</v>
      </c>
    </row>
    <row r="273" spans="1:11" x14ac:dyDescent="0.3">
      <c r="A273" t="s">
        <v>341</v>
      </c>
      <c r="B273" t="s">
        <v>537</v>
      </c>
      <c r="C273" t="s">
        <v>263</v>
      </c>
      <c r="D273" t="s">
        <v>262</v>
      </c>
      <c r="E273">
        <v>142</v>
      </c>
      <c r="H273">
        <v>56</v>
      </c>
      <c r="J273">
        <v>0</v>
      </c>
      <c r="K273">
        <v>86</v>
      </c>
    </row>
    <row r="274" spans="1:11" x14ac:dyDescent="0.3">
      <c r="A274" t="s">
        <v>366</v>
      </c>
      <c r="B274" t="s">
        <v>537</v>
      </c>
      <c r="C274" t="s">
        <v>247</v>
      </c>
      <c r="D274" t="s">
        <v>246</v>
      </c>
      <c r="E274">
        <v>187</v>
      </c>
      <c r="H274">
        <v>11</v>
      </c>
      <c r="J274">
        <v>0</v>
      </c>
      <c r="K274">
        <v>176</v>
      </c>
    </row>
    <row r="275" spans="1:11" x14ac:dyDescent="0.3">
      <c r="A275" t="s">
        <v>341</v>
      </c>
      <c r="B275" t="s">
        <v>540</v>
      </c>
      <c r="C275" t="s">
        <v>265</v>
      </c>
      <c r="D275" t="s">
        <v>264</v>
      </c>
      <c r="E275">
        <v>21</v>
      </c>
      <c r="K275">
        <v>21</v>
      </c>
    </row>
    <row r="276" spans="1:11" x14ac:dyDescent="0.3">
      <c r="A276" t="s">
        <v>342</v>
      </c>
      <c r="B276" t="s">
        <v>537</v>
      </c>
      <c r="C276" t="s">
        <v>279</v>
      </c>
      <c r="D276" t="s">
        <v>278</v>
      </c>
      <c r="E276">
        <v>40</v>
      </c>
      <c r="H276">
        <v>12</v>
      </c>
      <c r="K276">
        <v>28</v>
      </c>
    </row>
    <row r="277" spans="1:11" x14ac:dyDescent="0.3">
      <c r="A277" t="s">
        <v>364</v>
      </c>
      <c r="B277" t="s">
        <v>537</v>
      </c>
      <c r="C277" t="s">
        <v>304</v>
      </c>
      <c r="D277" t="s">
        <v>303</v>
      </c>
      <c r="E277">
        <v>276</v>
      </c>
      <c r="H277">
        <v>84</v>
      </c>
      <c r="J277">
        <v>2</v>
      </c>
      <c r="K277">
        <v>190</v>
      </c>
    </row>
    <row r="278" spans="1:11" x14ac:dyDescent="0.3">
      <c r="A278" t="s">
        <v>365</v>
      </c>
      <c r="B278" t="s">
        <v>537</v>
      </c>
      <c r="C278" t="s">
        <v>267</v>
      </c>
      <c r="D278" t="s">
        <v>266</v>
      </c>
      <c r="E278">
        <v>400</v>
      </c>
      <c r="H278">
        <v>112</v>
      </c>
      <c r="J278">
        <v>0</v>
      </c>
      <c r="K278">
        <v>288</v>
      </c>
    </row>
    <row r="279" spans="1:11" x14ac:dyDescent="0.3">
      <c r="A279" t="s">
        <v>364</v>
      </c>
      <c r="B279" t="s">
        <v>537</v>
      </c>
      <c r="C279" t="s">
        <v>234</v>
      </c>
      <c r="D279" t="s">
        <v>233</v>
      </c>
      <c r="E279">
        <v>382</v>
      </c>
      <c r="H279">
        <v>12</v>
      </c>
      <c r="J279">
        <v>0</v>
      </c>
      <c r="K279">
        <v>370</v>
      </c>
    </row>
    <row r="280" spans="1:11" x14ac:dyDescent="0.3">
      <c r="A280" t="s">
        <v>341</v>
      </c>
      <c r="B280" t="s">
        <v>537</v>
      </c>
      <c r="C280" t="s">
        <v>234</v>
      </c>
      <c r="D280" t="s">
        <v>233</v>
      </c>
      <c r="E280">
        <v>325</v>
      </c>
      <c r="H280">
        <v>12</v>
      </c>
      <c r="J280">
        <v>0</v>
      </c>
      <c r="K280">
        <v>313</v>
      </c>
    </row>
    <row r="281" spans="1:11" x14ac:dyDescent="0.3">
      <c r="A281" t="s">
        <v>366</v>
      </c>
      <c r="B281" t="s">
        <v>540</v>
      </c>
      <c r="C281" t="s">
        <v>257</v>
      </c>
      <c r="D281" t="s">
        <v>256</v>
      </c>
      <c r="E281">
        <v>38</v>
      </c>
      <c r="K281">
        <v>38</v>
      </c>
    </row>
    <row r="282" spans="1:11" x14ac:dyDescent="0.3">
      <c r="A282" t="s">
        <v>365</v>
      </c>
      <c r="B282" t="s">
        <v>537</v>
      </c>
      <c r="C282" t="s">
        <v>281</v>
      </c>
      <c r="D282" t="s">
        <v>280</v>
      </c>
      <c r="E282">
        <v>167</v>
      </c>
      <c r="H282">
        <v>121</v>
      </c>
      <c r="J282">
        <v>25</v>
      </c>
      <c r="K282">
        <v>21</v>
      </c>
    </row>
    <row r="283" spans="1:11" x14ac:dyDescent="0.3">
      <c r="A283" t="s">
        <v>365</v>
      </c>
      <c r="B283" t="s">
        <v>537</v>
      </c>
      <c r="C283" t="s">
        <v>292</v>
      </c>
      <c r="D283" t="s">
        <v>291</v>
      </c>
      <c r="E283">
        <v>110</v>
      </c>
      <c r="H283">
        <v>109</v>
      </c>
      <c r="J283">
        <v>1</v>
      </c>
      <c r="K283">
        <v>0</v>
      </c>
    </row>
    <row r="284" spans="1:11" x14ac:dyDescent="0.3">
      <c r="A284" t="s">
        <v>366</v>
      </c>
      <c r="B284" t="s">
        <v>537</v>
      </c>
      <c r="C284" t="s">
        <v>300</v>
      </c>
      <c r="D284" t="s">
        <v>299</v>
      </c>
      <c r="E284">
        <v>126</v>
      </c>
      <c r="H284">
        <v>126</v>
      </c>
      <c r="J284">
        <v>0</v>
      </c>
      <c r="K284">
        <v>0</v>
      </c>
    </row>
    <row r="285" spans="1:11" x14ac:dyDescent="0.3">
      <c r="A285" t="s">
        <v>341</v>
      </c>
      <c r="B285" t="s">
        <v>537</v>
      </c>
      <c r="C285" t="s">
        <v>259</v>
      </c>
      <c r="D285" t="s">
        <v>258</v>
      </c>
      <c r="E285">
        <v>50</v>
      </c>
      <c r="H285">
        <v>0</v>
      </c>
      <c r="J285">
        <v>0</v>
      </c>
      <c r="K285">
        <v>50</v>
      </c>
    </row>
    <row r="286" spans="1:11" x14ac:dyDescent="0.3">
      <c r="A286" t="s">
        <v>364</v>
      </c>
      <c r="B286" t="s">
        <v>537</v>
      </c>
      <c r="C286" t="s">
        <v>300</v>
      </c>
      <c r="D286" t="s">
        <v>299</v>
      </c>
      <c r="E286">
        <v>134</v>
      </c>
      <c r="H286">
        <v>134</v>
      </c>
      <c r="J286">
        <v>0</v>
      </c>
      <c r="K286">
        <v>0</v>
      </c>
    </row>
    <row r="287" spans="1:11" x14ac:dyDescent="0.3">
      <c r="A287" t="s">
        <v>342</v>
      </c>
      <c r="B287" t="s">
        <v>537</v>
      </c>
      <c r="C287" t="s">
        <v>281</v>
      </c>
      <c r="D287" t="s">
        <v>280</v>
      </c>
      <c r="E287">
        <v>149</v>
      </c>
      <c r="H287">
        <v>120</v>
      </c>
      <c r="K287">
        <v>29</v>
      </c>
    </row>
    <row r="288" spans="1:11" x14ac:dyDescent="0.3">
      <c r="A288" t="s">
        <v>342</v>
      </c>
      <c r="B288" t="s">
        <v>537</v>
      </c>
      <c r="C288" t="s">
        <v>240</v>
      </c>
      <c r="D288" t="s">
        <v>239</v>
      </c>
      <c r="E288">
        <v>47</v>
      </c>
      <c r="H288">
        <v>22</v>
      </c>
      <c r="K288">
        <v>25</v>
      </c>
    </row>
    <row r="289" spans="1:11" x14ac:dyDescent="0.3">
      <c r="A289" t="s">
        <v>342</v>
      </c>
      <c r="B289" t="s">
        <v>540</v>
      </c>
      <c r="C289" t="s">
        <v>304</v>
      </c>
      <c r="D289" t="s">
        <v>305</v>
      </c>
      <c r="E289">
        <v>16</v>
      </c>
      <c r="K289">
        <v>16</v>
      </c>
    </row>
    <row r="290" spans="1:11" x14ac:dyDescent="0.3">
      <c r="A290" t="s">
        <v>341</v>
      </c>
      <c r="B290" t="s">
        <v>537</v>
      </c>
      <c r="C290" t="s">
        <v>279</v>
      </c>
      <c r="D290" t="s">
        <v>278</v>
      </c>
      <c r="E290">
        <v>33</v>
      </c>
      <c r="H290">
        <v>11</v>
      </c>
      <c r="J290">
        <v>0</v>
      </c>
      <c r="K290">
        <v>22</v>
      </c>
    </row>
    <row r="291" spans="1:11" x14ac:dyDescent="0.3">
      <c r="A291" t="s">
        <v>366</v>
      </c>
      <c r="B291" t="s">
        <v>540</v>
      </c>
      <c r="C291" t="s">
        <v>236</v>
      </c>
      <c r="D291" t="s">
        <v>235</v>
      </c>
      <c r="E291">
        <v>27</v>
      </c>
      <c r="K291">
        <v>27</v>
      </c>
    </row>
    <row r="292" spans="1:11" x14ac:dyDescent="0.3">
      <c r="A292" t="s">
        <v>364</v>
      </c>
      <c r="B292" t="s">
        <v>537</v>
      </c>
      <c r="C292" t="s">
        <v>309</v>
      </c>
      <c r="D292" t="s">
        <v>308</v>
      </c>
      <c r="E292">
        <v>98</v>
      </c>
      <c r="H292">
        <v>18</v>
      </c>
      <c r="J292">
        <v>0</v>
      </c>
      <c r="K292">
        <v>80</v>
      </c>
    </row>
    <row r="293" spans="1:11" x14ac:dyDescent="0.3">
      <c r="A293" t="s">
        <v>341</v>
      </c>
      <c r="B293" t="s">
        <v>537</v>
      </c>
      <c r="C293" t="s">
        <v>244</v>
      </c>
      <c r="D293" t="s">
        <v>243</v>
      </c>
      <c r="E293">
        <v>270</v>
      </c>
      <c r="H293">
        <v>202</v>
      </c>
      <c r="J293">
        <v>5</v>
      </c>
      <c r="K293">
        <v>63</v>
      </c>
    </row>
    <row r="294" spans="1:11" x14ac:dyDescent="0.3">
      <c r="A294" t="s">
        <v>342</v>
      </c>
      <c r="B294" t="s">
        <v>540</v>
      </c>
      <c r="C294" t="s">
        <v>267</v>
      </c>
      <c r="D294" t="s">
        <v>268</v>
      </c>
      <c r="E294">
        <v>19</v>
      </c>
      <c r="K294">
        <v>19</v>
      </c>
    </row>
    <row r="295" spans="1:11" x14ac:dyDescent="0.3">
      <c r="A295" t="s">
        <v>364</v>
      </c>
      <c r="B295" t="s">
        <v>537</v>
      </c>
      <c r="C295" t="s">
        <v>279</v>
      </c>
      <c r="D295" t="s">
        <v>278</v>
      </c>
      <c r="E295">
        <v>45</v>
      </c>
      <c r="H295">
        <v>10</v>
      </c>
      <c r="J295">
        <v>0</v>
      </c>
      <c r="K295">
        <v>35</v>
      </c>
    </row>
    <row r="296" spans="1:11" x14ac:dyDescent="0.3">
      <c r="A296" t="s">
        <v>366</v>
      </c>
      <c r="B296" t="s">
        <v>540</v>
      </c>
      <c r="C296" t="s">
        <v>244</v>
      </c>
      <c r="D296" t="s">
        <v>245</v>
      </c>
      <c r="E296">
        <v>19</v>
      </c>
      <c r="K296">
        <v>19</v>
      </c>
    </row>
    <row r="297" spans="1:11" x14ac:dyDescent="0.3">
      <c r="A297" t="s">
        <v>365</v>
      </c>
      <c r="B297" t="s">
        <v>537</v>
      </c>
      <c r="C297" t="s">
        <v>240</v>
      </c>
      <c r="D297" t="s">
        <v>239</v>
      </c>
      <c r="E297">
        <v>60</v>
      </c>
      <c r="H297">
        <v>23</v>
      </c>
      <c r="J297">
        <v>0</v>
      </c>
      <c r="K297">
        <v>37</v>
      </c>
    </row>
    <row r="298" spans="1:11" x14ac:dyDescent="0.3">
      <c r="A298" t="s">
        <v>365</v>
      </c>
      <c r="B298" t="s">
        <v>537</v>
      </c>
      <c r="C298" t="s">
        <v>270</v>
      </c>
      <c r="D298" t="s">
        <v>269</v>
      </c>
      <c r="E298">
        <v>544</v>
      </c>
      <c r="H298">
        <v>0</v>
      </c>
      <c r="J298">
        <v>0</v>
      </c>
      <c r="K298">
        <v>544</v>
      </c>
    </row>
    <row r="299" spans="1:11" x14ac:dyDescent="0.3">
      <c r="A299" t="s">
        <v>366</v>
      </c>
      <c r="B299" t="s">
        <v>540</v>
      </c>
      <c r="C299" t="s">
        <v>226</v>
      </c>
      <c r="D299" t="s">
        <v>225</v>
      </c>
      <c r="E299">
        <v>24</v>
      </c>
      <c r="K299">
        <v>24</v>
      </c>
    </row>
    <row r="300" spans="1:11" x14ac:dyDescent="0.3">
      <c r="A300" t="s">
        <v>365</v>
      </c>
      <c r="B300" t="s">
        <v>537</v>
      </c>
      <c r="C300" t="s">
        <v>234</v>
      </c>
      <c r="D300" t="s">
        <v>233</v>
      </c>
      <c r="E300">
        <v>361</v>
      </c>
      <c r="H300">
        <v>13</v>
      </c>
      <c r="J300">
        <v>0</v>
      </c>
      <c r="K300">
        <v>348</v>
      </c>
    </row>
    <row r="301" spans="1:11" x14ac:dyDescent="0.3">
      <c r="A301" t="s">
        <v>364</v>
      </c>
      <c r="B301" t="s">
        <v>537</v>
      </c>
      <c r="C301" t="s">
        <v>220</v>
      </c>
      <c r="D301" t="s">
        <v>219</v>
      </c>
      <c r="E301">
        <v>320</v>
      </c>
      <c r="H301">
        <v>297</v>
      </c>
      <c r="J301">
        <v>0</v>
      </c>
      <c r="K301">
        <v>23</v>
      </c>
    </row>
    <row r="302" spans="1:11" x14ac:dyDescent="0.3">
      <c r="A302" t="s">
        <v>365</v>
      </c>
      <c r="B302" t="s">
        <v>537</v>
      </c>
      <c r="C302" t="s">
        <v>298</v>
      </c>
      <c r="D302" t="s">
        <v>297</v>
      </c>
      <c r="E302">
        <v>224</v>
      </c>
      <c r="H302">
        <v>151</v>
      </c>
      <c r="J302">
        <v>0</v>
      </c>
      <c r="K302">
        <v>73</v>
      </c>
    </row>
    <row r="303" spans="1:11" x14ac:dyDescent="0.3">
      <c r="A303" t="s">
        <v>341</v>
      </c>
      <c r="B303" t="s">
        <v>540</v>
      </c>
      <c r="C303" t="s">
        <v>251</v>
      </c>
      <c r="D303" t="s">
        <v>250</v>
      </c>
      <c r="E303">
        <v>30</v>
      </c>
      <c r="K303">
        <v>30</v>
      </c>
    </row>
    <row r="304" spans="1:11" x14ac:dyDescent="0.3">
      <c r="A304" t="s">
        <v>366</v>
      </c>
      <c r="B304" t="s">
        <v>537</v>
      </c>
      <c r="C304" t="s">
        <v>294</v>
      </c>
      <c r="D304" t="s">
        <v>293</v>
      </c>
      <c r="E304">
        <v>222</v>
      </c>
      <c r="H304">
        <v>126</v>
      </c>
      <c r="J304">
        <v>23</v>
      </c>
      <c r="K304">
        <v>73</v>
      </c>
    </row>
    <row r="305" spans="1:11" x14ac:dyDescent="0.3">
      <c r="A305" t="s">
        <v>320</v>
      </c>
      <c r="B305" t="s">
        <v>537</v>
      </c>
      <c r="C305" t="s">
        <v>296</v>
      </c>
      <c r="E305">
        <v>112</v>
      </c>
      <c r="F305">
        <v>0</v>
      </c>
      <c r="G305">
        <v>0</v>
      </c>
      <c r="H305">
        <v>13</v>
      </c>
      <c r="I305">
        <v>0</v>
      </c>
      <c r="J305">
        <v>0</v>
      </c>
      <c r="K305">
        <v>99</v>
      </c>
    </row>
    <row r="306" spans="1:11" x14ac:dyDescent="0.3">
      <c r="A306" t="s">
        <v>325</v>
      </c>
      <c r="B306" t="s">
        <v>540</v>
      </c>
      <c r="C306" t="s">
        <v>257</v>
      </c>
      <c r="E306">
        <v>32</v>
      </c>
      <c r="F306">
        <v>0</v>
      </c>
      <c r="G306">
        <v>4</v>
      </c>
      <c r="H306">
        <v>0</v>
      </c>
      <c r="I306">
        <v>0</v>
      </c>
      <c r="J306">
        <v>0</v>
      </c>
      <c r="K306">
        <v>32</v>
      </c>
    </row>
    <row r="307" spans="1:11" x14ac:dyDescent="0.3">
      <c r="A307" t="s">
        <v>318</v>
      </c>
      <c r="B307" t="s">
        <v>537</v>
      </c>
      <c r="C307" t="s">
        <v>270</v>
      </c>
      <c r="D307" t="s">
        <v>231</v>
      </c>
      <c r="E307">
        <v>499</v>
      </c>
      <c r="F307">
        <v>0</v>
      </c>
      <c r="G307">
        <v>0</v>
      </c>
      <c r="H307">
        <v>0</v>
      </c>
      <c r="I307">
        <v>0</v>
      </c>
      <c r="J307">
        <v>0</v>
      </c>
      <c r="K307">
        <v>499</v>
      </c>
    </row>
    <row r="308" spans="1:11" x14ac:dyDescent="0.3">
      <c r="A308" t="s">
        <v>320</v>
      </c>
      <c r="B308" t="s">
        <v>540</v>
      </c>
      <c r="C308" t="s">
        <v>275</v>
      </c>
      <c r="E308">
        <v>33</v>
      </c>
      <c r="F308">
        <v>0</v>
      </c>
      <c r="G308">
        <v>10</v>
      </c>
      <c r="H308">
        <v>0</v>
      </c>
      <c r="I308">
        <v>0</v>
      </c>
      <c r="J308">
        <v>0</v>
      </c>
      <c r="K308">
        <v>33</v>
      </c>
    </row>
    <row r="309" spans="1:11" x14ac:dyDescent="0.3">
      <c r="A309" t="s">
        <v>412</v>
      </c>
      <c r="B309" t="s">
        <v>537</v>
      </c>
      <c r="C309" t="s">
        <v>292</v>
      </c>
      <c r="E309">
        <v>105</v>
      </c>
      <c r="F309">
        <v>0</v>
      </c>
      <c r="G309">
        <v>0</v>
      </c>
      <c r="H309">
        <v>104</v>
      </c>
      <c r="I309">
        <v>0</v>
      </c>
      <c r="J309">
        <v>0</v>
      </c>
      <c r="K309">
        <v>1</v>
      </c>
    </row>
    <row r="310" spans="1:11" x14ac:dyDescent="0.3">
      <c r="A310" t="s">
        <v>326</v>
      </c>
      <c r="B310" t="s">
        <v>537</v>
      </c>
      <c r="C310" t="s">
        <v>302</v>
      </c>
      <c r="E310">
        <v>98</v>
      </c>
      <c r="F310">
        <v>0</v>
      </c>
      <c r="G310">
        <v>0</v>
      </c>
      <c r="H310">
        <v>46</v>
      </c>
      <c r="I310">
        <v>0</v>
      </c>
      <c r="J310">
        <v>0</v>
      </c>
      <c r="K310">
        <v>52</v>
      </c>
    </row>
    <row r="311" spans="1:11" x14ac:dyDescent="0.3">
      <c r="A311" t="s">
        <v>325</v>
      </c>
      <c r="B311" t="s">
        <v>537</v>
      </c>
      <c r="C311" t="s">
        <v>253</v>
      </c>
      <c r="E311">
        <v>71</v>
      </c>
      <c r="F311">
        <v>0</v>
      </c>
      <c r="G311">
        <v>0</v>
      </c>
      <c r="H311">
        <v>0</v>
      </c>
      <c r="I311">
        <v>0</v>
      </c>
      <c r="J311">
        <v>0</v>
      </c>
      <c r="K311">
        <v>71</v>
      </c>
    </row>
    <row r="312" spans="1:11" x14ac:dyDescent="0.3">
      <c r="A312" t="s">
        <v>320</v>
      </c>
      <c r="B312" t="s">
        <v>540</v>
      </c>
      <c r="C312" t="s">
        <v>230</v>
      </c>
      <c r="E312">
        <v>28</v>
      </c>
      <c r="F312">
        <v>0</v>
      </c>
      <c r="G312">
        <v>6</v>
      </c>
      <c r="H312">
        <v>0</v>
      </c>
      <c r="I312">
        <v>0</v>
      </c>
      <c r="J312">
        <v>0</v>
      </c>
      <c r="K312">
        <v>28</v>
      </c>
    </row>
    <row r="313" spans="1:11" x14ac:dyDescent="0.3">
      <c r="A313" t="s">
        <v>365</v>
      </c>
      <c r="B313" t="s">
        <v>537</v>
      </c>
      <c r="C313" t="s">
        <v>253</v>
      </c>
      <c r="D313" t="s">
        <v>252</v>
      </c>
      <c r="E313">
        <v>72</v>
      </c>
      <c r="H313">
        <v>0</v>
      </c>
      <c r="J313">
        <v>0</v>
      </c>
      <c r="K313">
        <v>72</v>
      </c>
    </row>
    <row r="314" spans="1:11" x14ac:dyDescent="0.3">
      <c r="A314" t="s">
        <v>365</v>
      </c>
      <c r="B314" t="s">
        <v>537</v>
      </c>
      <c r="C314" t="s">
        <v>302</v>
      </c>
      <c r="D314" t="s">
        <v>301</v>
      </c>
      <c r="E314">
        <v>114</v>
      </c>
      <c r="H314">
        <v>54</v>
      </c>
      <c r="J314">
        <v>0</v>
      </c>
      <c r="K314">
        <v>60</v>
      </c>
    </row>
    <row r="315" spans="1:11" x14ac:dyDescent="0.3">
      <c r="A315" t="s">
        <v>364</v>
      </c>
      <c r="B315" t="s">
        <v>537</v>
      </c>
      <c r="C315" t="s">
        <v>298</v>
      </c>
      <c r="D315" t="s">
        <v>297</v>
      </c>
      <c r="E315">
        <v>209</v>
      </c>
      <c r="H315">
        <v>134</v>
      </c>
      <c r="J315">
        <v>0</v>
      </c>
      <c r="K315">
        <v>75</v>
      </c>
    </row>
    <row r="316" spans="1:11" x14ac:dyDescent="0.3">
      <c r="A316" t="s">
        <v>364</v>
      </c>
      <c r="B316" t="s">
        <v>537</v>
      </c>
      <c r="C316" t="s">
        <v>259</v>
      </c>
      <c r="D316" t="s">
        <v>258</v>
      </c>
      <c r="E316">
        <v>59</v>
      </c>
      <c r="H316">
        <v>0</v>
      </c>
      <c r="J316">
        <v>0</v>
      </c>
      <c r="K316">
        <v>59</v>
      </c>
    </row>
    <row r="317" spans="1:11" x14ac:dyDescent="0.3">
      <c r="A317" t="s">
        <v>366</v>
      </c>
      <c r="B317" t="s">
        <v>537</v>
      </c>
      <c r="C317" t="s">
        <v>244</v>
      </c>
      <c r="D317" t="s">
        <v>243</v>
      </c>
      <c r="E317">
        <v>260</v>
      </c>
      <c r="H317">
        <v>190</v>
      </c>
      <c r="J317">
        <v>5</v>
      </c>
      <c r="K317">
        <v>65</v>
      </c>
    </row>
    <row r="318" spans="1:11" x14ac:dyDescent="0.3">
      <c r="A318" t="s">
        <v>366</v>
      </c>
      <c r="B318" t="s">
        <v>537</v>
      </c>
      <c r="C318" t="s">
        <v>234</v>
      </c>
      <c r="D318" t="s">
        <v>233</v>
      </c>
      <c r="E318">
        <v>327</v>
      </c>
      <c r="H318">
        <v>12</v>
      </c>
      <c r="J318">
        <v>0</v>
      </c>
      <c r="K318">
        <v>315</v>
      </c>
    </row>
    <row r="319" spans="1:11" x14ac:dyDescent="0.3">
      <c r="A319" t="s">
        <v>366</v>
      </c>
      <c r="B319" t="s">
        <v>537</v>
      </c>
      <c r="C319" t="s">
        <v>224</v>
      </c>
      <c r="D319" t="s">
        <v>223</v>
      </c>
      <c r="E319">
        <v>134</v>
      </c>
      <c r="H319">
        <v>98</v>
      </c>
      <c r="J319">
        <v>0</v>
      </c>
      <c r="K319">
        <v>36</v>
      </c>
    </row>
    <row r="320" spans="1:11" x14ac:dyDescent="0.3">
      <c r="A320" t="s">
        <v>365</v>
      </c>
      <c r="B320" t="s">
        <v>537</v>
      </c>
      <c r="C320" t="s">
        <v>244</v>
      </c>
      <c r="D320" t="s">
        <v>243</v>
      </c>
      <c r="E320">
        <v>278</v>
      </c>
      <c r="H320">
        <v>206</v>
      </c>
      <c r="J320">
        <v>3</v>
      </c>
      <c r="K320">
        <v>69</v>
      </c>
    </row>
    <row r="321" spans="1:11" x14ac:dyDescent="0.3">
      <c r="A321" t="s">
        <v>366</v>
      </c>
      <c r="B321" t="s">
        <v>537</v>
      </c>
      <c r="C321" t="s">
        <v>292</v>
      </c>
      <c r="D321" t="s">
        <v>291</v>
      </c>
      <c r="E321">
        <v>98</v>
      </c>
      <c r="H321">
        <v>98</v>
      </c>
      <c r="J321">
        <v>0</v>
      </c>
      <c r="K321">
        <v>0</v>
      </c>
    </row>
    <row r="322" spans="1:11" x14ac:dyDescent="0.3">
      <c r="A322" t="s">
        <v>365</v>
      </c>
      <c r="B322" t="s">
        <v>540</v>
      </c>
      <c r="C322" t="s">
        <v>244</v>
      </c>
      <c r="D322" t="s">
        <v>245</v>
      </c>
      <c r="E322">
        <v>18</v>
      </c>
      <c r="K322">
        <v>18</v>
      </c>
    </row>
    <row r="323" spans="1:11" x14ac:dyDescent="0.3">
      <c r="A323" t="s">
        <v>342</v>
      </c>
      <c r="B323" t="s">
        <v>537</v>
      </c>
      <c r="C323" t="s">
        <v>224</v>
      </c>
      <c r="D323" t="s">
        <v>223</v>
      </c>
      <c r="E323">
        <v>121</v>
      </c>
      <c r="H323">
        <v>93</v>
      </c>
      <c r="K323">
        <v>28</v>
      </c>
    </row>
    <row r="325" spans="1:11" x14ac:dyDescent="0.3">
      <c r="A325" t="s">
        <v>366</v>
      </c>
      <c r="B325" t="s">
        <v>537</v>
      </c>
      <c r="C325" t="s">
        <v>259</v>
      </c>
      <c r="D325" t="s">
        <v>258</v>
      </c>
      <c r="E325">
        <v>55</v>
      </c>
      <c r="H325">
        <v>2</v>
      </c>
      <c r="J325">
        <v>0</v>
      </c>
      <c r="K325">
        <v>53</v>
      </c>
    </row>
    <row r="326" spans="1:11" x14ac:dyDescent="0.3">
      <c r="A326" t="s">
        <v>342</v>
      </c>
      <c r="B326" t="s">
        <v>537</v>
      </c>
      <c r="C326" t="s">
        <v>307</v>
      </c>
      <c r="D326" t="s">
        <v>306</v>
      </c>
      <c r="E326">
        <v>122</v>
      </c>
      <c r="H326">
        <v>74</v>
      </c>
      <c r="K326">
        <v>48</v>
      </c>
    </row>
    <row r="327" spans="1:11" x14ac:dyDescent="0.3">
      <c r="A327" t="s">
        <v>341</v>
      </c>
      <c r="B327" t="s">
        <v>537</v>
      </c>
      <c r="C327" t="s">
        <v>224</v>
      </c>
      <c r="D327" t="s">
        <v>223</v>
      </c>
      <c r="E327">
        <v>119</v>
      </c>
      <c r="H327">
        <v>94</v>
      </c>
      <c r="J327">
        <v>0</v>
      </c>
      <c r="K327">
        <v>25</v>
      </c>
    </row>
    <row r="328" spans="1:11" x14ac:dyDescent="0.3">
      <c r="A328" t="s">
        <v>366</v>
      </c>
      <c r="B328" t="s">
        <v>537</v>
      </c>
      <c r="C328" t="s">
        <v>298</v>
      </c>
      <c r="D328" t="s">
        <v>297</v>
      </c>
      <c r="E328">
        <v>218</v>
      </c>
      <c r="H328">
        <v>147</v>
      </c>
      <c r="J328">
        <v>0</v>
      </c>
      <c r="K328">
        <v>71</v>
      </c>
    </row>
    <row r="329" spans="1:11" x14ac:dyDescent="0.3">
      <c r="A329" t="s">
        <v>365</v>
      </c>
      <c r="B329" t="s">
        <v>544</v>
      </c>
      <c r="C329" t="s">
        <v>545</v>
      </c>
      <c r="D329" t="s">
        <v>549</v>
      </c>
      <c r="E329">
        <v>518</v>
      </c>
      <c r="F329">
        <v>230</v>
      </c>
      <c r="I329">
        <v>238</v>
      </c>
      <c r="K329">
        <v>50</v>
      </c>
    </row>
    <row r="330" spans="1:11" x14ac:dyDescent="0.3">
      <c r="A330" t="s">
        <v>365</v>
      </c>
      <c r="B330" t="s">
        <v>537</v>
      </c>
      <c r="C330" t="s">
        <v>228</v>
      </c>
      <c r="D330" t="s">
        <v>227</v>
      </c>
      <c r="E330">
        <v>454</v>
      </c>
      <c r="H330">
        <v>175</v>
      </c>
      <c r="J330">
        <v>225</v>
      </c>
      <c r="K330">
        <v>54</v>
      </c>
    </row>
    <row r="331" spans="1:11" x14ac:dyDescent="0.3">
      <c r="A331" t="s">
        <v>364</v>
      </c>
      <c r="B331" t="s">
        <v>542</v>
      </c>
      <c r="C331" t="s">
        <v>218</v>
      </c>
      <c r="D331" t="s">
        <v>217</v>
      </c>
      <c r="E331">
        <v>210</v>
      </c>
      <c r="I331">
        <v>133</v>
      </c>
      <c r="K331">
        <v>77</v>
      </c>
    </row>
    <row r="332" spans="1:11" x14ac:dyDescent="0.3">
      <c r="A332" t="s">
        <v>366</v>
      </c>
      <c r="B332" t="s">
        <v>537</v>
      </c>
      <c r="C332" t="s">
        <v>228</v>
      </c>
      <c r="D332" t="s">
        <v>227</v>
      </c>
      <c r="E332">
        <v>438</v>
      </c>
      <c r="H332">
        <v>182</v>
      </c>
      <c r="J332">
        <v>201</v>
      </c>
      <c r="K332">
        <v>55</v>
      </c>
    </row>
    <row r="333" spans="1:11" x14ac:dyDescent="0.3">
      <c r="A333" t="s">
        <v>341</v>
      </c>
      <c r="B333" t="s">
        <v>537</v>
      </c>
      <c r="C333" t="s">
        <v>273</v>
      </c>
      <c r="D333" t="s">
        <v>272</v>
      </c>
      <c r="E333">
        <v>659</v>
      </c>
      <c r="H333">
        <v>525</v>
      </c>
      <c r="J333">
        <v>67</v>
      </c>
      <c r="K333">
        <v>67</v>
      </c>
    </row>
    <row r="334" spans="1:11" x14ac:dyDescent="0.3">
      <c r="A334" t="s">
        <v>366</v>
      </c>
      <c r="B334" t="s">
        <v>537</v>
      </c>
      <c r="C334" t="s">
        <v>279</v>
      </c>
      <c r="D334" t="s">
        <v>278</v>
      </c>
      <c r="E334">
        <v>34</v>
      </c>
      <c r="H334">
        <v>11</v>
      </c>
      <c r="J334">
        <v>0</v>
      </c>
      <c r="K334">
        <v>23</v>
      </c>
    </row>
    <row r="335" spans="1:11" x14ac:dyDescent="0.3">
      <c r="A335" t="s">
        <v>364</v>
      </c>
      <c r="B335" t="s">
        <v>540</v>
      </c>
      <c r="C335" t="s">
        <v>236</v>
      </c>
      <c r="D335" t="s">
        <v>235</v>
      </c>
      <c r="E335">
        <v>26</v>
      </c>
      <c r="K335">
        <v>26</v>
      </c>
    </row>
    <row r="336" spans="1:11" x14ac:dyDescent="0.3">
      <c r="A336" t="s">
        <v>364</v>
      </c>
      <c r="B336" t="s">
        <v>537</v>
      </c>
      <c r="C336" t="s">
        <v>273</v>
      </c>
      <c r="D336" t="s">
        <v>272</v>
      </c>
      <c r="E336">
        <v>717</v>
      </c>
      <c r="H336">
        <v>564</v>
      </c>
      <c r="J336">
        <v>72</v>
      </c>
      <c r="K336">
        <v>81</v>
      </c>
    </row>
    <row r="337" spans="1:11" x14ac:dyDescent="0.3">
      <c r="A337" t="s">
        <v>365</v>
      </c>
      <c r="B337" t="s">
        <v>537</v>
      </c>
      <c r="C337" t="s">
        <v>289</v>
      </c>
      <c r="D337" t="s">
        <v>288</v>
      </c>
      <c r="E337">
        <v>217</v>
      </c>
      <c r="H337">
        <v>30</v>
      </c>
      <c r="J337">
        <v>0</v>
      </c>
      <c r="K337">
        <v>187</v>
      </c>
    </row>
    <row r="338" spans="1:11" x14ac:dyDescent="0.3">
      <c r="A338" t="s">
        <v>366</v>
      </c>
      <c r="B338" t="s">
        <v>542</v>
      </c>
      <c r="C338" t="s">
        <v>218</v>
      </c>
      <c r="D338" t="s">
        <v>217</v>
      </c>
      <c r="E338">
        <v>165</v>
      </c>
      <c r="I338">
        <v>121</v>
      </c>
      <c r="K338">
        <v>44</v>
      </c>
    </row>
    <row r="339" spans="1:11" x14ac:dyDescent="0.3">
      <c r="A339" t="s">
        <v>366</v>
      </c>
      <c r="B339" t="s">
        <v>537</v>
      </c>
      <c r="C339" t="s">
        <v>283</v>
      </c>
      <c r="D339" t="s">
        <v>282</v>
      </c>
      <c r="E339">
        <v>140</v>
      </c>
      <c r="H339">
        <v>140</v>
      </c>
      <c r="J339">
        <v>0</v>
      </c>
      <c r="K339">
        <v>0</v>
      </c>
    </row>
    <row r="340" spans="1:11" x14ac:dyDescent="0.3">
      <c r="A340" t="s">
        <v>365</v>
      </c>
      <c r="B340" t="s">
        <v>540</v>
      </c>
      <c r="C340" t="s">
        <v>242</v>
      </c>
      <c r="D340" t="s">
        <v>241</v>
      </c>
      <c r="E340">
        <v>5</v>
      </c>
      <c r="K340">
        <v>5</v>
      </c>
    </row>
    <row r="341" spans="1:11" x14ac:dyDescent="0.3">
      <c r="A341" t="s">
        <v>342</v>
      </c>
      <c r="B341" t="s">
        <v>537</v>
      </c>
      <c r="C341" t="s">
        <v>270</v>
      </c>
      <c r="D341" t="s">
        <v>269</v>
      </c>
      <c r="E341">
        <v>489</v>
      </c>
      <c r="K341">
        <v>489</v>
      </c>
    </row>
    <row r="342" spans="1:11" x14ac:dyDescent="0.3">
      <c r="A342" t="s">
        <v>364</v>
      </c>
      <c r="B342" t="s">
        <v>540</v>
      </c>
      <c r="C342" t="s">
        <v>289</v>
      </c>
      <c r="D342" t="s">
        <v>290</v>
      </c>
      <c r="E342">
        <v>14</v>
      </c>
      <c r="K342">
        <v>14</v>
      </c>
    </row>
    <row r="343" spans="1:11" x14ac:dyDescent="0.3">
      <c r="A343" t="s">
        <v>342</v>
      </c>
      <c r="B343" t="s">
        <v>542</v>
      </c>
      <c r="C343" t="s">
        <v>218</v>
      </c>
      <c r="D343" t="s">
        <v>217</v>
      </c>
      <c r="E343">
        <v>187</v>
      </c>
      <c r="I343">
        <v>141</v>
      </c>
      <c r="K343">
        <v>46</v>
      </c>
    </row>
    <row r="344" spans="1:11" x14ac:dyDescent="0.3">
      <c r="A344" t="s">
        <v>365</v>
      </c>
      <c r="B344" t="s">
        <v>540</v>
      </c>
      <c r="C344" t="s">
        <v>251</v>
      </c>
      <c r="D344" t="s">
        <v>250</v>
      </c>
      <c r="E344">
        <v>20</v>
      </c>
      <c r="K344">
        <v>20</v>
      </c>
    </row>
    <row r="345" spans="1:11" x14ac:dyDescent="0.3">
      <c r="A345" t="s">
        <v>365</v>
      </c>
      <c r="B345" t="s">
        <v>537</v>
      </c>
      <c r="C345" t="s">
        <v>273</v>
      </c>
      <c r="D345" t="s">
        <v>272</v>
      </c>
      <c r="E345">
        <v>698</v>
      </c>
      <c r="H345">
        <v>548</v>
      </c>
      <c r="J345">
        <v>69</v>
      </c>
      <c r="K345">
        <v>81</v>
      </c>
    </row>
    <row r="346" spans="1:11" x14ac:dyDescent="0.3">
      <c r="A346" t="s">
        <v>341</v>
      </c>
      <c r="B346" t="s">
        <v>537</v>
      </c>
      <c r="C346" t="s">
        <v>253</v>
      </c>
      <c r="D346" t="s">
        <v>252</v>
      </c>
      <c r="E346">
        <v>68</v>
      </c>
      <c r="H346">
        <v>0</v>
      </c>
      <c r="J346">
        <v>0</v>
      </c>
      <c r="K346">
        <v>68</v>
      </c>
    </row>
    <row r="347" spans="1:11" x14ac:dyDescent="0.3">
      <c r="A347" t="s">
        <v>342</v>
      </c>
      <c r="B347" t="s">
        <v>537</v>
      </c>
      <c r="C347" t="s">
        <v>267</v>
      </c>
      <c r="D347" t="s">
        <v>266</v>
      </c>
      <c r="E347">
        <v>369</v>
      </c>
      <c r="H347">
        <v>115</v>
      </c>
      <c r="K347">
        <v>254</v>
      </c>
    </row>
    <row r="348" spans="1:11" x14ac:dyDescent="0.3">
      <c r="A348" t="s">
        <v>342</v>
      </c>
      <c r="B348" t="s">
        <v>540</v>
      </c>
      <c r="C348" t="s">
        <v>251</v>
      </c>
      <c r="D348" t="s">
        <v>250</v>
      </c>
      <c r="E348">
        <v>27</v>
      </c>
      <c r="K348">
        <v>27</v>
      </c>
    </row>
    <row r="349" spans="1:11" x14ac:dyDescent="0.3">
      <c r="A349" t="s">
        <v>366</v>
      </c>
      <c r="B349" t="s">
        <v>540</v>
      </c>
      <c r="C349" t="s">
        <v>242</v>
      </c>
      <c r="D349" t="s">
        <v>241</v>
      </c>
      <c r="E349">
        <v>13</v>
      </c>
      <c r="K349">
        <v>13</v>
      </c>
    </row>
    <row r="350" spans="1:11" x14ac:dyDescent="0.3">
      <c r="A350" t="s">
        <v>341</v>
      </c>
      <c r="B350" t="s">
        <v>537</v>
      </c>
      <c r="C350" t="s">
        <v>220</v>
      </c>
      <c r="D350" t="s">
        <v>219</v>
      </c>
      <c r="E350">
        <v>307</v>
      </c>
      <c r="H350">
        <v>282</v>
      </c>
      <c r="J350">
        <v>0</v>
      </c>
      <c r="K350">
        <v>25</v>
      </c>
    </row>
    <row r="351" spans="1:11" x14ac:dyDescent="0.3">
      <c r="A351" t="s">
        <v>341</v>
      </c>
      <c r="B351" t="s">
        <v>537</v>
      </c>
      <c r="C351" t="s">
        <v>255</v>
      </c>
      <c r="D351" t="s">
        <v>254</v>
      </c>
      <c r="E351">
        <v>82</v>
      </c>
      <c r="H351">
        <v>55</v>
      </c>
      <c r="J351">
        <v>0</v>
      </c>
      <c r="K351">
        <v>27</v>
      </c>
    </row>
    <row r="352" spans="1:11" x14ac:dyDescent="0.3">
      <c r="A352" t="s">
        <v>364</v>
      </c>
      <c r="B352" t="s">
        <v>537</v>
      </c>
      <c r="C352" t="s">
        <v>311</v>
      </c>
      <c r="D352" t="s">
        <v>310</v>
      </c>
      <c r="E352">
        <v>143</v>
      </c>
      <c r="H352">
        <v>58</v>
      </c>
      <c r="J352">
        <v>0</v>
      </c>
      <c r="K352">
        <v>85</v>
      </c>
    </row>
    <row r="353" spans="1:11" x14ac:dyDescent="0.3">
      <c r="A353" t="s">
        <v>341</v>
      </c>
      <c r="B353" t="s">
        <v>537</v>
      </c>
      <c r="C353" t="s">
        <v>228</v>
      </c>
      <c r="D353" t="s">
        <v>227</v>
      </c>
      <c r="E353">
        <v>428</v>
      </c>
      <c r="H353">
        <v>185</v>
      </c>
      <c r="J353">
        <v>200</v>
      </c>
      <c r="K353">
        <v>43</v>
      </c>
    </row>
    <row r="354" spans="1:11" x14ac:dyDescent="0.3">
      <c r="A354" t="s">
        <v>366</v>
      </c>
      <c r="B354" t="s">
        <v>540</v>
      </c>
      <c r="C354" t="s">
        <v>289</v>
      </c>
      <c r="D354" t="s">
        <v>290</v>
      </c>
      <c r="E354">
        <v>20</v>
      </c>
      <c r="K354">
        <v>20</v>
      </c>
    </row>
    <row r="355" spans="1:11" x14ac:dyDescent="0.3">
      <c r="A355" t="s">
        <v>312</v>
      </c>
      <c r="B355" t="s">
        <v>537</v>
      </c>
      <c r="C355" t="s">
        <v>247</v>
      </c>
      <c r="D355" t="s">
        <v>217</v>
      </c>
      <c r="E355">
        <v>194</v>
      </c>
      <c r="F355">
        <v>0</v>
      </c>
      <c r="G355">
        <v>0</v>
      </c>
      <c r="H355">
        <v>12</v>
      </c>
      <c r="I355">
        <v>0</v>
      </c>
      <c r="J355">
        <v>0</v>
      </c>
      <c r="K355">
        <v>182</v>
      </c>
    </row>
    <row r="356" spans="1:11" x14ac:dyDescent="0.3">
      <c r="A356" t="s">
        <v>412</v>
      </c>
      <c r="B356" t="s">
        <v>540</v>
      </c>
      <c r="C356" t="s">
        <v>324</v>
      </c>
      <c r="E356">
        <v>20</v>
      </c>
      <c r="F356">
        <v>0</v>
      </c>
      <c r="G356">
        <v>2</v>
      </c>
      <c r="H356">
        <v>0</v>
      </c>
      <c r="I356">
        <v>0</v>
      </c>
      <c r="J356">
        <v>0</v>
      </c>
      <c r="K356">
        <v>20</v>
      </c>
    </row>
    <row r="357" spans="1:11" x14ac:dyDescent="0.3">
      <c r="A357" t="s">
        <v>328</v>
      </c>
      <c r="B357" t="s">
        <v>537</v>
      </c>
      <c r="C357" t="s">
        <v>287</v>
      </c>
      <c r="E357">
        <v>191</v>
      </c>
      <c r="F357">
        <v>0</v>
      </c>
      <c r="G357">
        <v>0</v>
      </c>
      <c r="H357">
        <v>100</v>
      </c>
      <c r="I357">
        <v>0</v>
      </c>
      <c r="J357">
        <v>19</v>
      </c>
      <c r="K357">
        <v>72</v>
      </c>
    </row>
    <row r="358" spans="1:11" x14ac:dyDescent="0.3">
      <c r="A358" t="s">
        <v>326</v>
      </c>
      <c r="B358" t="s">
        <v>537</v>
      </c>
      <c r="C358" t="s">
        <v>240</v>
      </c>
      <c r="E358">
        <v>50</v>
      </c>
      <c r="F358">
        <v>0</v>
      </c>
      <c r="G358">
        <v>0</v>
      </c>
      <c r="H358">
        <v>23</v>
      </c>
      <c r="I358">
        <v>0</v>
      </c>
      <c r="J358">
        <v>0</v>
      </c>
      <c r="K358">
        <v>27</v>
      </c>
    </row>
    <row r="359" spans="1:11" x14ac:dyDescent="0.3">
      <c r="A359" t="s">
        <v>320</v>
      </c>
      <c r="B359" t="s">
        <v>537</v>
      </c>
      <c r="C359" t="s">
        <v>244</v>
      </c>
      <c r="E359">
        <v>248</v>
      </c>
      <c r="F359">
        <v>0</v>
      </c>
      <c r="G359">
        <v>0</v>
      </c>
      <c r="H359">
        <v>192</v>
      </c>
      <c r="I359">
        <v>0</v>
      </c>
      <c r="J359">
        <v>6</v>
      </c>
      <c r="K359">
        <v>50</v>
      </c>
    </row>
    <row r="360" spans="1:11" x14ac:dyDescent="0.3">
      <c r="A360" t="s">
        <v>326</v>
      </c>
      <c r="B360" t="s">
        <v>540</v>
      </c>
      <c r="C360" t="s">
        <v>244</v>
      </c>
      <c r="E360">
        <v>22</v>
      </c>
      <c r="F360">
        <v>0</v>
      </c>
      <c r="G360">
        <v>4</v>
      </c>
      <c r="H360">
        <v>0</v>
      </c>
      <c r="I360">
        <v>0</v>
      </c>
      <c r="J360">
        <v>0</v>
      </c>
      <c r="K360">
        <v>22</v>
      </c>
    </row>
    <row r="361" spans="1:11" x14ac:dyDescent="0.3">
      <c r="A361" t="s">
        <v>318</v>
      </c>
      <c r="B361" t="s">
        <v>540</v>
      </c>
      <c r="C361" t="s">
        <v>215</v>
      </c>
      <c r="D361" t="s">
        <v>217</v>
      </c>
      <c r="E361">
        <v>12</v>
      </c>
      <c r="F361">
        <v>0</v>
      </c>
      <c r="G361">
        <v>0</v>
      </c>
      <c r="H361">
        <v>0</v>
      </c>
      <c r="I361">
        <v>0</v>
      </c>
      <c r="J361">
        <v>0</v>
      </c>
      <c r="K361">
        <v>12</v>
      </c>
    </row>
    <row r="362" spans="1:11" x14ac:dyDescent="0.3">
      <c r="A362" t="s">
        <v>325</v>
      </c>
      <c r="B362" t="s">
        <v>540</v>
      </c>
      <c r="C362" t="s">
        <v>313</v>
      </c>
      <c r="E362">
        <v>31</v>
      </c>
      <c r="F362">
        <v>0</v>
      </c>
      <c r="G362">
        <v>4</v>
      </c>
      <c r="H362">
        <v>0</v>
      </c>
      <c r="I362">
        <v>0</v>
      </c>
      <c r="J362">
        <v>0</v>
      </c>
      <c r="K362">
        <v>31</v>
      </c>
    </row>
    <row r="363" spans="1:11" x14ac:dyDescent="0.3">
      <c r="A363" t="s">
        <v>213</v>
      </c>
      <c r="B363" t="s">
        <v>537</v>
      </c>
      <c r="C363" t="s">
        <v>309</v>
      </c>
      <c r="D363" t="s">
        <v>308</v>
      </c>
      <c r="E363">
        <v>93</v>
      </c>
      <c r="F363">
        <v>0</v>
      </c>
      <c r="G363">
        <v>0</v>
      </c>
      <c r="H363">
        <v>20</v>
      </c>
      <c r="I363">
        <v>0</v>
      </c>
      <c r="J363">
        <v>0</v>
      </c>
      <c r="K363">
        <v>73</v>
      </c>
    </row>
    <row r="364" spans="1:11" x14ac:dyDescent="0.3">
      <c r="A364" t="s">
        <v>312</v>
      </c>
      <c r="B364" t="s">
        <v>540</v>
      </c>
      <c r="C364" t="s">
        <v>236</v>
      </c>
      <c r="D364" t="s">
        <v>237</v>
      </c>
      <c r="E364">
        <v>28</v>
      </c>
      <c r="F364">
        <v>0</v>
      </c>
      <c r="G364">
        <v>0</v>
      </c>
      <c r="H364">
        <v>0</v>
      </c>
      <c r="I364">
        <v>0</v>
      </c>
      <c r="J364">
        <v>0</v>
      </c>
      <c r="K364">
        <v>28</v>
      </c>
    </row>
    <row r="365" spans="1:11" x14ac:dyDescent="0.3">
      <c r="A365" t="s">
        <v>328</v>
      </c>
      <c r="B365" t="s">
        <v>537</v>
      </c>
      <c r="C365" t="s">
        <v>311</v>
      </c>
      <c r="E365">
        <v>125</v>
      </c>
      <c r="F365">
        <v>0</v>
      </c>
      <c r="G365">
        <v>0</v>
      </c>
      <c r="H365">
        <v>61</v>
      </c>
      <c r="I365">
        <v>0</v>
      </c>
      <c r="J365">
        <v>0</v>
      </c>
      <c r="K365">
        <v>64</v>
      </c>
    </row>
    <row r="366" spans="1:11" x14ac:dyDescent="0.3">
      <c r="A366" t="s">
        <v>328</v>
      </c>
      <c r="B366" t="s">
        <v>540</v>
      </c>
      <c r="C366" t="s">
        <v>313</v>
      </c>
      <c r="E366">
        <v>26</v>
      </c>
      <c r="F366">
        <v>0</v>
      </c>
      <c r="G366">
        <v>3</v>
      </c>
      <c r="H366">
        <v>0</v>
      </c>
      <c r="I366">
        <v>0</v>
      </c>
      <c r="J366">
        <v>0</v>
      </c>
      <c r="K366">
        <v>26</v>
      </c>
    </row>
    <row r="367" spans="1:11" x14ac:dyDescent="0.3">
      <c r="A367" t="s">
        <v>213</v>
      </c>
      <c r="B367" t="s">
        <v>540</v>
      </c>
      <c r="C367" t="s">
        <v>285</v>
      </c>
      <c r="D367" t="s">
        <v>284</v>
      </c>
      <c r="E367">
        <v>16</v>
      </c>
      <c r="F367">
        <v>0</v>
      </c>
      <c r="G367">
        <v>3</v>
      </c>
      <c r="H367">
        <v>0</v>
      </c>
      <c r="I367">
        <v>0</v>
      </c>
      <c r="J367">
        <v>0</v>
      </c>
      <c r="K367">
        <v>16</v>
      </c>
    </row>
    <row r="368" spans="1:11" x14ac:dyDescent="0.3">
      <c r="A368" t="s">
        <v>318</v>
      </c>
      <c r="B368" t="s">
        <v>540</v>
      </c>
      <c r="C368" t="s">
        <v>275</v>
      </c>
      <c r="D368" t="s">
        <v>217</v>
      </c>
      <c r="E368">
        <v>35</v>
      </c>
      <c r="F368">
        <v>0</v>
      </c>
      <c r="G368">
        <v>11</v>
      </c>
      <c r="H368">
        <v>0</v>
      </c>
      <c r="I368">
        <v>0</v>
      </c>
      <c r="J368">
        <v>0</v>
      </c>
      <c r="K368">
        <v>35</v>
      </c>
    </row>
    <row r="369" spans="1:11" x14ac:dyDescent="0.3">
      <c r="A369" t="s">
        <v>328</v>
      </c>
      <c r="B369" t="s">
        <v>537</v>
      </c>
      <c r="C369" t="s">
        <v>302</v>
      </c>
      <c r="E369">
        <v>96</v>
      </c>
      <c r="F369">
        <v>0</v>
      </c>
      <c r="G369">
        <v>0</v>
      </c>
      <c r="H369">
        <v>43</v>
      </c>
      <c r="I369">
        <v>0</v>
      </c>
      <c r="J369">
        <v>0</v>
      </c>
      <c r="K369">
        <v>53</v>
      </c>
    </row>
    <row r="370" spans="1:11" x14ac:dyDescent="0.3">
      <c r="A370" t="s">
        <v>213</v>
      </c>
      <c r="B370" t="s">
        <v>537</v>
      </c>
      <c r="C370" t="s">
        <v>275</v>
      </c>
      <c r="D370" t="s">
        <v>272</v>
      </c>
      <c r="E370">
        <v>684</v>
      </c>
      <c r="F370">
        <v>0</v>
      </c>
      <c r="G370">
        <v>0</v>
      </c>
      <c r="H370">
        <v>552</v>
      </c>
      <c r="I370">
        <v>0</v>
      </c>
      <c r="J370">
        <v>62</v>
      </c>
      <c r="K370">
        <v>70</v>
      </c>
    </row>
    <row r="371" spans="1:11" x14ac:dyDescent="0.3">
      <c r="A371" t="s">
        <v>318</v>
      </c>
      <c r="B371" t="s">
        <v>537</v>
      </c>
      <c r="C371" t="s">
        <v>244</v>
      </c>
      <c r="D371" t="s">
        <v>231</v>
      </c>
      <c r="E371">
        <v>243</v>
      </c>
      <c r="F371">
        <v>0</v>
      </c>
      <c r="G371">
        <v>0</v>
      </c>
      <c r="H371">
        <v>186</v>
      </c>
      <c r="I371">
        <v>0</v>
      </c>
      <c r="J371">
        <v>6</v>
      </c>
      <c r="K371">
        <v>51</v>
      </c>
    </row>
    <row r="372" spans="1:11" x14ac:dyDescent="0.3">
      <c r="A372" t="s">
        <v>325</v>
      </c>
      <c r="B372" t="s">
        <v>540</v>
      </c>
      <c r="C372" t="s">
        <v>265</v>
      </c>
      <c r="E372">
        <v>19</v>
      </c>
      <c r="F372">
        <v>0</v>
      </c>
      <c r="G372">
        <v>2</v>
      </c>
      <c r="H372">
        <v>0</v>
      </c>
      <c r="I372">
        <v>0</v>
      </c>
      <c r="J372">
        <v>0</v>
      </c>
      <c r="K372">
        <v>19</v>
      </c>
    </row>
    <row r="373" spans="1:11" x14ac:dyDescent="0.3">
      <c r="A373" t="s">
        <v>213</v>
      </c>
      <c r="B373" t="s">
        <v>537</v>
      </c>
      <c r="C373" t="s">
        <v>302</v>
      </c>
      <c r="D373" t="s">
        <v>301</v>
      </c>
      <c r="E373">
        <v>108</v>
      </c>
      <c r="F373">
        <v>0</v>
      </c>
      <c r="G373">
        <v>0</v>
      </c>
      <c r="H373">
        <v>58</v>
      </c>
      <c r="I373">
        <v>0</v>
      </c>
      <c r="J373">
        <v>0</v>
      </c>
      <c r="K373">
        <v>50</v>
      </c>
    </row>
    <row r="374" spans="1:11" x14ac:dyDescent="0.3">
      <c r="A374" t="s">
        <v>312</v>
      </c>
      <c r="B374" t="s">
        <v>540</v>
      </c>
      <c r="C374" t="s">
        <v>251</v>
      </c>
      <c r="D374" t="s">
        <v>231</v>
      </c>
      <c r="E374">
        <v>28</v>
      </c>
      <c r="F374">
        <v>0</v>
      </c>
      <c r="G374">
        <v>2</v>
      </c>
      <c r="H374">
        <v>0</v>
      </c>
      <c r="I374">
        <v>0</v>
      </c>
      <c r="J374">
        <v>0</v>
      </c>
      <c r="K374">
        <v>28</v>
      </c>
    </row>
    <row r="375" spans="1:11" x14ac:dyDescent="0.3">
      <c r="A375" t="s">
        <v>412</v>
      </c>
      <c r="B375" t="s">
        <v>537</v>
      </c>
      <c r="C375" t="s">
        <v>259</v>
      </c>
      <c r="E375">
        <v>50</v>
      </c>
      <c r="F375">
        <v>0</v>
      </c>
      <c r="G375">
        <v>0</v>
      </c>
      <c r="H375">
        <v>0</v>
      </c>
      <c r="I375">
        <v>0</v>
      </c>
      <c r="J375">
        <v>0</v>
      </c>
      <c r="K375">
        <v>50</v>
      </c>
    </row>
    <row r="376" spans="1:11" x14ac:dyDescent="0.3">
      <c r="A376" t="s">
        <v>312</v>
      </c>
      <c r="B376" t="s">
        <v>537</v>
      </c>
      <c r="C376" t="s">
        <v>228</v>
      </c>
      <c r="D376" t="s">
        <v>231</v>
      </c>
      <c r="E376">
        <v>439</v>
      </c>
      <c r="F376">
        <v>0</v>
      </c>
      <c r="G376">
        <v>0</v>
      </c>
      <c r="H376">
        <v>174</v>
      </c>
      <c r="I376">
        <v>0</v>
      </c>
      <c r="J376">
        <v>212</v>
      </c>
      <c r="K376">
        <v>53</v>
      </c>
    </row>
    <row r="377" spans="1:11" x14ac:dyDescent="0.3">
      <c r="A377" t="s">
        <v>320</v>
      </c>
      <c r="B377" t="s">
        <v>540</v>
      </c>
      <c r="C377" t="s">
        <v>261</v>
      </c>
      <c r="E377">
        <v>19</v>
      </c>
      <c r="F377">
        <v>0</v>
      </c>
      <c r="G377">
        <v>0</v>
      </c>
      <c r="H377">
        <v>0</v>
      </c>
      <c r="I377">
        <v>0</v>
      </c>
      <c r="J377">
        <v>0</v>
      </c>
      <c r="K377">
        <v>19</v>
      </c>
    </row>
    <row r="378" spans="1:11" x14ac:dyDescent="0.3">
      <c r="A378" t="s">
        <v>318</v>
      </c>
      <c r="B378" t="s">
        <v>542</v>
      </c>
      <c r="C378" t="s">
        <v>218</v>
      </c>
      <c r="D378" t="s">
        <v>217</v>
      </c>
      <c r="E378">
        <v>55</v>
      </c>
      <c r="F378">
        <v>0</v>
      </c>
      <c r="G378">
        <v>0</v>
      </c>
      <c r="H378">
        <v>0</v>
      </c>
      <c r="I378">
        <v>0</v>
      </c>
      <c r="J378">
        <v>0</v>
      </c>
      <c r="K378">
        <v>55</v>
      </c>
    </row>
    <row r="379" spans="1:11" x14ac:dyDescent="0.3">
      <c r="A379" t="s">
        <v>320</v>
      </c>
      <c r="B379" t="s">
        <v>540</v>
      </c>
      <c r="C379" t="s">
        <v>236</v>
      </c>
      <c r="E379">
        <v>27</v>
      </c>
      <c r="F379">
        <v>0</v>
      </c>
      <c r="G379">
        <v>0</v>
      </c>
      <c r="H379">
        <v>0</v>
      </c>
      <c r="I379">
        <v>0</v>
      </c>
      <c r="J379">
        <v>0</v>
      </c>
      <c r="K379">
        <v>27</v>
      </c>
    </row>
    <row r="380" spans="1:11" x14ac:dyDescent="0.3">
      <c r="A380" t="s">
        <v>320</v>
      </c>
      <c r="B380" t="s">
        <v>542</v>
      </c>
      <c r="C380" t="s">
        <v>218</v>
      </c>
      <c r="E380">
        <v>48</v>
      </c>
      <c r="F380">
        <v>0</v>
      </c>
      <c r="G380">
        <v>0</v>
      </c>
      <c r="H380">
        <v>0</v>
      </c>
      <c r="I380">
        <v>0</v>
      </c>
      <c r="J380">
        <v>0</v>
      </c>
      <c r="K380">
        <v>48</v>
      </c>
    </row>
    <row r="381" spans="1:11" x14ac:dyDescent="0.3">
      <c r="A381" t="s">
        <v>312</v>
      </c>
      <c r="B381" t="s">
        <v>540</v>
      </c>
      <c r="C381" t="s">
        <v>222</v>
      </c>
      <c r="D381" t="s">
        <v>217</v>
      </c>
      <c r="E381">
        <v>25</v>
      </c>
      <c r="F381">
        <v>0</v>
      </c>
      <c r="G381">
        <v>5</v>
      </c>
      <c r="H381">
        <v>0</v>
      </c>
      <c r="I381">
        <v>0</v>
      </c>
      <c r="J381">
        <v>0</v>
      </c>
      <c r="K381">
        <v>25</v>
      </c>
    </row>
    <row r="382" spans="1:11" x14ac:dyDescent="0.3">
      <c r="A382" t="s">
        <v>325</v>
      </c>
      <c r="B382" t="s">
        <v>540</v>
      </c>
      <c r="C382" t="s">
        <v>230</v>
      </c>
      <c r="E382">
        <v>0</v>
      </c>
      <c r="F382">
        <v>0</v>
      </c>
      <c r="G382">
        <v>5</v>
      </c>
      <c r="H382">
        <v>0</v>
      </c>
      <c r="I382">
        <v>0</v>
      </c>
      <c r="J382">
        <v>0</v>
      </c>
      <c r="K382">
        <v>0</v>
      </c>
    </row>
    <row r="383" spans="1:11" x14ac:dyDescent="0.3">
      <c r="A383" t="s">
        <v>326</v>
      </c>
      <c r="B383" t="s">
        <v>540</v>
      </c>
      <c r="C383" t="s">
        <v>285</v>
      </c>
      <c r="E383">
        <v>10</v>
      </c>
      <c r="F383">
        <v>0</v>
      </c>
      <c r="G383">
        <v>0</v>
      </c>
      <c r="H383">
        <v>0</v>
      </c>
      <c r="I383">
        <v>0</v>
      </c>
      <c r="J383">
        <v>0</v>
      </c>
      <c r="K383">
        <v>10</v>
      </c>
    </row>
    <row r="384" spans="1:11" x14ac:dyDescent="0.3">
      <c r="A384" t="s">
        <v>328</v>
      </c>
      <c r="B384" t="s">
        <v>537</v>
      </c>
      <c r="C384" t="s">
        <v>281</v>
      </c>
      <c r="E384">
        <v>138</v>
      </c>
      <c r="F384">
        <v>0</v>
      </c>
      <c r="G384">
        <v>0</v>
      </c>
      <c r="H384">
        <v>105</v>
      </c>
      <c r="I384">
        <v>0</v>
      </c>
      <c r="J384">
        <v>3</v>
      </c>
      <c r="K384">
        <v>30</v>
      </c>
    </row>
    <row r="385" spans="1:11" x14ac:dyDescent="0.3">
      <c r="A385" t="s">
        <v>412</v>
      </c>
      <c r="B385" t="s">
        <v>537</v>
      </c>
      <c r="C385" t="s">
        <v>267</v>
      </c>
      <c r="E385">
        <v>300</v>
      </c>
      <c r="F385">
        <v>0</v>
      </c>
      <c r="G385">
        <v>0</v>
      </c>
      <c r="H385">
        <v>96</v>
      </c>
      <c r="I385">
        <v>0</v>
      </c>
      <c r="J385">
        <v>0</v>
      </c>
      <c r="K385">
        <v>204</v>
      </c>
    </row>
    <row r="386" spans="1:11" x14ac:dyDescent="0.3">
      <c r="A386" t="s">
        <v>412</v>
      </c>
      <c r="B386" t="s">
        <v>540</v>
      </c>
      <c r="C386" t="s">
        <v>265</v>
      </c>
      <c r="E386">
        <v>19</v>
      </c>
      <c r="F386">
        <v>0</v>
      </c>
      <c r="G386">
        <v>2</v>
      </c>
      <c r="H386">
        <v>0</v>
      </c>
      <c r="I386">
        <v>0</v>
      </c>
      <c r="J386">
        <v>0</v>
      </c>
      <c r="K386">
        <v>19</v>
      </c>
    </row>
    <row r="387" spans="1:11" x14ac:dyDescent="0.3">
      <c r="A387" t="s">
        <v>326</v>
      </c>
      <c r="B387" t="s">
        <v>537</v>
      </c>
      <c r="C387" t="s">
        <v>267</v>
      </c>
      <c r="E387">
        <v>320</v>
      </c>
      <c r="F387">
        <v>0</v>
      </c>
      <c r="G387">
        <v>0</v>
      </c>
      <c r="H387">
        <v>104</v>
      </c>
      <c r="I387">
        <v>0</v>
      </c>
      <c r="J387">
        <v>0</v>
      </c>
      <c r="K387">
        <v>216</v>
      </c>
    </row>
    <row r="388" spans="1:11" x14ac:dyDescent="0.3">
      <c r="A388" t="s">
        <v>312</v>
      </c>
      <c r="B388" t="s">
        <v>537</v>
      </c>
      <c r="C388" t="s">
        <v>298</v>
      </c>
      <c r="D388" t="s">
        <v>237</v>
      </c>
      <c r="E388">
        <v>201</v>
      </c>
      <c r="F388">
        <v>0</v>
      </c>
      <c r="G388">
        <v>0</v>
      </c>
      <c r="H388">
        <v>148</v>
      </c>
      <c r="I388">
        <v>0</v>
      </c>
      <c r="J388">
        <v>0</v>
      </c>
      <c r="K388">
        <v>53</v>
      </c>
    </row>
    <row r="389" spans="1:11" x14ac:dyDescent="0.3">
      <c r="A389" t="s">
        <v>412</v>
      </c>
      <c r="B389" t="s">
        <v>537</v>
      </c>
      <c r="C389" t="s">
        <v>298</v>
      </c>
      <c r="E389">
        <v>211</v>
      </c>
      <c r="F389">
        <v>0</v>
      </c>
      <c r="G389">
        <v>0</v>
      </c>
      <c r="H389">
        <v>153</v>
      </c>
      <c r="I389">
        <v>0</v>
      </c>
      <c r="J389">
        <v>0</v>
      </c>
      <c r="K389">
        <v>58</v>
      </c>
    </row>
    <row r="390" spans="1:11" x14ac:dyDescent="0.3">
      <c r="A390" t="s">
        <v>326</v>
      </c>
      <c r="B390" t="s">
        <v>542</v>
      </c>
      <c r="C390" t="s">
        <v>238</v>
      </c>
      <c r="D390" t="s">
        <v>237</v>
      </c>
      <c r="E390">
        <v>29</v>
      </c>
      <c r="F390">
        <v>0</v>
      </c>
      <c r="G390">
        <v>0</v>
      </c>
      <c r="H390">
        <v>0</v>
      </c>
      <c r="I390">
        <v>0</v>
      </c>
      <c r="J390">
        <v>0</v>
      </c>
      <c r="K390">
        <v>29</v>
      </c>
    </row>
    <row r="391" spans="1:11" x14ac:dyDescent="0.3">
      <c r="A391" t="s">
        <v>320</v>
      </c>
      <c r="B391" t="s">
        <v>537</v>
      </c>
      <c r="C391" t="s">
        <v>281</v>
      </c>
      <c r="E391">
        <v>144</v>
      </c>
      <c r="F391">
        <v>0</v>
      </c>
      <c r="G391">
        <v>0</v>
      </c>
      <c r="H391">
        <v>114</v>
      </c>
      <c r="I391">
        <v>0</v>
      </c>
      <c r="J391">
        <v>0</v>
      </c>
      <c r="K391">
        <v>30</v>
      </c>
    </row>
    <row r="392" spans="1:11" x14ac:dyDescent="0.3">
      <c r="A392" t="s">
        <v>326</v>
      </c>
      <c r="B392" t="s">
        <v>537</v>
      </c>
      <c r="C392" t="s">
        <v>307</v>
      </c>
      <c r="E392">
        <v>117</v>
      </c>
      <c r="F392">
        <v>0</v>
      </c>
      <c r="G392">
        <v>0</v>
      </c>
      <c r="H392">
        <v>68</v>
      </c>
      <c r="I392">
        <v>0</v>
      </c>
      <c r="J392">
        <v>0</v>
      </c>
      <c r="K392">
        <v>49</v>
      </c>
    </row>
    <row r="393" spans="1:11" x14ac:dyDescent="0.3">
      <c r="A393" t="s">
        <v>320</v>
      </c>
      <c r="B393" t="s">
        <v>544</v>
      </c>
      <c r="C393" t="s">
        <v>545</v>
      </c>
      <c r="D393" t="s">
        <v>549</v>
      </c>
      <c r="E393">
        <v>1182</v>
      </c>
      <c r="F393">
        <v>174</v>
      </c>
      <c r="G393">
        <v>0</v>
      </c>
      <c r="H393">
        <v>0</v>
      </c>
      <c r="I393">
        <v>920</v>
      </c>
      <c r="J393">
        <v>0</v>
      </c>
      <c r="K393">
        <v>88</v>
      </c>
    </row>
    <row r="394" spans="1:11" x14ac:dyDescent="0.3">
      <c r="A394" t="s">
        <v>213</v>
      </c>
      <c r="B394" t="s">
        <v>537</v>
      </c>
      <c r="C394" t="s">
        <v>244</v>
      </c>
      <c r="D394" t="s">
        <v>243</v>
      </c>
      <c r="E394">
        <v>257</v>
      </c>
      <c r="F394">
        <v>0</v>
      </c>
      <c r="G394">
        <v>0</v>
      </c>
      <c r="H394">
        <v>198</v>
      </c>
      <c r="I394">
        <v>0</v>
      </c>
      <c r="J394">
        <v>6</v>
      </c>
      <c r="K394">
        <v>53</v>
      </c>
    </row>
    <row r="395" spans="1:11" x14ac:dyDescent="0.3">
      <c r="A395" t="s">
        <v>213</v>
      </c>
      <c r="B395" t="s">
        <v>537</v>
      </c>
      <c r="C395" t="s">
        <v>267</v>
      </c>
      <c r="D395" t="s">
        <v>266</v>
      </c>
      <c r="E395">
        <v>390</v>
      </c>
      <c r="F395">
        <v>0</v>
      </c>
      <c r="G395">
        <v>0</v>
      </c>
      <c r="H395">
        <v>116</v>
      </c>
      <c r="I395">
        <v>0</v>
      </c>
      <c r="J395">
        <v>0</v>
      </c>
      <c r="K395">
        <v>274</v>
      </c>
    </row>
    <row r="396" spans="1:11" x14ac:dyDescent="0.3">
      <c r="A396" t="s">
        <v>312</v>
      </c>
      <c r="B396" t="s">
        <v>544</v>
      </c>
      <c r="C396" t="s">
        <v>545</v>
      </c>
      <c r="D396" t="s">
        <v>549</v>
      </c>
      <c r="E396">
        <v>1095</v>
      </c>
      <c r="F396">
        <v>188</v>
      </c>
      <c r="G396">
        <v>0</v>
      </c>
      <c r="H396">
        <v>0</v>
      </c>
      <c r="I396">
        <v>817</v>
      </c>
      <c r="J396">
        <v>0</v>
      </c>
      <c r="K396">
        <v>90</v>
      </c>
    </row>
    <row r="397" spans="1:11" x14ac:dyDescent="0.3">
      <c r="A397" t="s">
        <v>312</v>
      </c>
      <c r="B397" t="s">
        <v>537</v>
      </c>
      <c r="C397" t="s">
        <v>302</v>
      </c>
      <c r="D397" t="s">
        <v>231</v>
      </c>
      <c r="E397">
        <v>105</v>
      </c>
      <c r="F397">
        <v>0</v>
      </c>
      <c r="G397">
        <v>0</v>
      </c>
      <c r="H397">
        <v>55</v>
      </c>
      <c r="I397">
        <v>0</v>
      </c>
      <c r="J397">
        <v>0</v>
      </c>
      <c r="K397">
        <v>50</v>
      </c>
    </row>
    <row r="398" spans="1:11" x14ac:dyDescent="0.3">
      <c r="A398" t="s">
        <v>412</v>
      </c>
      <c r="B398" t="s">
        <v>542</v>
      </c>
      <c r="C398" t="s">
        <v>218</v>
      </c>
      <c r="E398">
        <v>27</v>
      </c>
      <c r="F398">
        <v>0</v>
      </c>
      <c r="G398">
        <v>0</v>
      </c>
      <c r="H398">
        <v>0</v>
      </c>
      <c r="I398">
        <v>0</v>
      </c>
      <c r="J398">
        <v>0</v>
      </c>
      <c r="K398">
        <v>27</v>
      </c>
    </row>
    <row r="399" spans="1:11" x14ac:dyDescent="0.3">
      <c r="A399" t="s">
        <v>326</v>
      </c>
      <c r="B399" t="s">
        <v>540</v>
      </c>
      <c r="C399" t="s">
        <v>275</v>
      </c>
      <c r="E399">
        <v>23</v>
      </c>
      <c r="F399">
        <v>0</v>
      </c>
      <c r="G399">
        <v>11</v>
      </c>
      <c r="H399">
        <v>0</v>
      </c>
      <c r="I399">
        <v>0</v>
      </c>
      <c r="J399">
        <v>0</v>
      </c>
      <c r="K399">
        <v>23</v>
      </c>
    </row>
    <row r="400" spans="1:11" x14ac:dyDescent="0.3">
      <c r="A400" t="s">
        <v>412</v>
      </c>
      <c r="B400" t="s">
        <v>537</v>
      </c>
      <c r="C400" t="s">
        <v>253</v>
      </c>
      <c r="E400">
        <v>81</v>
      </c>
      <c r="F400">
        <v>0</v>
      </c>
      <c r="G400">
        <v>0</v>
      </c>
      <c r="H400">
        <v>0</v>
      </c>
      <c r="I400">
        <v>0</v>
      </c>
      <c r="J400">
        <v>0</v>
      </c>
      <c r="K400">
        <v>81</v>
      </c>
    </row>
    <row r="401" spans="1:11" x14ac:dyDescent="0.3">
      <c r="A401" t="s">
        <v>318</v>
      </c>
      <c r="B401" t="s">
        <v>537</v>
      </c>
      <c r="C401" t="s">
        <v>215</v>
      </c>
      <c r="D401" t="s">
        <v>217</v>
      </c>
      <c r="E401">
        <v>159</v>
      </c>
      <c r="F401">
        <v>0</v>
      </c>
      <c r="G401">
        <v>0</v>
      </c>
      <c r="H401">
        <v>10</v>
      </c>
      <c r="I401">
        <v>0</v>
      </c>
      <c r="J401">
        <v>0</v>
      </c>
      <c r="K401">
        <v>149</v>
      </c>
    </row>
    <row r="402" spans="1:11" x14ac:dyDescent="0.3">
      <c r="A402" t="s">
        <v>326</v>
      </c>
      <c r="B402" t="s">
        <v>537</v>
      </c>
      <c r="C402" t="s">
        <v>296</v>
      </c>
      <c r="E402">
        <v>113</v>
      </c>
      <c r="F402">
        <v>0</v>
      </c>
      <c r="G402">
        <v>0</v>
      </c>
      <c r="H402">
        <v>11</v>
      </c>
      <c r="I402">
        <v>0</v>
      </c>
      <c r="J402">
        <v>0</v>
      </c>
      <c r="K402">
        <v>102</v>
      </c>
    </row>
    <row r="403" spans="1:11" x14ac:dyDescent="0.3">
      <c r="A403" t="s">
        <v>312</v>
      </c>
      <c r="B403" t="s">
        <v>537</v>
      </c>
      <c r="C403" t="s">
        <v>294</v>
      </c>
      <c r="D403" t="s">
        <v>217</v>
      </c>
      <c r="E403">
        <v>219</v>
      </c>
      <c r="F403">
        <v>0</v>
      </c>
      <c r="G403">
        <v>0</v>
      </c>
      <c r="H403">
        <v>131</v>
      </c>
      <c r="I403">
        <v>0</v>
      </c>
      <c r="J403">
        <v>21</v>
      </c>
      <c r="K403">
        <v>67</v>
      </c>
    </row>
    <row r="404" spans="1:11" x14ac:dyDescent="0.3">
      <c r="A404" t="s">
        <v>412</v>
      </c>
      <c r="B404" t="s">
        <v>540</v>
      </c>
      <c r="C404" t="s">
        <v>313</v>
      </c>
      <c r="E404">
        <v>32</v>
      </c>
      <c r="F404">
        <v>0</v>
      </c>
      <c r="G404">
        <v>4</v>
      </c>
      <c r="H404">
        <v>0</v>
      </c>
      <c r="I404">
        <v>0</v>
      </c>
      <c r="J404">
        <v>0</v>
      </c>
      <c r="K404">
        <v>32</v>
      </c>
    </row>
    <row r="405" spans="1:11" x14ac:dyDescent="0.3">
      <c r="A405" t="s">
        <v>328</v>
      </c>
      <c r="B405" t="s">
        <v>540</v>
      </c>
      <c r="C405" t="s">
        <v>275</v>
      </c>
      <c r="E405">
        <v>25</v>
      </c>
      <c r="F405">
        <v>0</v>
      </c>
      <c r="G405">
        <v>14</v>
      </c>
      <c r="H405">
        <v>0</v>
      </c>
      <c r="I405">
        <v>0</v>
      </c>
      <c r="J405">
        <v>0</v>
      </c>
      <c r="K405">
        <v>25</v>
      </c>
    </row>
    <row r="406" spans="1:11" x14ac:dyDescent="0.3">
      <c r="A406" t="s">
        <v>320</v>
      </c>
      <c r="B406" t="s">
        <v>540</v>
      </c>
      <c r="C406" t="s">
        <v>251</v>
      </c>
      <c r="E406">
        <v>27</v>
      </c>
      <c r="F406">
        <v>0</v>
      </c>
      <c r="G406">
        <v>4</v>
      </c>
      <c r="H406">
        <v>0</v>
      </c>
      <c r="I406">
        <v>0</v>
      </c>
      <c r="J406">
        <v>0</v>
      </c>
      <c r="K406">
        <v>27</v>
      </c>
    </row>
    <row r="407" spans="1:11" x14ac:dyDescent="0.3">
      <c r="A407" t="s">
        <v>328</v>
      </c>
      <c r="B407" t="s">
        <v>537</v>
      </c>
      <c r="C407" t="s">
        <v>247</v>
      </c>
      <c r="E407">
        <v>177</v>
      </c>
      <c r="F407">
        <v>0</v>
      </c>
      <c r="G407">
        <v>0</v>
      </c>
      <c r="H407">
        <v>15</v>
      </c>
      <c r="I407">
        <v>0</v>
      </c>
      <c r="J407">
        <v>0</v>
      </c>
      <c r="K407">
        <v>162</v>
      </c>
    </row>
    <row r="408" spans="1:11" x14ac:dyDescent="0.3">
      <c r="A408" t="s">
        <v>328</v>
      </c>
      <c r="B408" t="s">
        <v>537</v>
      </c>
      <c r="C408" t="s">
        <v>244</v>
      </c>
      <c r="E408">
        <v>245</v>
      </c>
      <c r="F408">
        <v>0</v>
      </c>
      <c r="G408">
        <v>0</v>
      </c>
      <c r="H408">
        <v>187</v>
      </c>
      <c r="I408">
        <v>0</v>
      </c>
      <c r="J408">
        <v>6</v>
      </c>
      <c r="K408">
        <v>52</v>
      </c>
    </row>
    <row r="409" spans="1:11" x14ac:dyDescent="0.3">
      <c r="A409" t="s">
        <v>325</v>
      </c>
      <c r="B409" t="s">
        <v>537</v>
      </c>
      <c r="C409" t="s">
        <v>304</v>
      </c>
      <c r="E409">
        <v>234</v>
      </c>
      <c r="F409">
        <v>0</v>
      </c>
      <c r="G409">
        <v>0</v>
      </c>
      <c r="H409">
        <v>68</v>
      </c>
      <c r="I409">
        <v>0</v>
      </c>
      <c r="J409">
        <v>2</v>
      </c>
      <c r="K409">
        <v>164</v>
      </c>
    </row>
    <row r="410" spans="1:11" x14ac:dyDescent="0.3">
      <c r="A410" t="s">
        <v>325</v>
      </c>
      <c r="B410" t="s">
        <v>537</v>
      </c>
      <c r="C410" t="s">
        <v>240</v>
      </c>
      <c r="E410">
        <v>50</v>
      </c>
      <c r="F410">
        <v>0</v>
      </c>
      <c r="G410">
        <v>0</v>
      </c>
      <c r="H410">
        <v>25</v>
      </c>
      <c r="I410">
        <v>0</v>
      </c>
      <c r="J410">
        <v>0</v>
      </c>
      <c r="K410">
        <v>25</v>
      </c>
    </row>
    <row r="411" spans="1:11" x14ac:dyDescent="0.3">
      <c r="A411" t="s">
        <v>312</v>
      </c>
      <c r="B411" t="s">
        <v>540</v>
      </c>
      <c r="C411" t="s">
        <v>275</v>
      </c>
      <c r="D411" t="s">
        <v>217</v>
      </c>
      <c r="E411">
        <v>38</v>
      </c>
      <c r="F411">
        <v>0</v>
      </c>
      <c r="G411">
        <v>7</v>
      </c>
      <c r="H411">
        <v>0</v>
      </c>
      <c r="I411">
        <v>0</v>
      </c>
      <c r="J411">
        <v>0</v>
      </c>
      <c r="K411">
        <v>38</v>
      </c>
    </row>
    <row r="412" spans="1:11" x14ac:dyDescent="0.3">
      <c r="A412" t="s">
        <v>213</v>
      </c>
      <c r="B412" t="s">
        <v>537</v>
      </c>
      <c r="C412" t="s">
        <v>240</v>
      </c>
      <c r="D412" t="s">
        <v>239</v>
      </c>
      <c r="E412">
        <v>45</v>
      </c>
      <c r="F412">
        <v>0</v>
      </c>
      <c r="G412">
        <v>0</v>
      </c>
      <c r="H412">
        <v>20</v>
      </c>
      <c r="I412">
        <v>0</v>
      </c>
      <c r="J412">
        <v>0</v>
      </c>
      <c r="K412">
        <v>25</v>
      </c>
    </row>
    <row r="413" spans="1:11" x14ac:dyDescent="0.3">
      <c r="A413" t="s">
        <v>320</v>
      </c>
      <c r="B413" t="s">
        <v>537</v>
      </c>
      <c r="C413" t="s">
        <v>240</v>
      </c>
      <c r="E413">
        <v>49</v>
      </c>
      <c r="F413">
        <v>0</v>
      </c>
      <c r="G413">
        <v>0</v>
      </c>
      <c r="H413">
        <v>25</v>
      </c>
      <c r="I413">
        <v>0</v>
      </c>
      <c r="J413">
        <v>0</v>
      </c>
      <c r="K413">
        <v>24</v>
      </c>
    </row>
    <row r="414" spans="1:11" x14ac:dyDescent="0.3">
      <c r="A414" t="s">
        <v>325</v>
      </c>
      <c r="B414" t="s">
        <v>540</v>
      </c>
      <c r="C414" t="s">
        <v>244</v>
      </c>
      <c r="E414">
        <v>18</v>
      </c>
      <c r="F414">
        <v>0</v>
      </c>
      <c r="G414">
        <v>4</v>
      </c>
      <c r="H414">
        <v>0</v>
      </c>
      <c r="I414">
        <v>0</v>
      </c>
      <c r="J414">
        <v>0</v>
      </c>
      <c r="K414">
        <v>18</v>
      </c>
    </row>
    <row r="415" spans="1:11" x14ac:dyDescent="0.3">
      <c r="A415" t="s">
        <v>320</v>
      </c>
      <c r="B415" t="s">
        <v>542</v>
      </c>
      <c r="C415" t="s">
        <v>232</v>
      </c>
      <c r="E415">
        <v>107</v>
      </c>
      <c r="F415">
        <v>0</v>
      </c>
      <c r="G415">
        <v>0</v>
      </c>
      <c r="H415">
        <v>0</v>
      </c>
      <c r="I415">
        <v>0</v>
      </c>
      <c r="J415">
        <v>0</v>
      </c>
      <c r="K415">
        <v>107</v>
      </c>
    </row>
    <row r="416" spans="1:11" x14ac:dyDescent="0.3">
      <c r="A416" t="s">
        <v>320</v>
      </c>
      <c r="B416" t="s">
        <v>537</v>
      </c>
      <c r="C416" t="s">
        <v>220</v>
      </c>
      <c r="E416">
        <v>313</v>
      </c>
      <c r="F416">
        <v>0</v>
      </c>
      <c r="G416">
        <v>0</v>
      </c>
      <c r="H416">
        <v>285</v>
      </c>
      <c r="I416">
        <v>0</v>
      </c>
      <c r="J416">
        <v>0</v>
      </c>
      <c r="K416">
        <v>28</v>
      </c>
    </row>
    <row r="417" spans="1:11" x14ac:dyDescent="0.3">
      <c r="A417" t="s">
        <v>412</v>
      </c>
      <c r="B417" t="s">
        <v>540</v>
      </c>
      <c r="C417" t="s">
        <v>285</v>
      </c>
      <c r="E417">
        <v>10</v>
      </c>
      <c r="F417">
        <v>0</v>
      </c>
      <c r="G417">
        <v>12</v>
      </c>
      <c r="H417">
        <v>0</v>
      </c>
      <c r="I417">
        <v>0</v>
      </c>
      <c r="J417">
        <v>0</v>
      </c>
      <c r="K417">
        <v>10</v>
      </c>
    </row>
    <row r="418" spans="1:11" x14ac:dyDescent="0.3">
      <c r="A418" t="s">
        <v>326</v>
      </c>
      <c r="B418" t="s">
        <v>537</v>
      </c>
      <c r="C418" t="s">
        <v>289</v>
      </c>
      <c r="E418">
        <v>198</v>
      </c>
      <c r="F418">
        <v>0</v>
      </c>
      <c r="G418">
        <v>0</v>
      </c>
      <c r="H418">
        <v>29</v>
      </c>
      <c r="I418">
        <v>0</v>
      </c>
      <c r="J418">
        <v>0</v>
      </c>
      <c r="K418">
        <v>169</v>
      </c>
    </row>
    <row r="419" spans="1:11" x14ac:dyDescent="0.3">
      <c r="A419" t="s">
        <v>320</v>
      </c>
      <c r="B419" t="s">
        <v>537</v>
      </c>
      <c r="C419" t="s">
        <v>253</v>
      </c>
      <c r="E419">
        <v>75</v>
      </c>
      <c r="F419">
        <v>0</v>
      </c>
      <c r="G419">
        <v>0</v>
      </c>
      <c r="H419">
        <v>0</v>
      </c>
      <c r="I419">
        <v>0</v>
      </c>
      <c r="J419">
        <v>0</v>
      </c>
      <c r="K419">
        <v>75</v>
      </c>
    </row>
    <row r="420" spans="1:11" x14ac:dyDescent="0.3">
      <c r="A420" t="s">
        <v>328</v>
      </c>
      <c r="B420" t="s">
        <v>540</v>
      </c>
      <c r="C420" t="s">
        <v>322</v>
      </c>
      <c r="E420">
        <v>20</v>
      </c>
      <c r="F420">
        <v>0</v>
      </c>
      <c r="G420">
        <v>9</v>
      </c>
      <c r="H420">
        <v>0</v>
      </c>
      <c r="I420">
        <v>0</v>
      </c>
      <c r="J420">
        <v>0</v>
      </c>
      <c r="K420">
        <v>20</v>
      </c>
    </row>
    <row r="421" spans="1:11" x14ac:dyDescent="0.3">
      <c r="A421" t="s">
        <v>320</v>
      </c>
      <c r="B421" t="s">
        <v>537</v>
      </c>
      <c r="C421" t="s">
        <v>267</v>
      </c>
      <c r="E421">
        <v>357</v>
      </c>
      <c r="F421">
        <v>0</v>
      </c>
      <c r="G421">
        <v>0</v>
      </c>
      <c r="H421">
        <v>103</v>
      </c>
      <c r="I421">
        <v>0</v>
      </c>
      <c r="J421">
        <v>0</v>
      </c>
      <c r="K421">
        <v>254</v>
      </c>
    </row>
    <row r="422" spans="1:11" x14ac:dyDescent="0.3">
      <c r="A422" t="s">
        <v>412</v>
      </c>
      <c r="B422" t="s">
        <v>537</v>
      </c>
      <c r="C422" t="s">
        <v>275</v>
      </c>
      <c r="E422">
        <v>572</v>
      </c>
      <c r="F422">
        <v>0</v>
      </c>
      <c r="G422">
        <v>0</v>
      </c>
      <c r="H422">
        <v>457</v>
      </c>
      <c r="I422">
        <v>0</v>
      </c>
      <c r="J422">
        <v>43</v>
      </c>
      <c r="K422">
        <v>72</v>
      </c>
    </row>
    <row r="423" spans="1:11" x14ac:dyDescent="0.3">
      <c r="A423" t="s">
        <v>328</v>
      </c>
      <c r="B423" t="s">
        <v>542</v>
      </c>
      <c r="C423" t="s">
        <v>232</v>
      </c>
      <c r="E423">
        <v>132</v>
      </c>
      <c r="F423">
        <v>0</v>
      </c>
      <c r="G423">
        <v>0</v>
      </c>
      <c r="H423">
        <v>0</v>
      </c>
      <c r="I423">
        <v>0</v>
      </c>
      <c r="J423">
        <v>0</v>
      </c>
      <c r="K423">
        <v>132</v>
      </c>
    </row>
    <row r="424" spans="1:11" x14ac:dyDescent="0.3">
      <c r="A424" t="s">
        <v>312</v>
      </c>
      <c r="B424" t="s">
        <v>537</v>
      </c>
      <c r="C424" t="s">
        <v>287</v>
      </c>
      <c r="D424" t="s">
        <v>231</v>
      </c>
      <c r="E424">
        <v>201</v>
      </c>
      <c r="F424">
        <v>0</v>
      </c>
      <c r="G424">
        <v>0</v>
      </c>
      <c r="H424">
        <v>104</v>
      </c>
      <c r="I424">
        <v>0</v>
      </c>
      <c r="J424">
        <v>22</v>
      </c>
      <c r="K424">
        <v>75</v>
      </c>
    </row>
    <row r="425" spans="1:11" x14ac:dyDescent="0.3">
      <c r="A425" t="s">
        <v>328</v>
      </c>
      <c r="B425" t="s">
        <v>537</v>
      </c>
      <c r="C425" t="s">
        <v>270</v>
      </c>
      <c r="E425">
        <v>448</v>
      </c>
      <c r="F425">
        <v>0</v>
      </c>
      <c r="G425">
        <v>0</v>
      </c>
      <c r="H425">
        <v>0</v>
      </c>
      <c r="I425">
        <v>0</v>
      </c>
      <c r="J425">
        <v>0</v>
      </c>
      <c r="K425">
        <v>448</v>
      </c>
    </row>
    <row r="426" spans="1:11" x14ac:dyDescent="0.3">
      <c r="A426" t="s">
        <v>412</v>
      </c>
      <c r="B426" t="s">
        <v>537</v>
      </c>
      <c r="C426" t="s">
        <v>263</v>
      </c>
      <c r="E426">
        <v>144</v>
      </c>
      <c r="F426">
        <v>0</v>
      </c>
      <c r="G426">
        <v>0</v>
      </c>
      <c r="H426">
        <v>60</v>
      </c>
      <c r="I426">
        <v>0</v>
      </c>
      <c r="J426">
        <v>0</v>
      </c>
      <c r="K426">
        <v>84</v>
      </c>
    </row>
    <row r="427" spans="1:11" x14ac:dyDescent="0.3">
      <c r="A427" t="s">
        <v>213</v>
      </c>
      <c r="B427" t="s">
        <v>537</v>
      </c>
      <c r="C427" t="s">
        <v>228</v>
      </c>
      <c r="D427" t="s">
        <v>227</v>
      </c>
      <c r="E427">
        <v>433</v>
      </c>
      <c r="F427">
        <v>0</v>
      </c>
      <c r="G427">
        <v>0</v>
      </c>
      <c r="H427">
        <v>176</v>
      </c>
      <c r="I427">
        <v>0</v>
      </c>
      <c r="J427">
        <v>203</v>
      </c>
      <c r="K427">
        <v>54</v>
      </c>
    </row>
    <row r="428" spans="1:11" x14ac:dyDescent="0.3">
      <c r="A428" t="s">
        <v>320</v>
      </c>
      <c r="B428" t="s">
        <v>537</v>
      </c>
      <c r="C428" t="s">
        <v>283</v>
      </c>
      <c r="E428">
        <v>121</v>
      </c>
      <c r="F428">
        <v>0</v>
      </c>
      <c r="G428">
        <v>0</v>
      </c>
      <c r="H428">
        <v>121</v>
      </c>
      <c r="I428">
        <v>0</v>
      </c>
      <c r="J428">
        <v>0</v>
      </c>
      <c r="K428">
        <v>0</v>
      </c>
    </row>
    <row r="429" spans="1:11" x14ac:dyDescent="0.3">
      <c r="A429" t="s">
        <v>412</v>
      </c>
      <c r="B429" t="s">
        <v>544</v>
      </c>
      <c r="C429" t="s">
        <v>545</v>
      </c>
      <c r="D429" t="s">
        <v>549</v>
      </c>
      <c r="E429">
        <v>1194</v>
      </c>
      <c r="F429">
        <v>177</v>
      </c>
      <c r="G429">
        <v>0</v>
      </c>
      <c r="H429">
        <v>0</v>
      </c>
      <c r="I429">
        <v>922</v>
      </c>
      <c r="J429">
        <v>0</v>
      </c>
      <c r="K429">
        <v>95</v>
      </c>
    </row>
    <row r="430" spans="1:11" x14ac:dyDescent="0.3">
      <c r="A430" t="s">
        <v>326</v>
      </c>
      <c r="B430" t="s">
        <v>537</v>
      </c>
      <c r="C430" t="s">
        <v>277</v>
      </c>
      <c r="E430">
        <v>98</v>
      </c>
      <c r="F430">
        <v>0</v>
      </c>
      <c r="G430">
        <v>0</v>
      </c>
      <c r="H430">
        <v>35</v>
      </c>
      <c r="I430">
        <v>0</v>
      </c>
      <c r="J430">
        <v>0</v>
      </c>
      <c r="K430">
        <v>63</v>
      </c>
    </row>
    <row r="431" spans="1:11" x14ac:dyDescent="0.3">
      <c r="A431" t="s">
        <v>328</v>
      </c>
      <c r="B431" t="s">
        <v>537</v>
      </c>
      <c r="C431" t="s">
        <v>309</v>
      </c>
      <c r="E431">
        <v>99</v>
      </c>
      <c r="F431">
        <v>0</v>
      </c>
      <c r="G431">
        <v>0</v>
      </c>
      <c r="H431">
        <v>24</v>
      </c>
      <c r="I431">
        <v>0</v>
      </c>
      <c r="J431">
        <v>0</v>
      </c>
      <c r="K431">
        <v>75</v>
      </c>
    </row>
    <row r="432" spans="1:11" x14ac:dyDescent="0.3">
      <c r="A432" t="s">
        <v>412</v>
      </c>
      <c r="B432" t="s">
        <v>537</v>
      </c>
      <c r="C432" t="s">
        <v>275</v>
      </c>
      <c r="E432">
        <v>11</v>
      </c>
      <c r="F432">
        <v>0</v>
      </c>
      <c r="G432">
        <v>0</v>
      </c>
      <c r="H432">
        <v>0</v>
      </c>
      <c r="I432">
        <v>0</v>
      </c>
      <c r="J432">
        <v>0</v>
      </c>
      <c r="K432">
        <v>11</v>
      </c>
    </row>
    <row r="433" spans="1:11" x14ac:dyDescent="0.3">
      <c r="A433" t="s">
        <v>213</v>
      </c>
      <c r="B433" t="s">
        <v>537</v>
      </c>
      <c r="C433" t="s">
        <v>270</v>
      </c>
      <c r="D433" t="s">
        <v>269</v>
      </c>
      <c r="E433">
        <v>515</v>
      </c>
      <c r="F433">
        <v>0</v>
      </c>
      <c r="G433">
        <v>0</v>
      </c>
      <c r="H433">
        <v>0</v>
      </c>
      <c r="I433">
        <v>0</v>
      </c>
      <c r="J433">
        <v>0</v>
      </c>
      <c r="K433">
        <v>515</v>
      </c>
    </row>
    <row r="434" spans="1:11" x14ac:dyDescent="0.3">
      <c r="A434" t="s">
        <v>312</v>
      </c>
      <c r="B434" t="s">
        <v>537</v>
      </c>
      <c r="C434" t="s">
        <v>263</v>
      </c>
      <c r="D434" t="s">
        <v>237</v>
      </c>
      <c r="E434">
        <v>145</v>
      </c>
      <c r="F434">
        <v>0</v>
      </c>
      <c r="G434">
        <v>0</v>
      </c>
      <c r="H434">
        <v>57</v>
      </c>
      <c r="I434">
        <v>0</v>
      </c>
      <c r="J434">
        <v>0</v>
      </c>
      <c r="K434">
        <v>88</v>
      </c>
    </row>
    <row r="435" spans="1:11" x14ac:dyDescent="0.3">
      <c r="A435" t="s">
        <v>312</v>
      </c>
      <c r="B435" t="s">
        <v>537</v>
      </c>
      <c r="C435" t="s">
        <v>311</v>
      </c>
      <c r="D435" t="s">
        <v>237</v>
      </c>
      <c r="E435">
        <v>123</v>
      </c>
      <c r="F435">
        <v>0</v>
      </c>
      <c r="G435">
        <v>0</v>
      </c>
      <c r="H435">
        <v>65</v>
      </c>
      <c r="I435">
        <v>0</v>
      </c>
      <c r="J435">
        <v>0</v>
      </c>
      <c r="K435">
        <v>58</v>
      </c>
    </row>
    <row r="436" spans="1:11" x14ac:dyDescent="0.3">
      <c r="A436" t="s">
        <v>213</v>
      </c>
      <c r="B436" t="s">
        <v>537</v>
      </c>
      <c r="C436" t="s">
        <v>249</v>
      </c>
      <c r="D436" t="s">
        <v>248</v>
      </c>
      <c r="E436">
        <v>124</v>
      </c>
      <c r="F436">
        <v>0</v>
      </c>
      <c r="G436">
        <v>0</v>
      </c>
      <c r="H436">
        <v>77</v>
      </c>
      <c r="I436">
        <v>0</v>
      </c>
      <c r="J436">
        <v>0</v>
      </c>
      <c r="K436">
        <v>47</v>
      </c>
    </row>
    <row r="437" spans="1:11" x14ac:dyDescent="0.3">
      <c r="A437" t="s">
        <v>213</v>
      </c>
      <c r="B437" t="s">
        <v>540</v>
      </c>
      <c r="C437" t="s">
        <v>251</v>
      </c>
      <c r="D437" t="s">
        <v>250</v>
      </c>
      <c r="E437">
        <v>25</v>
      </c>
      <c r="F437">
        <v>0</v>
      </c>
      <c r="G437">
        <v>1</v>
      </c>
      <c r="H437">
        <v>0</v>
      </c>
      <c r="I437">
        <v>0</v>
      </c>
      <c r="J437">
        <v>0</v>
      </c>
      <c r="K437">
        <v>25</v>
      </c>
    </row>
    <row r="438" spans="1:11" x14ac:dyDescent="0.3">
      <c r="A438" t="s">
        <v>312</v>
      </c>
      <c r="B438" t="s">
        <v>537</v>
      </c>
      <c r="C438" t="s">
        <v>220</v>
      </c>
      <c r="D438" t="s">
        <v>217</v>
      </c>
      <c r="E438">
        <v>317</v>
      </c>
      <c r="F438">
        <v>0</v>
      </c>
      <c r="G438">
        <v>0</v>
      </c>
      <c r="H438">
        <v>285</v>
      </c>
      <c r="I438">
        <v>0</v>
      </c>
      <c r="J438">
        <v>0</v>
      </c>
      <c r="K438">
        <v>32</v>
      </c>
    </row>
    <row r="439" spans="1:11" x14ac:dyDescent="0.3">
      <c r="A439" t="s">
        <v>320</v>
      </c>
      <c r="B439" t="s">
        <v>537</v>
      </c>
      <c r="C439" t="s">
        <v>304</v>
      </c>
      <c r="E439">
        <v>228</v>
      </c>
      <c r="F439">
        <v>0</v>
      </c>
      <c r="G439">
        <v>0</v>
      </c>
      <c r="H439">
        <v>71</v>
      </c>
      <c r="I439">
        <v>0</v>
      </c>
      <c r="J439">
        <v>2</v>
      </c>
      <c r="K439">
        <v>155</v>
      </c>
    </row>
    <row r="440" spans="1:11" x14ac:dyDescent="0.3">
      <c r="A440" t="s">
        <v>325</v>
      </c>
      <c r="B440" t="s">
        <v>537</v>
      </c>
      <c r="C440" t="s">
        <v>292</v>
      </c>
      <c r="E440">
        <v>116</v>
      </c>
      <c r="F440">
        <v>0</v>
      </c>
      <c r="G440">
        <v>0</v>
      </c>
      <c r="H440">
        <v>115</v>
      </c>
      <c r="I440">
        <v>0</v>
      </c>
      <c r="J440">
        <v>0</v>
      </c>
      <c r="K440">
        <v>1</v>
      </c>
    </row>
    <row r="441" spans="1:11" x14ac:dyDescent="0.3">
      <c r="A441" t="s">
        <v>318</v>
      </c>
      <c r="B441" t="s">
        <v>540</v>
      </c>
      <c r="C441" t="s">
        <v>324</v>
      </c>
      <c r="D441" t="s">
        <v>231</v>
      </c>
      <c r="E441">
        <v>16</v>
      </c>
      <c r="F441">
        <v>0</v>
      </c>
      <c r="G441">
        <v>2</v>
      </c>
      <c r="H441">
        <v>0</v>
      </c>
      <c r="I441">
        <v>0</v>
      </c>
      <c r="J441">
        <v>0</v>
      </c>
      <c r="K441">
        <v>16</v>
      </c>
    </row>
    <row r="442" spans="1:11" x14ac:dyDescent="0.3">
      <c r="A442" t="s">
        <v>312</v>
      </c>
      <c r="B442" t="s">
        <v>537</v>
      </c>
      <c r="C442" t="s">
        <v>215</v>
      </c>
      <c r="D442" t="s">
        <v>217</v>
      </c>
      <c r="E442">
        <v>163</v>
      </c>
      <c r="F442">
        <v>0</v>
      </c>
      <c r="G442">
        <v>0</v>
      </c>
      <c r="H442">
        <v>8</v>
      </c>
      <c r="I442">
        <v>0</v>
      </c>
      <c r="J442">
        <v>0</v>
      </c>
      <c r="K442">
        <v>155</v>
      </c>
    </row>
    <row r="443" spans="1:11" x14ac:dyDescent="0.3">
      <c r="A443" t="s">
        <v>342</v>
      </c>
      <c r="B443" t="s">
        <v>540</v>
      </c>
      <c r="C443" t="s">
        <v>242</v>
      </c>
      <c r="D443" t="s">
        <v>241</v>
      </c>
      <c r="E443">
        <v>18</v>
      </c>
      <c r="K443">
        <v>18</v>
      </c>
    </row>
    <row r="444" spans="1:11" x14ac:dyDescent="0.3">
      <c r="A444" t="s">
        <v>365</v>
      </c>
      <c r="B444" t="s">
        <v>537</v>
      </c>
      <c r="C444" t="s">
        <v>255</v>
      </c>
      <c r="D444" t="s">
        <v>254</v>
      </c>
      <c r="E444">
        <v>88</v>
      </c>
      <c r="H444">
        <v>60</v>
      </c>
      <c r="J444">
        <v>0</v>
      </c>
      <c r="K444">
        <v>28</v>
      </c>
    </row>
    <row r="445" spans="1:11" x14ac:dyDescent="0.3">
      <c r="A445" t="s">
        <v>341</v>
      </c>
      <c r="B445" t="s">
        <v>540</v>
      </c>
      <c r="C445" t="s">
        <v>226</v>
      </c>
      <c r="D445" t="s">
        <v>225</v>
      </c>
      <c r="E445">
        <v>28</v>
      </c>
      <c r="K445">
        <v>28</v>
      </c>
    </row>
    <row r="446" spans="1:11" x14ac:dyDescent="0.3">
      <c r="A446" t="s">
        <v>366</v>
      </c>
      <c r="B446" t="s">
        <v>537</v>
      </c>
      <c r="C446" t="s">
        <v>302</v>
      </c>
      <c r="D446" t="s">
        <v>301</v>
      </c>
      <c r="E446">
        <v>108</v>
      </c>
      <c r="H446">
        <v>53</v>
      </c>
      <c r="J446">
        <v>0</v>
      </c>
      <c r="K446">
        <v>55</v>
      </c>
    </row>
    <row r="447" spans="1:11" x14ac:dyDescent="0.3">
      <c r="A447" t="s">
        <v>342</v>
      </c>
      <c r="B447" t="s">
        <v>537</v>
      </c>
      <c r="C447" t="s">
        <v>273</v>
      </c>
      <c r="D447" t="s">
        <v>272</v>
      </c>
      <c r="E447">
        <v>670</v>
      </c>
      <c r="H447">
        <v>538</v>
      </c>
      <c r="J447">
        <v>64</v>
      </c>
      <c r="K447">
        <v>68</v>
      </c>
    </row>
    <row r="448" spans="1:11" x14ac:dyDescent="0.3">
      <c r="A448" t="s">
        <v>364</v>
      </c>
      <c r="B448" t="s">
        <v>540</v>
      </c>
      <c r="C448" t="s">
        <v>222</v>
      </c>
      <c r="D448" t="s">
        <v>221</v>
      </c>
      <c r="E448">
        <v>22</v>
      </c>
      <c r="K448">
        <v>22</v>
      </c>
    </row>
    <row r="449" spans="1:11" x14ac:dyDescent="0.3">
      <c r="A449" t="s">
        <v>342</v>
      </c>
      <c r="B449" t="s">
        <v>537</v>
      </c>
      <c r="C449" t="s">
        <v>287</v>
      </c>
      <c r="D449" t="s">
        <v>286</v>
      </c>
      <c r="E449">
        <v>205</v>
      </c>
      <c r="H449">
        <v>106</v>
      </c>
      <c r="J449">
        <v>23</v>
      </c>
      <c r="K449">
        <v>76</v>
      </c>
    </row>
    <row r="450" spans="1:11" x14ac:dyDescent="0.3">
      <c r="A450" t="s">
        <v>364</v>
      </c>
      <c r="B450" t="s">
        <v>537</v>
      </c>
      <c r="C450" t="s">
        <v>283</v>
      </c>
      <c r="D450" t="s">
        <v>282</v>
      </c>
      <c r="E450">
        <v>132</v>
      </c>
      <c r="H450">
        <v>132</v>
      </c>
      <c r="J450">
        <v>0</v>
      </c>
      <c r="K450">
        <v>0</v>
      </c>
    </row>
    <row r="451" spans="1:11" x14ac:dyDescent="0.3">
      <c r="A451" t="s">
        <v>342</v>
      </c>
      <c r="B451" t="s">
        <v>537</v>
      </c>
      <c r="C451" t="s">
        <v>244</v>
      </c>
      <c r="D451" t="s">
        <v>243</v>
      </c>
      <c r="E451">
        <v>247</v>
      </c>
      <c r="H451">
        <v>189</v>
      </c>
      <c r="J451">
        <v>4</v>
      </c>
      <c r="K451">
        <v>54</v>
      </c>
    </row>
    <row r="452" spans="1:11" x14ac:dyDescent="0.3">
      <c r="A452" t="s">
        <v>364</v>
      </c>
      <c r="B452" t="s">
        <v>537</v>
      </c>
      <c r="C452" t="s">
        <v>307</v>
      </c>
      <c r="D452" t="s">
        <v>306</v>
      </c>
      <c r="E452">
        <v>136</v>
      </c>
      <c r="H452">
        <v>74</v>
      </c>
      <c r="J452">
        <v>0</v>
      </c>
      <c r="K452">
        <v>62</v>
      </c>
    </row>
    <row r="453" spans="1:11" x14ac:dyDescent="0.3">
      <c r="A453" t="s">
        <v>364</v>
      </c>
      <c r="B453" t="s">
        <v>537</v>
      </c>
      <c r="C453" t="s">
        <v>215</v>
      </c>
      <c r="D453" t="s">
        <v>214</v>
      </c>
      <c r="E453">
        <v>182</v>
      </c>
      <c r="H453">
        <v>8</v>
      </c>
      <c r="J453">
        <v>0</v>
      </c>
      <c r="K453">
        <v>174</v>
      </c>
    </row>
    <row r="454" spans="1:11" x14ac:dyDescent="0.3">
      <c r="A454" t="s">
        <v>364</v>
      </c>
      <c r="B454" t="s">
        <v>537</v>
      </c>
      <c r="C454" t="s">
        <v>267</v>
      </c>
      <c r="D454" t="s">
        <v>266</v>
      </c>
      <c r="E454">
        <v>400</v>
      </c>
      <c r="H454">
        <v>111</v>
      </c>
      <c r="J454">
        <v>0</v>
      </c>
      <c r="K454">
        <v>289</v>
      </c>
    </row>
    <row r="455" spans="1:11" x14ac:dyDescent="0.3">
      <c r="A455" t="s">
        <v>342</v>
      </c>
      <c r="B455" t="s">
        <v>540</v>
      </c>
      <c r="C455" t="s">
        <v>265</v>
      </c>
      <c r="D455" t="s">
        <v>264</v>
      </c>
      <c r="E455">
        <v>19</v>
      </c>
      <c r="K455">
        <v>19</v>
      </c>
    </row>
    <row r="456" spans="1:11" x14ac:dyDescent="0.3">
      <c r="A456" t="s">
        <v>366</v>
      </c>
      <c r="B456" t="s">
        <v>540</v>
      </c>
      <c r="C456" t="s">
        <v>265</v>
      </c>
      <c r="D456" t="s">
        <v>264</v>
      </c>
      <c r="E456">
        <v>16</v>
      </c>
      <c r="K456">
        <v>16</v>
      </c>
    </row>
    <row r="457" spans="1:11" x14ac:dyDescent="0.3">
      <c r="A457" t="s">
        <v>341</v>
      </c>
      <c r="B457" t="s">
        <v>540</v>
      </c>
      <c r="C457" t="s">
        <v>230</v>
      </c>
      <c r="D457" t="s">
        <v>229</v>
      </c>
      <c r="E457">
        <v>26</v>
      </c>
      <c r="K457">
        <v>26</v>
      </c>
    </row>
    <row r="458" spans="1:11" x14ac:dyDescent="0.3">
      <c r="A458" t="s">
        <v>341</v>
      </c>
      <c r="B458" t="s">
        <v>542</v>
      </c>
      <c r="C458" t="s">
        <v>218</v>
      </c>
      <c r="D458" t="s">
        <v>217</v>
      </c>
      <c r="E458">
        <v>180</v>
      </c>
      <c r="I458">
        <v>135</v>
      </c>
      <c r="K458">
        <v>45</v>
      </c>
    </row>
    <row r="459" spans="1:11" x14ac:dyDescent="0.3">
      <c r="A459" t="s">
        <v>366</v>
      </c>
      <c r="B459" t="s">
        <v>537</v>
      </c>
      <c r="C459" t="s">
        <v>267</v>
      </c>
      <c r="D459" t="s">
        <v>266</v>
      </c>
      <c r="E459">
        <v>390</v>
      </c>
      <c r="H459">
        <v>112</v>
      </c>
      <c r="J459">
        <v>0</v>
      </c>
      <c r="K459">
        <v>278</v>
      </c>
    </row>
    <row r="460" spans="1:11" x14ac:dyDescent="0.3">
      <c r="A460" t="s">
        <v>365</v>
      </c>
      <c r="B460" t="s">
        <v>540</v>
      </c>
      <c r="C460" t="s">
        <v>215</v>
      </c>
      <c r="D460" t="s">
        <v>216</v>
      </c>
      <c r="E460">
        <v>18</v>
      </c>
      <c r="K460">
        <v>18</v>
      </c>
    </row>
    <row r="461" spans="1:11" x14ac:dyDescent="0.3">
      <c r="A461" t="s">
        <v>365</v>
      </c>
      <c r="B461" t="s">
        <v>540</v>
      </c>
      <c r="C461" t="s">
        <v>236</v>
      </c>
      <c r="D461" t="s">
        <v>235</v>
      </c>
      <c r="E461">
        <v>24</v>
      </c>
      <c r="K461">
        <v>24</v>
      </c>
    </row>
    <row r="462" spans="1:11" x14ac:dyDescent="0.3">
      <c r="A462" t="s">
        <v>342</v>
      </c>
      <c r="B462" t="s">
        <v>540</v>
      </c>
      <c r="C462" t="s">
        <v>222</v>
      </c>
      <c r="D462" t="s">
        <v>221</v>
      </c>
      <c r="E462">
        <v>25</v>
      </c>
      <c r="K462">
        <v>25</v>
      </c>
    </row>
    <row r="463" spans="1:11" x14ac:dyDescent="0.3">
      <c r="A463" t="s">
        <v>342</v>
      </c>
      <c r="B463" t="s">
        <v>540</v>
      </c>
      <c r="C463" t="s">
        <v>226</v>
      </c>
      <c r="D463" t="s">
        <v>225</v>
      </c>
      <c r="E463">
        <v>28</v>
      </c>
      <c r="K463">
        <v>28</v>
      </c>
    </row>
    <row r="464" spans="1:11" x14ac:dyDescent="0.3">
      <c r="A464" t="s">
        <v>342</v>
      </c>
      <c r="B464" t="s">
        <v>537</v>
      </c>
      <c r="C464" t="s">
        <v>300</v>
      </c>
      <c r="D464" t="s">
        <v>299</v>
      </c>
      <c r="E464">
        <v>118</v>
      </c>
      <c r="H464">
        <v>118</v>
      </c>
    </row>
    <row r="465" spans="1:11" x14ac:dyDescent="0.3">
      <c r="A465" t="s">
        <v>342</v>
      </c>
      <c r="B465" t="s">
        <v>540</v>
      </c>
      <c r="C465" t="s">
        <v>230</v>
      </c>
      <c r="D465" t="s">
        <v>229</v>
      </c>
      <c r="E465">
        <v>26</v>
      </c>
      <c r="K465">
        <v>26</v>
      </c>
    </row>
    <row r="466" spans="1:11" x14ac:dyDescent="0.3">
      <c r="A466" t="s">
        <v>342</v>
      </c>
      <c r="B466" t="s">
        <v>537</v>
      </c>
      <c r="C466" t="s">
        <v>283</v>
      </c>
      <c r="D466" t="s">
        <v>282</v>
      </c>
      <c r="E466">
        <v>131</v>
      </c>
      <c r="H466">
        <v>131</v>
      </c>
    </row>
    <row r="467" spans="1:11" x14ac:dyDescent="0.3">
      <c r="A467" t="s">
        <v>341</v>
      </c>
      <c r="B467" t="s">
        <v>542</v>
      </c>
      <c r="C467" t="s">
        <v>238</v>
      </c>
      <c r="D467" t="s">
        <v>237</v>
      </c>
      <c r="E467">
        <v>202</v>
      </c>
      <c r="I467">
        <v>164</v>
      </c>
      <c r="K467">
        <v>38</v>
      </c>
    </row>
    <row r="468" spans="1:11" x14ac:dyDescent="0.3">
      <c r="A468" t="s">
        <v>365</v>
      </c>
      <c r="B468" t="s">
        <v>537</v>
      </c>
      <c r="C468" t="s">
        <v>279</v>
      </c>
      <c r="D468" t="s">
        <v>278</v>
      </c>
      <c r="E468">
        <v>49</v>
      </c>
      <c r="H468">
        <v>14</v>
      </c>
      <c r="J468">
        <v>0</v>
      </c>
      <c r="K468">
        <v>35</v>
      </c>
    </row>
    <row r="469" spans="1:11" x14ac:dyDescent="0.3">
      <c r="A469" t="s">
        <v>341</v>
      </c>
      <c r="B469" t="s">
        <v>544</v>
      </c>
      <c r="C469" t="s">
        <v>545</v>
      </c>
      <c r="D469" t="s">
        <v>549</v>
      </c>
      <c r="E469">
        <v>614</v>
      </c>
      <c r="F469">
        <v>165</v>
      </c>
      <c r="I469">
        <v>267</v>
      </c>
      <c r="K469">
        <v>182</v>
      </c>
    </row>
    <row r="470" spans="1:11" x14ac:dyDescent="0.3">
      <c r="A470" t="s">
        <v>328</v>
      </c>
      <c r="B470" t="s">
        <v>540</v>
      </c>
      <c r="C470" t="s">
        <v>230</v>
      </c>
      <c r="E470">
        <v>20</v>
      </c>
      <c r="F470">
        <v>0</v>
      </c>
      <c r="G470">
        <v>6</v>
      </c>
      <c r="H470">
        <v>0</v>
      </c>
      <c r="I470">
        <v>0</v>
      </c>
      <c r="J470">
        <v>0</v>
      </c>
      <c r="K470">
        <v>20</v>
      </c>
    </row>
    <row r="471" spans="1:11" x14ac:dyDescent="0.3">
      <c r="A471" t="s">
        <v>213</v>
      </c>
      <c r="B471" t="s">
        <v>540</v>
      </c>
      <c r="C471" t="s">
        <v>226</v>
      </c>
      <c r="D471" t="s">
        <v>225</v>
      </c>
      <c r="E471">
        <v>29</v>
      </c>
      <c r="F471">
        <v>0</v>
      </c>
      <c r="G471">
        <v>1</v>
      </c>
      <c r="H471">
        <v>0</v>
      </c>
      <c r="I471">
        <v>0</v>
      </c>
      <c r="J471">
        <v>0</v>
      </c>
      <c r="K471">
        <v>29</v>
      </c>
    </row>
    <row r="472" spans="1:11" x14ac:dyDescent="0.3">
      <c r="A472" t="s">
        <v>318</v>
      </c>
      <c r="B472" t="s">
        <v>540</v>
      </c>
      <c r="C472" t="s">
        <v>222</v>
      </c>
      <c r="D472" t="s">
        <v>217</v>
      </c>
      <c r="E472">
        <v>26</v>
      </c>
      <c r="F472">
        <v>0</v>
      </c>
      <c r="G472">
        <v>7</v>
      </c>
      <c r="H472">
        <v>0</v>
      </c>
      <c r="I472">
        <v>0</v>
      </c>
      <c r="J472">
        <v>0</v>
      </c>
      <c r="K472">
        <v>26</v>
      </c>
    </row>
    <row r="473" spans="1:11" x14ac:dyDescent="0.3">
      <c r="A473" t="s">
        <v>312</v>
      </c>
      <c r="B473" t="s">
        <v>540</v>
      </c>
      <c r="C473" t="s">
        <v>230</v>
      </c>
      <c r="D473" t="s">
        <v>231</v>
      </c>
      <c r="E473">
        <v>28</v>
      </c>
      <c r="F473">
        <v>0</v>
      </c>
      <c r="G473">
        <v>3</v>
      </c>
      <c r="H473">
        <v>0</v>
      </c>
      <c r="I473">
        <v>0</v>
      </c>
      <c r="J473">
        <v>0</v>
      </c>
      <c r="K473">
        <v>28</v>
      </c>
    </row>
    <row r="474" spans="1:11" x14ac:dyDescent="0.3">
      <c r="A474" t="s">
        <v>328</v>
      </c>
      <c r="B474" t="s">
        <v>540</v>
      </c>
      <c r="C474" t="s">
        <v>285</v>
      </c>
      <c r="E474">
        <v>11</v>
      </c>
      <c r="F474">
        <v>0</v>
      </c>
      <c r="G474">
        <v>0</v>
      </c>
      <c r="H474">
        <v>0</v>
      </c>
      <c r="I474">
        <v>0</v>
      </c>
      <c r="J474">
        <v>0</v>
      </c>
      <c r="K474">
        <v>11</v>
      </c>
    </row>
    <row r="475" spans="1:11" x14ac:dyDescent="0.3">
      <c r="A475" t="s">
        <v>325</v>
      </c>
      <c r="B475" t="s">
        <v>537</v>
      </c>
      <c r="C475" t="s">
        <v>224</v>
      </c>
      <c r="E475">
        <v>120</v>
      </c>
      <c r="F475">
        <v>0</v>
      </c>
      <c r="G475">
        <v>0</v>
      </c>
      <c r="H475">
        <v>96</v>
      </c>
      <c r="I475">
        <v>0</v>
      </c>
      <c r="J475">
        <v>0</v>
      </c>
      <c r="K475">
        <v>24</v>
      </c>
    </row>
    <row r="476" spans="1:11" x14ac:dyDescent="0.3">
      <c r="A476" t="s">
        <v>325</v>
      </c>
      <c r="B476" t="s">
        <v>537</v>
      </c>
      <c r="C476" t="s">
        <v>281</v>
      </c>
      <c r="E476">
        <v>141</v>
      </c>
      <c r="F476">
        <v>0</v>
      </c>
      <c r="G476">
        <v>0</v>
      </c>
      <c r="H476">
        <v>109</v>
      </c>
      <c r="I476">
        <v>0</v>
      </c>
      <c r="J476">
        <v>3</v>
      </c>
      <c r="K476">
        <v>29</v>
      </c>
    </row>
    <row r="477" spans="1:11" x14ac:dyDescent="0.3">
      <c r="A477" t="s">
        <v>320</v>
      </c>
      <c r="B477" t="s">
        <v>537</v>
      </c>
      <c r="C477" t="s">
        <v>279</v>
      </c>
      <c r="E477">
        <v>37</v>
      </c>
      <c r="F477">
        <v>0</v>
      </c>
      <c r="G477">
        <v>0</v>
      </c>
      <c r="H477">
        <v>11</v>
      </c>
      <c r="I477">
        <v>0</v>
      </c>
      <c r="J477">
        <v>0</v>
      </c>
      <c r="K477">
        <v>26</v>
      </c>
    </row>
    <row r="478" spans="1:11" x14ac:dyDescent="0.3">
      <c r="A478" t="s">
        <v>328</v>
      </c>
      <c r="B478" t="s">
        <v>540</v>
      </c>
      <c r="C478" t="s">
        <v>285</v>
      </c>
      <c r="E478">
        <v>0</v>
      </c>
      <c r="F478">
        <v>0</v>
      </c>
      <c r="G478">
        <v>9</v>
      </c>
      <c r="H478">
        <v>0</v>
      </c>
      <c r="I478">
        <v>0</v>
      </c>
      <c r="J478">
        <v>0</v>
      </c>
      <c r="K478">
        <v>0</v>
      </c>
    </row>
    <row r="479" spans="1:11" x14ac:dyDescent="0.3">
      <c r="A479" t="s">
        <v>325</v>
      </c>
      <c r="B479" t="s">
        <v>537</v>
      </c>
      <c r="C479" t="s">
        <v>267</v>
      </c>
      <c r="E479">
        <v>344</v>
      </c>
      <c r="F479">
        <v>0</v>
      </c>
      <c r="G479">
        <v>0</v>
      </c>
      <c r="H479">
        <v>105</v>
      </c>
      <c r="I479">
        <v>0</v>
      </c>
      <c r="J479">
        <v>0</v>
      </c>
      <c r="K479">
        <v>239</v>
      </c>
    </row>
    <row r="480" spans="1:11" x14ac:dyDescent="0.3">
      <c r="A480" t="s">
        <v>320</v>
      </c>
      <c r="B480" t="s">
        <v>537</v>
      </c>
      <c r="C480" t="s">
        <v>259</v>
      </c>
      <c r="E480">
        <v>47</v>
      </c>
      <c r="F480">
        <v>0</v>
      </c>
      <c r="G480">
        <v>0</v>
      </c>
      <c r="H480">
        <v>0</v>
      </c>
      <c r="I480">
        <v>0</v>
      </c>
      <c r="J480">
        <v>0</v>
      </c>
      <c r="K480">
        <v>47</v>
      </c>
    </row>
    <row r="481" spans="1:11" x14ac:dyDescent="0.3">
      <c r="A481" t="s">
        <v>213</v>
      </c>
      <c r="B481" t="s">
        <v>537</v>
      </c>
      <c r="C481" t="s">
        <v>279</v>
      </c>
      <c r="D481" t="s">
        <v>278</v>
      </c>
      <c r="E481">
        <v>39</v>
      </c>
      <c r="F481">
        <v>0</v>
      </c>
      <c r="G481">
        <v>0</v>
      </c>
      <c r="H481">
        <v>13</v>
      </c>
      <c r="I481">
        <v>0</v>
      </c>
      <c r="J481">
        <v>0</v>
      </c>
      <c r="K481">
        <v>26</v>
      </c>
    </row>
    <row r="482" spans="1:11" x14ac:dyDescent="0.3">
      <c r="A482" t="s">
        <v>213</v>
      </c>
      <c r="B482" t="s">
        <v>540</v>
      </c>
      <c r="C482" t="s">
        <v>215</v>
      </c>
      <c r="D482" t="s">
        <v>216</v>
      </c>
      <c r="E482">
        <v>16</v>
      </c>
      <c r="F482">
        <v>0</v>
      </c>
      <c r="G482">
        <v>0</v>
      </c>
      <c r="H482">
        <v>0</v>
      </c>
      <c r="I482">
        <v>0</v>
      </c>
      <c r="J482">
        <v>0</v>
      </c>
      <c r="K482">
        <v>16</v>
      </c>
    </row>
    <row r="483" spans="1:11" x14ac:dyDescent="0.3">
      <c r="A483" t="s">
        <v>326</v>
      </c>
      <c r="B483" t="s">
        <v>540</v>
      </c>
      <c r="C483" t="s">
        <v>270</v>
      </c>
      <c r="E483">
        <v>23</v>
      </c>
      <c r="F483">
        <v>0</v>
      </c>
      <c r="G483">
        <v>0</v>
      </c>
      <c r="H483">
        <v>0</v>
      </c>
      <c r="I483">
        <v>0</v>
      </c>
      <c r="J483">
        <v>0</v>
      </c>
      <c r="K483">
        <v>23</v>
      </c>
    </row>
    <row r="484" spans="1:11" x14ac:dyDescent="0.3">
      <c r="A484" t="s">
        <v>213</v>
      </c>
      <c r="B484" t="s">
        <v>537</v>
      </c>
      <c r="C484" t="s">
        <v>247</v>
      </c>
      <c r="D484" t="s">
        <v>246</v>
      </c>
      <c r="E484">
        <v>189</v>
      </c>
      <c r="F484">
        <v>0</v>
      </c>
      <c r="G484">
        <v>0</v>
      </c>
      <c r="H484">
        <v>12</v>
      </c>
      <c r="I484">
        <v>0</v>
      </c>
      <c r="J484">
        <v>0</v>
      </c>
      <c r="K484">
        <v>177</v>
      </c>
    </row>
    <row r="485" spans="1:11" x14ac:dyDescent="0.3">
      <c r="A485" t="s">
        <v>213</v>
      </c>
      <c r="B485" t="s">
        <v>544</v>
      </c>
      <c r="C485" t="s">
        <v>545</v>
      </c>
      <c r="D485" t="s">
        <v>549</v>
      </c>
      <c r="E485">
        <v>1148</v>
      </c>
      <c r="F485">
        <v>207</v>
      </c>
      <c r="G485">
        <v>0</v>
      </c>
      <c r="H485">
        <v>0</v>
      </c>
      <c r="I485">
        <v>792</v>
      </c>
      <c r="J485">
        <v>0</v>
      </c>
      <c r="K485">
        <v>149</v>
      </c>
    </row>
    <row r="486" spans="1:11" x14ac:dyDescent="0.3">
      <c r="A486" t="s">
        <v>325</v>
      </c>
      <c r="B486" t="s">
        <v>537</v>
      </c>
      <c r="C486" t="s">
        <v>296</v>
      </c>
      <c r="E486">
        <v>109</v>
      </c>
      <c r="F486">
        <v>0</v>
      </c>
      <c r="G486">
        <v>0</v>
      </c>
      <c r="H486">
        <v>14</v>
      </c>
      <c r="I486">
        <v>0</v>
      </c>
      <c r="J486">
        <v>0</v>
      </c>
      <c r="K486">
        <v>95</v>
      </c>
    </row>
    <row r="487" spans="1:11" x14ac:dyDescent="0.3">
      <c r="A487" t="s">
        <v>412</v>
      </c>
      <c r="B487" t="s">
        <v>540</v>
      </c>
      <c r="C487" t="s">
        <v>257</v>
      </c>
      <c r="E487">
        <v>26</v>
      </c>
      <c r="F487">
        <v>0</v>
      </c>
      <c r="G487">
        <v>4</v>
      </c>
      <c r="H487">
        <v>0</v>
      </c>
      <c r="I487">
        <v>0</v>
      </c>
      <c r="J487">
        <v>0</v>
      </c>
      <c r="K487">
        <v>26</v>
      </c>
    </row>
    <row r="488" spans="1:11" x14ac:dyDescent="0.3">
      <c r="A488" t="s">
        <v>328</v>
      </c>
      <c r="B488" t="s">
        <v>540</v>
      </c>
      <c r="C488" t="s">
        <v>226</v>
      </c>
      <c r="E488">
        <v>25</v>
      </c>
      <c r="F488">
        <v>0</v>
      </c>
      <c r="G488">
        <v>3</v>
      </c>
      <c r="H488">
        <v>0</v>
      </c>
      <c r="I488">
        <v>0</v>
      </c>
      <c r="J488">
        <v>0</v>
      </c>
      <c r="K488">
        <v>25</v>
      </c>
    </row>
    <row r="489" spans="1:11" x14ac:dyDescent="0.3">
      <c r="A489" t="s">
        <v>325</v>
      </c>
      <c r="B489" t="s">
        <v>540</v>
      </c>
      <c r="C489" t="s">
        <v>226</v>
      </c>
      <c r="E489">
        <v>0</v>
      </c>
      <c r="F489">
        <v>0</v>
      </c>
      <c r="G489">
        <v>1</v>
      </c>
      <c r="H489">
        <v>0</v>
      </c>
      <c r="I489">
        <v>0</v>
      </c>
      <c r="J489">
        <v>0</v>
      </c>
      <c r="K489">
        <v>0</v>
      </c>
    </row>
    <row r="490" spans="1:11" x14ac:dyDescent="0.3">
      <c r="A490" t="s">
        <v>318</v>
      </c>
      <c r="B490" t="s">
        <v>537</v>
      </c>
      <c r="C490" t="s">
        <v>224</v>
      </c>
      <c r="D490" t="s">
        <v>217</v>
      </c>
      <c r="E490">
        <v>131</v>
      </c>
      <c r="F490">
        <v>0</v>
      </c>
      <c r="G490">
        <v>0</v>
      </c>
      <c r="H490">
        <v>104</v>
      </c>
      <c r="I490">
        <v>0</v>
      </c>
      <c r="J490">
        <v>0</v>
      </c>
      <c r="K490">
        <v>27</v>
      </c>
    </row>
    <row r="491" spans="1:11" x14ac:dyDescent="0.3">
      <c r="A491" t="s">
        <v>328</v>
      </c>
      <c r="B491" t="s">
        <v>537</v>
      </c>
      <c r="C491" t="s">
        <v>283</v>
      </c>
      <c r="E491">
        <v>134</v>
      </c>
      <c r="F491">
        <v>0</v>
      </c>
      <c r="G491">
        <v>0</v>
      </c>
      <c r="H491">
        <v>131</v>
      </c>
      <c r="I491">
        <v>0</v>
      </c>
      <c r="J491">
        <v>0</v>
      </c>
      <c r="K491">
        <v>3</v>
      </c>
    </row>
    <row r="492" spans="1:11" x14ac:dyDescent="0.3">
      <c r="A492" t="s">
        <v>326</v>
      </c>
      <c r="B492" t="s">
        <v>540</v>
      </c>
      <c r="C492" t="s">
        <v>261</v>
      </c>
      <c r="E492">
        <v>18</v>
      </c>
      <c r="F492">
        <v>0</v>
      </c>
      <c r="G492">
        <v>0</v>
      </c>
      <c r="H492">
        <v>0</v>
      </c>
      <c r="I492">
        <v>0</v>
      </c>
      <c r="J492">
        <v>0</v>
      </c>
      <c r="K492">
        <v>18</v>
      </c>
    </row>
    <row r="493" spans="1:11" x14ac:dyDescent="0.3">
      <c r="A493" t="s">
        <v>342</v>
      </c>
      <c r="B493" t="s">
        <v>537</v>
      </c>
      <c r="C493" t="s">
        <v>292</v>
      </c>
      <c r="D493" t="s">
        <v>291</v>
      </c>
      <c r="E493">
        <v>100</v>
      </c>
      <c r="H493">
        <v>100</v>
      </c>
    </row>
    <row r="494" spans="1:11" x14ac:dyDescent="0.3">
      <c r="A494" t="s">
        <v>365</v>
      </c>
      <c r="B494" t="s">
        <v>537</v>
      </c>
      <c r="C494" t="s">
        <v>220</v>
      </c>
      <c r="D494" t="s">
        <v>219</v>
      </c>
      <c r="E494">
        <v>303</v>
      </c>
      <c r="H494">
        <v>280</v>
      </c>
      <c r="J494">
        <v>0</v>
      </c>
      <c r="K494">
        <v>23</v>
      </c>
    </row>
    <row r="495" spans="1:11" x14ac:dyDescent="0.3">
      <c r="A495" t="s">
        <v>365</v>
      </c>
      <c r="B495" t="s">
        <v>542</v>
      </c>
      <c r="C495" t="s">
        <v>238</v>
      </c>
      <c r="D495" t="s">
        <v>237</v>
      </c>
      <c r="E495">
        <v>242</v>
      </c>
      <c r="I495">
        <v>163</v>
      </c>
      <c r="K495">
        <v>79</v>
      </c>
    </row>
    <row r="496" spans="1:11" x14ac:dyDescent="0.3">
      <c r="A496" t="s">
        <v>366</v>
      </c>
      <c r="B496" t="s">
        <v>540</v>
      </c>
      <c r="C496" t="s">
        <v>230</v>
      </c>
      <c r="D496" t="s">
        <v>229</v>
      </c>
      <c r="E496">
        <v>25</v>
      </c>
      <c r="K496">
        <v>25</v>
      </c>
    </row>
    <row r="497" spans="1:11" x14ac:dyDescent="0.3">
      <c r="A497" t="s">
        <v>341</v>
      </c>
      <c r="B497" t="s">
        <v>540</v>
      </c>
      <c r="C497" t="s">
        <v>222</v>
      </c>
      <c r="D497" t="s">
        <v>221</v>
      </c>
      <c r="E497">
        <v>25</v>
      </c>
      <c r="K497">
        <v>25</v>
      </c>
    </row>
    <row r="498" spans="1:11" x14ac:dyDescent="0.3">
      <c r="A498" t="s">
        <v>342</v>
      </c>
      <c r="B498" t="s">
        <v>537</v>
      </c>
      <c r="C498" t="s">
        <v>249</v>
      </c>
      <c r="D498" t="s">
        <v>248</v>
      </c>
      <c r="E498">
        <v>131</v>
      </c>
      <c r="H498">
        <v>82</v>
      </c>
      <c r="K498">
        <v>49</v>
      </c>
    </row>
    <row r="499" spans="1:11" x14ac:dyDescent="0.3">
      <c r="A499" t="s">
        <v>364</v>
      </c>
      <c r="B499" t="s">
        <v>537</v>
      </c>
      <c r="C499" t="s">
        <v>292</v>
      </c>
      <c r="D499" t="s">
        <v>291</v>
      </c>
      <c r="E499">
        <v>113</v>
      </c>
      <c r="H499">
        <v>113</v>
      </c>
      <c r="J499">
        <v>0</v>
      </c>
      <c r="K499">
        <v>0</v>
      </c>
    </row>
    <row r="500" spans="1:11" x14ac:dyDescent="0.3">
      <c r="A500" t="s">
        <v>365</v>
      </c>
      <c r="B500" t="s">
        <v>537</v>
      </c>
      <c r="C500" t="s">
        <v>311</v>
      </c>
      <c r="D500" t="s">
        <v>310</v>
      </c>
      <c r="E500">
        <v>144</v>
      </c>
      <c r="H500">
        <v>65</v>
      </c>
      <c r="J500">
        <v>0</v>
      </c>
      <c r="K500">
        <v>79</v>
      </c>
    </row>
    <row r="501" spans="1:11" x14ac:dyDescent="0.3">
      <c r="A501" t="s">
        <v>364</v>
      </c>
      <c r="B501" t="s">
        <v>540</v>
      </c>
      <c r="C501" t="s">
        <v>265</v>
      </c>
      <c r="D501" t="s">
        <v>264</v>
      </c>
      <c r="E501">
        <v>13</v>
      </c>
      <c r="K501">
        <v>13</v>
      </c>
    </row>
    <row r="502" spans="1:11" x14ac:dyDescent="0.3">
      <c r="A502" t="s">
        <v>341</v>
      </c>
      <c r="B502" t="s">
        <v>537</v>
      </c>
      <c r="C502" t="s">
        <v>287</v>
      </c>
      <c r="D502" t="s">
        <v>286</v>
      </c>
      <c r="E502">
        <v>202</v>
      </c>
      <c r="H502">
        <v>106</v>
      </c>
      <c r="J502">
        <v>18</v>
      </c>
      <c r="K502">
        <v>78</v>
      </c>
    </row>
    <row r="503" spans="1:11" x14ac:dyDescent="0.3">
      <c r="A503" t="s">
        <v>342</v>
      </c>
      <c r="B503" t="s">
        <v>537</v>
      </c>
      <c r="C503" t="s">
        <v>311</v>
      </c>
      <c r="D503" t="s">
        <v>310</v>
      </c>
      <c r="E503">
        <v>123</v>
      </c>
      <c r="H503">
        <v>65</v>
      </c>
      <c r="K503">
        <v>58</v>
      </c>
    </row>
    <row r="504" spans="1:11" x14ac:dyDescent="0.3">
      <c r="A504" t="s">
        <v>364</v>
      </c>
      <c r="B504" t="s">
        <v>537</v>
      </c>
      <c r="C504" t="s">
        <v>289</v>
      </c>
      <c r="D504" t="s">
        <v>288</v>
      </c>
      <c r="E504">
        <v>216</v>
      </c>
      <c r="H504">
        <v>28</v>
      </c>
      <c r="J504">
        <v>0</v>
      </c>
      <c r="K504">
        <v>188</v>
      </c>
    </row>
    <row r="505" spans="1:11" x14ac:dyDescent="0.3">
      <c r="A505" t="s">
        <v>342</v>
      </c>
      <c r="B505" t="s">
        <v>540</v>
      </c>
      <c r="C505" t="s">
        <v>261</v>
      </c>
      <c r="D505" t="s">
        <v>260</v>
      </c>
      <c r="E505">
        <v>16</v>
      </c>
      <c r="K505">
        <v>16</v>
      </c>
    </row>
    <row r="506" spans="1:11" x14ac:dyDescent="0.3">
      <c r="A506" t="s">
        <v>365</v>
      </c>
      <c r="B506" t="s">
        <v>537</v>
      </c>
      <c r="C506" t="s">
        <v>300</v>
      </c>
      <c r="D506" t="s">
        <v>299</v>
      </c>
      <c r="E506">
        <v>128</v>
      </c>
      <c r="H506">
        <v>127</v>
      </c>
      <c r="J506">
        <v>1</v>
      </c>
      <c r="K506">
        <v>0</v>
      </c>
    </row>
    <row r="507" spans="1:11" x14ac:dyDescent="0.3">
      <c r="A507" t="s">
        <v>365</v>
      </c>
      <c r="B507" t="s">
        <v>542</v>
      </c>
      <c r="C507" t="s">
        <v>218</v>
      </c>
      <c r="D507" t="s">
        <v>217</v>
      </c>
      <c r="E507">
        <v>193</v>
      </c>
      <c r="I507">
        <v>126</v>
      </c>
      <c r="K507">
        <v>67</v>
      </c>
    </row>
    <row r="508" spans="1:11" x14ac:dyDescent="0.3">
      <c r="A508" t="s">
        <v>364</v>
      </c>
      <c r="B508" t="s">
        <v>537</v>
      </c>
      <c r="C508" t="s">
        <v>287</v>
      </c>
      <c r="D508" t="s">
        <v>286</v>
      </c>
      <c r="E508">
        <v>191</v>
      </c>
      <c r="H508">
        <v>94</v>
      </c>
      <c r="J508">
        <v>21</v>
      </c>
      <c r="K508">
        <v>76</v>
      </c>
    </row>
    <row r="509" spans="1:11" x14ac:dyDescent="0.3">
      <c r="A509" t="s">
        <v>365</v>
      </c>
      <c r="B509" t="s">
        <v>537</v>
      </c>
      <c r="C509" t="s">
        <v>283</v>
      </c>
      <c r="D509" t="s">
        <v>282</v>
      </c>
      <c r="E509">
        <v>147</v>
      </c>
      <c r="H509">
        <v>147</v>
      </c>
      <c r="J509">
        <v>0</v>
      </c>
      <c r="K509">
        <v>0</v>
      </c>
    </row>
    <row r="510" spans="1:11" x14ac:dyDescent="0.3">
      <c r="A510" t="s">
        <v>365</v>
      </c>
      <c r="B510" t="s">
        <v>540</v>
      </c>
      <c r="C510" t="s">
        <v>267</v>
      </c>
      <c r="D510" t="s">
        <v>268</v>
      </c>
      <c r="E510">
        <v>21</v>
      </c>
      <c r="K510">
        <v>21</v>
      </c>
    </row>
    <row r="511" spans="1:11" x14ac:dyDescent="0.3">
      <c r="A511" t="s">
        <v>342</v>
      </c>
      <c r="B511" t="s">
        <v>537</v>
      </c>
      <c r="C511" t="s">
        <v>277</v>
      </c>
      <c r="D511" t="s">
        <v>276</v>
      </c>
      <c r="E511">
        <v>114</v>
      </c>
      <c r="H511">
        <v>42</v>
      </c>
      <c r="K511">
        <v>72</v>
      </c>
    </row>
    <row r="512" spans="1:11" x14ac:dyDescent="0.3">
      <c r="A512" t="s">
        <v>364</v>
      </c>
      <c r="B512" t="s">
        <v>537</v>
      </c>
      <c r="C512" t="s">
        <v>263</v>
      </c>
      <c r="D512" t="s">
        <v>262</v>
      </c>
      <c r="E512">
        <v>161</v>
      </c>
      <c r="H512">
        <v>65</v>
      </c>
      <c r="J512">
        <v>0</v>
      </c>
      <c r="K512">
        <v>96</v>
      </c>
    </row>
    <row r="513" spans="1:11" x14ac:dyDescent="0.3">
      <c r="A513" t="s">
        <v>364</v>
      </c>
      <c r="B513" t="s">
        <v>537</v>
      </c>
      <c r="C513" t="s">
        <v>244</v>
      </c>
      <c r="D513" t="s">
        <v>243</v>
      </c>
      <c r="E513">
        <v>271</v>
      </c>
      <c r="H513">
        <v>198</v>
      </c>
      <c r="J513">
        <v>4</v>
      </c>
      <c r="K513">
        <v>69</v>
      </c>
    </row>
    <row r="514" spans="1:11" x14ac:dyDescent="0.3">
      <c r="A514" t="s">
        <v>341</v>
      </c>
      <c r="B514" t="s">
        <v>540</v>
      </c>
      <c r="C514" t="s">
        <v>215</v>
      </c>
      <c r="D514" t="s">
        <v>216</v>
      </c>
      <c r="E514">
        <v>14</v>
      </c>
      <c r="K514">
        <v>14</v>
      </c>
    </row>
    <row r="515" spans="1:11" x14ac:dyDescent="0.3">
      <c r="A515" t="s">
        <v>364</v>
      </c>
      <c r="B515" t="s">
        <v>540</v>
      </c>
      <c r="C515" t="s">
        <v>270</v>
      </c>
      <c r="D515" t="s">
        <v>271</v>
      </c>
      <c r="E515">
        <v>28</v>
      </c>
      <c r="K515">
        <v>28</v>
      </c>
    </row>
    <row r="516" spans="1:11" x14ac:dyDescent="0.3">
      <c r="A516" t="s">
        <v>365</v>
      </c>
      <c r="B516" t="s">
        <v>537</v>
      </c>
      <c r="C516" t="s">
        <v>304</v>
      </c>
      <c r="D516" t="s">
        <v>303</v>
      </c>
      <c r="E516">
        <v>273</v>
      </c>
      <c r="H516">
        <v>82</v>
      </c>
      <c r="J516">
        <v>4</v>
      </c>
      <c r="K516">
        <v>187</v>
      </c>
    </row>
    <row r="517" spans="1:11" x14ac:dyDescent="0.3">
      <c r="A517" t="s">
        <v>366</v>
      </c>
      <c r="B517" t="s">
        <v>537</v>
      </c>
      <c r="C517" t="s">
        <v>249</v>
      </c>
      <c r="D517" t="s">
        <v>248</v>
      </c>
      <c r="E517">
        <v>136</v>
      </c>
      <c r="H517">
        <v>83</v>
      </c>
      <c r="J517">
        <v>0</v>
      </c>
      <c r="K517">
        <v>53</v>
      </c>
    </row>
    <row r="518" spans="1:11" x14ac:dyDescent="0.3">
      <c r="A518" t="s">
        <v>341</v>
      </c>
      <c r="B518" t="s">
        <v>540</v>
      </c>
      <c r="C518" t="s">
        <v>270</v>
      </c>
      <c r="D518" t="s">
        <v>271</v>
      </c>
      <c r="E518">
        <v>25</v>
      </c>
      <c r="K518">
        <v>25</v>
      </c>
    </row>
    <row r="519" spans="1:11" x14ac:dyDescent="0.3">
      <c r="A519" t="s">
        <v>341</v>
      </c>
      <c r="B519" t="s">
        <v>537</v>
      </c>
      <c r="C519" t="s">
        <v>283</v>
      </c>
      <c r="D519" t="s">
        <v>282</v>
      </c>
      <c r="E519">
        <v>137</v>
      </c>
      <c r="H519">
        <v>137</v>
      </c>
      <c r="J519">
        <v>0</v>
      </c>
      <c r="K519">
        <v>0</v>
      </c>
    </row>
    <row r="520" spans="1:11" x14ac:dyDescent="0.3">
      <c r="A520" t="s">
        <v>342</v>
      </c>
      <c r="B520" t="s">
        <v>537</v>
      </c>
      <c r="C520" t="s">
        <v>247</v>
      </c>
      <c r="D520" t="s">
        <v>246</v>
      </c>
      <c r="E520">
        <v>191</v>
      </c>
      <c r="H520">
        <v>13</v>
      </c>
      <c r="K520">
        <v>178</v>
      </c>
    </row>
    <row r="521" spans="1:11" x14ac:dyDescent="0.3">
      <c r="A521" t="s">
        <v>342</v>
      </c>
      <c r="B521" t="s">
        <v>540</v>
      </c>
      <c r="C521" t="s">
        <v>257</v>
      </c>
      <c r="D521" t="s">
        <v>256</v>
      </c>
      <c r="E521">
        <v>27</v>
      </c>
      <c r="K521">
        <v>27</v>
      </c>
    </row>
    <row r="522" spans="1:11" x14ac:dyDescent="0.3">
      <c r="A522" t="s">
        <v>365</v>
      </c>
      <c r="B522" t="s">
        <v>540</v>
      </c>
      <c r="C522" t="s">
        <v>265</v>
      </c>
      <c r="D522" t="s">
        <v>264</v>
      </c>
      <c r="E522">
        <v>13</v>
      </c>
      <c r="K522">
        <v>13</v>
      </c>
    </row>
    <row r="523" spans="1:11" x14ac:dyDescent="0.3">
      <c r="A523" t="s">
        <v>341</v>
      </c>
      <c r="B523" t="s">
        <v>542</v>
      </c>
      <c r="C523" t="s">
        <v>232</v>
      </c>
      <c r="D523" t="s">
        <v>231</v>
      </c>
      <c r="E523">
        <v>340</v>
      </c>
      <c r="I523">
        <v>272</v>
      </c>
      <c r="K523">
        <v>68</v>
      </c>
    </row>
    <row r="524" spans="1:11" x14ac:dyDescent="0.3">
      <c r="A524" t="s">
        <v>341</v>
      </c>
      <c r="B524" t="s">
        <v>537</v>
      </c>
      <c r="C524" t="s">
        <v>249</v>
      </c>
      <c r="D524" t="s">
        <v>248</v>
      </c>
      <c r="E524">
        <v>127</v>
      </c>
      <c r="H524">
        <v>81</v>
      </c>
      <c r="J524">
        <v>0</v>
      </c>
      <c r="K524">
        <v>46</v>
      </c>
    </row>
    <row r="525" spans="1:11" x14ac:dyDescent="0.3">
      <c r="A525" t="s">
        <v>364</v>
      </c>
      <c r="B525" t="s">
        <v>540</v>
      </c>
      <c r="C525" t="s">
        <v>267</v>
      </c>
      <c r="D525" t="s">
        <v>268</v>
      </c>
      <c r="E525">
        <v>21</v>
      </c>
      <c r="K525">
        <v>21</v>
      </c>
    </row>
    <row r="526" spans="1:11" x14ac:dyDescent="0.3">
      <c r="A526" t="s">
        <v>364</v>
      </c>
      <c r="B526" t="s">
        <v>537</v>
      </c>
      <c r="C526" t="s">
        <v>253</v>
      </c>
      <c r="D526" t="s">
        <v>252</v>
      </c>
      <c r="E526">
        <v>74</v>
      </c>
      <c r="H526">
        <v>0</v>
      </c>
      <c r="J526">
        <v>0</v>
      </c>
      <c r="K526">
        <v>74</v>
      </c>
    </row>
    <row r="527" spans="1:11" x14ac:dyDescent="0.3">
      <c r="A527" t="s">
        <v>366</v>
      </c>
      <c r="B527" t="s">
        <v>537</v>
      </c>
      <c r="C527" t="s">
        <v>253</v>
      </c>
      <c r="D527" t="s">
        <v>252</v>
      </c>
      <c r="E527">
        <v>71</v>
      </c>
      <c r="H527">
        <v>1</v>
      </c>
      <c r="J527">
        <v>0</v>
      </c>
      <c r="K527">
        <v>70</v>
      </c>
    </row>
    <row r="528" spans="1:11" x14ac:dyDescent="0.3">
      <c r="A528" t="s">
        <v>325</v>
      </c>
      <c r="B528" t="s">
        <v>537</v>
      </c>
      <c r="C528" t="s">
        <v>300</v>
      </c>
      <c r="E528">
        <v>123</v>
      </c>
      <c r="F528">
        <v>0</v>
      </c>
      <c r="G528">
        <v>0</v>
      </c>
      <c r="H528">
        <v>122</v>
      </c>
      <c r="I528">
        <v>0</v>
      </c>
      <c r="J528">
        <v>0</v>
      </c>
      <c r="K528">
        <v>1</v>
      </c>
    </row>
    <row r="529" spans="1:11" x14ac:dyDescent="0.3">
      <c r="A529" t="s">
        <v>320</v>
      </c>
      <c r="B529" t="s">
        <v>540</v>
      </c>
      <c r="C529" t="s">
        <v>265</v>
      </c>
      <c r="E529">
        <v>18</v>
      </c>
      <c r="F529">
        <v>0</v>
      </c>
      <c r="G529">
        <v>2</v>
      </c>
      <c r="H529">
        <v>0</v>
      </c>
      <c r="I529">
        <v>0</v>
      </c>
      <c r="J529">
        <v>0</v>
      </c>
      <c r="K529">
        <v>18</v>
      </c>
    </row>
    <row r="530" spans="1:11" x14ac:dyDescent="0.3">
      <c r="A530" t="s">
        <v>328</v>
      </c>
      <c r="B530" t="s">
        <v>537</v>
      </c>
      <c r="C530" t="s">
        <v>300</v>
      </c>
      <c r="E530">
        <v>123</v>
      </c>
      <c r="F530">
        <v>0</v>
      </c>
      <c r="G530">
        <v>0</v>
      </c>
      <c r="H530">
        <v>123</v>
      </c>
      <c r="I530">
        <v>0</v>
      </c>
      <c r="J530">
        <v>0</v>
      </c>
      <c r="K530">
        <v>0</v>
      </c>
    </row>
    <row r="531" spans="1:11" x14ac:dyDescent="0.3">
      <c r="A531" t="s">
        <v>326</v>
      </c>
      <c r="B531" t="s">
        <v>537</v>
      </c>
      <c r="C531" t="s">
        <v>294</v>
      </c>
      <c r="E531">
        <v>204</v>
      </c>
      <c r="F531">
        <v>0</v>
      </c>
      <c r="G531">
        <v>0</v>
      </c>
      <c r="H531">
        <v>117</v>
      </c>
      <c r="I531">
        <v>0</v>
      </c>
      <c r="J531">
        <v>21</v>
      </c>
      <c r="K531">
        <v>66</v>
      </c>
    </row>
    <row r="532" spans="1:11" x14ac:dyDescent="0.3">
      <c r="A532" t="s">
        <v>213</v>
      </c>
      <c r="B532" t="s">
        <v>537</v>
      </c>
      <c r="C532" t="s">
        <v>263</v>
      </c>
      <c r="D532" t="s">
        <v>262</v>
      </c>
      <c r="E532">
        <v>143</v>
      </c>
      <c r="F532">
        <v>0</v>
      </c>
      <c r="G532">
        <v>0</v>
      </c>
      <c r="H532">
        <v>55</v>
      </c>
      <c r="I532">
        <v>0</v>
      </c>
      <c r="J532">
        <v>0</v>
      </c>
      <c r="K532">
        <v>88</v>
      </c>
    </row>
    <row r="533" spans="1:11" x14ac:dyDescent="0.3">
      <c r="A533" t="s">
        <v>320</v>
      </c>
      <c r="B533" t="s">
        <v>537</v>
      </c>
      <c r="C533" t="s">
        <v>292</v>
      </c>
      <c r="E533">
        <v>115</v>
      </c>
      <c r="F533">
        <v>0</v>
      </c>
      <c r="G533">
        <v>0</v>
      </c>
      <c r="H533">
        <v>115</v>
      </c>
      <c r="I533">
        <v>0</v>
      </c>
      <c r="J533">
        <v>0</v>
      </c>
      <c r="K533">
        <v>0</v>
      </c>
    </row>
    <row r="534" spans="1:11" x14ac:dyDescent="0.3">
      <c r="A534" t="s">
        <v>312</v>
      </c>
      <c r="B534" t="s">
        <v>540</v>
      </c>
      <c r="C534" t="s">
        <v>285</v>
      </c>
      <c r="D534" t="s">
        <v>217</v>
      </c>
      <c r="E534">
        <v>14</v>
      </c>
      <c r="F534">
        <v>0</v>
      </c>
      <c r="G534">
        <v>5</v>
      </c>
      <c r="H534">
        <v>0</v>
      </c>
      <c r="I534">
        <v>0</v>
      </c>
      <c r="J534">
        <v>0</v>
      </c>
      <c r="K534">
        <v>14</v>
      </c>
    </row>
    <row r="535" spans="1:11" x14ac:dyDescent="0.3">
      <c r="A535" t="s">
        <v>326</v>
      </c>
      <c r="B535" t="s">
        <v>542</v>
      </c>
      <c r="C535" t="s">
        <v>232</v>
      </c>
      <c r="E535">
        <v>60</v>
      </c>
      <c r="F535">
        <v>0</v>
      </c>
      <c r="G535">
        <v>0</v>
      </c>
      <c r="H535">
        <v>0</v>
      </c>
      <c r="I535">
        <v>0</v>
      </c>
      <c r="J535">
        <v>0</v>
      </c>
      <c r="K535">
        <v>60</v>
      </c>
    </row>
    <row r="536" spans="1:11" x14ac:dyDescent="0.3">
      <c r="A536" t="s">
        <v>325</v>
      </c>
      <c r="B536" t="s">
        <v>537</v>
      </c>
      <c r="C536" t="s">
        <v>307</v>
      </c>
      <c r="E536">
        <v>115</v>
      </c>
      <c r="F536">
        <v>0</v>
      </c>
      <c r="G536">
        <v>0</v>
      </c>
      <c r="H536">
        <v>69</v>
      </c>
      <c r="I536">
        <v>0</v>
      </c>
      <c r="J536">
        <v>0</v>
      </c>
      <c r="K536">
        <v>46</v>
      </c>
    </row>
    <row r="537" spans="1:11" x14ac:dyDescent="0.3">
      <c r="A537" t="s">
        <v>318</v>
      </c>
      <c r="B537" t="s">
        <v>537</v>
      </c>
      <c r="C537" t="s">
        <v>259</v>
      </c>
      <c r="D537" t="s">
        <v>231</v>
      </c>
      <c r="E537">
        <v>48</v>
      </c>
      <c r="F537">
        <v>0</v>
      </c>
      <c r="G537">
        <v>0</v>
      </c>
      <c r="H537">
        <v>0</v>
      </c>
      <c r="I537">
        <v>0</v>
      </c>
      <c r="J537">
        <v>0</v>
      </c>
      <c r="K537">
        <v>48</v>
      </c>
    </row>
    <row r="538" spans="1:11" x14ac:dyDescent="0.3">
      <c r="A538" t="s">
        <v>412</v>
      </c>
      <c r="B538" t="s">
        <v>537</v>
      </c>
      <c r="C538" t="s">
        <v>228</v>
      </c>
      <c r="E538">
        <v>390</v>
      </c>
      <c r="F538">
        <v>0</v>
      </c>
      <c r="G538">
        <v>0</v>
      </c>
      <c r="H538">
        <v>174</v>
      </c>
      <c r="I538">
        <v>0</v>
      </c>
      <c r="J538">
        <v>164</v>
      </c>
      <c r="K538">
        <v>52</v>
      </c>
    </row>
    <row r="539" spans="1:11" x14ac:dyDescent="0.3">
      <c r="A539" t="s">
        <v>312</v>
      </c>
      <c r="B539" t="s">
        <v>537</v>
      </c>
      <c r="C539" t="s">
        <v>275</v>
      </c>
      <c r="D539" t="s">
        <v>217</v>
      </c>
      <c r="E539">
        <v>645</v>
      </c>
      <c r="F539">
        <v>0</v>
      </c>
      <c r="G539">
        <v>0</v>
      </c>
      <c r="H539">
        <v>525</v>
      </c>
      <c r="I539">
        <v>0</v>
      </c>
      <c r="J539">
        <v>49</v>
      </c>
      <c r="K539">
        <v>71</v>
      </c>
    </row>
    <row r="540" spans="1:11" x14ac:dyDescent="0.3">
      <c r="A540" t="s">
        <v>320</v>
      </c>
      <c r="B540" t="s">
        <v>537</v>
      </c>
      <c r="C540" t="s">
        <v>224</v>
      </c>
      <c r="E540">
        <v>122</v>
      </c>
      <c r="F540">
        <v>0</v>
      </c>
      <c r="G540">
        <v>0</v>
      </c>
      <c r="H540">
        <v>96</v>
      </c>
      <c r="I540">
        <v>0</v>
      </c>
      <c r="J540">
        <v>0</v>
      </c>
      <c r="K540">
        <v>26</v>
      </c>
    </row>
    <row r="541" spans="1:11" x14ac:dyDescent="0.3">
      <c r="A541" t="s">
        <v>213</v>
      </c>
      <c r="B541" t="s">
        <v>537</v>
      </c>
      <c r="C541" t="s">
        <v>294</v>
      </c>
      <c r="D541" t="s">
        <v>496</v>
      </c>
      <c r="E541">
        <v>222</v>
      </c>
      <c r="F541">
        <v>0</v>
      </c>
      <c r="G541">
        <v>0</v>
      </c>
      <c r="H541">
        <v>131</v>
      </c>
      <c r="I541">
        <v>0</v>
      </c>
      <c r="J541">
        <v>22</v>
      </c>
      <c r="K541">
        <v>69</v>
      </c>
    </row>
    <row r="542" spans="1:11" x14ac:dyDescent="0.3">
      <c r="A542" t="s">
        <v>325</v>
      </c>
      <c r="B542" t="s">
        <v>540</v>
      </c>
      <c r="C542" t="s">
        <v>236</v>
      </c>
      <c r="E542">
        <v>26</v>
      </c>
      <c r="F542">
        <v>0</v>
      </c>
      <c r="G542">
        <v>0</v>
      </c>
      <c r="H542">
        <v>0</v>
      </c>
      <c r="I542">
        <v>0</v>
      </c>
      <c r="J542">
        <v>0</v>
      </c>
      <c r="K542">
        <v>26</v>
      </c>
    </row>
    <row r="543" spans="1:11" x14ac:dyDescent="0.3">
      <c r="A543" t="s">
        <v>318</v>
      </c>
      <c r="B543" t="s">
        <v>537</v>
      </c>
      <c r="C543" t="s">
        <v>307</v>
      </c>
      <c r="D543" t="s">
        <v>617</v>
      </c>
      <c r="E543">
        <v>127</v>
      </c>
      <c r="F543">
        <v>0</v>
      </c>
      <c r="G543">
        <v>0</v>
      </c>
      <c r="H543">
        <v>75</v>
      </c>
      <c r="I543">
        <v>0</v>
      </c>
      <c r="J543">
        <v>0</v>
      </c>
      <c r="K543">
        <v>52</v>
      </c>
    </row>
    <row r="544" spans="1:11" x14ac:dyDescent="0.3">
      <c r="A544" t="s">
        <v>312</v>
      </c>
      <c r="B544" t="s">
        <v>537</v>
      </c>
      <c r="C544" t="s">
        <v>270</v>
      </c>
      <c r="D544" t="s">
        <v>231</v>
      </c>
      <c r="E544">
        <v>517</v>
      </c>
      <c r="F544">
        <v>0</v>
      </c>
      <c r="G544">
        <v>0</v>
      </c>
      <c r="H544">
        <v>0</v>
      </c>
      <c r="I544">
        <v>0</v>
      </c>
      <c r="J544">
        <v>0</v>
      </c>
      <c r="K544">
        <v>517</v>
      </c>
    </row>
    <row r="545" spans="1:11" x14ac:dyDescent="0.3">
      <c r="A545" t="s">
        <v>213</v>
      </c>
      <c r="B545" t="s">
        <v>540</v>
      </c>
      <c r="C545" t="s">
        <v>222</v>
      </c>
      <c r="D545" t="s">
        <v>221</v>
      </c>
      <c r="E545">
        <v>25</v>
      </c>
      <c r="F545">
        <v>0</v>
      </c>
      <c r="G545">
        <v>2</v>
      </c>
      <c r="H545">
        <v>0</v>
      </c>
      <c r="I545">
        <v>0</v>
      </c>
      <c r="J545">
        <v>0</v>
      </c>
      <c r="K545">
        <v>25</v>
      </c>
    </row>
    <row r="546" spans="1:11" x14ac:dyDescent="0.3">
      <c r="A546" t="s">
        <v>320</v>
      </c>
      <c r="B546" t="s">
        <v>537</v>
      </c>
      <c r="C546" t="s">
        <v>289</v>
      </c>
      <c r="E546">
        <v>186</v>
      </c>
      <c r="F546">
        <v>0</v>
      </c>
      <c r="G546">
        <v>0</v>
      </c>
      <c r="H546">
        <v>30</v>
      </c>
      <c r="I546">
        <v>0</v>
      </c>
      <c r="J546">
        <v>0</v>
      </c>
      <c r="K546">
        <v>156</v>
      </c>
    </row>
    <row r="547" spans="1:11" x14ac:dyDescent="0.3">
      <c r="A547" t="s">
        <v>213</v>
      </c>
      <c r="B547" t="s">
        <v>537</v>
      </c>
      <c r="C547" t="s">
        <v>304</v>
      </c>
      <c r="D547" t="s">
        <v>303</v>
      </c>
      <c r="E547">
        <v>246</v>
      </c>
      <c r="F547">
        <v>0</v>
      </c>
      <c r="G547">
        <v>0</v>
      </c>
      <c r="H547">
        <v>77</v>
      </c>
      <c r="I547">
        <v>0</v>
      </c>
      <c r="J547">
        <v>2</v>
      </c>
      <c r="K547">
        <v>167</v>
      </c>
    </row>
    <row r="548" spans="1:11" x14ac:dyDescent="0.3">
      <c r="A548" t="s">
        <v>326</v>
      </c>
      <c r="B548" t="s">
        <v>540</v>
      </c>
      <c r="C548" t="s">
        <v>230</v>
      </c>
      <c r="E548">
        <v>28</v>
      </c>
      <c r="F548">
        <v>0</v>
      </c>
      <c r="G548">
        <v>6</v>
      </c>
      <c r="H548">
        <v>0</v>
      </c>
      <c r="I548">
        <v>0</v>
      </c>
      <c r="J548">
        <v>0</v>
      </c>
      <c r="K548">
        <v>28</v>
      </c>
    </row>
    <row r="549" spans="1:11" x14ac:dyDescent="0.3">
      <c r="A549" t="s">
        <v>320</v>
      </c>
      <c r="B549" t="s">
        <v>537</v>
      </c>
      <c r="C549" t="s">
        <v>277</v>
      </c>
      <c r="E549">
        <v>106</v>
      </c>
      <c r="F549">
        <v>0</v>
      </c>
      <c r="G549">
        <v>0</v>
      </c>
      <c r="H549">
        <v>38</v>
      </c>
      <c r="I549">
        <v>0</v>
      </c>
      <c r="J549">
        <v>0</v>
      </c>
      <c r="K549">
        <v>68</v>
      </c>
    </row>
    <row r="550" spans="1:11" x14ac:dyDescent="0.3">
      <c r="A550" t="s">
        <v>318</v>
      </c>
      <c r="B550" t="s">
        <v>540</v>
      </c>
      <c r="C550" t="s">
        <v>226</v>
      </c>
      <c r="D550" t="s">
        <v>217</v>
      </c>
      <c r="E550">
        <v>28</v>
      </c>
      <c r="F550">
        <v>0</v>
      </c>
      <c r="G550">
        <v>3</v>
      </c>
      <c r="H550">
        <v>0</v>
      </c>
      <c r="I550">
        <v>0</v>
      </c>
      <c r="J550">
        <v>0</v>
      </c>
      <c r="K550">
        <v>28</v>
      </c>
    </row>
    <row r="551" spans="1:11" x14ac:dyDescent="0.3">
      <c r="A551" t="s">
        <v>326</v>
      </c>
      <c r="B551" t="s">
        <v>537</v>
      </c>
      <c r="C551" t="s">
        <v>292</v>
      </c>
      <c r="E551">
        <v>112</v>
      </c>
      <c r="F551">
        <v>0</v>
      </c>
      <c r="G551">
        <v>0</v>
      </c>
      <c r="H551">
        <v>112</v>
      </c>
      <c r="I551">
        <v>0</v>
      </c>
      <c r="J551">
        <v>0</v>
      </c>
      <c r="K551">
        <v>0</v>
      </c>
    </row>
    <row r="552" spans="1:11" x14ac:dyDescent="0.3">
      <c r="A552" t="s">
        <v>213</v>
      </c>
      <c r="B552" t="s">
        <v>540</v>
      </c>
      <c r="C552" t="s">
        <v>275</v>
      </c>
      <c r="D552" t="s">
        <v>274</v>
      </c>
      <c r="E552">
        <v>45</v>
      </c>
      <c r="F552">
        <v>0</v>
      </c>
      <c r="G552">
        <v>4</v>
      </c>
      <c r="H552">
        <v>0</v>
      </c>
      <c r="I552">
        <v>0</v>
      </c>
      <c r="J552">
        <v>0</v>
      </c>
      <c r="K552">
        <v>45</v>
      </c>
    </row>
    <row r="553" spans="1:11" x14ac:dyDescent="0.3">
      <c r="A553" t="s">
        <v>325</v>
      </c>
      <c r="B553" t="s">
        <v>540</v>
      </c>
      <c r="C553" t="s">
        <v>285</v>
      </c>
      <c r="E553">
        <v>1</v>
      </c>
      <c r="F553">
        <v>0</v>
      </c>
      <c r="G553">
        <v>0</v>
      </c>
      <c r="H553">
        <v>0</v>
      </c>
      <c r="I553">
        <v>0</v>
      </c>
      <c r="J553">
        <v>0</v>
      </c>
      <c r="K553">
        <v>1</v>
      </c>
    </row>
    <row r="554" spans="1:11" x14ac:dyDescent="0.3">
      <c r="A554" t="s">
        <v>318</v>
      </c>
      <c r="B554" t="s">
        <v>537</v>
      </c>
      <c r="C554" t="s">
        <v>298</v>
      </c>
      <c r="D554" t="s">
        <v>237</v>
      </c>
      <c r="E554">
        <v>200</v>
      </c>
      <c r="F554">
        <v>0</v>
      </c>
      <c r="G554">
        <v>0</v>
      </c>
      <c r="H554">
        <v>149</v>
      </c>
      <c r="I554">
        <v>0</v>
      </c>
      <c r="J554">
        <v>0</v>
      </c>
      <c r="K554">
        <v>51</v>
      </c>
    </row>
    <row r="555" spans="1:11" x14ac:dyDescent="0.3">
      <c r="A555" t="s">
        <v>325</v>
      </c>
      <c r="B555" t="s">
        <v>537</v>
      </c>
      <c r="C555" t="s">
        <v>215</v>
      </c>
      <c r="E555">
        <v>165</v>
      </c>
      <c r="F555">
        <v>0</v>
      </c>
      <c r="G555">
        <v>0</v>
      </c>
      <c r="H555">
        <v>10</v>
      </c>
      <c r="I555">
        <v>0</v>
      </c>
      <c r="J555">
        <v>0</v>
      </c>
      <c r="K555">
        <v>155</v>
      </c>
    </row>
    <row r="556" spans="1:11" x14ac:dyDescent="0.3">
      <c r="A556" t="s">
        <v>328</v>
      </c>
      <c r="B556" t="s">
        <v>537</v>
      </c>
      <c r="C556" t="s">
        <v>279</v>
      </c>
      <c r="E556">
        <v>43</v>
      </c>
      <c r="F556">
        <v>0</v>
      </c>
      <c r="G556">
        <v>0</v>
      </c>
      <c r="H556">
        <v>14</v>
      </c>
      <c r="I556">
        <v>0</v>
      </c>
      <c r="J556">
        <v>0</v>
      </c>
      <c r="K556">
        <v>29</v>
      </c>
    </row>
    <row r="557" spans="1:11" x14ac:dyDescent="0.3">
      <c r="A557" t="s">
        <v>318</v>
      </c>
      <c r="B557" t="s">
        <v>540</v>
      </c>
      <c r="C557" t="s">
        <v>230</v>
      </c>
      <c r="D557" t="s">
        <v>231</v>
      </c>
      <c r="E557">
        <v>26</v>
      </c>
      <c r="F557">
        <v>0</v>
      </c>
      <c r="G557">
        <v>6</v>
      </c>
      <c r="H557">
        <v>0</v>
      </c>
      <c r="I557">
        <v>0</v>
      </c>
      <c r="J557">
        <v>0</v>
      </c>
      <c r="K557">
        <v>26</v>
      </c>
    </row>
    <row r="558" spans="1:11" x14ac:dyDescent="0.3">
      <c r="A558" t="s">
        <v>325</v>
      </c>
      <c r="B558" t="s">
        <v>537</v>
      </c>
      <c r="C558" t="s">
        <v>255</v>
      </c>
      <c r="E558">
        <v>75</v>
      </c>
      <c r="F558">
        <v>0</v>
      </c>
      <c r="G558">
        <v>0</v>
      </c>
      <c r="H558">
        <v>51</v>
      </c>
      <c r="I558">
        <v>0</v>
      </c>
      <c r="J558">
        <v>0</v>
      </c>
      <c r="K558">
        <v>24</v>
      </c>
    </row>
    <row r="559" spans="1:11" x14ac:dyDescent="0.3">
      <c r="A559" t="s">
        <v>318</v>
      </c>
      <c r="B559" t="s">
        <v>537</v>
      </c>
      <c r="C559" t="s">
        <v>304</v>
      </c>
      <c r="D559" t="s">
        <v>231</v>
      </c>
      <c r="E559">
        <v>254</v>
      </c>
      <c r="F559">
        <v>0</v>
      </c>
      <c r="G559">
        <v>0</v>
      </c>
      <c r="H559">
        <v>84</v>
      </c>
      <c r="I559">
        <v>0</v>
      </c>
      <c r="J559">
        <v>2</v>
      </c>
      <c r="K559">
        <v>168</v>
      </c>
    </row>
    <row r="560" spans="1:11" x14ac:dyDescent="0.3">
      <c r="A560" t="s">
        <v>325</v>
      </c>
      <c r="B560" t="s">
        <v>542</v>
      </c>
      <c r="C560" t="s">
        <v>238</v>
      </c>
      <c r="D560" t="s">
        <v>237</v>
      </c>
      <c r="E560">
        <v>67</v>
      </c>
      <c r="F560">
        <v>0</v>
      </c>
      <c r="G560">
        <v>0</v>
      </c>
      <c r="H560">
        <v>0</v>
      </c>
      <c r="I560">
        <v>0</v>
      </c>
      <c r="J560">
        <v>0</v>
      </c>
      <c r="K560">
        <v>67</v>
      </c>
    </row>
    <row r="561" spans="1:11" x14ac:dyDescent="0.3">
      <c r="A561" t="s">
        <v>312</v>
      </c>
      <c r="B561" t="s">
        <v>537</v>
      </c>
      <c r="C561" t="s">
        <v>292</v>
      </c>
      <c r="D561" t="s">
        <v>217</v>
      </c>
      <c r="E561">
        <v>109</v>
      </c>
      <c r="F561">
        <v>0</v>
      </c>
      <c r="G561">
        <v>0</v>
      </c>
      <c r="H561">
        <v>109</v>
      </c>
      <c r="I561">
        <v>0</v>
      </c>
      <c r="J561">
        <v>0</v>
      </c>
      <c r="K561">
        <v>0</v>
      </c>
    </row>
    <row r="562" spans="1:11" x14ac:dyDescent="0.3">
      <c r="A562" t="s">
        <v>312</v>
      </c>
      <c r="B562" t="s">
        <v>542</v>
      </c>
      <c r="C562" t="s">
        <v>238</v>
      </c>
      <c r="D562" t="s">
        <v>237</v>
      </c>
      <c r="E562">
        <v>52</v>
      </c>
      <c r="F562">
        <v>0</v>
      </c>
      <c r="G562">
        <v>0</v>
      </c>
      <c r="H562">
        <v>0</v>
      </c>
      <c r="I562">
        <v>0</v>
      </c>
      <c r="J562">
        <v>0</v>
      </c>
      <c r="K562">
        <v>52</v>
      </c>
    </row>
    <row r="563" spans="1:11" x14ac:dyDescent="0.3">
      <c r="A563" t="s">
        <v>318</v>
      </c>
      <c r="B563" t="s">
        <v>544</v>
      </c>
      <c r="C563" t="s">
        <v>545</v>
      </c>
      <c r="D563" t="s">
        <v>549</v>
      </c>
      <c r="E563">
        <v>1107</v>
      </c>
      <c r="F563">
        <v>182</v>
      </c>
      <c r="G563">
        <v>0</v>
      </c>
      <c r="H563">
        <v>0</v>
      </c>
      <c r="I563">
        <v>835</v>
      </c>
      <c r="J563">
        <v>0</v>
      </c>
      <c r="K563">
        <v>90</v>
      </c>
    </row>
    <row r="564" spans="1:11" x14ac:dyDescent="0.3">
      <c r="A564" t="s">
        <v>320</v>
      </c>
      <c r="B564" t="s">
        <v>540</v>
      </c>
      <c r="C564" t="s">
        <v>322</v>
      </c>
      <c r="E564">
        <v>36</v>
      </c>
      <c r="F564">
        <v>0</v>
      </c>
      <c r="G564">
        <v>7</v>
      </c>
      <c r="H564">
        <v>0</v>
      </c>
      <c r="I564">
        <v>0</v>
      </c>
      <c r="J564">
        <v>0</v>
      </c>
      <c r="K564">
        <v>36</v>
      </c>
    </row>
    <row r="565" spans="1:11" x14ac:dyDescent="0.3">
      <c r="A565" t="s">
        <v>318</v>
      </c>
      <c r="B565" t="s">
        <v>537</v>
      </c>
      <c r="C565" t="s">
        <v>309</v>
      </c>
      <c r="D565" t="s">
        <v>231</v>
      </c>
      <c r="E565">
        <v>95</v>
      </c>
      <c r="F565">
        <v>0</v>
      </c>
      <c r="G565">
        <v>0</v>
      </c>
      <c r="H565">
        <v>22</v>
      </c>
      <c r="I565">
        <v>0</v>
      </c>
      <c r="J565">
        <v>0</v>
      </c>
      <c r="K565">
        <v>73</v>
      </c>
    </row>
    <row r="566" spans="1:11" x14ac:dyDescent="0.3">
      <c r="A566" t="s">
        <v>213</v>
      </c>
      <c r="B566" t="s">
        <v>537</v>
      </c>
      <c r="C566" t="s">
        <v>283</v>
      </c>
      <c r="D566" t="s">
        <v>282</v>
      </c>
      <c r="E566">
        <v>132</v>
      </c>
      <c r="F566">
        <v>0</v>
      </c>
      <c r="G566">
        <v>0</v>
      </c>
      <c r="H566">
        <v>132</v>
      </c>
      <c r="I566">
        <v>0</v>
      </c>
      <c r="J566">
        <v>0</v>
      </c>
      <c r="K566">
        <v>0</v>
      </c>
    </row>
    <row r="567" spans="1:11" x14ac:dyDescent="0.3">
      <c r="A567" t="s">
        <v>328</v>
      </c>
      <c r="B567" t="s">
        <v>537</v>
      </c>
      <c r="C567" t="s">
        <v>277</v>
      </c>
      <c r="E567">
        <v>102</v>
      </c>
      <c r="F567">
        <v>0</v>
      </c>
      <c r="G567">
        <v>0</v>
      </c>
      <c r="H567">
        <v>38</v>
      </c>
      <c r="I567">
        <v>0</v>
      </c>
      <c r="J567">
        <v>0</v>
      </c>
      <c r="K567">
        <v>64</v>
      </c>
    </row>
    <row r="568" spans="1:11" x14ac:dyDescent="0.3">
      <c r="A568" t="s">
        <v>325</v>
      </c>
      <c r="B568" t="s">
        <v>537</v>
      </c>
      <c r="C568" t="s">
        <v>275</v>
      </c>
      <c r="E568">
        <v>579</v>
      </c>
      <c r="F568">
        <v>0</v>
      </c>
      <c r="G568">
        <v>0</v>
      </c>
      <c r="H568">
        <v>464</v>
      </c>
      <c r="I568">
        <v>0</v>
      </c>
      <c r="J568">
        <v>42</v>
      </c>
      <c r="K568">
        <v>73</v>
      </c>
    </row>
    <row r="569" spans="1:11" x14ac:dyDescent="0.3">
      <c r="A569" t="s">
        <v>412</v>
      </c>
      <c r="B569" t="s">
        <v>540</v>
      </c>
      <c r="C569" t="s">
        <v>261</v>
      </c>
      <c r="E569">
        <v>18</v>
      </c>
      <c r="F569">
        <v>0</v>
      </c>
      <c r="G569">
        <v>0</v>
      </c>
      <c r="H569">
        <v>0</v>
      </c>
      <c r="I569">
        <v>0</v>
      </c>
      <c r="J569">
        <v>0</v>
      </c>
      <c r="K569">
        <v>18</v>
      </c>
    </row>
    <row r="570" spans="1:11" x14ac:dyDescent="0.3">
      <c r="A570" t="s">
        <v>365</v>
      </c>
      <c r="B570" t="s">
        <v>540</v>
      </c>
      <c r="C570" t="s">
        <v>261</v>
      </c>
      <c r="D570" t="s">
        <v>260</v>
      </c>
      <c r="E570">
        <v>12</v>
      </c>
      <c r="K570">
        <v>12</v>
      </c>
    </row>
    <row r="571" spans="1:11" x14ac:dyDescent="0.3">
      <c r="A571" t="s">
        <v>342</v>
      </c>
      <c r="B571" t="s">
        <v>537</v>
      </c>
      <c r="C571" t="s">
        <v>228</v>
      </c>
      <c r="D571" t="s">
        <v>227</v>
      </c>
      <c r="E571">
        <v>438</v>
      </c>
      <c r="H571">
        <v>177</v>
      </c>
      <c r="J571">
        <v>211</v>
      </c>
      <c r="K571">
        <v>50</v>
      </c>
    </row>
    <row r="572" spans="1:11" x14ac:dyDescent="0.3">
      <c r="A572" t="s">
        <v>342</v>
      </c>
      <c r="B572" t="s">
        <v>540</v>
      </c>
      <c r="C572" t="s">
        <v>285</v>
      </c>
      <c r="D572" t="s">
        <v>284</v>
      </c>
      <c r="E572">
        <v>19</v>
      </c>
      <c r="K572">
        <v>19</v>
      </c>
    </row>
    <row r="573" spans="1:11" x14ac:dyDescent="0.3">
      <c r="A573" t="s">
        <v>342</v>
      </c>
      <c r="B573" t="s">
        <v>537</v>
      </c>
      <c r="C573" t="s">
        <v>263</v>
      </c>
      <c r="D573" t="s">
        <v>262</v>
      </c>
      <c r="E573">
        <v>141</v>
      </c>
      <c r="H573">
        <v>54</v>
      </c>
      <c r="K573">
        <v>87</v>
      </c>
    </row>
    <row r="574" spans="1:11" x14ac:dyDescent="0.3">
      <c r="A574" t="s">
        <v>341</v>
      </c>
      <c r="B574" t="s">
        <v>540</v>
      </c>
      <c r="C574" t="s">
        <v>242</v>
      </c>
      <c r="D574" t="s">
        <v>241</v>
      </c>
      <c r="E574">
        <v>15</v>
      </c>
      <c r="K574">
        <v>15</v>
      </c>
    </row>
    <row r="575" spans="1:11" x14ac:dyDescent="0.3">
      <c r="A575" t="s">
        <v>366</v>
      </c>
      <c r="B575" t="s">
        <v>537</v>
      </c>
      <c r="C575" t="s">
        <v>309</v>
      </c>
      <c r="D575" t="s">
        <v>308</v>
      </c>
      <c r="E575">
        <v>89</v>
      </c>
      <c r="H575">
        <v>19</v>
      </c>
      <c r="J575">
        <v>0</v>
      </c>
      <c r="K575">
        <v>70</v>
      </c>
    </row>
    <row r="576" spans="1:11" x14ac:dyDescent="0.3">
      <c r="A576" t="s">
        <v>364</v>
      </c>
      <c r="B576" t="s">
        <v>540</v>
      </c>
      <c r="C576" t="s">
        <v>251</v>
      </c>
      <c r="D576" t="s">
        <v>250</v>
      </c>
      <c r="E576">
        <v>23</v>
      </c>
      <c r="K576">
        <v>23</v>
      </c>
    </row>
    <row r="577" spans="1:11" x14ac:dyDescent="0.3">
      <c r="A577" t="s">
        <v>364</v>
      </c>
      <c r="B577" t="s">
        <v>537</v>
      </c>
      <c r="C577" t="s">
        <v>302</v>
      </c>
      <c r="D577" t="s">
        <v>301</v>
      </c>
      <c r="E577">
        <v>119</v>
      </c>
      <c r="H577">
        <v>54</v>
      </c>
      <c r="J577">
        <v>0</v>
      </c>
      <c r="K577">
        <v>65</v>
      </c>
    </row>
    <row r="578" spans="1:11" x14ac:dyDescent="0.3">
      <c r="A578" t="s">
        <v>364</v>
      </c>
      <c r="B578" t="s">
        <v>540</v>
      </c>
      <c r="C578" t="s">
        <v>226</v>
      </c>
      <c r="D578" t="s">
        <v>225</v>
      </c>
      <c r="E578">
        <v>11</v>
      </c>
      <c r="K578">
        <v>11</v>
      </c>
    </row>
    <row r="579" spans="1:11" x14ac:dyDescent="0.3">
      <c r="A579" t="s">
        <v>366</v>
      </c>
      <c r="B579" t="s">
        <v>544</v>
      </c>
      <c r="C579" t="s">
        <v>545</v>
      </c>
      <c r="D579" t="s">
        <v>549</v>
      </c>
      <c r="E579">
        <v>695</v>
      </c>
      <c r="F579">
        <v>203</v>
      </c>
      <c r="I579">
        <v>297</v>
      </c>
      <c r="K579">
        <v>195</v>
      </c>
    </row>
    <row r="580" spans="1:11" x14ac:dyDescent="0.3">
      <c r="A580" t="s">
        <v>341</v>
      </c>
      <c r="B580" t="s">
        <v>537</v>
      </c>
      <c r="C580" t="s">
        <v>292</v>
      </c>
      <c r="D580" t="s">
        <v>291</v>
      </c>
      <c r="E580">
        <v>95</v>
      </c>
      <c r="H580">
        <v>95</v>
      </c>
      <c r="J580">
        <v>0</v>
      </c>
      <c r="K580">
        <v>0</v>
      </c>
    </row>
    <row r="581" spans="1:11" x14ac:dyDescent="0.3">
      <c r="A581" t="s">
        <v>366</v>
      </c>
      <c r="B581" t="s">
        <v>537</v>
      </c>
      <c r="C581" t="s">
        <v>311</v>
      </c>
      <c r="D581" t="s">
        <v>310</v>
      </c>
      <c r="E581">
        <v>116</v>
      </c>
      <c r="H581">
        <v>55</v>
      </c>
      <c r="J581">
        <v>0</v>
      </c>
      <c r="K581">
        <v>61</v>
      </c>
    </row>
    <row r="582" spans="1:11" x14ac:dyDescent="0.3">
      <c r="A582" t="s">
        <v>366</v>
      </c>
      <c r="B582" t="s">
        <v>537</v>
      </c>
      <c r="C582" t="s">
        <v>263</v>
      </c>
      <c r="D582" t="s">
        <v>262</v>
      </c>
      <c r="E582">
        <v>148</v>
      </c>
      <c r="H582">
        <v>53</v>
      </c>
      <c r="J582">
        <v>0</v>
      </c>
      <c r="K582">
        <v>95</v>
      </c>
    </row>
    <row r="583" spans="1:11" x14ac:dyDescent="0.3">
      <c r="A583" t="s">
        <v>366</v>
      </c>
      <c r="B583" t="s">
        <v>537</v>
      </c>
      <c r="C583" t="s">
        <v>296</v>
      </c>
      <c r="D583" t="s">
        <v>295</v>
      </c>
      <c r="E583">
        <v>105</v>
      </c>
      <c r="H583">
        <v>13</v>
      </c>
      <c r="J583">
        <v>0</v>
      </c>
      <c r="K583">
        <v>92</v>
      </c>
    </row>
    <row r="584" spans="1:11" x14ac:dyDescent="0.3">
      <c r="A584" t="s">
        <v>341</v>
      </c>
      <c r="B584" t="s">
        <v>537</v>
      </c>
      <c r="C584" t="s">
        <v>311</v>
      </c>
      <c r="D584" t="s">
        <v>310</v>
      </c>
      <c r="E584">
        <v>124</v>
      </c>
      <c r="H584">
        <v>64</v>
      </c>
      <c r="J584">
        <v>0</v>
      </c>
      <c r="K584">
        <v>60</v>
      </c>
    </row>
    <row r="585" spans="1:11" x14ac:dyDescent="0.3">
      <c r="A585" t="s">
        <v>364</v>
      </c>
      <c r="B585" t="s">
        <v>540</v>
      </c>
      <c r="C585" t="s">
        <v>285</v>
      </c>
      <c r="D585" t="s">
        <v>284</v>
      </c>
      <c r="E585">
        <v>9</v>
      </c>
      <c r="K585">
        <v>9</v>
      </c>
    </row>
    <row r="586" spans="1:11" x14ac:dyDescent="0.3">
      <c r="A586" t="s">
        <v>342</v>
      </c>
      <c r="B586" t="s">
        <v>540</v>
      </c>
      <c r="C586" t="s">
        <v>244</v>
      </c>
      <c r="D586" t="s">
        <v>245</v>
      </c>
      <c r="E586">
        <v>22</v>
      </c>
      <c r="K586">
        <v>22</v>
      </c>
    </row>
    <row r="587" spans="1:11" x14ac:dyDescent="0.3">
      <c r="A587" t="s">
        <v>365</v>
      </c>
      <c r="B587" t="s">
        <v>537</v>
      </c>
      <c r="C587" t="s">
        <v>296</v>
      </c>
      <c r="D587" t="s">
        <v>295</v>
      </c>
      <c r="E587">
        <v>129</v>
      </c>
      <c r="H587">
        <v>14</v>
      </c>
      <c r="J587">
        <v>0</v>
      </c>
      <c r="K587">
        <v>115</v>
      </c>
    </row>
    <row r="588" spans="1:11" x14ac:dyDescent="0.3">
      <c r="A588" t="s">
        <v>366</v>
      </c>
      <c r="B588" t="s">
        <v>537</v>
      </c>
      <c r="C588" t="s">
        <v>281</v>
      </c>
      <c r="D588" t="s">
        <v>280</v>
      </c>
      <c r="E588">
        <v>161</v>
      </c>
      <c r="H588">
        <v>110</v>
      </c>
      <c r="J588">
        <v>20</v>
      </c>
      <c r="K588">
        <v>31</v>
      </c>
    </row>
    <row r="589" spans="1:11" x14ac:dyDescent="0.3">
      <c r="A589" t="s">
        <v>364</v>
      </c>
      <c r="B589" t="s">
        <v>537</v>
      </c>
      <c r="C589" t="s">
        <v>240</v>
      </c>
      <c r="D589" t="s">
        <v>239</v>
      </c>
      <c r="E589">
        <v>64</v>
      </c>
      <c r="H589">
        <v>21</v>
      </c>
      <c r="J589">
        <v>0</v>
      </c>
      <c r="K589">
        <v>43</v>
      </c>
    </row>
    <row r="590" spans="1:11" x14ac:dyDescent="0.3">
      <c r="A590" t="s">
        <v>366</v>
      </c>
      <c r="B590" t="s">
        <v>537</v>
      </c>
      <c r="C590" t="s">
        <v>289</v>
      </c>
      <c r="D590" t="s">
        <v>288</v>
      </c>
      <c r="E590">
        <v>214</v>
      </c>
      <c r="H590">
        <v>34</v>
      </c>
      <c r="J590">
        <v>0</v>
      </c>
      <c r="K590">
        <v>180</v>
      </c>
    </row>
    <row r="591" spans="1:11" x14ac:dyDescent="0.3">
      <c r="A591" t="s">
        <v>365</v>
      </c>
      <c r="B591" t="s">
        <v>540</v>
      </c>
      <c r="C591" t="s">
        <v>270</v>
      </c>
      <c r="D591" t="s">
        <v>271</v>
      </c>
      <c r="E591">
        <v>25</v>
      </c>
      <c r="K591">
        <v>25</v>
      </c>
    </row>
    <row r="592" spans="1:11" x14ac:dyDescent="0.3">
      <c r="A592" t="s">
        <v>341</v>
      </c>
      <c r="B592" t="s">
        <v>540</v>
      </c>
      <c r="C592" t="s">
        <v>261</v>
      </c>
      <c r="D592" t="s">
        <v>260</v>
      </c>
      <c r="E592">
        <v>18</v>
      </c>
      <c r="K592">
        <v>18</v>
      </c>
    </row>
    <row r="593" spans="1:11" x14ac:dyDescent="0.3">
      <c r="A593" t="s">
        <v>365</v>
      </c>
      <c r="B593" t="s">
        <v>540</v>
      </c>
      <c r="C593" t="s">
        <v>226</v>
      </c>
      <c r="D593" t="s">
        <v>225</v>
      </c>
      <c r="E593">
        <v>12</v>
      </c>
      <c r="K593">
        <v>12</v>
      </c>
    </row>
    <row r="594" spans="1:11" x14ac:dyDescent="0.3">
      <c r="A594" t="s">
        <v>366</v>
      </c>
      <c r="B594" t="s">
        <v>537</v>
      </c>
      <c r="C594" t="s">
        <v>215</v>
      </c>
      <c r="D594" t="s">
        <v>214</v>
      </c>
      <c r="E594">
        <v>167</v>
      </c>
      <c r="H594">
        <v>23</v>
      </c>
      <c r="J594">
        <v>0</v>
      </c>
      <c r="K594">
        <v>144</v>
      </c>
    </row>
    <row r="595" spans="1:11" x14ac:dyDescent="0.3">
      <c r="A595" t="s">
        <v>341</v>
      </c>
      <c r="B595" t="s">
        <v>537</v>
      </c>
      <c r="C595" t="s">
        <v>215</v>
      </c>
      <c r="D595" t="s">
        <v>214</v>
      </c>
      <c r="E595">
        <v>163</v>
      </c>
      <c r="H595">
        <v>8</v>
      </c>
      <c r="J595">
        <v>0</v>
      </c>
      <c r="K595">
        <v>155</v>
      </c>
    </row>
    <row r="596" spans="1:11" x14ac:dyDescent="0.3">
      <c r="A596" t="s">
        <v>365</v>
      </c>
      <c r="B596" t="s">
        <v>537</v>
      </c>
      <c r="C596" t="s">
        <v>259</v>
      </c>
      <c r="D596" t="s">
        <v>258</v>
      </c>
      <c r="E596">
        <v>57</v>
      </c>
      <c r="H596">
        <v>0</v>
      </c>
      <c r="J596">
        <v>0</v>
      </c>
      <c r="K596">
        <v>57</v>
      </c>
    </row>
    <row r="597" spans="1:11" x14ac:dyDescent="0.3">
      <c r="A597" t="s">
        <v>342</v>
      </c>
      <c r="B597" t="s">
        <v>537</v>
      </c>
      <c r="C597" t="s">
        <v>289</v>
      </c>
      <c r="D597" t="s">
        <v>288</v>
      </c>
      <c r="E597">
        <v>200</v>
      </c>
      <c r="H597">
        <v>37</v>
      </c>
      <c r="K597">
        <v>163</v>
      </c>
    </row>
    <row r="598" spans="1:11" x14ac:dyDescent="0.3">
      <c r="A598" t="s">
        <v>364</v>
      </c>
      <c r="B598" t="s">
        <v>540</v>
      </c>
      <c r="C598" t="s">
        <v>257</v>
      </c>
      <c r="D598" t="s">
        <v>256</v>
      </c>
      <c r="E598">
        <v>21</v>
      </c>
      <c r="K598">
        <v>21</v>
      </c>
    </row>
    <row r="599" spans="1:11" x14ac:dyDescent="0.3">
      <c r="A599" t="s">
        <v>365</v>
      </c>
      <c r="B599" t="s">
        <v>537</v>
      </c>
      <c r="C599" t="s">
        <v>247</v>
      </c>
      <c r="D599" t="s">
        <v>246</v>
      </c>
      <c r="E599">
        <v>221</v>
      </c>
      <c r="H599">
        <v>14</v>
      </c>
      <c r="J599">
        <v>0</v>
      </c>
      <c r="K599">
        <v>207</v>
      </c>
    </row>
    <row r="600" spans="1:11" x14ac:dyDescent="0.3">
      <c r="A600" t="s">
        <v>341</v>
      </c>
      <c r="B600" t="s">
        <v>537</v>
      </c>
      <c r="C600" t="s">
        <v>294</v>
      </c>
      <c r="D600" t="s">
        <v>293</v>
      </c>
      <c r="E600">
        <v>213</v>
      </c>
      <c r="H600">
        <v>122</v>
      </c>
      <c r="J600">
        <v>23</v>
      </c>
      <c r="K600">
        <v>68</v>
      </c>
    </row>
    <row r="601" spans="1:11" x14ac:dyDescent="0.3">
      <c r="A601" t="s">
        <v>342</v>
      </c>
      <c r="B601" t="s">
        <v>540</v>
      </c>
      <c r="C601" t="s">
        <v>270</v>
      </c>
      <c r="D601" t="s">
        <v>271</v>
      </c>
      <c r="E601">
        <v>22</v>
      </c>
      <c r="K601">
        <v>22</v>
      </c>
    </row>
    <row r="602" spans="1:11" x14ac:dyDescent="0.3">
      <c r="A602" t="s">
        <v>364</v>
      </c>
      <c r="B602" t="s">
        <v>540</v>
      </c>
      <c r="C602" t="s">
        <v>304</v>
      </c>
      <c r="D602" t="s">
        <v>305</v>
      </c>
      <c r="E602">
        <v>10</v>
      </c>
      <c r="K602">
        <v>10</v>
      </c>
    </row>
    <row r="603" spans="1:11" x14ac:dyDescent="0.3">
      <c r="A603" t="s">
        <v>341</v>
      </c>
      <c r="B603" t="s">
        <v>540</v>
      </c>
      <c r="C603" t="s">
        <v>267</v>
      </c>
      <c r="D603" t="s">
        <v>268</v>
      </c>
      <c r="E603">
        <v>24</v>
      </c>
      <c r="K603">
        <v>24</v>
      </c>
    </row>
    <row r="604" spans="1:11" x14ac:dyDescent="0.3">
      <c r="A604" t="s">
        <v>364</v>
      </c>
      <c r="B604" t="s">
        <v>537</v>
      </c>
      <c r="C604" t="s">
        <v>281</v>
      </c>
      <c r="D604" t="s">
        <v>280</v>
      </c>
      <c r="E604">
        <v>156</v>
      </c>
      <c r="H604">
        <v>104</v>
      </c>
      <c r="J604">
        <v>32</v>
      </c>
      <c r="K604">
        <v>20</v>
      </c>
    </row>
    <row r="605" spans="1:11" x14ac:dyDescent="0.3">
      <c r="A605" t="s">
        <v>364</v>
      </c>
      <c r="B605" t="s">
        <v>540</v>
      </c>
      <c r="C605" t="s">
        <v>215</v>
      </c>
      <c r="D605" t="s">
        <v>216</v>
      </c>
      <c r="E605">
        <v>15</v>
      </c>
      <c r="K605">
        <v>15</v>
      </c>
    </row>
    <row r="606" spans="1:11" x14ac:dyDescent="0.3">
      <c r="A606" t="s">
        <v>364</v>
      </c>
      <c r="B606" t="s">
        <v>537</v>
      </c>
      <c r="C606" t="s">
        <v>224</v>
      </c>
      <c r="D606" t="s">
        <v>223</v>
      </c>
      <c r="E606">
        <v>134</v>
      </c>
      <c r="H606">
        <v>99</v>
      </c>
      <c r="J606">
        <v>0</v>
      </c>
      <c r="K606">
        <v>35</v>
      </c>
    </row>
    <row r="607" spans="1:11" x14ac:dyDescent="0.3">
      <c r="A607" t="s">
        <v>342</v>
      </c>
      <c r="B607" t="s">
        <v>537</v>
      </c>
      <c r="C607" t="s">
        <v>309</v>
      </c>
      <c r="D607" t="s">
        <v>308</v>
      </c>
      <c r="E607">
        <v>86</v>
      </c>
      <c r="H607">
        <v>18</v>
      </c>
      <c r="K607">
        <v>68</v>
      </c>
    </row>
    <row r="608" spans="1:11" x14ac:dyDescent="0.3">
      <c r="A608" t="s">
        <v>366</v>
      </c>
      <c r="B608" t="s">
        <v>540</v>
      </c>
      <c r="C608" t="s">
        <v>304</v>
      </c>
      <c r="D608" t="s">
        <v>305</v>
      </c>
      <c r="E608">
        <v>16</v>
      </c>
      <c r="K608">
        <v>16</v>
      </c>
    </row>
    <row r="609" spans="1:11" x14ac:dyDescent="0.3">
      <c r="A609" t="s">
        <v>364</v>
      </c>
      <c r="B609" t="s">
        <v>540</v>
      </c>
      <c r="C609" t="s">
        <v>261</v>
      </c>
      <c r="D609" t="s">
        <v>260</v>
      </c>
      <c r="E609">
        <v>12</v>
      </c>
      <c r="K609">
        <v>12</v>
      </c>
    </row>
    <row r="610" spans="1:11" x14ac:dyDescent="0.3">
      <c r="A610" t="s">
        <v>318</v>
      </c>
      <c r="B610" t="s">
        <v>540</v>
      </c>
      <c r="C610" t="s">
        <v>257</v>
      </c>
      <c r="D610" t="s">
        <v>237</v>
      </c>
      <c r="E610">
        <v>28</v>
      </c>
      <c r="F610">
        <v>0</v>
      </c>
      <c r="G610">
        <v>4</v>
      </c>
      <c r="H610">
        <v>0</v>
      </c>
      <c r="I610">
        <v>0</v>
      </c>
      <c r="J610">
        <v>0</v>
      </c>
      <c r="K610">
        <v>28</v>
      </c>
    </row>
    <row r="611" spans="1:11" x14ac:dyDescent="0.3">
      <c r="A611" t="s">
        <v>213</v>
      </c>
      <c r="B611" t="s">
        <v>537</v>
      </c>
      <c r="C611" t="s">
        <v>292</v>
      </c>
      <c r="D611" t="s">
        <v>291</v>
      </c>
      <c r="E611">
        <v>109</v>
      </c>
      <c r="F611">
        <v>0</v>
      </c>
      <c r="G611">
        <v>0</v>
      </c>
      <c r="H611">
        <v>109</v>
      </c>
      <c r="I611">
        <v>0</v>
      </c>
      <c r="J611">
        <v>0</v>
      </c>
      <c r="K611">
        <v>0</v>
      </c>
    </row>
    <row r="612" spans="1:11" x14ac:dyDescent="0.3">
      <c r="A612" t="s">
        <v>312</v>
      </c>
      <c r="B612" t="s">
        <v>540</v>
      </c>
      <c r="C612" t="s">
        <v>313</v>
      </c>
      <c r="E612">
        <v>38</v>
      </c>
      <c r="F612">
        <v>0</v>
      </c>
      <c r="G612">
        <v>4</v>
      </c>
      <c r="H612">
        <v>0</v>
      </c>
      <c r="I612">
        <v>0</v>
      </c>
      <c r="J612">
        <v>0</v>
      </c>
      <c r="K612">
        <v>38</v>
      </c>
    </row>
    <row r="613" spans="1:11" x14ac:dyDescent="0.3">
      <c r="A613" t="s">
        <v>328</v>
      </c>
      <c r="B613" t="s">
        <v>537</v>
      </c>
      <c r="C613" t="s">
        <v>307</v>
      </c>
      <c r="E613">
        <v>119</v>
      </c>
      <c r="F613">
        <v>0</v>
      </c>
      <c r="G613">
        <v>0</v>
      </c>
      <c r="H613">
        <v>72</v>
      </c>
      <c r="I613">
        <v>0</v>
      </c>
      <c r="J613">
        <v>0</v>
      </c>
      <c r="K613">
        <v>47</v>
      </c>
    </row>
    <row r="614" spans="1:11" x14ac:dyDescent="0.3">
      <c r="A614" t="s">
        <v>325</v>
      </c>
      <c r="B614" t="s">
        <v>537</v>
      </c>
      <c r="C614" t="s">
        <v>289</v>
      </c>
      <c r="E614">
        <v>190</v>
      </c>
      <c r="F614">
        <v>0</v>
      </c>
      <c r="G614">
        <v>0</v>
      </c>
      <c r="H614">
        <v>31</v>
      </c>
      <c r="I614">
        <v>0</v>
      </c>
      <c r="J614">
        <v>0</v>
      </c>
      <c r="K614">
        <v>159</v>
      </c>
    </row>
    <row r="615" spans="1:11" x14ac:dyDescent="0.3">
      <c r="A615" t="s">
        <v>328</v>
      </c>
      <c r="B615" t="s">
        <v>544</v>
      </c>
      <c r="C615" t="s">
        <v>545</v>
      </c>
      <c r="D615" t="s">
        <v>549</v>
      </c>
      <c r="E615">
        <v>1178</v>
      </c>
      <c r="F615">
        <v>171</v>
      </c>
      <c r="G615">
        <v>0</v>
      </c>
      <c r="H615">
        <v>0</v>
      </c>
      <c r="I615">
        <v>917</v>
      </c>
      <c r="J615">
        <v>0</v>
      </c>
      <c r="K615">
        <v>90</v>
      </c>
    </row>
    <row r="616" spans="1:11" x14ac:dyDescent="0.3">
      <c r="A616" t="s">
        <v>412</v>
      </c>
      <c r="B616" t="s">
        <v>540</v>
      </c>
      <c r="C616" t="s">
        <v>244</v>
      </c>
      <c r="E616">
        <v>11</v>
      </c>
      <c r="F616">
        <v>0</v>
      </c>
      <c r="G616">
        <v>4</v>
      </c>
      <c r="H616">
        <v>0</v>
      </c>
      <c r="I616">
        <v>0</v>
      </c>
      <c r="J616">
        <v>0</v>
      </c>
      <c r="K616">
        <v>11</v>
      </c>
    </row>
    <row r="617" spans="1:11" x14ac:dyDescent="0.3">
      <c r="A617" t="s">
        <v>328</v>
      </c>
      <c r="B617" t="s">
        <v>540</v>
      </c>
      <c r="C617" t="s">
        <v>251</v>
      </c>
      <c r="E617">
        <v>18</v>
      </c>
      <c r="F617">
        <v>0</v>
      </c>
      <c r="G617">
        <v>4</v>
      </c>
      <c r="H617">
        <v>0</v>
      </c>
      <c r="I617">
        <v>0</v>
      </c>
      <c r="J617">
        <v>0</v>
      </c>
      <c r="K617">
        <v>18</v>
      </c>
    </row>
    <row r="618" spans="1:11" x14ac:dyDescent="0.3">
      <c r="A618" t="s">
        <v>312</v>
      </c>
      <c r="B618" t="s">
        <v>540</v>
      </c>
      <c r="C618" t="s">
        <v>289</v>
      </c>
      <c r="D618" t="s">
        <v>231</v>
      </c>
      <c r="E618">
        <v>16</v>
      </c>
      <c r="F618">
        <v>0</v>
      </c>
      <c r="G618">
        <v>0</v>
      </c>
      <c r="H618">
        <v>0</v>
      </c>
      <c r="I618">
        <v>0</v>
      </c>
      <c r="J618">
        <v>0</v>
      </c>
      <c r="K618">
        <v>16</v>
      </c>
    </row>
    <row r="619" spans="1:11" x14ac:dyDescent="0.3">
      <c r="A619" t="s">
        <v>325</v>
      </c>
      <c r="B619" t="s">
        <v>540</v>
      </c>
      <c r="C619" t="s">
        <v>251</v>
      </c>
      <c r="E619">
        <v>26</v>
      </c>
      <c r="F619">
        <v>0</v>
      </c>
      <c r="G619">
        <v>4</v>
      </c>
      <c r="H619">
        <v>0</v>
      </c>
      <c r="I619">
        <v>0</v>
      </c>
      <c r="J619">
        <v>0</v>
      </c>
      <c r="K619">
        <v>26</v>
      </c>
    </row>
    <row r="620" spans="1:11" x14ac:dyDescent="0.3">
      <c r="A620" t="s">
        <v>328</v>
      </c>
      <c r="B620" t="s">
        <v>540</v>
      </c>
      <c r="C620" t="s">
        <v>261</v>
      </c>
      <c r="E620">
        <v>15</v>
      </c>
      <c r="F620">
        <v>0</v>
      </c>
      <c r="G620">
        <v>0</v>
      </c>
      <c r="H620">
        <v>0</v>
      </c>
      <c r="I620">
        <v>0</v>
      </c>
      <c r="J620">
        <v>0</v>
      </c>
      <c r="K620">
        <v>15</v>
      </c>
    </row>
    <row r="621" spans="1:11" x14ac:dyDescent="0.3">
      <c r="A621" t="s">
        <v>325</v>
      </c>
      <c r="B621" t="s">
        <v>537</v>
      </c>
      <c r="C621" t="s">
        <v>302</v>
      </c>
      <c r="E621">
        <v>96</v>
      </c>
      <c r="F621">
        <v>0</v>
      </c>
      <c r="G621">
        <v>0</v>
      </c>
      <c r="H621">
        <v>48</v>
      </c>
      <c r="I621">
        <v>0</v>
      </c>
      <c r="J621">
        <v>0</v>
      </c>
      <c r="K621">
        <v>48</v>
      </c>
    </row>
    <row r="622" spans="1:11" x14ac:dyDescent="0.3">
      <c r="A622" t="s">
        <v>325</v>
      </c>
      <c r="B622" t="s">
        <v>537</v>
      </c>
      <c r="C622" t="s">
        <v>259</v>
      </c>
      <c r="E622">
        <v>47</v>
      </c>
      <c r="F622">
        <v>0</v>
      </c>
      <c r="G622">
        <v>0</v>
      </c>
      <c r="H622">
        <v>0</v>
      </c>
      <c r="I622">
        <v>0</v>
      </c>
      <c r="J622">
        <v>0</v>
      </c>
      <c r="K622">
        <v>47</v>
      </c>
    </row>
    <row r="623" spans="1:11" x14ac:dyDescent="0.3">
      <c r="A623" t="s">
        <v>328</v>
      </c>
      <c r="B623" t="s">
        <v>542</v>
      </c>
      <c r="C623" t="s">
        <v>238</v>
      </c>
      <c r="D623" t="s">
        <v>237</v>
      </c>
      <c r="E623">
        <v>73</v>
      </c>
      <c r="F623">
        <v>0</v>
      </c>
      <c r="G623">
        <v>0</v>
      </c>
      <c r="H623">
        <v>0</v>
      </c>
      <c r="I623">
        <v>0</v>
      </c>
      <c r="J623">
        <v>0</v>
      </c>
      <c r="K623">
        <v>73</v>
      </c>
    </row>
    <row r="624" spans="1:11" x14ac:dyDescent="0.3">
      <c r="A624" t="s">
        <v>213</v>
      </c>
      <c r="B624" t="s">
        <v>537</v>
      </c>
      <c r="C624" t="s">
        <v>300</v>
      </c>
      <c r="D624" t="s">
        <v>299</v>
      </c>
      <c r="E624">
        <v>127</v>
      </c>
      <c r="F624">
        <v>0</v>
      </c>
      <c r="G624">
        <v>0</v>
      </c>
      <c r="H624">
        <v>127</v>
      </c>
      <c r="I624">
        <v>0</v>
      </c>
      <c r="J624">
        <v>0</v>
      </c>
      <c r="K624">
        <v>0</v>
      </c>
    </row>
    <row r="625" spans="1:11" x14ac:dyDescent="0.3">
      <c r="A625" t="s">
        <v>412</v>
      </c>
      <c r="B625" t="s">
        <v>537</v>
      </c>
      <c r="C625" t="s">
        <v>224</v>
      </c>
      <c r="E625">
        <v>121</v>
      </c>
      <c r="F625">
        <v>0</v>
      </c>
      <c r="G625">
        <v>0</v>
      </c>
      <c r="H625">
        <v>95</v>
      </c>
      <c r="I625">
        <v>0</v>
      </c>
      <c r="J625">
        <v>0</v>
      </c>
      <c r="K625">
        <v>26</v>
      </c>
    </row>
    <row r="626" spans="1:11" x14ac:dyDescent="0.3">
      <c r="A626" t="s">
        <v>325</v>
      </c>
      <c r="B626" t="s">
        <v>540</v>
      </c>
      <c r="C626" t="s">
        <v>230</v>
      </c>
      <c r="E626">
        <v>30</v>
      </c>
      <c r="F626">
        <v>0</v>
      </c>
      <c r="G626">
        <v>0</v>
      </c>
      <c r="H626">
        <v>0</v>
      </c>
      <c r="I626">
        <v>0</v>
      </c>
      <c r="J626">
        <v>0</v>
      </c>
      <c r="K626">
        <v>30</v>
      </c>
    </row>
    <row r="627" spans="1:11" x14ac:dyDescent="0.3">
      <c r="A627" t="s">
        <v>213</v>
      </c>
      <c r="B627" t="s">
        <v>540</v>
      </c>
      <c r="C627" t="s">
        <v>324</v>
      </c>
      <c r="D627" t="s">
        <v>305</v>
      </c>
      <c r="E627">
        <v>16</v>
      </c>
      <c r="F627">
        <v>0</v>
      </c>
      <c r="G627">
        <v>1</v>
      </c>
      <c r="H627">
        <v>0</v>
      </c>
      <c r="I627">
        <v>0</v>
      </c>
      <c r="J627">
        <v>0</v>
      </c>
      <c r="K627">
        <v>16</v>
      </c>
    </row>
    <row r="628" spans="1:11" x14ac:dyDescent="0.3">
      <c r="A628" t="s">
        <v>325</v>
      </c>
      <c r="B628" t="s">
        <v>537</v>
      </c>
      <c r="C628" t="s">
        <v>309</v>
      </c>
      <c r="E628">
        <v>87</v>
      </c>
      <c r="F628">
        <v>0</v>
      </c>
      <c r="G628">
        <v>0</v>
      </c>
      <c r="H628">
        <v>19</v>
      </c>
      <c r="I628">
        <v>0</v>
      </c>
      <c r="J628">
        <v>0</v>
      </c>
      <c r="K628">
        <v>68</v>
      </c>
    </row>
    <row r="629" spans="1:11" x14ac:dyDescent="0.3">
      <c r="A629" t="s">
        <v>326</v>
      </c>
      <c r="B629" t="s">
        <v>537</v>
      </c>
      <c r="C629" t="s">
        <v>300</v>
      </c>
      <c r="E629">
        <v>115</v>
      </c>
      <c r="F629">
        <v>0</v>
      </c>
      <c r="G629">
        <v>0</v>
      </c>
      <c r="H629">
        <v>114</v>
      </c>
      <c r="I629">
        <v>0</v>
      </c>
      <c r="J629">
        <v>0</v>
      </c>
      <c r="K629">
        <v>1</v>
      </c>
    </row>
    <row r="630" spans="1:11" x14ac:dyDescent="0.3">
      <c r="A630" t="s">
        <v>213</v>
      </c>
      <c r="B630" t="s">
        <v>542</v>
      </c>
      <c r="C630" t="s">
        <v>218</v>
      </c>
      <c r="D630" t="s">
        <v>217</v>
      </c>
      <c r="E630">
        <v>30</v>
      </c>
      <c r="F630">
        <v>0</v>
      </c>
      <c r="G630">
        <v>0</v>
      </c>
      <c r="H630">
        <v>0</v>
      </c>
      <c r="I630">
        <v>0</v>
      </c>
      <c r="J630">
        <v>0</v>
      </c>
      <c r="K630">
        <v>30</v>
      </c>
    </row>
    <row r="631" spans="1:11" x14ac:dyDescent="0.3">
      <c r="A631" t="s">
        <v>325</v>
      </c>
      <c r="B631" t="s">
        <v>537</v>
      </c>
      <c r="C631" t="s">
        <v>298</v>
      </c>
      <c r="E631">
        <v>210</v>
      </c>
      <c r="F631">
        <v>0</v>
      </c>
      <c r="G631">
        <v>0</v>
      </c>
      <c r="H631">
        <v>154</v>
      </c>
      <c r="I631">
        <v>0</v>
      </c>
      <c r="J631">
        <v>0</v>
      </c>
      <c r="K631">
        <v>56</v>
      </c>
    </row>
    <row r="632" spans="1:11" x14ac:dyDescent="0.3">
      <c r="A632" t="s">
        <v>213</v>
      </c>
      <c r="B632" t="s">
        <v>537</v>
      </c>
      <c r="C632" t="s">
        <v>253</v>
      </c>
      <c r="D632" t="s">
        <v>252</v>
      </c>
      <c r="E632">
        <v>78</v>
      </c>
      <c r="F632">
        <v>0</v>
      </c>
      <c r="G632">
        <v>0</v>
      </c>
      <c r="H632">
        <v>0</v>
      </c>
      <c r="I632">
        <v>0</v>
      </c>
      <c r="J632">
        <v>0</v>
      </c>
      <c r="K632">
        <v>78</v>
      </c>
    </row>
    <row r="633" spans="1:11" x14ac:dyDescent="0.3">
      <c r="A633" t="s">
        <v>412</v>
      </c>
      <c r="B633" t="s">
        <v>537</v>
      </c>
      <c r="C633" t="s">
        <v>277</v>
      </c>
      <c r="E633">
        <v>106</v>
      </c>
      <c r="F633">
        <v>0</v>
      </c>
      <c r="G633">
        <v>0</v>
      </c>
      <c r="H633">
        <v>40</v>
      </c>
      <c r="I633">
        <v>0</v>
      </c>
      <c r="J633">
        <v>0</v>
      </c>
      <c r="K633">
        <v>66</v>
      </c>
    </row>
    <row r="634" spans="1:11" x14ac:dyDescent="0.3">
      <c r="A634" t="s">
        <v>213</v>
      </c>
      <c r="B634" t="s">
        <v>542</v>
      </c>
      <c r="C634" t="s">
        <v>238</v>
      </c>
      <c r="D634" t="s">
        <v>237</v>
      </c>
      <c r="E634">
        <v>37</v>
      </c>
      <c r="F634">
        <v>0</v>
      </c>
      <c r="G634">
        <v>0</v>
      </c>
      <c r="H634">
        <v>0</v>
      </c>
      <c r="I634">
        <v>0</v>
      </c>
      <c r="J634">
        <v>0</v>
      </c>
      <c r="K634">
        <v>37</v>
      </c>
    </row>
    <row r="635" spans="1:11" x14ac:dyDescent="0.3">
      <c r="A635" t="s">
        <v>213</v>
      </c>
      <c r="B635" t="s">
        <v>540</v>
      </c>
      <c r="C635" t="s">
        <v>270</v>
      </c>
      <c r="D635" t="s">
        <v>271</v>
      </c>
      <c r="E635">
        <v>25</v>
      </c>
      <c r="F635">
        <v>0</v>
      </c>
      <c r="G635">
        <v>0</v>
      </c>
      <c r="H635">
        <v>0</v>
      </c>
      <c r="I635">
        <v>0</v>
      </c>
      <c r="J635">
        <v>0</v>
      </c>
      <c r="K635">
        <v>25</v>
      </c>
    </row>
    <row r="636" spans="1:11" x14ac:dyDescent="0.3">
      <c r="A636" t="s">
        <v>412</v>
      </c>
      <c r="B636" t="s">
        <v>537</v>
      </c>
      <c r="C636" t="s">
        <v>296</v>
      </c>
      <c r="E636">
        <v>115</v>
      </c>
      <c r="F636">
        <v>0</v>
      </c>
      <c r="G636">
        <v>0</v>
      </c>
      <c r="H636">
        <v>14</v>
      </c>
      <c r="I636">
        <v>0</v>
      </c>
      <c r="J636">
        <v>0</v>
      </c>
      <c r="K636">
        <v>101</v>
      </c>
    </row>
    <row r="637" spans="1:11" x14ac:dyDescent="0.3">
      <c r="A637" t="s">
        <v>326</v>
      </c>
      <c r="B637" t="s">
        <v>537</v>
      </c>
      <c r="C637" t="s">
        <v>263</v>
      </c>
      <c r="E637">
        <v>152</v>
      </c>
      <c r="F637">
        <v>0</v>
      </c>
      <c r="G637">
        <v>0</v>
      </c>
      <c r="H637">
        <v>61</v>
      </c>
      <c r="I637">
        <v>0</v>
      </c>
      <c r="J637">
        <v>0</v>
      </c>
      <c r="K637">
        <v>91</v>
      </c>
    </row>
    <row r="638" spans="1:11" x14ac:dyDescent="0.3">
      <c r="A638" t="s">
        <v>328</v>
      </c>
      <c r="B638" t="s">
        <v>542</v>
      </c>
      <c r="C638" t="s">
        <v>218</v>
      </c>
      <c r="E638">
        <v>64</v>
      </c>
      <c r="F638">
        <v>0</v>
      </c>
      <c r="G638">
        <v>0</v>
      </c>
      <c r="H638">
        <v>0</v>
      </c>
      <c r="I638">
        <v>0</v>
      </c>
      <c r="J638">
        <v>0</v>
      </c>
      <c r="K638">
        <v>64</v>
      </c>
    </row>
    <row r="639" spans="1:11" x14ac:dyDescent="0.3">
      <c r="A639" t="s">
        <v>318</v>
      </c>
      <c r="B639" t="s">
        <v>537</v>
      </c>
      <c r="C639" t="s">
        <v>311</v>
      </c>
      <c r="D639" t="s">
        <v>237</v>
      </c>
      <c r="E639">
        <v>115</v>
      </c>
      <c r="F639">
        <v>0</v>
      </c>
      <c r="G639">
        <v>0</v>
      </c>
      <c r="H639">
        <v>58</v>
      </c>
      <c r="I639">
        <v>0</v>
      </c>
      <c r="J639">
        <v>0</v>
      </c>
      <c r="K639">
        <v>57</v>
      </c>
    </row>
    <row r="640" spans="1:11" x14ac:dyDescent="0.3">
      <c r="A640" t="s">
        <v>312</v>
      </c>
      <c r="B640" t="s">
        <v>540</v>
      </c>
      <c r="C640" t="s">
        <v>215</v>
      </c>
      <c r="D640" t="s">
        <v>217</v>
      </c>
      <c r="E640">
        <v>13</v>
      </c>
      <c r="F640">
        <v>0</v>
      </c>
      <c r="G640">
        <v>0</v>
      </c>
      <c r="H640">
        <v>0</v>
      </c>
      <c r="I640">
        <v>0</v>
      </c>
      <c r="J640">
        <v>0</v>
      </c>
      <c r="K640">
        <v>13</v>
      </c>
    </row>
    <row r="641" spans="1:11" x14ac:dyDescent="0.3">
      <c r="A641" t="s">
        <v>213</v>
      </c>
      <c r="B641" t="s">
        <v>540</v>
      </c>
      <c r="C641" t="s">
        <v>261</v>
      </c>
      <c r="D641" t="s">
        <v>260</v>
      </c>
      <c r="E641">
        <v>14</v>
      </c>
      <c r="F641">
        <v>0</v>
      </c>
      <c r="G641">
        <v>0</v>
      </c>
      <c r="H641">
        <v>0</v>
      </c>
      <c r="I641">
        <v>0</v>
      </c>
      <c r="J641">
        <v>0</v>
      </c>
      <c r="K641">
        <v>14</v>
      </c>
    </row>
    <row r="642" spans="1:11" x14ac:dyDescent="0.3">
      <c r="A642" t="s">
        <v>213</v>
      </c>
      <c r="B642" t="s">
        <v>542</v>
      </c>
      <c r="C642" t="s">
        <v>232</v>
      </c>
      <c r="D642" t="s">
        <v>231</v>
      </c>
      <c r="E642">
        <v>79</v>
      </c>
      <c r="F642">
        <v>0</v>
      </c>
      <c r="G642">
        <v>0</v>
      </c>
      <c r="H642">
        <v>0</v>
      </c>
      <c r="I642">
        <v>0</v>
      </c>
      <c r="J642">
        <v>0</v>
      </c>
      <c r="K642">
        <v>79</v>
      </c>
    </row>
    <row r="643" spans="1:11" x14ac:dyDescent="0.3">
      <c r="A643" t="s">
        <v>213</v>
      </c>
      <c r="B643" t="s">
        <v>537</v>
      </c>
      <c r="C643" t="s">
        <v>220</v>
      </c>
      <c r="D643" t="s">
        <v>219</v>
      </c>
      <c r="E643">
        <v>314</v>
      </c>
      <c r="F643">
        <v>0</v>
      </c>
      <c r="G643">
        <v>0</v>
      </c>
      <c r="H643">
        <v>284</v>
      </c>
      <c r="I643">
        <v>0</v>
      </c>
      <c r="J643">
        <v>0</v>
      </c>
      <c r="K643">
        <v>30</v>
      </c>
    </row>
    <row r="644" spans="1:11" x14ac:dyDescent="0.3">
      <c r="A644" t="s">
        <v>213</v>
      </c>
      <c r="B644" t="s">
        <v>537</v>
      </c>
      <c r="C644" t="s">
        <v>255</v>
      </c>
      <c r="D644" t="s">
        <v>254</v>
      </c>
      <c r="E644">
        <v>86</v>
      </c>
      <c r="F644">
        <v>0</v>
      </c>
      <c r="G644">
        <v>0</v>
      </c>
      <c r="H644">
        <v>62</v>
      </c>
      <c r="I644">
        <v>0</v>
      </c>
      <c r="J644">
        <v>0</v>
      </c>
      <c r="K644">
        <v>24</v>
      </c>
    </row>
    <row r="645" spans="1:11" x14ac:dyDescent="0.3">
      <c r="A645" t="s">
        <v>325</v>
      </c>
      <c r="B645" t="s">
        <v>537</v>
      </c>
      <c r="C645" t="s">
        <v>311</v>
      </c>
      <c r="E645">
        <v>113</v>
      </c>
      <c r="F645">
        <v>0</v>
      </c>
      <c r="G645">
        <v>0</v>
      </c>
      <c r="H645">
        <v>54</v>
      </c>
      <c r="I645">
        <v>0</v>
      </c>
      <c r="J645">
        <v>0</v>
      </c>
      <c r="K645">
        <v>59</v>
      </c>
    </row>
    <row r="646" spans="1:11" x14ac:dyDescent="0.3">
      <c r="A646" t="s">
        <v>326</v>
      </c>
      <c r="B646" t="s">
        <v>537</v>
      </c>
      <c r="C646" t="s">
        <v>311</v>
      </c>
      <c r="E646">
        <v>119</v>
      </c>
      <c r="F646">
        <v>0</v>
      </c>
      <c r="G646">
        <v>0</v>
      </c>
      <c r="H646">
        <v>56</v>
      </c>
      <c r="I646">
        <v>0</v>
      </c>
      <c r="J646">
        <v>0</v>
      </c>
      <c r="K646">
        <v>63</v>
      </c>
    </row>
    <row r="647" spans="1:11" x14ac:dyDescent="0.3">
      <c r="A647" t="s">
        <v>318</v>
      </c>
      <c r="B647" t="s">
        <v>537</v>
      </c>
      <c r="C647" t="s">
        <v>296</v>
      </c>
      <c r="D647" t="s">
        <v>231</v>
      </c>
      <c r="E647">
        <v>113</v>
      </c>
      <c r="F647">
        <v>0</v>
      </c>
      <c r="G647">
        <v>0</v>
      </c>
      <c r="H647">
        <v>13</v>
      </c>
      <c r="I647">
        <v>0</v>
      </c>
      <c r="J647">
        <v>0</v>
      </c>
      <c r="K647">
        <v>100</v>
      </c>
    </row>
    <row r="648" spans="1:11" x14ac:dyDescent="0.3">
      <c r="A648" t="s">
        <v>325</v>
      </c>
      <c r="B648" t="s">
        <v>537</v>
      </c>
      <c r="C648" t="s">
        <v>249</v>
      </c>
      <c r="E648">
        <v>118</v>
      </c>
      <c r="F648">
        <v>0</v>
      </c>
      <c r="G648">
        <v>0</v>
      </c>
      <c r="H648">
        <v>71</v>
      </c>
      <c r="I648">
        <v>0</v>
      </c>
      <c r="J648">
        <v>0</v>
      </c>
      <c r="K648">
        <v>47</v>
      </c>
    </row>
    <row r="649" spans="1:11" x14ac:dyDescent="0.3">
      <c r="A649" t="s">
        <v>325</v>
      </c>
      <c r="B649" t="s">
        <v>540</v>
      </c>
      <c r="C649" t="s">
        <v>270</v>
      </c>
      <c r="E649">
        <v>23</v>
      </c>
      <c r="F649">
        <v>0</v>
      </c>
      <c r="G649">
        <v>0</v>
      </c>
      <c r="H649">
        <v>0</v>
      </c>
      <c r="I649">
        <v>0</v>
      </c>
      <c r="J649">
        <v>0</v>
      </c>
      <c r="K649">
        <v>23</v>
      </c>
    </row>
    <row r="650" spans="1:11" x14ac:dyDescent="0.3">
      <c r="A650" t="s">
        <v>318</v>
      </c>
      <c r="B650" t="s">
        <v>537</v>
      </c>
      <c r="C650" t="s">
        <v>263</v>
      </c>
      <c r="D650" t="s">
        <v>237</v>
      </c>
      <c r="E650">
        <v>144</v>
      </c>
      <c r="F650">
        <v>0</v>
      </c>
      <c r="G650">
        <v>0</v>
      </c>
      <c r="H650">
        <v>56</v>
      </c>
      <c r="I650">
        <v>0</v>
      </c>
      <c r="J650">
        <v>0</v>
      </c>
      <c r="K650">
        <v>88</v>
      </c>
    </row>
    <row r="651" spans="1:11" x14ac:dyDescent="0.3">
      <c r="A651" t="s">
        <v>326</v>
      </c>
      <c r="B651" t="s">
        <v>537</v>
      </c>
      <c r="C651" t="s">
        <v>298</v>
      </c>
      <c r="E651">
        <v>194</v>
      </c>
      <c r="F651">
        <v>0</v>
      </c>
      <c r="G651">
        <v>0</v>
      </c>
      <c r="H651">
        <v>137</v>
      </c>
      <c r="I651">
        <v>0</v>
      </c>
      <c r="J651">
        <v>0</v>
      </c>
      <c r="K651">
        <v>57</v>
      </c>
    </row>
    <row r="652" spans="1:11" x14ac:dyDescent="0.3">
      <c r="A652" t="s">
        <v>326</v>
      </c>
      <c r="B652" t="s">
        <v>537</v>
      </c>
      <c r="C652" t="s">
        <v>270</v>
      </c>
      <c r="E652">
        <v>463</v>
      </c>
      <c r="F652">
        <v>0</v>
      </c>
      <c r="G652">
        <v>0</v>
      </c>
      <c r="H652">
        <v>0</v>
      </c>
      <c r="I652">
        <v>0</v>
      </c>
      <c r="J652">
        <v>0</v>
      </c>
      <c r="K652">
        <v>463</v>
      </c>
    </row>
    <row r="653" spans="1:11" x14ac:dyDescent="0.3">
      <c r="A653" t="s">
        <v>326</v>
      </c>
      <c r="B653" t="s">
        <v>540</v>
      </c>
      <c r="C653" t="s">
        <v>226</v>
      </c>
      <c r="E653">
        <v>23</v>
      </c>
      <c r="F653">
        <v>0</v>
      </c>
      <c r="G653">
        <v>3</v>
      </c>
      <c r="H653">
        <v>0</v>
      </c>
      <c r="I653">
        <v>0</v>
      </c>
      <c r="J653">
        <v>0</v>
      </c>
      <c r="K653">
        <v>23</v>
      </c>
    </row>
    <row r="654" spans="1:11" x14ac:dyDescent="0.3">
      <c r="A654" t="s">
        <v>325</v>
      </c>
      <c r="B654" t="s">
        <v>542</v>
      </c>
      <c r="C654" t="s">
        <v>232</v>
      </c>
      <c r="E654">
        <v>119</v>
      </c>
      <c r="F654">
        <v>0</v>
      </c>
      <c r="G654">
        <v>0</v>
      </c>
      <c r="H654">
        <v>0</v>
      </c>
      <c r="I654">
        <v>0</v>
      </c>
      <c r="J654">
        <v>0</v>
      </c>
      <c r="K654">
        <v>119</v>
      </c>
    </row>
    <row r="655" spans="1:11" x14ac:dyDescent="0.3">
      <c r="A655" t="s">
        <v>326</v>
      </c>
      <c r="B655" t="s">
        <v>537</v>
      </c>
      <c r="C655" t="s">
        <v>275</v>
      </c>
      <c r="E655">
        <v>591</v>
      </c>
      <c r="F655">
        <v>0</v>
      </c>
      <c r="G655">
        <v>0</v>
      </c>
      <c r="H655">
        <v>464</v>
      </c>
      <c r="I655">
        <v>0</v>
      </c>
      <c r="J655">
        <v>47</v>
      </c>
      <c r="K655">
        <v>80</v>
      </c>
    </row>
    <row r="656" spans="1:11" x14ac:dyDescent="0.3">
      <c r="A656" t="s">
        <v>342</v>
      </c>
      <c r="B656" t="s">
        <v>544</v>
      </c>
      <c r="C656" t="s">
        <v>545</v>
      </c>
      <c r="D656" t="s">
        <v>549</v>
      </c>
      <c r="E656">
        <v>609</v>
      </c>
      <c r="F656">
        <v>189</v>
      </c>
      <c r="I656">
        <v>277</v>
      </c>
      <c r="K656">
        <v>143</v>
      </c>
    </row>
    <row r="657" spans="1:11" x14ac:dyDescent="0.3">
      <c r="A657" t="s">
        <v>341</v>
      </c>
      <c r="B657" t="s">
        <v>540</v>
      </c>
      <c r="C657" t="s">
        <v>236</v>
      </c>
      <c r="D657" t="s">
        <v>235</v>
      </c>
      <c r="E657">
        <v>27</v>
      </c>
      <c r="K657">
        <v>27</v>
      </c>
    </row>
    <row r="658" spans="1:11" x14ac:dyDescent="0.3">
      <c r="A658" t="s">
        <v>342</v>
      </c>
      <c r="B658" t="s">
        <v>542</v>
      </c>
      <c r="C658" t="s">
        <v>238</v>
      </c>
      <c r="D658" t="s">
        <v>237</v>
      </c>
      <c r="E658">
        <v>165</v>
      </c>
      <c r="I658">
        <v>128</v>
      </c>
      <c r="K658">
        <v>37</v>
      </c>
    </row>
    <row r="659" spans="1:11" x14ac:dyDescent="0.3">
      <c r="A659" t="s">
        <v>341</v>
      </c>
      <c r="B659" t="s">
        <v>537</v>
      </c>
      <c r="C659" t="s">
        <v>302</v>
      </c>
      <c r="D659" t="s">
        <v>301</v>
      </c>
      <c r="E659">
        <v>102</v>
      </c>
      <c r="H659">
        <v>48</v>
      </c>
      <c r="J659">
        <v>0</v>
      </c>
      <c r="K659">
        <v>54</v>
      </c>
    </row>
    <row r="660" spans="1:11" x14ac:dyDescent="0.3">
      <c r="A660" t="s">
        <v>364</v>
      </c>
      <c r="B660" t="s">
        <v>537</v>
      </c>
      <c r="C660" t="s">
        <v>294</v>
      </c>
      <c r="D660" t="s">
        <v>293</v>
      </c>
      <c r="E660">
        <v>253</v>
      </c>
      <c r="H660">
        <v>140</v>
      </c>
      <c r="J660">
        <v>25</v>
      </c>
      <c r="K660">
        <v>88</v>
      </c>
    </row>
    <row r="661" spans="1:11" x14ac:dyDescent="0.3">
      <c r="A661" t="s">
        <v>341</v>
      </c>
      <c r="B661" t="s">
        <v>540</v>
      </c>
      <c r="C661" t="s">
        <v>289</v>
      </c>
      <c r="D661" t="s">
        <v>290</v>
      </c>
      <c r="E661">
        <v>15</v>
      </c>
      <c r="K661">
        <v>15</v>
      </c>
    </row>
    <row r="662" spans="1:11" x14ac:dyDescent="0.3">
      <c r="A662" t="s">
        <v>342</v>
      </c>
      <c r="B662" t="s">
        <v>537</v>
      </c>
      <c r="C662" t="s">
        <v>253</v>
      </c>
      <c r="D662" t="s">
        <v>252</v>
      </c>
      <c r="E662">
        <v>78</v>
      </c>
      <c r="K662">
        <v>78</v>
      </c>
    </row>
    <row r="663" spans="1:11" x14ac:dyDescent="0.3">
      <c r="A663" t="s">
        <v>364</v>
      </c>
      <c r="B663" t="s">
        <v>540</v>
      </c>
      <c r="C663" t="s">
        <v>275</v>
      </c>
      <c r="D663" t="s">
        <v>274</v>
      </c>
      <c r="E663">
        <v>13</v>
      </c>
      <c r="K663">
        <v>13</v>
      </c>
    </row>
    <row r="664" spans="1:11" x14ac:dyDescent="0.3">
      <c r="A664" t="s">
        <v>365</v>
      </c>
      <c r="B664" t="s">
        <v>537</v>
      </c>
      <c r="C664" t="s">
        <v>294</v>
      </c>
      <c r="D664" t="s">
        <v>293</v>
      </c>
      <c r="E664">
        <v>238</v>
      </c>
      <c r="H664">
        <v>128</v>
      </c>
      <c r="J664">
        <v>24</v>
      </c>
      <c r="K664">
        <v>86</v>
      </c>
    </row>
    <row r="665" spans="1:11" x14ac:dyDescent="0.3">
      <c r="A665" t="s">
        <v>342</v>
      </c>
      <c r="B665" t="s">
        <v>537</v>
      </c>
      <c r="C665" t="s">
        <v>294</v>
      </c>
      <c r="D665" t="s">
        <v>293</v>
      </c>
      <c r="E665">
        <v>223</v>
      </c>
      <c r="H665">
        <v>126</v>
      </c>
      <c r="J665">
        <v>28</v>
      </c>
      <c r="K665">
        <v>69</v>
      </c>
    </row>
    <row r="666" spans="1:11" x14ac:dyDescent="0.3">
      <c r="A666" t="s">
        <v>342</v>
      </c>
      <c r="B666" t="s">
        <v>537</v>
      </c>
      <c r="C666" t="s">
        <v>234</v>
      </c>
      <c r="D666" t="s">
        <v>233</v>
      </c>
      <c r="E666">
        <v>304</v>
      </c>
      <c r="H666">
        <v>11</v>
      </c>
      <c r="K666">
        <v>293</v>
      </c>
    </row>
    <row r="667" spans="1:11" x14ac:dyDescent="0.3">
      <c r="A667" t="s">
        <v>365</v>
      </c>
      <c r="B667" t="s">
        <v>537</v>
      </c>
      <c r="C667" t="s">
        <v>287</v>
      </c>
      <c r="D667" t="s">
        <v>286</v>
      </c>
      <c r="E667">
        <v>194</v>
      </c>
      <c r="H667">
        <v>90</v>
      </c>
      <c r="J667">
        <v>26</v>
      </c>
      <c r="K667">
        <v>78</v>
      </c>
    </row>
    <row r="668" spans="1:11" x14ac:dyDescent="0.3">
      <c r="A668" t="s">
        <v>341</v>
      </c>
      <c r="B668" t="s">
        <v>540</v>
      </c>
      <c r="C668" t="s">
        <v>285</v>
      </c>
      <c r="D668" t="s">
        <v>284</v>
      </c>
      <c r="E668">
        <v>16</v>
      </c>
      <c r="K668">
        <v>16</v>
      </c>
    </row>
    <row r="669" spans="1:11" x14ac:dyDescent="0.3">
      <c r="A669" t="s">
        <v>364</v>
      </c>
      <c r="B669" t="s">
        <v>540</v>
      </c>
      <c r="C669" t="s">
        <v>230</v>
      </c>
      <c r="D669" t="s">
        <v>229</v>
      </c>
      <c r="E669">
        <v>23</v>
      </c>
      <c r="K669">
        <v>23</v>
      </c>
    </row>
    <row r="670" spans="1:11" x14ac:dyDescent="0.3">
      <c r="A670" t="s">
        <v>366</v>
      </c>
      <c r="B670" t="s">
        <v>540</v>
      </c>
      <c r="C670" t="s">
        <v>251</v>
      </c>
      <c r="D670" t="s">
        <v>250</v>
      </c>
      <c r="E670">
        <v>29</v>
      </c>
      <c r="K670">
        <v>29</v>
      </c>
    </row>
    <row r="671" spans="1:11" x14ac:dyDescent="0.3">
      <c r="A671" t="s">
        <v>365</v>
      </c>
      <c r="B671" t="s">
        <v>540</v>
      </c>
      <c r="C671" t="s">
        <v>275</v>
      </c>
      <c r="D671" t="s">
        <v>274</v>
      </c>
      <c r="E671">
        <v>13</v>
      </c>
      <c r="K671">
        <v>13</v>
      </c>
    </row>
    <row r="672" spans="1:11" x14ac:dyDescent="0.3">
      <c r="A672" t="s">
        <v>365</v>
      </c>
      <c r="B672" t="s">
        <v>540</v>
      </c>
      <c r="C672" t="s">
        <v>230</v>
      </c>
      <c r="D672" t="s">
        <v>229</v>
      </c>
      <c r="E672">
        <v>21</v>
      </c>
      <c r="K672">
        <v>21</v>
      </c>
    </row>
    <row r="673" spans="1:11" x14ac:dyDescent="0.3">
      <c r="A673" t="s">
        <v>365</v>
      </c>
      <c r="B673" t="s">
        <v>540</v>
      </c>
      <c r="C673" t="s">
        <v>222</v>
      </c>
      <c r="D673" t="s">
        <v>221</v>
      </c>
      <c r="E673">
        <v>18</v>
      </c>
      <c r="K673">
        <v>18</v>
      </c>
    </row>
    <row r="674" spans="1:11" x14ac:dyDescent="0.3">
      <c r="A674" t="s">
        <v>341</v>
      </c>
      <c r="B674" t="s">
        <v>537</v>
      </c>
      <c r="C674" t="s">
        <v>289</v>
      </c>
      <c r="D674" t="s">
        <v>288</v>
      </c>
      <c r="E674">
        <v>208</v>
      </c>
      <c r="H674">
        <v>35</v>
      </c>
      <c r="J674">
        <v>0</v>
      </c>
      <c r="K674">
        <v>173</v>
      </c>
    </row>
    <row r="675" spans="1:11" x14ac:dyDescent="0.3">
      <c r="A675" t="s">
        <v>364</v>
      </c>
      <c r="B675" t="s">
        <v>542</v>
      </c>
      <c r="C675" t="s">
        <v>232</v>
      </c>
      <c r="D675" t="s">
        <v>231</v>
      </c>
      <c r="E675">
        <v>527</v>
      </c>
      <c r="I675">
        <v>416</v>
      </c>
      <c r="K675">
        <v>111</v>
      </c>
    </row>
    <row r="676" spans="1:11" x14ac:dyDescent="0.3">
      <c r="A676" t="s">
        <v>364</v>
      </c>
      <c r="B676" t="s">
        <v>537</v>
      </c>
      <c r="C676" t="s">
        <v>277</v>
      </c>
      <c r="D676" t="s">
        <v>276</v>
      </c>
      <c r="E676">
        <v>120</v>
      </c>
      <c r="H676">
        <v>42</v>
      </c>
      <c r="J676">
        <v>0</v>
      </c>
      <c r="K676">
        <v>78</v>
      </c>
    </row>
    <row r="677" spans="1:11" x14ac:dyDescent="0.3">
      <c r="A677" t="s">
        <v>342</v>
      </c>
      <c r="B677" t="s">
        <v>540</v>
      </c>
      <c r="C677" t="s">
        <v>236</v>
      </c>
      <c r="D677" t="s">
        <v>235</v>
      </c>
      <c r="E677">
        <v>31</v>
      </c>
      <c r="K677">
        <v>31</v>
      </c>
    </row>
    <row r="678" spans="1:11" x14ac:dyDescent="0.3">
      <c r="A678" t="s">
        <v>365</v>
      </c>
      <c r="B678" t="s">
        <v>537</v>
      </c>
      <c r="C678" t="s">
        <v>309</v>
      </c>
      <c r="D678" t="s">
        <v>308</v>
      </c>
      <c r="E678">
        <v>95</v>
      </c>
      <c r="H678">
        <v>21</v>
      </c>
      <c r="J678">
        <v>0</v>
      </c>
      <c r="K678">
        <v>74</v>
      </c>
    </row>
    <row r="679" spans="1:11" x14ac:dyDescent="0.3">
      <c r="A679" t="s">
        <v>366</v>
      </c>
      <c r="B679" t="s">
        <v>540</v>
      </c>
      <c r="C679" t="s">
        <v>215</v>
      </c>
      <c r="D679" t="s">
        <v>216</v>
      </c>
      <c r="E679">
        <v>16</v>
      </c>
      <c r="K679">
        <v>16</v>
      </c>
    </row>
    <row r="680" spans="1:11" x14ac:dyDescent="0.3">
      <c r="A680" t="s">
        <v>366</v>
      </c>
      <c r="B680" t="s">
        <v>542</v>
      </c>
      <c r="C680" t="s">
        <v>232</v>
      </c>
      <c r="D680" t="s">
        <v>231</v>
      </c>
      <c r="E680">
        <v>302</v>
      </c>
      <c r="I680">
        <v>286</v>
      </c>
      <c r="K680">
        <v>16</v>
      </c>
    </row>
    <row r="681" spans="1:11" x14ac:dyDescent="0.3">
      <c r="A681" t="s">
        <v>365</v>
      </c>
      <c r="B681" t="s">
        <v>540</v>
      </c>
      <c r="C681" t="s">
        <v>257</v>
      </c>
      <c r="D681" t="s">
        <v>256</v>
      </c>
      <c r="E681">
        <v>17</v>
      </c>
      <c r="K681">
        <v>17</v>
      </c>
    </row>
    <row r="682" spans="1:11" x14ac:dyDescent="0.3">
      <c r="A682" t="s">
        <v>366</v>
      </c>
      <c r="B682" t="s">
        <v>540</v>
      </c>
      <c r="C682" t="s">
        <v>261</v>
      </c>
      <c r="D682" t="s">
        <v>260</v>
      </c>
      <c r="E682">
        <v>17</v>
      </c>
      <c r="K682">
        <v>17</v>
      </c>
    </row>
  </sheetData>
  <phoneticPr fontId="53" type="noConversion"/>
  <pageMargins left="0.7" right="0.7" top="0.75" bottom="0.75" header="0.3" footer="0.3"/>
  <tableParts count="1">
    <tablePart r:id="rId1"/>
  </tableParts>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Sheet6">
    <tabColor theme="9" tint="0.39997558519241921"/>
    <pageSetUpPr fitToPage="1"/>
  </sheetPr>
  <dimension ref="A1:J78"/>
  <sheetViews>
    <sheetView showGridLines="0" zoomScale="80" zoomScaleNormal="80" workbookViewId="0">
      <pane ySplit="2" topLeftCell="A3" activePane="bottomLeft" state="frozen"/>
      <selection pane="bottomLeft" sqref="A1:H1"/>
    </sheetView>
  </sheetViews>
  <sheetFormatPr defaultRowHeight="14.4" x14ac:dyDescent="0.3"/>
  <cols>
    <col min="1" max="1" width="17.109375" customWidth="1"/>
    <col min="2" max="2" width="59.44140625" bestFit="1" customWidth="1"/>
    <col min="3" max="3" width="24.33203125" customWidth="1"/>
    <col min="4" max="4" width="23" customWidth="1"/>
    <col min="5" max="5" width="9.6640625" customWidth="1"/>
    <col min="6" max="6" width="10.88671875" customWidth="1"/>
    <col min="7" max="7" width="12" customWidth="1"/>
    <col min="8" max="8" width="12.6640625" customWidth="1"/>
    <col min="9" max="9" width="19.6640625" customWidth="1"/>
    <col min="10" max="10" width="12" customWidth="1"/>
  </cols>
  <sheetData>
    <row r="1" spans="1:10" ht="23.1" customHeight="1" x14ac:dyDescent="0.3">
      <c r="A1" s="1030" t="s">
        <v>515</v>
      </c>
      <c r="B1" s="1030"/>
      <c r="C1" s="1030"/>
      <c r="D1" s="1030"/>
      <c r="E1" s="1030"/>
      <c r="F1" s="1030"/>
      <c r="G1" s="1030"/>
      <c r="H1" s="1030"/>
    </row>
    <row r="2" spans="1:10" ht="25.5" customHeight="1" x14ac:dyDescent="0.3">
      <c r="A2" s="498" t="s">
        <v>202</v>
      </c>
      <c r="B2" s="1"/>
      <c r="C2" s="1"/>
      <c r="D2" s="1"/>
      <c r="E2" s="1"/>
      <c r="F2" s="1"/>
      <c r="G2" s="1"/>
      <c r="H2" s="1"/>
    </row>
    <row r="3" spans="1:10" ht="17.399999999999999" x14ac:dyDescent="0.3">
      <c r="A3" s="1"/>
      <c r="B3" s="1"/>
      <c r="C3" s="1"/>
      <c r="D3" s="1"/>
      <c r="E3" s="1"/>
      <c r="F3" s="1"/>
      <c r="G3" s="1"/>
      <c r="H3" s="1"/>
      <c r="I3" s="35"/>
    </row>
    <row r="4" spans="1:10" ht="30" customHeight="1" x14ac:dyDescent="0.3">
      <c r="A4" s="1041" t="s">
        <v>1301</v>
      </c>
      <c r="B4" s="1041"/>
      <c r="C4" s="1041"/>
      <c r="D4" s="1041"/>
      <c r="E4" s="1041"/>
      <c r="F4" s="1041"/>
      <c r="G4" s="1041"/>
      <c r="H4" s="1041"/>
      <c r="I4" s="1041"/>
    </row>
    <row r="5" spans="1:10" ht="15" customHeight="1" x14ac:dyDescent="0.3">
      <c r="A5" t="s">
        <v>203</v>
      </c>
      <c r="B5" t="s">
        <v>69</v>
      </c>
      <c r="C5" s="231"/>
      <c r="D5" s="231"/>
      <c r="E5" s="231"/>
      <c r="F5" s="231"/>
      <c r="G5" s="231"/>
      <c r="H5" s="231"/>
      <c r="I5" s="231"/>
    </row>
    <row r="6" spans="1:10" ht="15" customHeight="1" x14ac:dyDescent="0.3">
      <c r="A6" t="s">
        <v>204</v>
      </c>
      <c r="B6" t="s">
        <v>205</v>
      </c>
      <c r="C6" s="231"/>
      <c r="D6" s="231"/>
      <c r="E6" s="231"/>
      <c r="F6" s="231"/>
      <c r="G6" s="231"/>
      <c r="H6" s="231"/>
      <c r="I6" s="231"/>
    </row>
    <row r="7" spans="1:10" ht="15" customHeight="1" x14ac:dyDescent="0.3">
      <c r="A7" t="s">
        <v>206</v>
      </c>
      <c r="B7" t="s">
        <v>207</v>
      </c>
      <c r="C7" s="231"/>
      <c r="D7" s="231"/>
      <c r="E7" s="231"/>
      <c r="F7" s="231"/>
      <c r="G7" s="231"/>
      <c r="H7" s="231"/>
      <c r="I7" s="231"/>
    </row>
    <row r="8" spans="1:10" ht="39.75" customHeight="1" x14ac:dyDescent="0.3">
      <c r="A8" s="36" t="s">
        <v>208</v>
      </c>
      <c r="B8" s="36"/>
      <c r="C8" s="37" t="s">
        <v>517</v>
      </c>
      <c r="D8" s="37" t="s">
        <v>361</v>
      </c>
      <c r="E8" s="37" t="s">
        <v>518</v>
      </c>
      <c r="F8" s="37" t="s">
        <v>513</v>
      </c>
      <c r="G8" s="37" t="s">
        <v>514</v>
      </c>
      <c r="H8" s="37" t="s">
        <v>339</v>
      </c>
      <c r="I8" s="4" t="s">
        <v>608</v>
      </c>
      <c r="J8" s="4" t="s">
        <v>618</v>
      </c>
    </row>
    <row r="9" spans="1:10" ht="22.5" customHeight="1" thickBot="1" x14ac:dyDescent="0.35">
      <c r="A9" s="38" t="str">
        <f>smallareapivot!B1</f>
        <v>2025-26</v>
      </c>
      <c r="B9" s="38" t="s">
        <v>551</v>
      </c>
      <c r="C9" s="286">
        <f t="shared" ref="C9:I9" si="0">C44+C64+C70+C73</f>
        <v>3431</v>
      </c>
      <c r="D9" s="286">
        <f t="shared" si="0"/>
        <v>2747</v>
      </c>
      <c r="E9" s="286">
        <f t="shared" si="0"/>
        <v>60</v>
      </c>
      <c r="F9" s="286">
        <f t="shared" si="0"/>
        <v>177</v>
      </c>
      <c r="G9" s="286">
        <f t="shared" si="0"/>
        <v>922</v>
      </c>
      <c r="H9" s="286">
        <f t="shared" si="0"/>
        <v>252</v>
      </c>
      <c r="I9" s="286">
        <f t="shared" si="0"/>
        <v>7589</v>
      </c>
      <c r="J9" s="286">
        <f t="shared" ref="J9" si="1">J44+J64+J70+J73</f>
        <v>7337</v>
      </c>
    </row>
    <row r="10" spans="1:10" ht="15.75" customHeight="1" x14ac:dyDescent="0.3">
      <c r="B10" s="39"/>
      <c r="C10" s="40"/>
      <c r="D10" s="40"/>
      <c r="E10" s="40"/>
      <c r="F10" s="40"/>
      <c r="G10" s="40"/>
      <c r="H10" s="40"/>
      <c r="I10" s="41"/>
      <c r="J10" s="41"/>
    </row>
    <row r="11" spans="1:10" ht="40.5" customHeight="1" x14ac:dyDescent="0.3">
      <c r="A11" s="42" t="s">
        <v>209</v>
      </c>
      <c r="B11" s="42" t="s">
        <v>347</v>
      </c>
      <c r="C11" s="79" t="s">
        <v>517</v>
      </c>
      <c r="D11" s="79" t="s">
        <v>361</v>
      </c>
      <c r="E11" s="79" t="s">
        <v>518</v>
      </c>
      <c r="F11" s="79" t="s">
        <v>513</v>
      </c>
      <c r="G11" s="79" t="s">
        <v>514</v>
      </c>
      <c r="H11" s="79" t="s">
        <v>339</v>
      </c>
      <c r="I11" s="3" t="s">
        <v>608</v>
      </c>
      <c r="J11" s="3" t="s">
        <v>618</v>
      </c>
    </row>
    <row r="12" spans="1:10" ht="19.5" customHeight="1" x14ac:dyDescent="0.3">
      <c r="A12" s="390" t="s">
        <v>214</v>
      </c>
      <c r="B12" s="45" t="s">
        <v>215</v>
      </c>
      <c r="C12" s="49">
        <f>GETPIVOTDATA("Sum of Wholetime Operational",smallareapivot!$A$3,"ReportingLevel","1:LA","lvl","Aberdeen City")</f>
        <v>109</v>
      </c>
      <c r="D12" s="49">
        <f>GETPIVOTDATA("Sum of Retained Duty System",smallareapivot!$A$3,"ReportingLevel","1:LA","lvl","Aberdeen City")</f>
        <v>9</v>
      </c>
      <c r="E12" s="431">
        <v>0</v>
      </c>
      <c r="F12" s="431">
        <v>0</v>
      </c>
      <c r="G12" s="431">
        <v>0</v>
      </c>
      <c r="H12" s="49">
        <f>GETPIVOTDATA("Sum of Volunteer",smallareapivot!$A$3,"ReportingLevel","1:LA","lvl","Aberdeen City")</f>
        <v>0</v>
      </c>
      <c r="I12" s="47">
        <f>SUM(C12:H12)</f>
        <v>118</v>
      </c>
      <c r="J12" s="47">
        <f t="shared" ref="J12:J43" si="2">I12-H12</f>
        <v>118</v>
      </c>
    </row>
    <row r="13" spans="1:10" ht="15" customHeight="1" x14ac:dyDescent="0.3">
      <c r="A13" s="89" t="s">
        <v>219</v>
      </c>
      <c r="B13" s="48" t="s">
        <v>220</v>
      </c>
      <c r="C13" s="49">
        <f>GETPIVOTDATA("Sum of Wholetime Operational",smallareapivot!$A$3,"ReportingLevel","1:LA","lvl","Aberdeenshire")</f>
        <v>42</v>
      </c>
      <c r="D13" s="49">
        <f>GETPIVOTDATA("Sum of Retained Duty System",smallareapivot!$A$3,"ReportingLevel","1:LA","lvl","Aberdeenshire")</f>
        <v>277</v>
      </c>
      <c r="E13" s="431">
        <v>0</v>
      </c>
      <c r="F13" s="431">
        <v>0</v>
      </c>
      <c r="G13" s="431">
        <v>0</v>
      </c>
      <c r="H13" s="49">
        <f>GETPIVOTDATA("Sum of Volunteer",smallareapivot!$A$3,"ReportingLevel","1:LA","lvl","Aberdeenshire")</f>
        <v>0</v>
      </c>
      <c r="I13" s="47">
        <f t="shared" ref="I13:I43" si="3">SUM(C13:H13)</f>
        <v>319</v>
      </c>
      <c r="J13" s="47">
        <f t="shared" si="2"/>
        <v>319</v>
      </c>
    </row>
    <row r="14" spans="1:10" ht="15" customHeight="1" x14ac:dyDescent="0.3">
      <c r="A14" s="89" t="s">
        <v>223</v>
      </c>
      <c r="B14" s="48" t="s">
        <v>224</v>
      </c>
      <c r="C14" s="49">
        <f>GETPIVOTDATA("Sum of Wholetime Operational",smallareapivot!$A$3,"ReportingLevel","1:LA","lvl","Angus")</f>
        <v>26</v>
      </c>
      <c r="D14" s="49">
        <f>GETPIVOTDATA("Sum of Retained Duty System",smallareapivot!$A$3,"ReportingLevel","1:LA","lvl","Angus")</f>
        <v>95</v>
      </c>
      <c r="E14" s="431">
        <v>0</v>
      </c>
      <c r="F14" s="431">
        <v>0</v>
      </c>
      <c r="G14" s="431">
        <v>0</v>
      </c>
      <c r="H14" s="49">
        <f>GETPIVOTDATA("Sum of Volunteer",smallareapivot!$A$3,"ReportingLevel","1:LA","lvl","Angus")</f>
        <v>0</v>
      </c>
      <c r="I14" s="47">
        <f t="shared" si="3"/>
        <v>121</v>
      </c>
      <c r="J14" s="47">
        <f t="shared" si="2"/>
        <v>121</v>
      </c>
    </row>
    <row r="15" spans="1:10" ht="15" customHeight="1" x14ac:dyDescent="0.3">
      <c r="A15" s="89" t="s">
        <v>227</v>
      </c>
      <c r="B15" s="48" t="s">
        <v>228</v>
      </c>
      <c r="C15" s="49">
        <f>GETPIVOTDATA("Sum of Wholetime Operational",smallareapivot!$A$3,"ReportingLevel","1:LA","lvl","Argyll and Bute")</f>
        <v>52</v>
      </c>
      <c r="D15" s="49">
        <f>GETPIVOTDATA("Sum of Retained Duty System",smallareapivot!$A$3,"ReportingLevel","1:LA","lvl","Argyll and Bute")</f>
        <v>174</v>
      </c>
      <c r="E15" s="431">
        <v>0</v>
      </c>
      <c r="F15" s="431">
        <v>0</v>
      </c>
      <c r="G15" s="431">
        <v>0</v>
      </c>
      <c r="H15" s="49">
        <f>GETPIVOTDATA("Sum of Volunteer",smallareapivot!$A$3,"ReportingLevel","1:LA","lvl","Argyll and Bute")</f>
        <v>164</v>
      </c>
      <c r="I15" s="47">
        <f t="shared" si="3"/>
        <v>390</v>
      </c>
      <c r="J15" s="47">
        <f t="shared" si="2"/>
        <v>226</v>
      </c>
    </row>
    <row r="16" spans="1:10" ht="15" customHeight="1" x14ac:dyDescent="0.3">
      <c r="A16" s="89" t="s">
        <v>233</v>
      </c>
      <c r="B16" s="48" t="s">
        <v>234</v>
      </c>
      <c r="C16" s="49">
        <f>GETPIVOTDATA("Sum of Wholetime Operational",smallareapivot!$A$3,"ReportingLevel","1:LA","lvl","City of Edinburgh")</f>
        <v>303</v>
      </c>
      <c r="D16" s="49">
        <f>GETPIVOTDATA("Sum of Retained Duty System",smallareapivot!$A$3,"ReportingLevel","1:LA","lvl","City of Edinburgh")</f>
        <v>10</v>
      </c>
      <c r="E16" s="431">
        <v>0</v>
      </c>
      <c r="F16" s="431">
        <v>0</v>
      </c>
      <c r="G16" s="431">
        <v>0</v>
      </c>
      <c r="H16" s="49">
        <f>GETPIVOTDATA("Sum of Volunteer",smallareapivot!$A$3,"ReportingLevel","1:LA","lvl","City of Edinburgh")</f>
        <v>0</v>
      </c>
      <c r="I16" s="47">
        <f t="shared" si="3"/>
        <v>313</v>
      </c>
      <c r="J16" s="47">
        <f t="shared" si="2"/>
        <v>313</v>
      </c>
    </row>
    <row r="17" spans="1:10" ht="15" customHeight="1" x14ac:dyDescent="0.3">
      <c r="A17" s="89" t="s">
        <v>239</v>
      </c>
      <c r="B17" s="48" t="s">
        <v>240</v>
      </c>
      <c r="C17" s="49">
        <f>GETPIVOTDATA("Sum of Wholetime Operational",smallareapivot!$A$3,"ReportingLevel","1:LA","lvl","Clackmannanshire")</f>
        <v>27</v>
      </c>
      <c r="D17" s="49">
        <f>GETPIVOTDATA("Sum of Retained Duty System",smallareapivot!$A$3,"ReportingLevel","1:LA","lvl","Clackmannanshire")</f>
        <v>24</v>
      </c>
      <c r="E17" s="431">
        <v>0</v>
      </c>
      <c r="F17" s="431">
        <v>0</v>
      </c>
      <c r="G17" s="431">
        <v>0</v>
      </c>
      <c r="H17" s="49">
        <f>GETPIVOTDATA("Sum of Volunteer",smallareapivot!$A$3,"ReportingLevel","1:LA","lvl","Clackmannanshire")</f>
        <v>0</v>
      </c>
      <c r="I17" s="47">
        <f t="shared" si="3"/>
        <v>51</v>
      </c>
      <c r="J17" s="47">
        <f t="shared" si="2"/>
        <v>51</v>
      </c>
    </row>
    <row r="18" spans="1:10" ht="15" customHeight="1" x14ac:dyDescent="0.3">
      <c r="A18" s="89" t="s">
        <v>243</v>
      </c>
      <c r="B18" s="48" t="s">
        <v>244</v>
      </c>
      <c r="C18" s="49">
        <f>GETPIVOTDATA("Sum of Wholetime Operational",smallareapivot!$A$3,"ReportingLevel","1:LA","lvl","Dumfries and Galloway")</f>
        <v>64</v>
      </c>
      <c r="D18" s="49">
        <f>GETPIVOTDATA("Sum of Retained Duty System",smallareapivot!$A$3,"ReportingLevel","1:LA","lvl","Dumfries and Galloway")</f>
        <v>191</v>
      </c>
      <c r="E18" s="431">
        <v>0</v>
      </c>
      <c r="F18" s="431">
        <v>0</v>
      </c>
      <c r="G18" s="431">
        <v>0</v>
      </c>
      <c r="H18" s="49">
        <f>GETPIVOTDATA("Sum of Volunteer",smallareapivot!$A$3,"ReportingLevel","1:LA","lvl","Dumfries and Galloway")</f>
        <v>4</v>
      </c>
      <c r="I18" s="47">
        <f t="shared" si="3"/>
        <v>259</v>
      </c>
      <c r="J18" s="47">
        <f t="shared" si="2"/>
        <v>255</v>
      </c>
    </row>
    <row r="19" spans="1:10" ht="15" customHeight="1" x14ac:dyDescent="0.3">
      <c r="A19" s="89" t="s">
        <v>246</v>
      </c>
      <c r="B19" s="48" t="s">
        <v>247</v>
      </c>
      <c r="C19" s="49">
        <f>GETPIVOTDATA("Sum of Wholetime Operational",smallareapivot!$A$3,"ReportingLevel","1:LA","lvl","Dundee City")</f>
        <v>158</v>
      </c>
      <c r="D19" s="49">
        <f>GETPIVOTDATA("Sum of Retained Duty System",smallareapivot!$A$3,"ReportingLevel","1:LA","lvl","Dundee City")</f>
        <v>14</v>
      </c>
      <c r="E19" s="431">
        <v>0</v>
      </c>
      <c r="F19" s="431">
        <v>0</v>
      </c>
      <c r="G19" s="431">
        <v>0</v>
      </c>
      <c r="H19" s="49">
        <f>GETPIVOTDATA("Sum of Volunteer",smallareapivot!$A$3,"ReportingLevel","1:LA","lvl","Dundee City")</f>
        <v>0</v>
      </c>
      <c r="I19" s="47">
        <f t="shared" si="3"/>
        <v>172</v>
      </c>
      <c r="J19" s="47">
        <f t="shared" si="2"/>
        <v>172</v>
      </c>
    </row>
    <row r="20" spans="1:10" ht="15" customHeight="1" x14ac:dyDescent="0.3">
      <c r="A20" s="89" t="s">
        <v>248</v>
      </c>
      <c r="B20" s="48" t="s">
        <v>249</v>
      </c>
      <c r="C20" s="49">
        <f>GETPIVOTDATA("Sum of Wholetime Operational",smallareapivot!$A$3,"ReportingLevel","1:LA","lvl","East Ayrshire")</f>
        <v>53</v>
      </c>
      <c r="D20" s="49">
        <f>GETPIVOTDATA("Sum of Retained Duty System",smallareapivot!$A$3,"ReportingLevel","1:LA","lvl","East Ayrshire")</f>
        <v>74</v>
      </c>
      <c r="E20" s="431">
        <v>0</v>
      </c>
      <c r="F20" s="431">
        <v>0</v>
      </c>
      <c r="G20" s="431">
        <v>0</v>
      </c>
      <c r="H20" s="49">
        <f>GETPIVOTDATA("Sum of Volunteer",smallareapivot!$A$3,"ReportingLevel","1:LA","lvl","East Ayrshire")</f>
        <v>0</v>
      </c>
      <c r="I20" s="47">
        <f t="shared" si="3"/>
        <v>127</v>
      </c>
      <c r="J20" s="47">
        <f t="shared" si="2"/>
        <v>127</v>
      </c>
    </row>
    <row r="21" spans="1:10" ht="15" customHeight="1" x14ac:dyDescent="0.3">
      <c r="A21" s="89" t="s">
        <v>252</v>
      </c>
      <c r="B21" s="48" t="s">
        <v>253</v>
      </c>
      <c r="C21" s="49">
        <f>GETPIVOTDATA("Sum of Wholetime Operational",smallareapivot!$A$3,"ReportingLevel","1:LA","lvl","East Dunbartonshire")</f>
        <v>81</v>
      </c>
      <c r="D21" s="49">
        <f>GETPIVOTDATA("Sum of Retained Duty System",smallareapivot!$A$3,"ReportingLevel","1:LA","lvl","East Dunbartonshire")</f>
        <v>0</v>
      </c>
      <c r="E21" s="431">
        <v>0</v>
      </c>
      <c r="F21" s="431">
        <v>0</v>
      </c>
      <c r="G21" s="431">
        <v>0</v>
      </c>
      <c r="H21" s="49">
        <f>GETPIVOTDATA("Sum of Volunteer",smallareapivot!$A$3,"ReportingLevel","1:LA","lvl","East Dunbartonshire")</f>
        <v>0</v>
      </c>
      <c r="I21" s="47">
        <f t="shared" si="3"/>
        <v>81</v>
      </c>
      <c r="J21" s="47">
        <f t="shared" si="2"/>
        <v>81</v>
      </c>
    </row>
    <row r="22" spans="1:10" ht="15" customHeight="1" x14ac:dyDescent="0.3">
      <c r="A22" s="89" t="s">
        <v>254</v>
      </c>
      <c r="B22" s="48" t="s">
        <v>255</v>
      </c>
      <c r="C22" s="49">
        <f>GETPIVOTDATA("Sum of Wholetime Operational",smallareapivot!$A$3,"ReportingLevel","1:LA","lvl","East Lothian")</f>
        <v>25</v>
      </c>
      <c r="D22" s="49">
        <f>GETPIVOTDATA("Sum of Retained Duty System",smallareapivot!$A$3,"ReportingLevel","1:LA","lvl","East Lothian")</f>
        <v>56</v>
      </c>
      <c r="E22" s="431">
        <v>0</v>
      </c>
      <c r="F22" s="431">
        <v>0</v>
      </c>
      <c r="G22" s="431">
        <v>0</v>
      </c>
      <c r="H22" s="49">
        <f>GETPIVOTDATA("Sum of Volunteer",smallareapivot!$A$3,"ReportingLevel","1:LA","lvl","East Lothian")</f>
        <v>0</v>
      </c>
      <c r="I22" s="47">
        <f t="shared" si="3"/>
        <v>81</v>
      </c>
      <c r="J22" s="47">
        <f t="shared" si="2"/>
        <v>81</v>
      </c>
    </row>
    <row r="23" spans="1:10" ht="15" customHeight="1" x14ac:dyDescent="0.3">
      <c r="A23" s="89" t="s">
        <v>258</v>
      </c>
      <c r="B23" s="48" t="s">
        <v>259</v>
      </c>
      <c r="C23" s="49">
        <f>GETPIVOTDATA("Sum of Wholetime Operational",smallareapivot!$A$3,"ReportingLevel","1:LA","lvl","East Renfrewshire")</f>
        <v>50</v>
      </c>
      <c r="D23" s="49">
        <f>GETPIVOTDATA("Sum of Retained Duty System",smallareapivot!$A$3,"ReportingLevel","1:LA","lvl","East Renfrewshire")</f>
        <v>0</v>
      </c>
      <c r="E23" s="431">
        <v>0</v>
      </c>
      <c r="F23" s="431">
        <v>0</v>
      </c>
      <c r="G23" s="431">
        <v>0</v>
      </c>
      <c r="H23" s="49">
        <f>GETPIVOTDATA("Sum of Volunteer",smallareapivot!$A$3,"ReportingLevel","1:LA","lvl","East Renfrewshire")</f>
        <v>0</v>
      </c>
      <c r="I23" s="47">
        <f t="shared" si="3"/>
        <v>50</v>
      </c>
      <c r="J23" s="47">
        <f t="shared" si="2"/>
        <v>50</v>
      </c>
    </row>
    <row r="24" spans="1:10" ht="15" customHeight="1" x14ac:dyDescent="0.3">
      <c r="A24" s="89" t="s">
        <v>262</v>
      </c>
      <c r="B24" s="48" t="s">
        <v>263</v>
      </c>
      <c r="C24" s="49">
        <f>GETPIVOTDATA("Sum of Wholetime Operational",smallareapivot!$A$3,"ReportingLevel","1:LA","lvl","Falkirk")</f>
        <v>84</v>
      </c>
      <c r="D24" s="49">
        <f>GETPIVOTDATA("Sum of Retained Duty System",smallareapivot!$A$3,"ReportingLevel","1:LA","lvl","Falkirk")</f>
        <v>60</v>
      </c>
      <c r="E24" s="431">
        <v>0</v>
      </c>
      <c r="F24" s="431">
        <v>0</v>
      </c>
      <c r="G24" s="431">
        <v>0</v>
      </c>
      <c r="H24" s="49">
        <f>GETPIVOTDATA("Sum of Volunteer",smallareapivot!$A$3,"ReportingLevel","1:LA","lvl","Falkirk")</f>
        <v>0</v>
      </c>
      <c r="I24" s="47">
        <f t="shared" si="3"/>
        <v>144</v>
      </c>
      <c r="J24" s="47">
        <f t="shared" si="2"/>
        <v>144</v>
      </c>
    </row>
    <row r="25" spans="1:10" ht="15" customHeight="1" x14ac:dyDescent="0.3">
      <c r="A25" s="89" t="s">
        <v>266</v>
      </c>
      <c r="B25" s="48" t="s">
        <v>267</v>
      </c>
      <c r="C25" s="49">
        <f>GETPIVOTDATA("Sum of Wholetime Operational",smallareapivot!$A$3,"ReportingLevel","1:LA","lvl","Fife")</f>
        <v>204</v>
      </c>
      <c r="D25" s="49">
        <f>GETPIVOTDATA("Sum of Retained Duty System",smallareapivot!$A$3,"ReportingLevel","1:LA","lvl","Fife")</f>
        <v>96</v>
      </c>
      <c r="E25" s="431">
        <v>0</v>
      </c>
      <c r="F25" s="431">
        <v>0</v>
      </c>
      <c r="G25" s="431">
        <v>0</v>
      </c>
      <c r="H25" s="49">
        <f>GETPIVOTDATA("Sum of Volunteer",smallareapivot!$A$3,"ReportingLevel","1:LA","lvl","Fife")</f>
        <v>0</v>
      </c>
      <c r="I25" s="47">
        <f t="shared" si="3"/>
        <v>300</v>
      </c>
      <c r="J25" s="47">
        <f t="shared" si="2"/>
        <v>300</v>
      </c>
    </row>
    <row r="26" spans="1:10" ht="15" customHeight="1" x14ac:dyDescent="0.3">
      <c r="A26" s="89" t="str">
        <f>IF(A9 = "2019-20","S12000049","S12000046")</f>
        <v>S12000046</v>
      </c>
      <c r="B26" s="48" t="s">
        <v>270</v>
      </c>
      <c r="C26" s="49">
        <f>GETPIVOTDATA("Sum of Wholetime Operational",smallareapivot!$A$3,"ReportingLevel","1:LA","lvl","Glasgow City")</f>
        <v>452</v>
      </c>
      <c r="D26" s="49">
        <f>GETPIVOTDATA("Sum of Retained Duty System",smallareapivot!$A$3,"ReportingLevel","1:LA","lvl","Glasgow City")</f>
        <v>0</v>
      </c>
      <c r="E26" s="431">
        <v>0</v>
      </c>
      <c r="F26" s="431">
        <v>0</v>
      </c>
      <c r="G26" s="431">
        <v>0</v>
      </c>
      <c r="H26" s="49">
        <f>GETPIVOTDATA("Sum of Volunteer",smallareapivot!$A$3,"ReportingLevel","1:LA","lvl","Glasgow City")</f>
        <v>0</v>
      </c>
      <c r="I26" s="47">
        <f t="shared" si="3"/>
        <v>452</v>
      </c>
      <c r="J26" s="47">
        <f t="shared" si="2"/>
        <v>452</v>
      </c>
    </row>
    <row r="27" spans="1:10" ht="15" customHeight="1" x14ac:dyDescent="0.3">
      <c r="A27" s="89" t="s">
        <v>272</v>
      </c>
      <c r="B27" s="48" t="s">
        <v>273</v>
      </c>
      <c r="C27" s="49">
        <f>GETPIVOTDATA("Sum of Wholetime Operational",smallareapivot!$A$3,"ReportingLevel","1:LA","lvl","Highlands")</f>
        <v>83</v>
      </c>
      <c r="D27" s="49">
        <f>GETPIVOTDATA("Sum of Retained Duty System",smallareapivot!$A$3,"ReportingLevel","1:LA","lvl","Highlands")</f>
        <v>457</v>
      </c>
      <c r="E27" s="431">
        <v>0</v>
      </c>
      <c r="F27" s="431">
        <v>0</v>
      </c>
      <c r="G27" s="431">
        <v>0</v>
      </c>
      <c r="H27" s="49">
        <f>GETPIVOTDATA("Sum of Volunteer",smallareapivot!$A$3,"ReportingLevel","1:LA","lvl","Highlands")</f>
        <v>43</v>
      </c>
      <c r="I27" s="47">
        <f>SUM(C27:H27)</f>
        <v>583</v>
      </c>
      <c r="J27" s="62">
        <f>IFERROR(I27-H27, "-")</f>
        <v>540</v>
      </c>
    </row>
    <row r="28" spans="1:10" ht="15" customHeight="1" x14ac:dyDescent="0.3">
      <c r="A28" s="89" t="s">
        <v>276</v>
      </c>
      <c r="B28" s="48" t="s">
        <v>277</v>
      </c>
      <c r="C28" s="49">
        <f>GETPIVOTDATA("Sum of Wholetime Operational",smallareapivot!$A$3,"ReportingLevel","1:LA","lvl","Inverclyde")</f>
        <v>66</v>
      </c>
      <c r="D28" s="49">
        <f>GETPIVOTDATA("Sum of Retained Duty System",smallareapivot!$A$3,"ReportingLevel","1:LA","lvl","Inverclyde")</f>
        <v>40</v>
      </c>
      <c r="E28" s="431">
        <v>0</v>
      </c>
      <c r="F28" s="431">
        <v>0</v>
      </c>
      <c r="G28" s="431">
        <v>0</v>
      </c>
      <c r="H28" s="49">
        <f>GETPIVOTDATA("Sum of Volunteer",smallareapivot!$A$3,"ReportingLevel","1:LA","lvl","Inverclyde")</f>
        <v>0</v>
      </c>
      <c r="I28" s="47">
        <f t="shared" si="3"/>
        <v>106</v>
      </c>
      <c r="J28" s="47">
        <f t="shared" si="2"/>
        <v>106</v>
      </c>
    </row>
    <row r="29" spans="1:10" ht="15" customHeight="1" x14ac:dyDescent="0.3">
      <c r="A29" s="89" t="s">
        <v>278</v>
      </c>
      <c r="B29" s="48" t="s">
        <v>279</v>
      </c>
      <c r="C29" s="49">
        <f>GETPIVOTDATA("Sum of Wholetime Operational",smallareapivot!$A$3,"ReportingLevel","1:LA","lvl","Midlothian")</f>
        <v>31</v>
      </c>
      <c r="D29" s="49">
        <f>GETPIVOTDATA("Sum of Retained Duty System",smallareapivot!$A$3,"ReportingLevel","1:LA","lvl","Midlothian")</f>
        <v>13</v>
      </c>
      <c r="E29" s="431">
        <v>0</v>
      </c>
      <c r="F29" s="431">
        <v>0</v>
      </c>
      <c r="G29" s="431">
        <v>0</v>
      </c>
      <c r="H29" s="49">
        <f>GETPIVOTDATA("Sum of Volunteer",smallareapivot!$A$3,"ReportingLevel","1:LA","lvl","Midlothian")</f>
        <v>0</v>
      </c>
      <c r="I29" s="47">
        <f>SUM(C29:H29)</f>
        <v>44</v>
      </c>
      <c r="J29" s="47">
        <f t="shared" si="2"/>
        <v>44</v>
      </c>
    </row>
    <row r="30" spans="1:10" ht="15" customHeight="1" x14ac:dyDescent="0.3">
      <c r="A30" s="89" t="s">
        <v>280</v>
      </c>
      <c r="B30" s="48" t="s">
        <v>281</v>
      </c>
      <c r="C30" s="49">
        <f>GETPIVOTDATA("Sum of Wholetime Operational",smallareapivot!$A$3,"ReportingLevel","1:LA","lvl","Moray")</f>
        <v>29</v>
      </c>
      <c r="D30" s="49">
        <f>GETPIVOTDATA("Sum of Retained Duty System",smallareapivot!$A$3,"ReportingLevel","1:LA","lvl","Moray")</f>
        <v>105</v>
      </c>
      <c r="E30" s="431">
        <v>0</v>
      </c>
      <c r="F30" s="431">
        <v>0</v>
      </c>
      <c r="G30" s="431">
        <v>0</v>
      </c>
      <c r="H30" s="49">
        <f>GETPIVOTDATA("Sum of Volunteer",smallareapivot!$A$3,"ReportingLevel","1:LA","lvl","Moray")</f>
        <v>1</v>
      </c>
      <c r="I30" s="47">
        <f t="shared" si="3"/>
        <v>135</v>
      </c>
      <c r="J30" s="47">
        <f t="shared" si="2"/>
        <v>134</v>
      </c>
    </row>
    <row r="31" spans="1:10" ht="15" customHeight="1" x14ac:dyDescent="0.3">
      <c r="A31" s="89" t="s">
        <v>282</v>
      </c>
      <c r="B31" s="48" t="s">
        <v>283</v>
      </c>
      <c r="C31" s="49">
        <f>GETPIVOTDATA("Sum of Wholetime Operational",smallareapivot!$A$3,"ReportingLevel","1:LA","lvl","Na h-Eileanan Siar")</f>
        <v>3</v>
      </c>
      <c r="D31" s="49">
        <f>GETPIVOTDATA("Sum of Retained Duty System",smallareapivot!$A$3,"ReportingLevel","1:LA","lvl","Na h-Eileanan Siar")</f>
        <v>132</v>
      </c>
      <c r="E31" s="431">
        <v>0</v>
      </c>
      <c r="F31" s="431">
        <v>0</v>
      </c>
      <c r="G31" s="431">
        <v>0</v>
      </c>
      <c r="H31" s="49">
        <f>GETPIVOTDATA("Sum of Volunteer",smallareapivot!$A$3,"ReportingLevel","1:LA","lvl","Na h-Eileanan Siar")</f>
        <v>0</v>
      </c>
      <c r="I31" s="47">
        <f t="shared" si="3"/>
        <v>135</v>
      </c>
      <c r="J31" s="47">
        <f t="shared" si="2"/>
        <v>135</v>
      </c>
    </row>
    <row r="32" spans="1:10" ht="15" customHeight="1" x14ac:dyDescent="0.3">
      <c r="A32" s="89" t="s">
        <v>286</v>
      </c>
      <c r="B32" s="48" t="s">
        <v>287</v>
      </c>
      <c r="C32" s="49">
        <f>GETPIVOTDATA("Sum of Wholetime Operational",smallareapivot!$A$3,"ReportingLevel","1:LA","lvl","North Ayrshire")</f>
        <v>76</v>
      </c>
      <c r="D32" s="49">
        <f>GETPIVOTDATA("Sum of Retained Duty System",smallareapivot!$A$3,"ReportingLevel","1:LA","lvl","North Ayrshire")</f>
        <v>104</v>
      </c>
      <c r="E32" s="431">
        <v>0</v>
      </c>
      <c r="F32" s="431">
        <v>0</v>
      </c>
      <c r="G32" s="431">
        <v>0</v>
      </c>
      <c r="H32" s="49">
        <f>GETPIVOTDATA("Sum of Volunteer",smallareapivot!$A$3,"ReportingLevel","1:LA","lvl","North Ayrshire")</f>
        <v>19</v>
      </c>
      <c r="I32" s="47">
        <f t="shared" si="3"/>
        <v>199</v>
      </c>
      <c r="J32" s="47">
        <f t="shared" si="2"/>
        <v>180</v>
      </c>
    </row>
    <row r="33" spans="1:10" ht="15" customHeight="1" x14ac:dyDescent="0.3">
      <c r="A33" s="89" t="str">
        <f>IF(A9="2019-20","S12000050","S12000044")</f>
        <v>S12000044</v>
      </c>
      <c r="B33" s="48" t="s">
        <v>289</v>
      </c>
      <c r="C33" s="49">
        <f>GETPIVOTDATA("Sum of Wholetime Operational",smallareapivot!$A$3,"ReportingLevel","1:LA","lvl","North Lanarkshire")</f>
        <v>170</v>
      </c>
      <c r="D33" s="49">
        <f>GETPIVOTDATA("Sum of Retained Duty System",smallareapivot!$A$3,"ReportingLevel","1:LA","lvl","North Lanarkshire")</f>
        <v>31</v>
      </c>
      <c r="E33" s="431">
        <v>0</v>
      </c>
      <c r="F33" s="431">
        <v>0</v>
      </c>
      <c r="G33" s="431">
        <v>0</v>
      </c>
      <c r="H33" s="49">
        <f>GETPIVOTDATA("Sum of Volunteer",smallareapivot!$A$3,"ReportingLevel","1:LA","lvl","North Lanarkshire")</f>
        <v>0</v>
      </c>
      <c r="I33" s="47">
        <f t="shared" si="3"/>
        <v>201</v>
      </c>
      <c r="J33" s="47">
        <f t="shared" si="2"/>
        <v>201</v>
      </c>
    </row>
    <row r="34" spans="1:10" ht="15" customHeight="1" x14ac:dyDescent="0.3">
      <c r="A34" s="89" t="s">
        <v>291</v>
      </c>
      <c r="B34" s="48" t="s">
        <v>292</v>
      </c>
      <c r="C34" s="49">
        <f>GETPIVOTDATA("Sum of Wholetime Operational",smallareapivot!$A$3,"ReportingLevel","1:LA","lvl","Orkney Islands")</f>
        <v>1</v>
      </c>
      <c r="D34" s="49">
        <f>GETPIVOTDATA("Sum of Retained Duty System",smallareapivot!$A$3,"ReportingLevel","1:LA","lvl","Orkney Islands")</f>
        <v>104</v>
      </c>
      <c r="E34" s="431">
        <v>0</v>
      </c>
      <c r="F34" s="431">
        <v>0</v>
      </c>
      <c r="G34" s="431">
        <v>0</v>
      </c>
      <c r="H34" s="49">
        <f>GETPIVOTDATA("Sum of Volunteer",smallareapivot!$A$3,"ReportingLevel","1:LA","lvl","Orkney Islands")</f>
        <v>0</v>
      </c>
      <c r="I34" s="47">
        <f t="shared" si="3"/>
        <v>105</v>
      </c>
      <c r="J34" s="47">
        <f t="shared" si="2"/>
        <v>105</v>
      </c>
    </row>
    <row r="35" spans="1:10" ht="15" customHeight="1" x14ac:dyDescent="0.3">
      <c r="A35" s="89" t="s">
        <v>293</v>
      </c>
      <c r="B35" s="48" t="s">
        <v>294</v>
      </c>
      <c r="C35" s="49">
        <f>GETPIVOTDATA("Sum of Wholetime Operational",smallareapivot!$A$3,"ReportingLevel","1:LA","lvl","Perth and Kinross")</f>
        <v>70</v>
      </c>
      <c r="D35" s="49">
        <f>GETPIVOTDATA("Sum of Retained Duty System",smallareapivot!$A$3,"ReportingLevel","1:LA","lvl","Perth and Kinross")</f>
        <v>114</v>
      </c>
      <c r="E35" s="431">
        <v>0</v>
      </c>
      <c r="F35" s="431">
        <v>0</v>
      </c>
      <c r="G35" s="431">
        <v>0</v>
      </c>
      <c r="H35" s="49">
        <f>GETPIVOTDATA("Sum of Volunteer",smallareapivot!$A$3,"ReportingLevel","1:LA","lvl","Perth and Kinross")</f>
        <v>21</v>
      </c>
      <c r="I35" s="47">
        <f t="shared" si="3"/>
        <v>205</v>
      </c>
      <c r="J35" s="47">
        <f t="shared" si="2"/>
        <v>184</v>
      </c>
    </row>
    <row r="36" spans="1:10" ht="15" customHeight="1" x14ac:dyDescent="0.3">
      <c r="A36" s="89" t="s">
        <v>295</v>
      </c>
      <c r="B36" s="48" t="s">
        <v>296</v>
      </c>
      <c r="C36" s="49">
        <f>GETPIVOTDATA("Sum of Wholetime Operational",smallareapivot!$A$3,"ReportingLevel","1:LA","lvl","Renfrewshire")</f>
        <v>101</v>
      </c>
      <c r="D36" s="49">
        <f>GETPIVOTDATA("Sum of Retained Duty System",smallareapivot!$A$3,"ReportingLevel","1:LA","lvl","Renfrewshire")</f>
        <v>14</v>
      </c>
      <c r="E36" s="431">
        <v>0</v>
      </c>
      <c r="F36" s="431">
        <v>0</v>
      </c>
      <c r="G36" s="431">
        <v>0</v>
      </c>
      <c r="H36" s="49">
        <f>GETPIVOTDATA("Sum of Volunteer",smallareapivot!$A$3,"ReportingLevel","1:LA","lvl","Renfrewshire")</f>
        <v>0</v>
      </c>
      <c r="I36" s="47">
        <f t="shared" si="3"/>
        <v>115</v>
      </c>
      <c r="J36" s="47">
        <f t="shared" si="2"/>
        <v>115</v>
      </c>
    </row>
    <row r="37" spans="1:10" ht="15" customHeight="1" x14ac:dyDescent="0.3">
      <c r="A37" s="89" t="s">
        <v>297</v>
      </c>
      <c r="B37" s="48" t="s">
        <v>298</v>
      </c>
      <c r="C37" s="49">
        <f>GETPIVOTDATA("Sum of Wholetime Operational",smallareapivot!$A$3,"ReportingLevel","1:LA","lvl","Scottish Borders")</f>
        <v>58</v>
      </c>
      <c r="D37" s="49">
        <f>GETPIVOTDATA("Sum of Retained Duty System",smallareapivot!$A$3,"ReportingLevel","1:LA","lvl","Scottish Borders")</f>
        <v>153</v>
      </c>
      <c r="E37" s="431">
        <v>0</v>
      </c>
      <c r="F37" s="431">
        <v>0</v>
      </c>
      <c r="G37" s="431">
        <v>0</v>
      </c>
      <c r="H37" s="49">
        <f>GETPIVOTDATA("Sum of Volunteer",smallareapivot!$A$3,"ReportingLevel","1:LA","lvl","Scottish Borders")</f>
        <v>0</v>
      </c>
      <c r="I37" s="47">
        <f t="shared" si="3"/>
        <v>211</v>
      </c>
      <c r="J37" s="47">
        <f t="shared" si="2"/>
        <v>211</v>
      </c>
    </row>
    <row r="38" spans="1:10" ht="15" customHeight="1" x14ac:dyDescent="0.3">
      <c r="A38" s="89" t="s">
        <v>299</v>
      </c>
      <c r="B38" s="48" t="s">
        <v>300</v>
      </c>
      <c r="C38" s="49">
        <f>GETPIVOTDATA("Sum of Wholetime Operational",smallareapivot!$A$3,"ReportingLevel","1:LA","lvl","Shetland Islands")</f>
        <v>0</v>
      </c>
      <c r="D38" s="49">
        <f>GETPIVOTDATA("Sum of Retained Duty System",smallareapivot!$A$3,"ReportingLevel","1:LA","lvl","Shetland Islands")</f>
        <v>117</v>
      </c>
      <c r="E38" s="431">
        <v>0</v>
      </c>
      <c r="F38" s="431">
        <v>0</v>
      </c>
      <c r="G38" s="431">
        <v>0</v>
      </c>
      <c r="H38" s="49">
        <f>GETPIVOTDATA("Sum of Volunteer",smallareapivot!$A$3,"ReportingLevel","1:LA","lvl","Shetland Islands")</f>
        <v>0</v>
      </c>
      <c r="I38" s="47">
        <f t="shared" si="3"/>
        <v>117</v>
      </c>
      <c r="J38" s="47">
        <f t="shared" si="2"/>
        <v>117</v>
      </c>
    </row>
    <row r="39" spans="1:10" ht="15" customHeight="1" x14ac:dyDescent="0.3">
      <c r="A39" s="89" t="s">
        <v>301</v>
      </c>
      <c r="B39" s="48" t="s">
        <v>302</v>
      </c>
      <c r="C39" s="49">
        <f>GETPIVOTDATA("Sum of Wholetime Operational",smallareapivot!$A$3,"ReportingLevel","1:LA","lvl","South Ayrshire")</f>
        <v>51</v>
      </c>
      <c r="D39" s="49">
        <f>GETPIVOTDATA("Sum of Retained Duty System",smallareapivot!$A$3,"ReportingLevel","1:LA","lvl","South Ayrshire")</f>
        <v>47</v>
      </c>
      <c r="E39" s="431">
        <v>0</v>
      </c>
      <c r="F39" s="431">
        <v>0</v>
      </c>
      <c r="G39" s="431">
        <v>0</v>
      </c>
      <c r="H39" s="49">
        <f>GETPIVOTDATA("Sum of Volunteer",smallareapivot!$A$3,"ReportingLevel","1:LA","lvl","South Ayrshire")</f>
        <v>0</v>
      </c>
      <c r="I39" s="47">
        <f t="shared" si="3"/>
        <v>98</v>
      </c>
      <c r="J39" s="47">
        <f t="shared" si="2"/>
        <v>98</v>
      </c>
    </row>
    <row r="40" spans="1:10" ht="15" customHeight="1" x14ac:dyDescent="0.3">
      <c r="A40" s="89" t="s">
        <v>303</v>
      </c>
      <c r="B40" s="48" t="s">
        <v>304</v>
      </c>
      <c r="C40" s="49">
        <f>GETPIVOTDATA("Sum of Wholetime Operational",smallareapivot!$A$3,"ReportingLevel","1:LA","lvl","South Lanarkshire")</f>
        <v>150</v>
      </c>
      <c r="D40" s="49">
        <f>GETPIVOTDATA("Sum of Retained Duty System",smallareapivot!$A$3,"ReportingLevel","1:LA","lvl","South Lanarkshire")</f>
        <v>82</v>
      </c>
      <c r="E40" s="431">
        <v>0</v>
      </c>
      <c r="F40" s="431">
        <v>0</v>
      </c>
      <c r="G40" s="431">
        <v>0</v>
      </c>
      <c r="H40" s="49">
        <f>GETPIVOTDATA("Sum of Volunteer",smallareapivot!$A$3,"ReportingLevel","1:LA","lvl","South Lanarkshire")</f>
        <v>0</v>
      </c>
      <c r="I40" s="47">
        <f t="shared" si="3"/>
        <v>232</v>
      </c>
      <c r="J40" s="47">
        <f t="shared" si="2"/>
        <v>232</v>
      </c>
    </row>
    <row r="41" spans="1:10" ht="15" customHeight="1" x14ac:dyDescent="0.3">
      <c r="A41" s="89" t="s">
        <v>306</v>
      </c>
      <c r="B41" s="48" t="s">
        <v>307</v>
      </c>
      <c r="C41" s="49">
        <f>GETPIVOTDATA("Sum of Wholetime Operational",smallareapivot!$A$3,"ReportingLevel","1:LA","lvl","Stirling")</f>
        <v>49</v>
      </c>
      <c r="D41" s="49">
        <f>GETPIVOTDATA("Sum of Retained Duty System",smallareapivot!$A$3,"ReportingLevel","1:LA","lvl","Stirling")</f>
        <v>74</v>
      </c>
      <c r="E41" s="431">
        <v>0</v>
      </c>
      <c r="F41" s="431">
        <v>0</v>
      </c>
      <c r="G41" s="431">
        <v>0</v>
      </c>
      <c r="H41" s="49">
        <f>GETPIVOTDATA("Sum of Volunteer",smallareapivot!$A$3,"ReportingLevel","1:LA","lvl","Stirling")</f>
        <v>0</v>
      </c>
      <c r="I41" s="47">
        <f t="shared" si="3"/>
        <v>123</v>
      </c>
      <c r="J41" s="47">
        <f t="shared" si="2"/>
        <v>123</v>
      </c>
    </row>
    <row r="42" spans="1:10" ht="15" customHeight="1" x14ac:dyDescent="0.3">
      <c r="A42" s="89" t="s">
        <v>308</v>
      </c>
      <c r="B42" s="48" t="s">
        <v>309</v>
      </c>
      <c r="C42" s="49">
        <f>GETPIVOTDATA("Sum of Wholetime Operational",smallareapivot!$A$3,"ReportingLevel","1:LA","lvl","West Dunbartonshire")</f>
        <v>77</v>
      </c>
      <c r="D42" s="49">
        <f>GETPIVOTDATA("Sum of Retained Duty System",smallareapivot!$A$3,"ReportingLevel","1:LA","lvl","West Dunbartonshire")</f>
        <v>22</v>
      </c>
      <c r="E42" s="431">
        <v>0</v>
      </c>
      <c r="F42" s="431">
        <v>0</v>
      </c>
      <c r="G42" s="431">
        <v>0</v>
      </c>
      <c r="H42" s="49">
        <f>GETPIVOTDATA("Sum of Volunteer",smallareapivot!$A$3,"ReportingLevel","1:LA","lvl","West Dunbartonshire")</f>
        <v>0</v>
      </c>
      <c r="I42" s="47">
        <f t="shared" si="3"/>
        <v>99</v>
      </c>
      <c r="J42" s="47">
        <f t="shared" si="2"/>
        <v>99</v>
      </c>
    </row>
    <row r="43" spans="1:10" ht="15" customHeight="1" x14ac:dyDescent="0.3">
      <c r="A43" s="89" t="s">
        <v>310</v>
      </c>
      <c r="B43" s="48" t="s">
        <v>311</v>
      </c>
      <c r="C43" s="49">
        <f>GETPIVOTDATA("Sum of Wholetime Operational",smallareapivot!$A$3,"ReportingLevel","1:LA","lvl","West Lothian")</f>
        <v>65</v>
      </c>
      <c r="D43" s="49">
        <f>GETPIVOTDATA("Sum of Retained Duty System",smallareapivot!$A$3,"ReportingLevel","1:LA","lvl","West Lothian")</f>
        <v>58</v>
      </c>
      <c r="E43" s="431">
        <v>0</v>
      </c>
      <c r="F43" s="431">
        <v>0</v>
      </c>
      <c r="G43" s="431">
        <v>0</v>
      </c>
      <c r="H43" s="49">
        <f>GETPIVOTDATA("Sum of Volunteer",smallareapivot!$A$3,"ReportingLevel","1:LA","lvl","West Lothian")</f>
        <v>0</v>
      </c>
      <c r="I43" s="47">
        <f t="shared" si="3"/>
        <v>123</v>
      </c>
      <c r="J43" s="47">
        <f t="shared" si="2"/>
        <v>123</v>
      </c>
    </row>
    <row r="44" spans="1:10" ht="30" customHeight="1" thickBot="1" x14ac:dyDescent="0.35">
      <c r="A44" s="52"/>
      <c r="B44" s="52" t="s">
        <v>552</v>
      </c>
      <c r="C44" s="53">
        <f>GETPIVOTDATA("Sum of Wholetime Operational",smallareapivot!$A$3,"ReportingLevel","1:LA")</f>
        <v>2810</v>
      </c>
      <c r="D44" s="53">
        <f>GETPIVOTDATA("Sum of Retained Duty System",smallareapivot!$A$3,"ReportingLevel","1:LA")</f>
        <v>2747</v>
      </c>
      <c r="E44" s="430">
        <v>0</v>
      </c>
      <c r="F44" s="430">
        <v>0</v>
      </c>
      <c r="G44" s="430">
        <v>0</v>
      </c>
      <c r="H44" s="53">
        <f>GETPIVOTDATA("Sum of Volunteer",smallareapivot!$A$3,"ReportingLevel","1:LA")</f>
        <v>252</v>
      </c>
      <c r="I44" s="53">
        <f>SUM(I12:I43)</f>
        <v>5809</v>
      </c>
      <c r="J44" s="53">
        <f t="shared" ref="J44" si="4">SUM(J12:J43)</f>
        <v>5557</v>
      </c>
    </row>
    <row r="45" spans="1:10" ht="19.5" customHeight="1" x14ac:dyDescent="0.3">
      <c r="A45" s="48"/>
      <c r="B45" s="48"/>
      <c r="C45" s="46"/>
      <c r="D45" s="46"/>
      <c r="E45" s="46"/>
      <c r="F45" s="46"/>
      <c r="G45" s="46"/>
      <c r="H45" s="46"/>
      <c r="I45" s="47"/>
      <c r="J45" s="47"/>
    </row>
    <row r="46" spans="1:10" ht="37.5" customHeight="1" x14ac:dyDescent="0.3">
      <c r="A46" s="439" t="s">
        <v>210</v>
      </c>
      <c r="B46" s="439" t="s">
        <v>553</v>
      </c>
      <c r="C46" s="37" t="s">
        <v>517</v>
      </c>
      <c r="D46" s="37" t="s">
        <v>361</v>
      </c>
      <c r="E46" s="37" t="s">
        <v>518</v>
      </c>
      <c r="F46" s="37" t="s">
        <v>513</v>
      </c>
      <c r="G46" s="37" t="s">
        <v>514</v>
      </c>
      <c r="H46" s="37" t="s">
        <v>339</v>
      </c>
      <c r="I46" s="4" t="s">
        <v>608</v>
      </c>
      <c r="J46" s="4" t="s">
        <v>618</v>
      </c>
    </row>
    <row r="47" spans="1:10" ht="22.5" customHeight="1" x14ac:dyDescent="0.3">
      <c r="A47" s="391" t="str">
        <f>IF(OR(A9="2021-22", A9 = "2022-23"), "S39000023", "S39000001")</f>
        <v>S39000001</v>
      </c>
      <c r="B47" s="669" t="str">
        <f>IF(OR(A9 ="2021-22", A9 = "2022-23", A9 = "2023-24", A9 = "2024-25", A9 = "2025-26"), "Abderdeen City, Aberdeenshire and Moray", "Aberdeen City")</f>
        <v>Abderdeen City, Aberdeenshire and Moray</v>
      </c>
      <c r="C47" s="56">
        <f>IF(OR(A9="2021-22", A9 = "2022-23", A9 = "2023-24", A9 = "2024-25", A9 = "2025-26"), GETPIVOTDATA("Sum of Wholetime Operational",smallareapivot!$A$3,"ReportingLevel","2:LSO","lvl","Aberdeen City, Aberdeenshire and Moray"), GETPIVOTDATA("Sum of Wholetime Operational",smallareapivot!$A$3,"ReportingLevel","2:LSO","lvl","Aberdeen City"))</f>
        <v>73</v>
      </c>
      <c r="D47" s="433" t="s">
        <v>619</v>
      </c>
      <c r="E47" s="672">
        <f>IF(OR(A9="2021-22", A9 = "2022-23", A9 = "2023-24", A9 = "2024-25", A9 = "2025-26"), GETPIVOTDATA("Sum of RDS Fulltime",smallareapivot!$A$3,"ReportingLevel","2:LSO","lvl","Aberdeen City, Aberdeenshire and Moray"),GETPIVOTDATA("Sum of RDS Fulltime",smallareapivot!$A$3,"ReportingLevel","2:LSO","lvl","Aberdeen City"))</f>
        <v>8</v>
      </c>
      <c r="F47" s="433">
        <v>0</v>
      </c>
      <c r="G47" s="433">
        <v>0</v>
      </c>
      <c r="H47" s="433">
        <v>0</v>
      </c>
      <c r="I47" s="61">
        <f>SUM(C47:H47)</f>
        <v>81</v>
      </c>
      <c r="J47" s="32">
        <f>I47-H47</f>
        <v>81</v>
      </c>
    </row>
    <row r="48" spans="1:10" ht="15" customHeight="1" x14ac:dyDescent="0.3">
      <c r="A48" s="671" t="str">
        <f>IF(OR(A9 = "2021-22", A9 = "2022-23"),"", "S39000002")</f>
        <v>S39000002</v>
      </c>
      <c r="B48" s="666" t="str">
        <f>IF(OR(A9 = "2021-22", A9 = "2022-23", A9 = "2023-24", A9 = "2024-25", A9 = "2025-26"), "", "Aberdeenshire and Moray")</f>
        <v/>
      </c>
      <c r="C48" s="670" t="str">
        <f>IF(OR(A9="2021-22", A9 = "2022-23", A9 = "2023-24", A9 = "2024-25", A9 = "2025-26"), "", GETPIVOTDATA("Sum of Wholetime Operational",smallareapivot!$A$3,"ReportingLevel","2:LSO","lvl","Aberdeenshire and Moray"))</f>
        <v/>
      </c>
      <c r="D48" s="432" t="s">
        <v>619</v>
      </c>
      <c r="E48" s="670" t="str">
        <f>IF(OR(A9="2021-22", A9 = "2022-23", A9 = "2023-24", A9 = "2024-25", A9 = "2025-26"), "", GETPIVOTDATA("Sum of RDS Fulltime",smallareapivot!$A$3,"ReportingLevel","2:LSO","lvl","Aberdeenshire and Moray"))</f>
        <v/>
      </c>
      <c r="F48" s="432">
        <v>0</v>
      </c>
      <c r="G48" s="432">
        <v>0</v>
      </c>
      <c r="H48" s="432">
        <v>0</v>
      </c>
      <c r="I48" s="47">
        <f t="shared" ref="I48:I63" si="5">SUM(C48:H48)</f>
        <v>0</v>
      </c>
      <c r="J48" s="47">
        <f t="shared" ref="J48:J63" si="6">I48-H48</f>
        <v>0</v>
      </c>
    </row>
    <row r="49" spans="1:10" ht="15" customHeight="1" x14ac:dyDescent="0.3">
      <c r="A49" s="392" t="s">
        <v>229</v>
      </c>
      <c r="B49" s="82" t="s">
        <v>230</v>
      </c>
      <c r="C49" s="49">
        <f>GETPIVOTDATA("Sum of Wholetime Operational",smallareapivot!$A$3,"ReportingLevel","2:LSO","lvl","Argyll and Bute, East Dunbartonshire and West Dunbartonshire")</f>
        <v>24</v>
      </c>
      <c r="D49" s="432" t="s">
        <v>619</v>
      </c>
      <c r="E49" s="670">
        <f>IFERROR(GETPIVOTDATA("Sum of RDS Fulltime",smallareapivot!$A$3,"ReportingLevel","2:LSO","lvl","Argyll and Bute, East Dunbartonshire and West Dunbartonshire"),0)</f>
        <v>6</v>
      </c>
      <c r="F49" s="432">
        <v>0</v>
      </c>
      <c r="G49" s="432">
        <v>0</v>
      </c>
      <c r="H49" s="432">
        <v>0</v>
      </c>
      <c r="I49" s="47">
        <f t="shared" si="5"/>
        <v>30</v>
      </c>
      <c r="J49" s="47">
        <f t="shared" si="6"/>
        <v>30</v>
      </c>
    </row>
    <row r="50" spans="1:10" ht="15" customHeight="1" x14ac:dyDescent="0.3">
      <c r="A50" s="392" t="s">
        <v>245</v>
      </c>
      <c r="B50" s="666" t="s">
        <v>244</v>
      </c>
      <c r="C50" s="49">
        <f>IFERROR(GETPIVOTDATA("Sum of Wholetime Operational",smallareapivot!$A$3,"ReportingLevel","2:LSO","lvl","Dumfries and Galloway"),0)</f>
        <v>11</v>
      </c>
      <c r="D50" s="432" t="s">
        <v>619</v>
      </c>
      <c r="E50" s="670">
        <f>IFERROR(GETPIVOTDATA("Sum of RDS Fulltime",smallareapivot!$A$3,"ReportingLevel","2:LSO","lvl","Dumfries and Galloway"),0)</f>
        <v>4</v>
      </c>
      <c r="F50" s="432">
        <v>0</v>
      </c>
      <c r="G50" s="432">
        <v>0</v>
      </c>
      <c r="H50" s="432">
        <v>0</v>
      </c>
      <c r="I50" s="47">
        <f t="shared" si="5"/>
        <v>15</v>
      </c>
      <c r="J50" s="47">
        <f t="shared" si="6"/>
        <v>15</v>
      </c>
    </row>
    <row r="51" spans="1:10" ht="15" customHeight="1" x14ac:dyDescent="0.3">
      <c r="A51" s="392" t="s">
        <v>225</v>
      </c>
      <c r="B51" s="666" t="s">
        <v>226</v>
      </c>
      <c r="C51" s="49">
        <f>GETPIVOTDATA("Sum of Wholetime Operational",smallareapivot!$A$3,"ReportingLevel","2:LSO","lvl","Dundee, Angus, Perth and Kinross")</f>
        <v>22</v>
      </c>
      <c r="D51" s="432" t="s">
        <v>619</v>
      </c>
      <c r="E51" s="670">
        <f>IFERROR(GETPIVOTDATA("Sum of RDS Fulltime",smallareapivot!$A$3,"ReportingLevel","2:LSO","lvl","Dundee, Angus, Perth and Kinross"),0)</f>
        <v>3</v>
      </c>
      <c r="F51" s="432">
        <v>0</v>
      </c>
      <c r="G51" s="432">
        <v>0</v>
      </c>
      <c r="H51" s="432">
        <v>0</v>
      </c>
      <c r="I51" s="47">
        <f t="shared" si="5"/>
        <v>25</v>
      </c>
      <c r="J51" s="47">
        <f t="shared" si="6"/>
        <v>25</v>
      </c>
    </row>
    <row r="52" spans="1:10" ht="15" customHeight="1" x14ac:dyDescent="0.3">
      <c r="A52" s="392" t="s">
        <v>250</v>
      </c>
      <c r="B52" s="666" t="s">
        <v>251</v>
      </c>
      <c r="C52" s="49">
        <f>IFERROR(GETPIVOTDATA("Sum of Wholetime Operational",smallareapivot!$A$3,"ReportingLevel","2:LSO","lvl","East Ayrshire, North Ayrshire and South Ayrshire"),0)</f>
        <v>25</v>
      </c>
      <c r="D52" s="432" t="s">
        <v>619</v>
      </c>
      <c r="E52" s="670">
        <f>IFERROR(GETPIVOTDATA("Sum of RDS Fulltime",smallareapivot!$A$3,"ReportingLevel","2:LSO","lvl","East Ayrshire, North Ayrshire and South Ayrshire"),0)</f>
        <v>4</v>
      </c>
      <c r="F52" s="432">
        <v>0</v>
      </c>
      <c r="G52" s="432">
        <v>0</v>
      </c>
      <c r="H52" s="432">
        <v>0</v>
      </c>
      <c r="I52" s="47">
        <f t="shared" si="5"/>
        <v>29</v>
      </c>
      <c r="J52" s="47">
        <f t="shared" si="6"/>
        <v>29</v>
      </c>
    </row>
    <row r="53" spans="1:10" ht="15" customHeight="1" x14ac:dyDescent="0.3">
      <c r="A53" s="392" t="s">
        <v>256</v>
      </c>
      <c r="B53" s="666" t="s">
        <v>257</v>
      </c>
      <c r="C53" s="49">
        <f>IFERROR(GETPIVOTDATA("Sum of Wholetime Operational",smallareapivot!$A$3,"ReportingLevel","2:LSO","lvl","East Lothian, Midlothian and the Scottish Borders"),0)</f>
        <v>26</v>
      </c>
      <c r="D53" s="432" t="s">
        <v>619</v>
      </c>
      <c r="E53" s="670">
        <f>IFERROR(GETPIVOTDATA("Sum of RDS Fulltime",smallareapivot!$A$3,"ReportingLevel","2:LSO","lvl","East Lothian, Midlothian and the Scottish Borders"),0)</f>
        <v>4</v>
      </c>
      <c r="F53" s="432">
        <v>0</v>
      </c>
      <c r="G53" s="432">
        <v>0</v>
      </c>
      <c r="H53" s="432">
        <v>0</v>
      </c>
      <c r="I53" s="47">
        <f t="shared" si="5"/>
        <v>30</v>
      </c>
      <c r="J53" s="47">
        <f t="shared" si="6"/>
        <v>30</v>
      </c>
    </row>
    <row r="54" spans="1:10" ht="15" customHeight="1" x14ac:dyDescent="0.3">
      <c r="A54" s="338" t="s">
        <v>260</v>
      </c>
      <c r="B54" s="666" t="s">
        <v>261</v>
      </c>
      <c r="C54" s="49">
        <f>IFERROR(GETPIVOTDATA("Sum of Wholetime Operational",smallareapivot!$A$3,"ReportingLevel","2:LSO","lvl","East Renfrewshire, Renfrewshire and Inverclyde"),0)</f>
        <v>18</v>
      </c>
      <c r="D54" s="432" t="s">
        <v>619</v>
      </c>
      <c r="E54" s="670">
        <f>IFERROR(GETPIVOTDATA("Sum of RDS Fulltime",smallareapivot!$A$3,"ReportingLevel","2:LSO","lvl","East Renfrewshire, Renfrewshire and Inverclyde"),0)</f>
        <v>0</v>
      </c>
      <c r="F54" s="432">
        <v>0</v>
      </c>
      <c r="G54" s="432">
        <v>0</v>
      </c>
      <c r="H54" s="432">
        <v>0</v>
      </c>
      <c r="I54" s="47">
        <f t="shared" si="5"/>
        <v>18</v>
      </c>
      <c r="J54" s="47">
        <f t="shared" si="6"/>
        <v>18</v>
      </c>
    </row>
    <row r="55" spans="1:10" ht="15" customHeight="1" x14ac:dyDescent="0.3">
      <c r="A55" s="392" t="s">
        <v>235</v>
      </c>
      <c r="B55" s="666" t="s">
        <v>234</v>
      </c>
      <c r="C55" s="49">
        <f>IFERROR(GETPIVOTDATA("Sum of Wholetime Operational",smallareapivot!$A$3,"ReportingLevel","2:LSO","lvl","Edinburgh City"),0)</f>
        <v>31</v>
      </c>
      <c r="D55" s="432" t="s">
        <v>619</v>
      </c>
      <c r="E55" s="670">
        <f>IFERROR(GETPIVOTDATA("Sum of RDS Fulltime",smallareapivot!$A$3,"ReportingLevel","2:LSO","lvl","Edinburgh City"),0)</f>
        <v>0</v>
      </c>
      <c r="F55" s="432">
        <v>0</v>
      </c>
      <c r="G55" s="432">
        <v>0</v>
      </c>
      <c r="H55" s="432">
        <v>0</v>
      </c>
      <c r="I55" s="47">
        <f t="shared" si="5"/>
        <v>31</v>
      </c>
      <c r="J55" s="47">
        <f t="shared" si="6"/>
        <v>31</v>
      </c>
    </row>
    <row r="56" spans="1:10" ht="15" customHeight="1" x14ac:dyDescent="0.3">
      <c r="A56" s="392" t="s">
        <v>264</v>
      </c>
      <c r="B56" s="666" t="s">
        <v>265</v>
      </c>
      <c r="C56" s="49">
        <f>IFERROR(GETPIVOTDATA("Sum of Wholetime Operational",smallareapivot!$A$3,"ReportingLevel","2:LSO","lvl","Falkirk and West Lothian"),0)</f>
        <v>19</v>
      </c>
      <c r="D56" s="432" t="s">
        <v>619</v>
      </c>
      <c r="E56" s="670">
        <f>IFERROR(GETPIVOTDATA("Sum of RDS Fulltime",smallareapivot!$A$3,"ReportingLevel","2:LSO","lvl","Falkirk and West Lothian"),0)</f>
        <v>2</v>
      </c>
      <c r="F56" s="432">
        <v>0</v>
      </c>
      <c r="G56" s="432">
        <v>0</v>
      </c>
      <c r="H56" s="432">
        <v>0</v>
      </c>
      <c r="I56" s="47">
        <f t="shared" si="5"/>
        <v>21</v>
      </c>
      <c r="J56" s="47">
        <f t="shared" si="6"/>
        <v>21</v>
      </c>
    </row>
    <row r="57" spans="1:10" ht="15" customHeight="1" x14ac:dyDescent="0.3">
      <c r="A57" s="392" t="str">
        <f>IF(OR(A9 = "2018-19", A9 = "2017-18", A9 = "2016-17", A9 = "2015-16", A9 = "2014-15", A9 = "2013-14"),"S39000019","")</f>
        <v/>
      </c>
      <c r="B57" s="312" t="str">
        <f>IF(OR(A9 = "2018-19", A9 = "2017-18", A9 = "2016-17", A9 = "2015-16", A9 = "2014-15", A9 = "2013-14"), "Fife", "")</f>
        <v/>
      </c>
      <c r="C57" s="49" t="str">
        <f>IF(OR(A9 = "2018-19", A9 = "2017-18", A9 = "2016-17", A9 = "2015-16", A9 = "2014-15", A9 = "2013-14"), GETPIVOTDATA("Sum of Wholetime Operational",smallareapivot!$A$3,"ReportingLevel","2:LSO","lvl","Fife"),"")</f>
        <v/>
      </c>
      <c r="D57" s="432" t="s">
        <v>619</v>
      </c>
      <c r="E57" s="670" t="str">
        <f>IFERROR(IF(OR(A9 = "2018-19", C9 = "2017-18", C9 = "2016-17", C9 = "2015-16", C9 = "2014-15", C9 = "2013-14"), GETPIVOTDATA("Sum of RDS Fulltime",smallareapivot!$A$3,"ReportingLevel","2:LSO","lvl","Fife"),""), "-")</f>
        <v/>
      </c>
      <c r="F57" s="432">
        <v>0</v>
      </c>
      <c r="G57" s="432">
        <v>0</v>
      </c>
      <c r="H57" s="432">
        <v>0</v>
      </c>
      <c r="I57" s="47">
        <f t="shared" si="5"/>
        <v>0</v>
      </c>
      <c r="J57" s="47">
        <f t="shared" si="6"/>
        <v>0</v>
      </c>
    </row>
    <row r="58" spans="1:10" ht="15" customHeight="1" x14ac:dyDescent="0.3">
      <c r="A58" s="392" t="str">
        <f>IF(A9="2018-19","S39000012","S39000020")</f>
        <v>S39000020</v>
      </c>
      <c r="B58" s="666" t="s">
        <v>270</v>
      </c>
      <c r="C58" s="49">
        <f>IFERROR(GETPIVOTDATA("Sum of Wholetime Operational",smallareapivot!$A$3,"ReportingLevel","2:LSO","lvl","Glasgow City"),0)</f>
        <v>30</v>
      </c>
      <c r="D58" s="432" t="s">
        <v>619</v>
      </c>
      <c r="E58" s="670">
        <f>IFERROR(GETPIVOTDATA("Sum of RDS Fulltime",smallareapivot!$A$3,"ReportingLevel","2:LSO","lvl","Glasgow City"),0)</f>
        <v>0</v>
      </c>
      <c r="F58" s="432">
        <v>0</v>
      </c>
      <c r="G58" s="432">
        <v>0</v>
      </c>
      <c r="H58" s="432">
        <v>0</v>
      </c>
      <c r="I58" s="47">
        <f t="shared" si="5"/>
        <v>30</v>
      </c>
      <c r="J58" s="47">
        <f t="shared" si="6"/>
        <v>30</v>
      </c>
    </row>
    <row r="59" spans="1:10" ht="15" customHeight="1" x14ac:dyDescent="0.3">
      <c r="A59" s="392" t="s">
        <v>274</v>
      </c>
      <c r="B59" s="666" t="s">
        <v>275</v>
      </c>
      <c r="C59" s="49">
        <f>GETPIVOTDATA("Sum of Wholetime Operational",smallareapivot!$A$3,"ReportingLevel","2:LSO","lvl","Highlands")</f>
        <v>24</v>
      </c>
      <c r="D59" s="432" t="s">
        <v>619</v>
      </c>
      <c r="E59" s="670">
        <f>IFERROR(GETPIVOTDATA("Sum of RDS Fulltime",smallareapivot!$A$3,"ReportingLevel","2:LSO","lvl","Highlands"),0)</f>
        <v>11</v>
      </c>
      <c r="F59" s="432">
        <v>0</v>
      </c>
      <c r="G59" s="432">
        <v>0</v>
      </c>
      <c r="H59" s="432">
        <v>0</v>
      </c>
      <c r="I59" s="47">
        <f t="shared" si="5"/>
        <v>35</v>
      </c>
      <c r="J59" s="47">
        <f t="shared" si="6"/>
        <v>35</v>
      </c>
    </row>
    <row r="60" spans="1:10" ht="15" customHeight="1" x14ac:dyDescent="0.3">
      <c r="A60" s="392" t="str">
        <f>IF(A9="2018-19","S39000014","S39000021")</f>
        <v>S39000021</v>
      </c>
      <c r="B60" s="666" t="str">
        <f>IF(OR(A9 = "2021-22", A9 = "2022-23", A9 = "2023-24", A9 = "2024-25", A9 = "2025-26"), "Lanarkshire", "North Lanarkshire")</f>
        <v>Lanarkshire</v>
      </c>
      <c r="C60" s="49">
        <f>IF(OR(A9 = "2021-22", A9 = "2022-23", A9 = "2023-24", A9 = "2024-25", A9 = "2025-26"),GETPIVOTDATA("Sum of Wholetime Operational",smallareapivot!$A$3,"ReportingLevel","2:LSO","lvl","Lanarkshire"),GETPIVOTDATA("Sum of Wholetime Operational",smallareapivot!$A$3,"ReportingLevel","2:LSO","lvl","North Lanarkshire"))</f>
        <v>20</v>
      </c>
      <c r="D60" s="432" t="s">
        <v>619</v>
      </c>
      <c r="E60" s="670">
        <f>IF(OR(A9 = "2021-22", A9 = "2022-23", A9 = "2023-24", A9 = "2024-25", A9 = "2025-26"),GETPIVOTDATA("Sum of RDS Fulltime",smallareapivot!$A$3,"ReportingLevel","2:LSO","lvl","Lanarkshire"),GETPIVOTDATA("Sum of RDS Fulltime",smallareapivot!$A$3,"ReportingLevel","2:LSO","lvl","North Lanarkshire"))</f>
        <v>2</v>
      </c>
      <c r="F60" s="432">
        <v>0</v>
      </c>
      <c r="G60" s="432">
        <v>0</v>
      </c>
      <c r="H60" s="432">
        <v>0</v>
      </c>
      <c r="I60" s="47">
        <f t="shared" si="5"/>
        <v>22</v>
      </c>
      <c r="J60" s="47">
        <f t="shared" si="6"/>
        <v>22</v>
      </c>
    </row>
    <row r="61" spans="1:10" ht="15" customHeight="1" x14ac:dyDescent="0.3">
      <c r="A61" s="392" t="str">
        <f>IF(OR(A9 = "2021-22", A9 = "2022-23"), "", "S39000015")</f>
        <v>S39000015</v>
      </c>
      <c r="B61" s="666" t="str">
        <f>IF(OR(A9 = "2021-22", A9 = "2022-23", A9 = "2023-24", A9 = "2024-25", A9 = "2025-26"),"","South Lanarkshire")</f>
        <v/>
      </c>
      <c r="C61" s="49" t="str">
        <f>IF(OR(A9 = "2021-22", A9 = "2022-23", A9 = "2023-24", A9 = "2024-25", A9 = "2025-26"),"",GETPIVOTDATA("Sum of Wholetime Operational",smallareapivot!$A$3,"ReportingLevel","2:LSO","lvl","South Lanarkshire"))</f>
        <v/>
      </c>
      <c r="D61" s="432" t="s">
        <v>619</v>
      </c>
      <c r="E61" s="670" t="str">
        <f>IF(OR(A9 = "2021-22", A9 = "2022-23", A9 = "2023-24", A9 = "2024-25", A9 = "2025-26"),"",GETPIVOTDATA("Sum of RDS Fulltime",smallareapivot!$A$3,"ReportingLevel","2:LSO","lvl","South Lanarkshire"))</f>
        <v/>
      </c>
      <c r="F61" s="432">
        <v>0</v>
      </c>
      <c r="G61" s="432">
        <v>0</v>
      </c>
      <c r="H61" s="432">
        <v>0</v>
      </c>
      <c r="I61" s="47">
        <f t="shared" si="5"/>
        <v>0</v>
      </c>
      <c r="J61" s="47">
        <f t="shared" si="6"/>
        <v>0</v>
      </c>
    </row>
    <row r="62" spans="1:10" ht="15" customHeight="1" x14ac:dyDescent="0.3">
      <c r="A62" s="392" t="str">
        <f>IF(OR(A9 = "2018-19", A9 = "2017-18", A9 = "2016-17", A9 = "2015-16", A9 = "2014-15", A9 = "2013-14"),"S39000016","S39000022")</f>
        <v>S39000022</v>
      </c>
      <c r="B62" s="582" t="str">
        <f>IF(OR(A9 = "2018-19", A9 = "2017-18", A9 = "2016-17", A9 = "2015-16", A9 = "2014-15", A9 = "2013-14"), "Stirling and Clackmannanshire", "Stirling, Clackmannanshire and Fife")</f>
        <v>Stirling, Clackmannanshire and Fife</v>
      </c>
      <c r="C62" s="49">
        <f>IF(OR(A9 = "2018-19", A9 = "2017-18", A9 = "2016-17", A9 = "2015-16", A9 = "2014-15", A9 = "2013-14"), GETPIVOTDATA("Sum of Wholetime Operational",smallareapivot!$A$3,"ReportingLevel","2:LSO","lvl","Stirling and Clackmannanshire"),GETPIVOTDATA("Sum of Wholetime Operational",smallareapivot!$A$3,"ReportingLevel","2:LSO","lvl","Stirling, Clackmannanshire and Fife"))</f>
        <v>32</v>
      </c>
      <c r="D62" s="432" t="s">
        <v>619</v>
      </c>
      <c r="E62" s="670">
        <f>IFERROR(IF(OR(A9 = "2018-19", C9 = "2017-18", C9 = "2016-17", C9 = "2015-16", C9 = "2014-15", C9 = "2013-14"), GETPIVOTDATA("Sum of RDS Fulltime",smallareapivot!$A$3,"ReportingLevel","2:LSO","lvl","Stirling and Clackmannanshire"),GETPIVOTDATA("Sum of RDS Fulltime",smallareapivot!$A$3,"ReportingLevel","2:LSO","lvl","Stirling, Clackmannanshire and Fife")), "-")</f>
        <v>4</v>
      </c>
      <c r="F62" s="432">
        <v>0</v>
      </c>
      <c r="G62" s="432">
        <v>0</v>
      </c>
      <c r="H62" s="432">
        <v>0</v>
      </c>
      <c r="I62" s="47">
        <f>SUM(C62:H62)</f>
        <v>36</v>
      </c>
      <c r="J62" s="47">
        <f t="shared" si="6"/>
        <v>36</v>
      </c>
    </row>
    <row r="63" spans="1:10" ht="15" customHeight="1" x14ac:dyDescent="0.3">
      <c r="A63" s="392" t="s">
        <v>284</v>
      </c>
      <c r="B63" s="666" t="s">
        <v>285</v>
      </c>
      <c r="C63" s="49">
        <f>GETPIVOTDATA("Sum of Wholetime Operational",smallareapivot!$A$3,"ReportingLevel","2:LSO","lvl","Western Isles, Orkney and Shetland Islands")</f>
        <v>10</v>
      </c>
      <c r="D63" s="432" t="s">
        <v>619</v>
      </c>
      <c r="E63" s="670">
        <f>IFERROR(GETPIVOTDATA("Sum of RDS Fulltime",smallareapivot!$A$3,"ReportingLevel","2:LSO","lvl","Western Isles, Orkney and Shetland Islands"),0)</f>
        <v>12</v>
      </c>
      <c r="F63" s="432">
        <v>0</v>
      </c>
      <c r="G63" s="432">
        <v>0</v>
      </c>
      <c r="H63" s="432">
        <v>0</v>
      </c>
      <c r="I63" s="47">
        <f t="shared" si="5"/>
        <v>22</v>
      </c>
      <c r="J63" s="47">
        <f t="shared" si="6"/>
        <v>22</v>
      </c>
    </row>
    <row r="64" spans="1:10" ht="30" customHeight="1" thickBot="1" x14ac:dyDescent="0.35">
      <c r="A64" s="58"/>
      <c r="B64" s="58" t="s">
        <v>554</v>
      </c>
      <c r="C64" s="59">
        <f>SUM(C47:C63)</f>
        <v>365</v>
      </c>
      <c r="D64" s="430">
        <f t="shared" ref="D64:E64" si="7">SUM(D47:D63)</f>
        <v>0</v>
      </c>
      <c r="E64" s="59">
        <f t="shared" si="7"/>
        <v>60</v>
      </c>
      <c r="F64" s="430">
        <f t="shared" ref="F64:J64" si="8">SUM(F47:F63)</f>
        <v>0</v>
      </c>
      <c r="G64" s="430">
        <f t="shared" si="8"/>
        <v>0</v>
      </c>
      <c r="H64" s="430">
        <f t="shared" si="8"/>
        <v>0</v>
      </c>
      <c r="I64" s="59">
        <f>SUM(I47:I63)</f>
        <v>425</v>
      </c>
      <c r="J64" s="59">
        <f t="shared" si="8"/>
        <v>425</v>
      </c>
    </row>
    <row r="65" spans="1:10" ht="12.75" customHeight="1" x14ac:dyDescent="0.3">
      <c r="A65" s="48"/>
      <c r="B65" s="48"/>
      <c r="C65" s="46"/>
      <c r="D65" s="46"/>
      <c r="E65" s="46"/>
      <c r="F65" s="46"/>
      <c r="G65" s="46"/>
      <c r="H65" s="46"/>
      <c r="I65" s="47"/>
      <c r="J65" s="47"/>
    </row>
    <row r="66" spans="1:10" ht="41.4" customHeight="1" x14ac:dyDescent="0.3">
      <c r="A66" s="36" t="s">
        <v>211</v>
      </c>
      <c r="B66" s="78" t="s">
        <v>212</v>
      </c>
      <c r="C66" s="79" t="s">
        <v>517</v>
      </c>
      <c r="D66" s="79" t="s">
        <v>361</v>
      </c>
      <c r="E66" s="79" t="s">
        <v>518</v>
      </c>
      <c r="F66" s="79" t="s">
        <v>513</v>
      </c>
      <c r="G66" s="79" t="s">
        <v>514</v>
      </c>
      <c r="H66" s="79" t="s">
        <v>339</v>
      </c>
      <c r="I66" s="3" t="s">
        <v>608</v>
      </c>
      <c r="J66" s="3" t="s">
        <v>618</v>
      </c>
    </row>
    <row r="67" spans="1:10" ht="22.5" customHeight="1" x14ac:dyDescent="0.3">
      <c r="A67" s="500" t="s">
        <v>237</v>
      </c>
      <c r="B67" s="48" t="s">
        <v>238</v>
      </c>
      <c r="C67" s="49">
        <f>GETPIVOTDATA("Sum of Wholetime Operational",smallareapivot!$A$3,"ReportingLevel","3:SDA","lvl","East")</f>
        <v>40</v>
      </c>
      <c r="D67" s="432">
        <f>GETPIVOTDATA("Sum of Retained Duty System",smallareapivot!$A$3,"ReportingLevel","3:SDA","lvl","East")</f>
        <v>0</v>
      </c>
      <c r="E67" s="432">
        <f>GETPIVOTDATA("Sum of RDS Fulltime",smallareapivot!$A$3,"ReportingLevel","3:SDA","lvl","East")</f>
        <v>0</v>
      </c>
      <c r="F67" s="432">
        <f>GETPIVOTDATA("Sum of Control",smallareapivot!$A$3,"ReportingLevel","3:SDA","lvl","East")</f>
        <v>0</v>
      </c>
      <c r="G67" s="673">
        <f>GETPIVOTDATA("Sum of Support",smallareapivot!$A$3,"ReportingLevel","3:SDA","lvl","East")</f>
        <v>0</v>
      </c>
      <c r="H67" s="674">
        <f>GETPIVOTDATA("Sum of Volunteer",smallareapivot!$A$3,"ReportingLevel","3:SDA","lvl","East")</f>
        <v>0</v>
      </c>
      <c r="I67" s="47">
        <f>SUM(C67:H67)</f>
        <v>40</v>
      </c>
      <c r="J67" s="47">
        <f>I67-H67</f>
        <v>40</v>
      </c>
    </row>
    <row r="68" spans="1:10" ht="15" customHeight="1" x14ac:dyDescent="0.3">
      <c r="A68" s="89" t="s">
        <v>217</v>
      </c>
      <c r="B68" s="48" t="s">
        <v>218</v>
      </c>
      <c r="C68" s="49">
        <f>GETPIVOTDATA("Sum of Wholetime Operational",smallareapivot!$A$3,"ReportingLevel","3:SDA","lvl","North")</f>
        <v>27</v>
      </c>
      <c r="D68" s="432">
        <f>GETPIVOTDATA("Sum of Retained Duty System",smallareapivot!$A$3,"ReportingLevel","3:SDA","lvl","North")</f>
        <v>0</v>
      </c>
      <c r="E68" s="432">
        <f>GETPIVOTDATA("Sum of RDS Fulltime",smallareapivot!$A$3,"ReportingLevel","3:SDA","lvl","North")</f>
        <v>0</v>
      </c>
      <c r="F68" s="432">
        <f>GETPIVOTDATA("Sum of Control",smallareapivot!$A$3,"ReportingLevel","3:SDA","lvl","North")</f>
        <v>0</v>
      </c>
      <c r="G68" s="673">
        <f>GETPIVOTDATA("Sum of Support",smallareapivot!$A$3,"ReportingLevel","3:SDA","lvl","North")</f>
        <v>0</v>
      </c>
      <c r="H68" s="674">
        <f>GETPIVOTDATA("Sum of Volunteer",smallareapivot!$A$3,"ReportingLevel","3:SDA","lvl","North")</f>
        <v>0</v>
      </c>
      <c r="I68" s="47">
        <f t="shared" ref="I68:I69" si="9">SUM(C68:H68)</f>
        <v>27</v>
      </c>
      <c r="J68" s="47">
        <f>I68-H68</f>
        <v>27</v>
      </c>
    </row>
    <row r="69" spans="1:10" ht="15" customHeight="1" x14ac:dyDescent="0.3">
      <c r="A69" s="89" t="s">
        <v>231</v>
      </c>
      <c r="B69" s="48" t="s">
        <v>232</v>
      </c>
      <c r="C69" s="49">
        <f>GETPIVOTDATA("Sum of Wholetime Operational",smallareapivot!$A$3,"ReportingLevel","3:SDA","lvl","West")</f>
        <v>94</v>
      </c>
      <c r="D69" s="432">
        <f>GETPIVOTDATA("Sum of Retained Duty System",smallareapivot!$A$3,"ReportingLevel","3:SDA","lvl","West")</f>
        <v>0</v>
      </c>
      <c r="E69" s="432">
        <f>GETPIVOTDATA("Sum of RDS Fulltime",smallareapivot!$A$3,"ReportingLevel","3:SDA","lvl","West")</f>
        <v>0</v>
      </c>
      <c r="F69" s="432">
        <f>GETPIVOTDATA("Sum of Control",smallareapivot!$A$3,"ReportingLevel","3:SDA","lvl","West")</f>
        <v>0</v>
      </c>
      <c r="G69" s="673">
        <f>GETPIVOTDATA("Sum of Support",smallareapivot!$A$3,"ReportingLevel","3:SDA","lvl","West")</f>
        <v>0</v>
      </c>
      <c r="H69" s="674">
        <f>GETPIVOTDATA("Sum of Volunteer",smallareapivot!$A$3,"ReportingLevel","3:SDA","lvl","West")</f>
        <v>0</v>
      </c>
      <c r="I69" s="47">
        <f t="shared" si="9"/>
        <v>94</v>
      </c>
      <c r="J69" s="47">
        <f>I69-H69</f>
        <v>94</v>
      </c>
    </row>
    <row r="70" spans="1:10" ht="30" customHeight="1" thickBot="1" x14ac:dyDescent="0.35">
      <c r="A70" s="52"/>
      <c r="B70" s="52" t="s">
        <v>555</v>
      </c>
      <c r="C70" s="59">
        <f>SUM(C67:C69)</f>
        <v>161</v>
      </c>
      <c r="D70" s="430">
        <f t="shared" ref="D70:E70" si="10">SUM(D67:D69)</f>
        <v>0</v>
      </c>
      <c r="E70" s="430">
        <f t="shared" si="10"/>
        <v>0</v>
      </c>
      <c r="F70" s="430">
        <f t="shared" ref="F70:J70" si="11">SUM(F67:F69)</f>
        <v>0</v>
      </c>
      <c r="G70" s="59">
        <f t="shared" si="11"/>
        <v>0</v>
      </c>
      <c r="H70" s="430">
        <f t="shared" si="11"/>
        <v>0</v>
      </c>
      <c r="I70" s="59">
        <f>SUM(I67:I69)</f>
        <v>161</v>
      </c>
      <c r="J70" s="59">
        <f t="shared" si="11"/>
        <v>161</v>
      </c>
    </row>
    <row r="71" spans="1:10" x14ac:dyDescent="0.3">
      <c r="A71" s="48"/>
      <c r="B71" s="48"/>
      <c r="C71" s="46"/>
      <c r="D71" s="46"/>
      <c r="E71" s="46"/>
      <c r="F71" s="46"/>
      <c r="G71" s="46"/>
      <c r="H71" s="46"/>
      <c r="I71" s="62"/>
      <c r="J71" s="62"/>
    </row>
    <row r="72" spans="1:10" ht="12" customHeight="1" x14ac:dyDescent="0.3">
      <c r="A72" s="36" t="s">
        <v>556</v>
      </c>
      <c r="B72" s="78"/>
      <c r="C72" s="46"/>
      <c r="D72" s="46"/>
      <c r="E72" s="46"/>
      <c r="F72" s="46"/>
      <c r="G72" s="46"/>
      <c r="H72" s="46"/>
      <c r="I72" s="62"/>
      <c r="J72" s="62"/>
    </row>
    <row r="73" spans="1:10" ht="18.75" customHeight="1" thickBot="1" x14ac:dyDescent="0.35">
      <c r="A73" s="52" t="s">
        <v>549</v>
      </c>
      <c r="B73" s="63" t="s">
        <v>557</v>
      </c>
      <c r="C73" s="59">
        <f>GETPIVOTDATA("Sum of Wholetime Operational",smallareapivot!$A$3,"ReportingLevel","4:National","lvl","Scotland")</f>
        <v>95</v>
      </c>
      <c r="D73" s="59">
        <f>GETPIVOTDATA("Sum of Retained Duty System",smallareapivot!$A$3,"ReportingLevel","4:National","lvl","Scotland")</f>
        <v>0</v>
      </c>
      <c r="E73" s="59">
        <f>GETPIVOTDATA("Sum of RDS Fulltime",smallareapivot!$A$3,"ReportingLevel","4:National","lvl","Scotland")</f>
        <v>0</v>
      </c>
      <c r="F73" s="59">
        <f>GETPIVOTDATA("Sum of Control",smallareapivot!$A$3,"ReportingLevel","4:National","lvl","Scotland")</f>
        <v>177</v>
      </c>
      <c r="G73" s="59">
        <f>GETPIVOTDATA("Sum of Support",smallareapivot!$A$3,"ReportingLevel","4:National","lvl","Scotland")</f>
        <v>922</v>
      </c>
      <c r="H73" s="59">
        <f>GETPIVOTDATA("Sum of Volunteer",smallareapivot!$A$3,"ReportingLevel","4:National","lvl","Scotland")</f>
        <v>0</v>
      </c>
      <c r="I73" s="59">
        <f>SUM(C73:H73)</f>
        <v>1194</v>
      </c>
      <c r="J73" s="59">
        <f>I73-H73</f>
        <v>1194</v>
      </c>
    </row>
    <row r="74" spans="1:10" ht="13.5" customHeight="1" x14ac:dyDescent="0.3">
      <c r="A74" s="12"/>
      <c r="B74" s="12"/>
      <c r="C74" s="62"/>
      <c r="D74" s="62"/>
      <c r="E74" s="62"/>
      <c r="F74" s="62"/>
      <c r="G74" s="62"/>
      <c r="H74" s="62"/>
      <c r="I74" s="47"/>
      <c r="J74" s="47"/>
    </row>
    <row r="75" spans="1:10" ht="13.5" customHeight="1" x14ac:dyDescent="0.3">
      <c r="A75" s="336"/>
      <c r="B75" s="336"/>
      <c r="C75" s="62"/>
      <c r="D75" s="62"/>
      <c r="E75" s="62"/>
      <c r="F75" s="62"/>
      <c r="G75" s="62"/>
      <c r="H75" s="62"/>
      <c r="I75" s="47"/>
      <c r="J75" s="47"/>
    </row>
    <row r="76" spans="1:10" x14ac:dyDescent="0.3">
      <c r="A76" s="348" t="s">
        <v>329</v>
      </c>
      <c r="C76" s="19"/>
      <c r="D76" s="19"/>
      <c r="E76" s="19"/>
      <c r="F76" s="19"/>
      <c r="G76" s="19"/>
      <c r="H76" s="19"/>
      <c r="I76" s="19"/>
      <c r="J76" s="19"/>
    </row>
    <row r="77" spans="1:10" ht="15.6" x14ac:dyDescent="0.3">
      <c r="A77" s="345" t="s">
        <v>558</v>
      </c>
      <c r="D77" s="77"/>
      <c r="E77" s="243"/>
      <c r="F77" s="243"/>
      <c r="G77" s="243"/>
      <c r="H77" s="243"/>
      <c r="I77" s="243"/>
      <c r="J77" s="243"/>
    </row>
    <row r="78" spans="1:10" ht="17.399999999999999" x14ac:dyDescent="0.3">
      <c r="A78" s="352"/>
      <c r="B78" s="352"/>
      <c r="D78" s="261"/>
      <c r="E78" s="15"/>
      <c r="F78" s="15"/>
      <c r="G78" s="15"/>
      <c r="H78" s="15"/>
      <c r="I78" s="15"/>
      <c r="J78" s="15"/>
    </row>
  </sheetData>
  <sheetProtection algorithmName="SHA-512" hashValue="q04EZ0cHGrINWZrBDD0lLaJP6VKtsTfXQ0+7Ky9ikHDJUuxsKezsNaKsfck6dKRBuI+duQleWD21a5oJKhhBKg==" saltValue="IgUsvX5e+mRQsgkFCU3kag==" spinCount="100000" sheet="1" formatCells="0" sort="0" autoFilter="0" pivotTables="0"/>
  <mergeCells count="2">
    <mergeCell ref="A4:I4"/>
    <mergeCell ref="A1:H1"/>
  </mergeCells>
  <hyperlinks>
    <hyperlink ref="A2" location="'Table of Contents'!A1" display="Back to Table of Contents" xr:uid="{00000000-0004-0000-2700-000000000000}"/>
  </hyperlinks>
  <pageMargins left="0.70866141732283472" right="0.70866141732283472" top="0.74803149606299213" bottom="0.74803149606299213" header="0.31496062992125984" footer="0.31496062992125984"/>
  <pageSetup scale="56" orientation="portrait" r:id="rId1"/>
  <ignoredErrors>
    <ignoredError sqref="C13 F47:F49 G47:G48" calculatedColumn="1"/>
  </ignoredErrors>
  <drawing r:id="rId2"/>
  <tableParts count="3">
    <tablePart r:id="rId3"/>
    <tablePart r:id="rId4"/>
    <tablePart r:id="rId5"/>
  </tableParts>
  <extLst>
    <ext xmlns:x14="http://schemas.microsoft.com/office/spreadsheetml/2009/9/main" uri="{A8765BA9-456A-4dab-B4F3-ACF838C121DE}">
      <x14:slicerList>
        <x14:slicer r:id="rId6"/>
      </x14:slicerList>
    </ext>
  </extLst>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tabColor theme="9" tint="0.39997558519241921"/>
  </sheetPr>
  <dimension ref="A1:J69"/>
  <sheetViews>
    <sheetView workbookViewId="0">
      <selection activeCell="F64" sqref="F64"/>
    </sheetView>
  </sheetViews>
  <sheetFormatPr defaultRowHeight="14.4" x14ac:dyDescent="0.3"/>
  <cols>
    <col min="1" max="1" width="7.6640625" bestFit="1" customWidth="1"/>
    <col min="2" max="2" width="11.88671875" bestFit="1" customWidth="1"/>
    <col min="3" max="3" width="7.44140625" bestFit="1" customWidth="1"/>
    <col min="4" max="4" width="17.88671875" bestFit="1" customWidth="1"/>
    <col min="5" max="5" width="15.44140625" bestFit="1" customWidth="1"/>
    <col min="6" max="6" width="16.77734375" bestFit="1" customWidth="1"/>
    <col min="7" max="7" width="17.44140625" bestFit="1" customWidth="1"/>
    <col min="8" max="8" width="16.88671875" bestFit="1" customWidth="1"/>
    <col min="9" max="9" width="15.77734375" bestFit="1" customWidth="1"/>
    <col min="10" max="10" width="12.33203125" bestFit="1" customWidth="1"/>
  </cols>
  <sheetData>
    <row r="1" spans="1:10" x14ac:dyDescent="0.3">
      <c r="A1" t="s">
        <v>208</v>
      </c>
      <c r="B1" t="s">
        <v>620</v>
      </c>
      <c r="C1" t="s">
        <v>340</v>
      </c>
      <c r="D1" t="s">
        <v>621</v>
      </c>
      <c r="E1" t="s">
        <v>622</v>
      </c>
      <c r="F1" t="s">
        <v>623</v>
      </c>
      <c r="G1" t="s">
        <v>624</v>
      </c>
      <c r="H1" t="s">
        <v>625</v>
      </c>
      <c r="I1" t="s">
        <v>626</v>
      </c>
      <c r="J1" t="s">
        <v>627</v>
      </c>
    </row>
    <row r="2" spans="1:10" hidden="1" x14ac:dyDescent="0.3">
      <c r="A2" t="s">
        <v>364</v>
      </c>
      <c r="B2" t="s">
        <v>513</v>
      </c>
      <c r="C2">
        <v>223</v>
      </c>
      <c r="F2">
        <v>5</v>
      </c>
      <c r="G2">
        <v>11</v>
      </c>
      <c r="H2">
        <v>52</v>
      </c>
      <c r="I2">
        <v>52</v>
      </c>
      <c r="J2">
        <v>103</v>
      </c>
    </row>
    <row r="3" spans="1:10" hidden="1" x14ac:dyDescent="0.3">
      <c r="A3" t="s">
        <v>364</v>
      </c>
      <c r="B3" t="s">
        <v>628</v>
      </c>
      <c r="C3">
        <v>359</v>
      </c>
      <c r="H3">
        <v>9</v>
      </c>
      <c r="I3">
        <v>73</v>
      </c>
      <c r="J3">
        <v>277</v>
      </c>
    </row>
    <row r="4" spans="1:10" hidden="1" x14ac:dyDescent="0.3">
      <c r="A4" t="s">
        <v>364</v>
      </c>
      <c r="B4" t="s">
        <v>629</v>
      </c>
      <c r="C4">
        <v>4001</v>
      </c>
      <c r="D4">
        <v>9</v>
      </c>
      <c r="E4">
        <v>28</v>
      </c>
      <c r="F4">
        <v>115</v>
      </c>
      <c r="G4">
        <v>136</v>
      </c>
      <c r="H4">
        <v>679</v>
      </c>
      <c r="I4">
        <v>660</v>
      </c>
      <c r="J4">
        <v>2374</v>
      </c>
    </row>
    <row r="5" spans="1:10" hidden="1" x14ac:dyDescent="0.3">
      <c r="A5" t="s">
        <v>364</v>
      </c>
      <c r="B5" t="s">
        <v>606</v>
      </c>
      <c r="C5">
        <v>2940</v>
      </c>
      <c r="H5">
        <v>278</v>
      </c>
      <c r="I5">
        <v>535</v>
      </c>
      <c r="J5">
        <v>2127</v>
      </c>
    </row>
    <row r="6" spans="1:10" hidden="1" x14ac:dyDescent="0.3">
      <c r="A6" t="s">
        <v>365</v>
      </c>
      <c r="B6" t="s">
        <v>606</v>
      </c>
      <c r="C6">
        <v>2950</v>
      </c>
      <c r="H6">
        <v>280</v>
      </c>
      <c r="I6">
        <v>546</v>
      </c>
      <c r="J6">
        <v>2124</v>
      </c>
    </row>
    <row r="7" spans="1:10" hidden="1" x14ac:dyDescent="0.3">
      <c r="A7" t="s">
        <v>365</v>
      </c>
      <c r="B7" t="s">
        <v>628</v>
      </c>
      <c r="C7">
        <v>378</v>
      </c>
      <c r="H7">
        <v>38</v>
      </c>
      <c r="I7">
        <v>44</v>
      </c>
      <c r="J7">
        <v>296</v>
      </c>
    </row>
    <row r="8" spans="1:10" hidden="1" x14ac:dyDescent="0.3">
      <c r="A8" t="s">
        <v>365</v>
      </c>
      <c r="B8" t="s">
        <v>629</v>
      </c>
      <c r="C8">
        <v>3856</v>
      </c>
      <c r="D8">
        <v>7</v>
      </c>
      <c r="E8">
        <v>33</v>
      </c>
      <c r="F8">
        <v>103</v>
      </c>
      <c r="G8">
        <v>130</v>
      </c>
      <c r="H8">
        <v>664</v>
      </c>
      <c r="I8">
        <v>634</v>
      </c>
      <c r="J8">
        <v>2285</v>
      </c>
    </row>
    <row r="9" spans="1:10" hidden="1" x14ac:dyDescent="0.3">
      <c r="A9" t="s">
        <v>365</v>
      </c>
      <c r="B9" t="s">
        <v>513</v>
      </c>
      <c r="C9">
        <v>230</v>
      </c>
      <c r="F9">
        <v>5</v>
      </c>
      <c r="G9">
        <v>13</v>
      </c>
      <c r="H9">
        <v>50</v>
      </c>
      <c r="I9">
        <v>52</v>
      </c>
      <c r="J9">
        <v>110</v>
      </c>
    </row>
    <row r="10" spans="1:10" hidden="1" x14ac:dyDescent="0.3">
      <c r="A10" t="s">
        <v>366</v>
      </c>
      <c r="B10" t="s">
        <v>513</v>
      </c>
      <c r="C10">
        <v>203</v>
      </c>
      <c r="F10">
        <v>6</v>
      </c>
      <c r="G10">
        <v>7</v>
      </c>
      <c r="H10">
        <v>51</v>
      </c>
      <c r="I10">
        <v>44</v>
      </c>
      <c r="J10">
        <v>95</v>
      </c>
    </row>
    <row r="11" spans="1:10" hidden="1" x14ac:dyDescent="0.3">
      <c r="A11" t="s">
        <v>366</v>
      </c>
      <c r="B11" t="s">
        <v>606</v>
      </c>
      <c r="C11">
        <v>2870</v>
      </c>
      <c r="H11">
        <v>262</v>
      </c>
      <c r="I11">
        <v>543</v>
      </c>
      <c r="J11">
        <v>2065</v>
      </c>
    </row>
    <row r="12" spans="1:10" hidden="1" x14ac:dyDescent="0.3">
      <c r="A12" t="s">
        <v>366</v>
      </c>
      <c r="B12" t="s">
        <v>628</v>
      </c>
      <c r="C12">
        <v>342</v>
      </c>
      <c r="H12">
        <v>36</v>
      </c>
      <c r="I12">
        <v>46</v>
      </c>
      <c r="J12">
        <v>260</v>
      </c>
    </row>
    <row r="13" spans="1:10" hidden="1" x14ac:dyDescent="0.3">
      <c r="A13" t="s">
        <v>366</v>
      </c>
      <c r="B13" t="s">
        <v>629</v>
      </c>
      <c r="C13">
        <v>3690</v>
      </c>
      <c r="D13">
        <v>4</v>
      </c>
      <c r="E13">
        <v>35</v>
      </c>
      <c r="F13">
        <v>90</v>
      </c>
      <c r="G13">
        <v>126</v>
      </c>
      <c r="H13">
        <v>577</v>
      </c>
      <c r="I13">
        <v>600</v>
      </c>
      <c r="J13">
        <v>2258</v>
      </c>
    </row>
    <row r="14" spans="1:10" hidden="1" x14ac:dyDescent="0.3">
      <c r="A14" t="s">
        <v>341</v>
      </c>
      <c r="B14" t="s">
        <v>629</v>
      </c>
      <c r="C14">
        <v>3645</v>
      </c>
      <c r="D14">
        <v>4</v>
      </c>
      <c r="E14">
        <v>34</v>
      </c>
      <c r="F14">
        <v>70</v>
      </c>
      <c r="G14">
        <v>151</v>
      </c>
      <c r="H14">
        <v>590</v>
      </c>
      <c r="I14">
        <v>635</v>
      </c>
      <c r="J14">
        <v>2161</v>
      </c>
    </row>
    <row r="15" spans="1:10" hidden="1" x14ac:dyDescent="0.3">
      <c r="A15" t="s">
        <v>341</v>
      </c>
      <c r="B15" t="s">
        <v>606</v>
      </c>
      <c r="C15">
        <v>2870</v>
      </c>
      <c r="H15">
        <v>260</v>
      </c>
      <c r="I15">
        <v>549</v>
      </c>
      <c r="J15">
        <v>2061</v>
      </c>
    </row>
    <row r="16" spans="1:10" hidden="1" x14ac:dyDescent="0.3">
      <c r="A16" t="s">
        <v>341</v>
      </c>
      <c r="B16" t="s">
        <v>513</v>
      </c>
      <c r="C16">
        <v>165</v>
      </c>
      <c r="F16">
        <v>5</v>
      </c>
      <c r="G16">
        <v>8</v>
      </c>
      <c r="H16">
        <v>41</v>
      </c>
      <c r="I16">
        <v>31</v>
      </c>
      <c r="J16">
        <v>80</v>
      </c>
    </row>
    <row r="17" spans="1:10" hidden="1" x14ac:dyDescent="0.3">
      <c r="A17" t="s">
        <v>341</v>
      </c>
      <c r="B17" t="s">
        <v>628</v>
      </c>
      <c r="C17">
        <v>320</v>
      </c>
      <c r="H17">
        <v>36</v>
      </c>
      <c r="I17">
        <v>43</v>
      </c>
      <c r="J17">
        <v>241</v>
      </c>
    </row>
    <row r="18" spans="1:10" hidden="1" x14ac:dyDescent="0.3">
      <c r="A18" t="s">
        <v>342</v>
      </c>
      <c r="B18" t="s">
        <v>513</v>
      </c>
      <c r="C18">
        <v>189</v>
      </c>
      <c r="F18">
        <v>5</v>
      </c>
      <c r="G18">
        <v>8</v>
      </c>
      <c r="H18">
        <v>43</v>
      </c>
      <c r="I18">
        <v>27</v>
      </c>
      <c r="J18">
        <v>106</v>
      </c>
    </row>
    <row r="19" spans="1:10" hidden="1" x14ac:dyDescent="0.3">
      <c r="A19" t="s">
        <v>342</v>
      </c>
      <c r="B19" t="s">
        <v>629</v>
      </c>
      <c r="C19">
        <v>3546</v>
      </c>
      <c r="D19">
        <v>4</v>
      </c>
      <c r="E19">
        <v>34</v>
      </c>
      <c r="F19">
        <v>74</v>
      </c>
      <c r="G19">
        <v>153</v>
      </c>
      <c r="H19">
        <v>603</v>
      </c>
      <c r="I19">
        <v>689</v>
      </c>
      <c r="J19">
        <v>1989</v>
      </c>
    </row>
    <row r="20" spans="1:10" hidden="1" x14ac:dyDescent="0.3">
      <c r="A20" t="s">
        <v>342</v>
      </c>
      <c r="B20" t="s">
        <v>628</v>
      </c>
      <c r="C20">
        <v>332</v>
      </c>
      <c r="H20">
        <v>37</v>
      </c>
      <c r="I20">
        <v>39</v>
      </c>
      <c r="J20">
        <v>256</v>
      </c>
    </row>
    <row r="21" spans="1:10" hidden="1" x14ac:dyDescent="0.3">
      <c r="A21" t="s">
        <v>342</v>
      </c>
      <c r="B21" t="s">
        <v>606</v>
      </c>
      <c r="C21">
        <v>2863</v>
      </c>
      <c r="H21">
        <v>261</v>
      </c>
      <c r="I21">
        <v>525</v>
      </c>
      <c r="J21">
        <v>2077</v>
      </c>
    </row>
    <row r="22" spans="1:10" hidden="1" x14ac:dyDescent="0.3">
      <c r="A22" t="s">
        <v>213</v>
      </c>
      <c r="B22" t="s">
        <v>628</v>
      </c>
      <c r="C22">
        <v>321</v>
      </c>
      <c r="H22">
        <v>38</v>
      </c>
      <c r="I22">
        <v>42</v>
      </c>
      <c r="J22">
        <v>241</v>
      </c>
    </row>
    <row r="23" spans="1:10" hidden="1" x14ac:dyDescent="0.3">
      <c r="A23" t="s">
        <v>213</v>
      </c>
      <c r="B23" t="s">
        <v>513</v>
      </c>
      <c r="C23">
        <v>207</v>
      </c>
      <c r="E23">
        <v>1</v>
      </c>
      <c r="F23">
        <v>4</v>
      </c>
      <c r="G23">
        <v>9</v>
      </c>
      <c r="H23">
        <v>42</v>
      </c>
      <c r="I23">
        <v>27</v>
      </c>
      <c r="J23">
        <v>124</v>
      </c>
    </row>
    <row r="24" spans="1:10" hidden="1" x14ac:dyDescent="0.3">
      <c r="A24" t="s">
        <v>213</v>
      </c>
      <c r="B24" t="s">
        <v>606</v>
      </c>
      <c r="C24">
        <v>2935</v>
      </c>
      <c r="H24">
        <v>261</v>
      </c>
      <c r="I24">
        <v>533</v>
      </c>
      <c r="J24">
        <v>2141</v>
      </c>
    </row>
    <row r="25" spans="1:10" hidden="1" x14ac:dyDescent="0.3">
      <c r="A25" t="s">
        <v>213</v>
      </c>
      <c r="B25" t="s">
        <v>514</v>
      </c>
      <c r="C25">
        <v>0</v>
      </c>
    </row>
    <row r="26" spans="1:10" hidden="1" x14ac:dyDescent="0.3">
      <c r="A26" t="s">
        <v>213</v>
      </c>
      <c r="B26" t="s">
        <v>512</v>
      </c>
      <c r="C26">
        <v>18</v>
      </c>
    </row>
    <row r="27" spans="1:10" hidden="1" x14ac:dyDescent="0.3">
      <c r="A27" t="s">
        <v>213</v>
      </c>
      <c r="B27" t="s">
        <v>629</v>
      </c>
      <c r="C27">
        <v>3637</v>
      </c>
      <c r="D27">
        <v>4</v>
      </c>
      <c r="E27">
        <v>33</v>
      </c>
      <c r="F27">
        <v>80</v>
      </c>
      <c r="G27">
        <v>147</v>
      </c>
      <c r="H27">
        <v>611</v>
      </c>
      <c r="I27">
        <v>687</v>
      </c>
      <c r="J27">
        <v>2075</v>
      </c>
    </row>
    <row r="28" spans="1:10" hidden="1" x14ac:dyDescent="0.3">
      <c r="A28" t="s">
        <v>312</v>
      </c>
      <c r="B28" t="s">
        <v>606</v>
      </c>
      <c r="C28">
        <v>2937</v>
      </c>
      <c r="H28">
        <v>262</v>
      </c>
      <c r="I28">
        <v>520</v>
      </c>
      <c r="J28">
        <v>2155</v>
      </c>
    </row>
    <row r="29" spans="1:10" hidden="1" x14ac:dyDescent="0.3">
      <c r="A29" t="s">
        <v>312</v>
      </c>
      <c r="B29" t="s">
        <v>513</v>
      </c>
      <c r="C29">
        <v>188</v>
      </c>
      <c r="E29">
        <v>1</v>
      </c>
      <c r="F29">
        <v>4</v>
      </c>
      <c r="G29">
        <v>8</v>
      </c>
      <c r="H29">
        <v>45</v>
      </c>
      <c r="I29">
        <v>26</v>
      </c>
      <c r="J29">
        <v>104</v>
      </c>
    </row>
    <row r="30" spans="1:10" hidden="1" x14ac:dyDescent="0.3">
      <c r="A30" t="s">
        <v>312</v>
      </c>
      <c r="B30" t="s">
        <v>628</v>
      </c>
      <c r="C30">
        <v>315</v>
      </c>
      <c r="H30">
        <v>37</v>
      </c>
      <c r="I30">
        <v>41</v>
      </c>
      <c r="J30">
        <v>237</v>
      </c>
    </row>
    <row r="31" spans="1:10" hidden="1" x14ac:dyDescent="0.3">
      <c r="A31" t="s">
        <v>312</v>
      </c>
      <c r="B31" t="s">
        <v>629</v>
      </c>
      <c r="C31">
        <v>3636</v>
      </c>
      <c r="D31">
        <v>6</v>
      </c>
      <c r="E31">
        <v>31</v>
      </c>
      <c r="F31">
        <v>80</v>
      </c>
      <c r="G31">
        <v>153</v>
      </c>
      <c r="H31">
        <v>608</v>
      </c>
      <c r="I31">
        <v>688</v>
      </c>
      <c r="J31">
        <v>2070</v>
      </c>
    </row>
    <row r="32" spans="1:10" hidden="1" x14ac:dyDescent="0.3">
      <c r="A32" t="s">
        <v>312</v>
      </c>
      <c r="B32" t="s">
        <v>512</v>
      </c>
      <c r="C32">
        <v>36</v>
      </c>
      <c r="H32">
        <v>36</v>
      </c>
    </row>
    <row r="33" spans="1:10" hidden="1" x14ac:dyDescent="0.3">
      <c r="A33" t="s">
        <v>312</v>
      </c>
      <c r="B33" t="s">
        <v>514</v>
      </c>
      <c r="C33">
        <v>0</v>
      </c>
    </row>
    <row r="34" spans="1:10" hidden="1" x14ac:dyDescent="0.3">
      <c r="A34" t="s">
        <v>318</v>
      </c>
      <c r="B34" t="s">
        <v>629</v>
      </c>
      <c r="C34">
        <v>3581</v>
      </c>
      <c r="D34">
        <v>5</v>
      </c>
      <c r="E34">
        <v>35</v>
      </c>
      <c r="F34">
        <v>79</v>
      </c>
      <c r="G34">
        <v>152</v>
      </c>
      <c r="H34">
        <v>603</v>
      </c>
      <c r="I34">
        <v>687</v>
      </c>
      <c r="J34">
        <v>2020</v>
      </c>
    </row>
    <row r="35" spans="1:10" hidden="1" x14ac:dyDescent="0.3">
      <c r="A35" t="s">
        <v>318</v>
      </c>
      <c r="B35" t="s">
        <v>513</v>
      </c>
      <c r="C35">
        <v>182</v>
      </c>
      <c r="E35">
        <v>1</v>
      </c>
      <c r="F35">
        <v>4</v>
      </c>
      <c r="G35">
        <v>10</v>
      </c>
      <c r="H35">
        <v>41</v>
      </c>
      <c r="I35">
        <v>31</v>
      </c>
      <c r="J35">
        <v>95</v>
      </c>
    </row>
    <row r="36" spans="1:10" hidden="1" x14ac:dyDescent="0.3">
      <c r="A36" t="s">
        <v>318</v>
      </c>
      <c r="B36" t="s">
        <v>512</v>
      </c>
      <c r="C36">
        <v>54</v>
      </c>
      <c r="H36">
        <v>54</v>
      </c>
    </row>
    <row r="37" spans="1:10" hidden="1" x14ac:dyDescent="0.3">
      <c r="A37" t="s">
        <v>318</v>
      </c>
      <c r="B37" t="s">
        <v>514</v>
      </c>
      <c r="C37">
        <v>0</v>
      </c>
    </row>
    <row r="38" spans="1:10" hidden="1" x14ac:dyDescent="0.3">
      <c r="A38" t="s">
        <v>318</v>
      </c>
      <c r="B38" t="s">
        <v>606</v>
      </c>
      <c r="C38">
        <v>2872</v>
      </c>
      <c r="H38">
        <v>267</v>
      </c>
      <c r="I38">
        <v>522</v>
      </c>
      <c r="J38">
        <v>2083</v>
      </c>
    </row>
    <row r="39" spans="1:10" hidden="1" x14ac:dyDescent="0.3">
      <c r="A39" t="s">
        <v>318</v>
      </c>
      <c r="B39" t="s">
        <v>628</v>
      </c>
      <c r="C39">
        <v>303</v>
      </c>
      <c r="H39">
        <v>37</v>
      </c>
      <c r="I39">
        <v>43</v>
      </c>
      <c r="J39">
        <v>223</v>
      </c>
    </row>
    <row r="40" spans="1:10" hidden="1" x14ac:dyDescent="0.3">
      <c r="A40" t="s">
        <v>320</v>
      </c>
      <c r="B40" t="s">
        <v>512</v>
      </c>
      <c r="C40">
        <v>53</v>
      </c>
      <c r="H40">
        <v>53</v>
      </c>
    </row>
    <row r="41" spans="1:10" hidden="1" x14ac:dyDescent="0.3">
      <c r="A41" t="s">
        <v>320</v>
      </c>
      <c r="B41" t="s">
        <v>629</v>
      </c>
      <c r="C41">
        <v>3530</v>
      </c>
      <c r="D41">
        <v>5</v>
      </c>
      <c r="E41">
        <v>35</v>
      </c>
      <c r="F41">
        <v>76</v>
      </c>
      <c r="G41">
        <v>157</v>
      </c>
      <c r="H41">
        <v>607</v>
      </c>
      <c r="I41">
        <v>660</v>
      </c>
      <c r="J41">
        <v>1990</v>
      </c>
    </row>
    <row r="42" spans="1:10" hidden="1" x14ac:dyDescent="0.3">
      <c r="A42" t="s">
        <v>320</v>
      </c>
      <c r="B42" t="s">
        <v>514</v>
      </c>
      <c r="C42">
        <v>0</v>
      </c>
    </row>
    <row r="43" spans="1:10" hidden="1" x14ac:dyDescent="0.3">
      <c r="A43" t="s">
        <v>320</v>
      </c>
      <c r="B43" t="s">
        <v>628</v>
      </c>
      <c r="C43">
        <v>277</v>
      </c>
      <c r="H43">
        <v>36</v>
      </c>
      <c r="I43">
        <v>40</v>
      </c>
      <c r="J43">
        <v>201</v>
      </c>
    </row>
    <row r="44" spans="1:10" hidden="1" x14ac:dyDescent="0.3">
      <c r="A44" t="s">
        <v>320</v>
      </c>
      <c r="B44" t="s">
        <v>606</v>
      </c>
      <c r="C44">
        <v>2758</v>
      </c>
      <c r="H44">
        <v>265</v>
      </c>
      <c r="I44">
        <v>526</v>
      </c>
      <c r="J44">
        <v>1967</v>
      </c>
    </row>
    <row r="45" spans="1:10" hidden="1" x14ac:dyDescent="0.3">
      <c r="A45" t="s">
        <v>320</v>
      </c>
      <c r="B45" t="s">
        <v>513</v>
      </c>
      <c r="C45">
        <v>174</v>
      </c>
      <c r="E45">
        <v>1</v>
      </c>
      <c r="F45">
        <v>4</v>
      </c>
      <c r="G45">
        <v>10</v>
      </c>
      <c r="H45">
        <v>42</v>
      </c>
      <c r="I45">
        <v>27</v>
      </c>
      <c r="J45">
        <v>90</v>
      </c>
    </row>
    <row r="46" spans="1:10" hidden="1" x14ac:dyDescent="0.3">
      <c r="A46" t="s">
        <v>325</v>
      </c>
      <c r="B46" t="s">
        <v>513</v>
      </c>
      <c r="C46">
        <v>172</v>
      </c>
      <c r="E46">
        <v>1</v>
      </c>
      <c r="F46">
        <v>4</v>
      </c>
      <c r="G46">
        <v>10</v>
      </c>
      <c r="H46">
        <v>37</v>
      </c>
      <c r="I46">
        <v>29</v>
      </c>
      <c r="J46">
        <v>91</v>
      </c>
    </row>
    <row r="47" spans="1:10" hidden="1" x14ac:dyDescent="0.3">
      <c r="A47" t="s">
        <v>325</v>
      </c>
      <c r="B47" t="s">
        <v>606</v>
      </c>
      <c r="C47">
        <v>2735</v>
      </c>
      <c r="H47">
        <v>262</v>
      </c>
      <c r="I47">
        <v>521</v>
      </c>
      <c r="J47">
        <v>1952</v>
      </c>
    </row>
    <row r="48" spans="1:10" hidden="1" x14ac:dyDescent="0.3">
      <c r="A48" t="s">
        <v>325</v>
      </c>
      <c r="B48" t="s">
        <v>514</v>
      </c>
      <c r="C48">
        <v>0</v>
      </c>
    </row>
    <row r="49" spans="1:10" hidden="1" x14ac:dyDescent="0.3">
      <c r="A49" t="s">
        <v>325</v>
      </c>
      <c r="B49" t="s">
        <v>629</v>
      </c>
      <c r="C49">
        <v>3490</v>
      </c>
      <c r="D49">
        <v>5</v>
      </c>
      <c r="E49">
        <v>31</v>
      </c>
      <c r="F49">
        <v>78</v>
      </c>
      <c r="G49">
        <v>148</v>
      </c>
      <c r="H49">
        <v>601</v>
      </c>
      <c r="I49">
        <v>655</v>
      </c>
      <c r="J49">
        <v>1972</v>
      </c>
    </row>
    <row r="50" spans="1:10" hidden="1" x14ac:dyDescent="0.3">
      <c r="A50" t="s">
        <v>325</v>
      </c>
      <c r="B50" t="s">
        <v>512</v>
      </c>
      <c r="C50">
        <v>55</v>
      </c>
      <c r="H50">
        <v>54</v>
      </c>
      <c r="I50">
        <v>1</v>
      </c>
    </row>
    <row r="51" spans="1:10" hidden="1" x14ac:dyDescent="0.3">
      <c r="A51" t="s">
        <v>325</v>
      </c>
      <c r="B51" t="s">
        <v>628</v>
      </c>
      <c r="C51">
        <v>266</v>
      </c>
      <c r="H51">
        <v>37</v>
      </c>
      <c r="I51">
        <v>40</v>
      </c>
      <c r="J51">
        <v>189</v>
      </c>
    </row>
    <row r="52" spans="1:10" hidden="1" x14ac:dyDescent="0.3">
      <c r="A52" t="s">
        <v>326</v>
      </c>
      <c r="B52" t="s">
        <v>512</v>
      </c>
      <c r="C52">
        <v>55</v>
      </c>
      <c r="H52">
        <v>53</v>
      </c>
      <c r="I52">
        <v>2</v>
      </c>
    </row>
    <row r="53" spans="1:10" hidden="1" x14ac:dyDescent="0.3">
      <c r="A53" t="s">
        <v>326</v>
      </c>
      <c r="B53" t="s">
        <v>629</v>
      </c>
      <c r="C53">
        <v>3422</v>
      </c>
      <c r="D53">
        <v>5</v>
      </c>
      <c r="E53">
        <v>31</v>
      </c>
      <c r="F53">
        <v>71</v>
      </c>
      <c r="G53">
        <v>156</v>
      </c>
      <c r="H53">
        <v>607</v>
      </c>
      <c r="I53">
        <v>640</v>
      </c>
      <c r="J53">
        <v>1912</v>
      </c>
    </row>
    <row r="54" spans="1:10" hidden="1" x14ac:dyDescent="0.3">
      <c r="A54" t="s">
        <v>326</v>
      </c>
      <c r="B54" t="s">
        <v>606</v>
      </c>
      <c r="C54">
        <v>2708</v>
      </c>
      <c r="H54">
        <v>251</v>
      </c>
      <c r="I54">
        <v>525</v>
      </c>
      <c r="J54">
        <v>1932</v>
      </c>
    </row>
    <row r="55" spans="1:10" hidden="1" x14ac:dyDescent="0.3">
      <c r="A55" t="s">
        <v>326</v>
      </c>
      <c r="B55" t="s">
        <v>514</v>
      </c>
      <c r="C55">
        <v>0</v>
      </c>
    </row>
    <row r="56" spans="1:10" hidden="1" x14ac:dyDescent="0.3">
      <c r="A56" t="s">
        <v>326</v>
      </c>
      <c r="B56" t="s">
        <v>513</v>
      </c>
      <c r="C56">
        <v>171</v>
      </c>
      <c r="E56">
        <v>1</v>
      </c>
      <c r="F56">
        <v>4</v>
      </c>
      <c r="G56">
        <v>9</v>
      </c>
      <c r="H56">
        <v>40</v>
      </c>
      <c r="I56">
        <v>26</v>
      </c>
      <c r="J56">
        <v>91</v>
      </c>
    </row>
    <row r="57" spans="1:10" hidden="1" x14ac:dyDescent="0.3">
      <c r="A57" t="s">
        <v>326</v>
      </c>
      <c r="B57" t="s">
        <v>628</v>
      </c>
      <c r="C57">
        <v>269</v>
      </c>
      <c r="H57">
        <v>35</v>
      </c>
      <c r="I57">
        <v>41</v>
      </c>
      <c r="J57">
        <v>193</v>
      </c>
    </row>
    <row r="58" spans="1:10" x14ac:dyDescent="0.3">
      <c r="A58" t="s">
        <v>328</v>
      </c>
      <c r="B58" t="s">
        <v>629</v>
      </c>
      <c r="C58">
        <v>3430</v>
      </c>
      <c r="D58">
        <v>5</v>
      </c>
      <c r="E58">
        <v>30</v>
      </c>
      <c r="F58">
        <v>72</v>
      </c>
      <c r="G58">
        <v>160</v>
      </c>
      <c r="H58">
        <v>605</v>
      </c>
      <c r="I58">
        <v>622</v>
      </c>
      <c r="J58">
        <v>1936</v>
      </c>
    </row>
    <row r="59" spans="1:10" x14ac:dyDescent="0.3">
      <c r="A59" t="s">
        <v>328</v>
      </c>
      <c r="B59" t="s">
        <v>514</v>
      </c>
      <c r="C59">
        <v>0</v>
      </c>
    </row>
    <row r="60" spans="1:10" x14ac:dyDescent="0.3">
      <c r="A60" t="s">
        <v>328</v>
      </c>
      <c r="B60" t="s">
        <v>606</v>
      </c>
      <c r="C60">
        <v>2705</v>
      </c>
      <c r="H60">
        <v>248</v>
      </c>
      <c r="I60">
        <v>514</v>
      </c>
      <c r="J60">
        <v>1943</v>
      </c>
    </row>
    <row r="61" spans="1:10" x14ac:dyDescent="0.3">
      <c r="A61" t="s">
        <v>328</v>
      </c>
      <c r="B61" t="s">
        <v>512</v>
      </c>
      <c r="C61">
        <v>60</v>
      </c>
      <c r="H61">
        <v>56</v>
      </c>
      <c r="I61">
        <v>4</v>
      </c>
    </row>
    <row r="62" spans="1:10" x14ac:dyDescent="0.3">
      <c r="A62" t="s">
        <v>328</v>
      </c>
      <c r="B62" t="s">
        <v>513</v>
      </c>
      <c r="C62">
        <v>171</v>
      </c>
      <c r="E62">
        <v>1</v>
      </c>
      <c r="F62">
        <v>2</v>
      </c>
      <c r="G62">
        <v>8</v>
      </c>
      <c r="H62">
        <v>37</v>
      </c>
      <c r="I62">
        <v>28</v>
      </c>
      <c r="J62">
        <v>95</v>
      </c>
    </row>
    <row r="63" spans="1:10" x14ac:dyDescent="0.3">
      <c r="A63" t="s">
        <v>328</v>
      </c>
      <c r="B63" t="s">
        <v>628</v>
      </c>
      <c r="C63">
        <v>273</v>
      </c>
      <c r="H63">
        <v>36</v>
      </c>
      <c r="I63">
        <v>41</v>
      </c>
      <c r="J63">
        <v>196</v>
      </c>
    </row>
    <row r="64" spans="1:10" x14ac:dyDescent="0.3">
      <c r="A64" t="s">
        <v>412</v>
      </c>
      <c r="B64" t="s">
        <v>513</v>
      </c>
      <c r="C64">
        <v>175</v>
      </c>
      <c r="F64">
        <v>3</v>
      </c>
      <c r="G64">
        <v>6</v>
      </c>
      <c r="H64">
        <v>24</v>
      </c>
      <c r="I64">
        <v>42</v>
      </c>
      <c r="J64">
        <v>100</v>
      </c>
    </row>
    <row r="65" spans="1:10" x14ac:dyDescent="0.3">
      <c r="A65" t="s">
        <v>412</v>
      </c>
      <c r="B65" t="s">
        <v>514</v>
      </c>
      <c r="C65">
        <v>0</v>
      </c>
    </row>
    <row r="66" spans="1:10" x14ac:dyDescent="0.3">
      <c r="A66" t="s">
        <v>412</v>
      </c>
      <c r="B66" t="s">
        <v>606</v>
      </c>
      <c r="C66">
        <v>2747</v>
      </c>
      <c r="H66">
        <v>257</v>
      </c>
      <c r="I66">
        <v>526</v>
      </c>
      <c r="J66">
        <v>1964</v>
      </c>
    </row>
    <row r="67" spans="1:10" x14ac:dyDescent="0.3">
      <c r="A67" t="s">
        <v>412</v>
      </c>
      <c r="B67" t="s">
        <v>512</v>
      </c>
      <c r="C67">
        <v>60</v>
      </c>
      <c r="H67">
        <v>57</v>
      </c>
      <c r="I67">
        <v>3</v>
      </c>
    </row>
    <row r="68" spans="1:10" x14ac:dyDescent="0.3">
      <c r="A68" t="s">
        <v>412</v>
      </c>
      <c r="B68" t="s">
        <v>629</v>
      </c>
      <c r="C68">
        <v>3431</v>
      </c>
      <c r="D68">
        <v>5</v>
      </c>
      <c r="E68">
        <v>29</v>
      </c>
      <c r="F68">
        <v>72</v>
      </c>
      <c r="G68">
        <v>160</v>
      </c>
      <c r="H68">
        <v>625</v>
      </c>
      <c r="I68">
        <v>641</v>
      </c>
      <c r="J68">
        <v>1899</v>
      </c>
    </row>
    <row r="69" spans="1:10" x14ac:dyDescent="0.3">
      <c r="A69" t="s">
        <v>412</v>
      </c>
      <c r="B69" t="s">
        <v>628</v>
      </c>
      <c r="C69">
        <v>252</v>
      </c>
      <c r="H69">
        <v>35</v>
      </c>
      <c r="I69">
        <v>39</v>
      </c>
      <c r="J69">
        <v>178</v>
      </c>
    </row>
  </sheetData>
  <phoneticPr fontId="53" type="noConversion"/>
  <pageMargins left="0.7" right="0.7" top="0.75" bottom="0.75" header="0.3" footer="0.3"/>
  <tableParts count="1">
    <tablePart r:id="rId1"/>
  </tableParts>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tabColor theme="9" tint="0.39997558519241921"/>
  </sheetPr>
  <dimension ref="A1:H10"/>
  <sheetViews>
    <sheetView zoomScale="80" zoomScaleNormal="80" workbookViewId="0">
      <selection activeCell="E7" sqref="E7"/>
    </sheetView>
  </sheetViews>
  <sheetFormatPr defaultRowHeight="14.4" x14ac:dyDescent="0.3"/>
  <cols>
    <col min="1" max="1" width="13.77734375" bestFit="1" customWidth="1"/>
    <col min="2" max="2" width="23" bestFit="1" customWidth="1"/>
    <col min="3" max="3" width="20.21875" bestFit="1" customWidth="1"/>
    <col min="4" max="4" width="21.5546875" bestFit="1" customWidth="1"/>
    <col min="5" max="5" width="22.44140625" bestFit="1" customWidth="1"/>
    <col min="6" max="6" width="21.77734375" bestFit="1" customWidth="1"/>
    <col min="7" max="7" width="20.6640625" bestFit="1" customWidth="1"/>
    <col min="8" max="8" width="16.88671875" bestFit="1" customWidth="1"/>
  </cols>
  <sheetData>
    <row r="1" spans="1:8" x14ac:dyDescent="0.3">
      <c r="A1" s="386" t="s">
        <v>208</v>
      </c>
      <c r="B1" t="s">
        <v>412</v>
      </c>
    </row>
    <row r="3" spans="1:8" x14ac:dyDescent="0.3">
      <c r="A3" s="386" t="s">
        <v>350</v>
      </c>
      <c r="B3" t="s">
        <v>630</v>
      </c>
      <c r="C3" t="s">
        <v>631</v>
      </c>
      <c r="D3" t="s">
        <v>632</v>
      </c>
      <c r="E3" t="s">
        <v>633</v>
      </c>
      <c r="F3" t="s">
        <v>634</v>
      </c>
      <c r="G3" t="s">
        <v>635</v>
      </c>
      <c r="H3" t="s">
        <v>636</v>
      </c>
    </row>
    <row r="4" spans="1:8" x14ac:dyDescent="0.3">
      <c r="A4" s="387" t="s">
        <v>513</v>
      </c>
      <c r="D4">
        <v>3</v>
      </c>
      <c r="E4">
        <v>6</v>
      </c>
      <c r="F4">
        <v>24</v>
      </c>
      <c r="G4">
        <v>42</v>
      </c>
      <c r="H4">
        <v>100</v>
      </c>
    </row>
    <row r="5" spans="1:8" x14ac:dyDescent="0.3">
      <c r="A5" s="387" t="s">
        <v>606</v>
      </c>
      <c r="F5">
        <v>257</v>
      </c>
      <c r="G5">
        <v>526</v>
      </c>
      <c r="H5">
        <v>1964</v>
      </c>
    </row>
    <row r="6" spans="1:8" x14ac:dyDescent="0.3">
      <c r="A6" s="387" t="s">
        <v>512</v>
      </c>
      <c r="F6">
        <v>57</v>
      </c>
      <c r="G6">
        <v>3</v>
      </c>
    </row>
    <row r="7" spans="1:8" x14ac:dyDescent="0.3">
      <c r="A7" s="387" t="s">
        <v>628</v>
      </c>
      <c r="F7">
        <v>35</v>
      </c>
      <c r="G7">
        <v>39</v>
      </c>
      <c r="H7">
        <v>178</v>
      </c>
    </row>
    <row r="8" spans="1:8" x14ac:dyDescent="0.3">
      <c r="A8" s="387" t="s">
        <v>629</v>
      </c>
      <c r="B8">
        <v>5</v>
      </c>
      <c r="C8">
        <v>29</v>
      </c>
      <c r="D8">
        <v>72</v>
      </c>
      <c r="E8">
        <v>160</v>
      </c>
      <c r="F8">
        <v>625</v>
      </c>
      <c r="G8">
        <v>641</v>
      </c>
      <c r="H8">
        <v>1899</v>
      </c>
    </row>
    <row r="9" spans="1:8" x14ac:dyDescent="0.3">
      <c r="A9" s="387" t="s">
        <v>514</v>
      </c>
    </row>
    <row r="10" spans="1:8" x14ac:dyDescent="0.3">
      <c r="A10" s="387" t="s">
        <v>357</v>
      </c>
      <c r="B10">
        <v>5</v>
      </c>
      <c r="C10">
        <v>29</v>
      </c>
      <c r="D10">
        <v>75</v>
      </c>
      <c r="E10">
        <v>166</v>
      </c>
      <c r="F10">
        <v>998</v>
      </c>
      <c r="G10">
        <v>1251</v>
      </c>
      <c r="H10">
        <v>4141</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tabColor theme="9" tint="0.39997558519241921"/>
  </sheetPr>
  <dimension ref="A1:K24"/>
  <sheetViews>
    <sheetView showGridLines="0" zoomScaleNormal="100" workbookViewId="0">
      <pane ySplit="2" topLeftCell="A3" activePane="bottomLeft" state="frozen"/>
      <selection pane="bottomLeft" sqref="A1:H1"/>
    </sheetView>
  </sheetViews>
  <sheetFormatPr defaultRowHeight="14.4" x14ac:dyDescent="0.3"/>
  <cols>
    <col min="1" max="1" width="31.6640625" bestFit="1" customWidth="1"/>
    <col min="2" max="9" width="12" customWidth="1"/>
  </cols>
  <sheetData>
    <row r="1" spans="1:11" ht="15.6" x14ac:dyDescent="0.3">
      <c r="A1" s="1030" t="s">
        <v>515</v>
      </c>
      <c r="B1" s="1030"/>
      <c r="C1" s="1030"/>
      <c r="D1" s="1030"/>
      <c r="E1" s="1030"/>
      <c r="F1" s="1030"/>
      <c r="G1" s="1030"/>
      <c r="H1" s="1030"/>
    </row>
    <row r="2" spans="1:11" ht="17.399999999999999" x14ac:dyDescent="0.3">
      <c r="A2" s="498" t="s">
        <v>202</v>
      </c>
      <c r="B2" s="1"/>
      <c r="C2" s="1"/>
      <c r="D2" s="1"/>
      <c r="E2" s="1"/>
      <c r="F2" s="1"/>
      <c r="G2" s="1"/>
      <c r="H2" s="1"/>
    </row>
    <row r="3" spans="1:11" ht="17.399999999999999" x14ac:dyDescent="0.3">
      <c r="A3" s="1"/>
      <c r="B3" s="1"/>
      <c r="C3" s="1"/>
      <c r="D3" s="1"/>
      <c r="E3" s="1"/>
      <c r="F3" s="1"/>
      <c r="G3" s="1"/>
      <c r="H3" s="1"/>
    </row>
    <row r="4" spans="1:11" ht="30" customHeight="1" x14ac:dyDescent="0.3">
      <c r="A4" s="1041" t="s">
        <v>637</v>
      </c>
      <c r="B4" s="1041"/>
      <c r="C4" s="1041"/>
      <c r="D4" s="1041"/>
      <c r="E4" s="1041"/>
      <c r="F4" s="1041"/>
      <c r="G4" s="1041"/>
      <c r="H4" s="1041"/>
      <c r="I4" s="1041"/>
      <c r="J4" s="1041"/>
      <c r="K4" s="1041"/>
    </row>
    <row r="5" spans="1:11" ht="15" customHeight="1" x14ac:dyDescent="0.3">
      <c r="A5" t="s">
        <v>203</v>
      </c>
      <c r="B5" t="s">
        <v>71</v>
      </c>
      <c r="C5" s="232"/>
      <c r="E5" s="232"/>
      <c r="F5" s="232"/>
      <c r="G5" s="232"/>
      <c r="H5" s="232"/>
      <c r="I5" s="232"/>
      <c r="J5" s="232"/>
      <c r="K5" s="232"/>
    </row>
    <row r="6" spans="1:11" ht="15" customHeight="1" x14ac:dyDescent="0.3">
      <c r="A6" t="s">
        <v>204</v>
      </c>
      <c r="B6" t="s">
        <v>205</v>
      </c>
      <c r="C6" s="232"/>
      <c r="D6" s="232"/>
      <c r="E6" s="232"/>
      <c r="F6" s="232"/>
      <c r="G6" s="232"/>
      <c r="H6" s="232"/>
      <c r="I6" s="232"/>
      <c r="J6" s="232"/>
      <c r="K6" s="232"/>
    </row>
    <row r="7" spans="1:11" ht="15" customHeight="1" x14ac:dyDescent="0.3">
      <c r="A7" t="s">
        <v>206</v>
      </c>
      <c r="B7" t="s">
        <v>207</v>
      </c>
      <c r="C7" s="232"/>
      <c r="D7" s="232"/>
      <c r="E7" s="232"/>
      <c r="F7" s="232"/>
      <c r="G7" s="232"/>
      <c r="H7" s="232"/>
      <c r="I7" s="232"/>
      <c r="J7" s="232"/>
      <c r="K7" s="232"/>
    </row>
    <row r="8" spans="1:11" ht="15" customHeight="1" x14ac:dyDescent="0.3">
      <c r="C8" s="232"/>
      <c r="D8" s="232"/>
      <c r="E8" s="232"/>
      <c r="F8" s="232"/>
      <c r="G8" s="232"/>
      <c r="H8" s="232"/>
      <c r="I8" s="232"/>
      <c r="J8" s="232"/>
      <c r="K8" s="232"/>
    </row>
    <row r="9" spans="1:11" ht="27" x14ac:dyDescent="0.3">
      <c r="A9" s="20"/>
      <c r="B9" s="3" t="s">
        <v>638</v>
      </c>
      <c r="C9" s="3" t="s">
        <v>639</v>
      </c>
      <c r="D9" s="3" t="s">
        <v>640</v>
      </c>
      <c r="E9" s="3" t="s">
        <v>641</v>
      </c>
      <c r="F9" s="3" t="s">
        <v>642</v>
      </c>
      <c r="G9" s="3" t="s">
        <v>643</v>
      </c>
      <c r="H9" s="3" t="s">
        <v>627</v>
      </c>
      <c r="I9" s="234" t="s">
        <v>608</v>
      </c>
      <c r="K9" s="15"/>
    </row>
    <row r="10" spans="1:11" ht="16.5" customHeight="1" x14ac:dyDescent="0.3">
      <c r="A10" s="12" t="s">
        <v>644</v>
      </c>
      <c r="B10" s="278">
        <f>GETPIVOTDATA("Sum of Brigade Manager",rolepivot!$A$3,"Type","WT")</f>
        <v>5</v>
      </c>
      <c r="C10" s="1017">
        <f>GETPIVOTDATA("Sum of Area Manager",rolepivot!$A$3,"Type","WT")</f>
        <v>29</v>
      </c>
      <c r="D10" s="278">
        <f>GETPIVOTDATA("Sum of Group Manager",rolepivot!$A$3,"Type","WT")</f>
        <v>72</v>
      </c>
      <c r="E10" s="278">
        <f>GETPIVOTDATA("Sum of Station Manager",rolepivot!$A$3,"Type","WT")</f>
        <v>160</v>
      </c>
      <c r="F10" s="278">
        <f>GETPIVOTDATA("Sum of Watch Manager",rolepivot!$A$3,"Type","WT")</f>
        <v>625</v>
      </c>
      <c r="G10" s="278">
        <f>GETPIVOTDATA("Sum of Crew Manager",rolepivot!$A$3,"Type","WT")</f>
        <v>641</v>
      </c>
      <c r="H10" s="278">
        <f>GETPIVOTDATA("Sum of Firefighter",rolepivot!$A$3,"Type","WT")</f>
        <v>1899</v>
      </c>
      <c r="I10" s="407">
        <f>SUM(B10:H10)</f>
        <v>3431</v>
      </c>
      <c r="J10" s="15"/>
      <c r="K10" s="15"/>
    </row>
    <row r="11" spans="1:11" ht="16.5" customHeight="1" x14ac:dyDescent="0.3">
      <c r="A11" s="2" t="s">
        <v>645</v>
      </c>
      <c r="B11" s="293">
        <f>B10/$I$10</f>
        <v>1.457301078402798E-3</v>
      </c>
      <c r="C11" s="293">
        <f t="shared" ref="C11:G11" si="0">C10/$I$10</f>
        <v>8.4523462547362281E-3</v>
      </c>
      <c r="D11" s="293">
        <f t="shared" si="0"/>
        <v>2.098513552900029E-2</v>
      </c>
      <c r="E11" s="293">
        <f t="shared" si="0"/>
        <v>4.6633634508889535E-2</v>
      </c>
      <c r="F11" s="293">
        <f t="shared" si="0"/>
        <v>0.18216263480034975</v>
      </c>
      <c r="G11" s="293">
        <f t="shared" si="0"/>
        <v>0.18682599825123872</v>
      </c>
      <c r="H11" s="293">
        <f>H10/$I$10</f>
        <v>0.55348294957738264</v>
      </c>
      <c r="I11" s="293">
        <f>I10/$I$10</f>
        <v>1</v>
      </c>
      <c r="J11" s="15"/>
      <c r="K11" s="15"/>
    </row>
    <row r="12" spans="1:11" ht="16.5" customHeight="1" x14ac:dyDescent="0.3">
      <c r="A12" s="12" t="s">
        <v>646</v>
      </c>
      <c r="B12" s="278">
        <f>GETPIVOTDATA("Sum of Brigade Manager",rolepivot!$A$3,"Type","RDS")</f>
        <v>0</v>
      </c>
      <c r="C12" s="278">
        <f>GETPIVOTDATA("Sum of Area Manager",rolepivot!$A$3,"Type","RDS")</f>
        <v>0</v>
      </c>
      <c r="D12" s="278">
        <f>GETPIVOTDATA("Sum of Group Manager",rolepivot!$A$3,"Type","RDS")</f>
        <v>0</v>
      </c>
      <c r="E12" s="278">
        <f>GETPIVOTDATA("Sum of Station Manager",rolepivot!$A$3,"Type","RDS")</f>
        <v>0</v>
      </c>
      <c r="F12" s="278">
        <f>GETPIVOTDATA("Sum of Watch Manager",rolepivot!$A$3,"Type","RDS")</f>
        <v>257</v>
      </c>
      <c r="G12" s="278">
        <f>GETPIVOTDATA("Sum of Crew Manager",rolepivot!$A$3,"Type","RDS")</f>
        <v>526</v>
      </c>
      <c r="H12" s="278">
        <f>GETPIVOTDATA("Sum of Firefighter",rolepivot!$A$3,"Type","RDS")</f>
        <v>1964</v>
      </c>
      <c r="I12" s="279">
        <f t="shared" ref="I12:I18" si="1">SUM(B12:H12)</f>
        <v>2747</v>
      </c>
      <c r="J12" s="15"/>
      <c r="K12" s="15"/>
    </row>
    <row r="13" spans="1:11" ht="16.5" customHeight="1" x14ac:dyDescent="0.3">
      <c r="A13" s="2" t="s">
        <v>647</v>
      </c>
      <c r="B13" s="294">
        <f>IF(ISBLANK(B12), "-", B12/$I$12)</f>
        <v>0</v>
      </c>
      <c r="C13" s="294">
        <f t="shared" ref="C13:G13" si="2">IF(ISBLANK(C12), "-", C12/$I$12)</f>
        <v>0</v>
      </c>
      <c r="D13" s="294">
        <f t="shared" si="2"/>
        <v>0</v>
      </c>
      <c r="E13" s="294">
        <f t="shared" si="2"/>
        <v>0</v>
      </c>
      <c r="F13" s="294">
        <f t="shared" si="2"/>
        <v>9.3556607207863129E-2</v>
      </c>
      <c r="G13" s="294">
        <f t="shared" si="2"/>
        <v>0.19148161630870039</v>
      </c>
      <c r="H13" s="294">
        <f>IF(ISBLANK(H12), "-", H12/$I$12)</f>
        <v>0.71496177648343651</v>
      </c>
      <c r="I13" s="294">
        <f>IF(ISBLANK(I12), "-", I12/$I$12)</f>
        <v>1</v>
      </c>
      <c r="J13" s="15"/>
      <c r="K13" s="15"/>
    </row>
    <row r="14" spans="1:11" ht="16.5" customHeight="1" x14ac:dyDescent="0.3">
      <c r="A14" s="12" t="s">
        <v>648</v>
      </c>
      <c r="B14" s="919">
        <f>GETPIVOTDATA("Sum of Brigade Manager",rolepivot!$A$3,"Type","RDS Fulltime")</f>
        <v>0</v>
      </c>
      <c r="C14" s="919">
        <f>GETPIVOTDATA("Sum of Area Manager",rolepivot!$A$3,"Type","RDS Fulltime")</f>
        <v>0</v>
      </c>
      <c r="D14" s="919">
        <f>GETPIVOTDATA("Sum of Group Manager",rolepivot!$A$3,"Type","RDS Fulltime")</f>
        <v>0</v>
      </c>
      <c r="E14" s="919">
        <f>GETPIVOTDATA("Sum of Station Manager",rolepivot!$A$3,"Type","RDS Fulltime")</f>
        <v>0</v>
      </c>
      <c r="F14" s="919">
        <f>GETPIVOTDATA("Sum of Watch Manager",rolepivot!$A$3,"Type","RDS Fulltime")</f>
        <v>57</v>
      </c>
      <c r="G14" s="919">
        <f>GETPIVOTDATA("Sum of Crew Manager",rolepivot!$A$3,"Type","RDS Fulltime")</f>
        <v>3</v>
      </c>
      <c r="H14" s="919">
        <f>GETPIVOTDATA("Sum of Firefighter",rolepivot!$A$3,"Type","RDS Fulltime")</f>
        <v>0</v>
      </c>
      <c r="I14" s="920">
        <f>SUM(B14:H14)</f>
        <v>60</v>
      </c>
      <c r="J14" s="15"/>
      <c r="K14" s="15"/>
    </row>
    <row r="15" spans="1:11" ht="16.5" customHeight="1" x14ac:dyDescent="0.3">
      <c r="A15" s="2" t="s">
        <v>649</v>
      </c>
      <c r="B15" s="294">
        <f>IF(ISBLANK(B14), "-", B14/$I$14)</f>
        <v>0</v>
      </c>
      <c r="C15" s="294">
        <f t="shared" ref="C15:I15" si="3">IF(ISBLANK(C14), "-", C14/$I$14)</f>
        <v>0</v>
      </c>
      <c r="D15" s="294">
        <f t="shared" si="3"/>
        <v>0</v>
      </c>
      <c r="E15" s="294">
        <f t="shared" si="3"/>
        <v>0</v>
      </c>
      <c r="F15" s="294">
        <f t="shared" si="3"/>
        <v>0.95</v>
      </c>
      <c r="G15" s="294">
        <f t="shared" si="3"/>
        <v>0.05</v>
      </c>
      <c r="H15" s="294">
        <f t="shared" si="3"/>
        <v>0</v>
      </c>
      <c r="I15" s="294">
        <f t="shared" si="3"/>
        <v>1</v>
      </c>
      <c r="J15" s="15"/>
      <c r="K15" s="15"/>
    </row>
    <row r="16" spans="1:11" ht="16.5" customHeight="1" x14ac:dyDescent="0.3">
      <c r="A16" s="12" t="s">
        <v>650</v>
      </c>
      <c r="B16" s="278">
        <f>GETPIVOTDATA("Sum of Brigade Manager",rolepivot!$A$3,"Type","Control")</f>
        <v>0</v>
      </c>
      <c r="C16" s="278">
        <f>GETPIVOTDATA("Sum of Area Manager",rolepivot!$A$3,"Type","Control")</f>
        <v>0</v>
      </c>
      <c r="D16" s="278">
        <f>GETPIVOTDATA("Sum of Group Manager",rolepivot!$A$3,"Type","Control")</f>
        <v>3</v>
      </c>
      <c r="E16" s="278">
        <f>GETPIVOTDATA("Sum of Station Manager",rolepivot!$A$3,"Type","Control")</f>
        <v>6</v>
      </c>
      <c r="F16" s="278">
        <f>GETPIVOTDATA("Sum of Watch Manager",rolepivot!$A$3,"Type","Control")</f>
        <v>24</v>
      </c>
      <c r="G16" s="278">
        <f>GETPIVOTDATA("Sum of Crew Manager",rolepivot!$A$3,"Type","Control")</f>
        <v>42</v>
      </c>
      <c r="H16" s="278">
        <f>GETPIVOTDATA("Sum of Firefighter",rolepivot!$A$3,"Type","Control")</f>
        <v>100</v>
      </c>
      <c r="I16" s="1016">
        <f t="shared" si="1"/>
        <v>175</v>
      </c>
      <c r="J16" s="15"/>
      <c r="K16" s="15"/>
    </row>
    <row r="17" spans="1:11" ht="16.5" customHeight="1" x14ac:dyDescent="0.3">
      <c r="A17" s="2" t="s">
        <v>651</v>
      </c>
      <c r="B17" s="294">
        <f>IF(ISBLANK(B16), "-", B16/$I$16)</f>
        <v>0</v>
      </c>
      <c r="C17" s="294">
        <f t="shared" ref="C17:I17" si="4">IF(ISBLANK(C16), "-", C16/$I$16)</f>
        <v>0</v>
      </c>
      <c r="D17" s="294">
        <f t="shared" si="4"/>
        <v>1.7142857142857144E-2</v>
      </c>
      <c r="E17" s="294">
        <f t="shared" si="4"/>
        <v>3.4285714285714287E-2</v>
      </c>
      <c r="F17" s="294">
        <f t="shared" si="4"/>
        <v>0.13714285714285715</v>
      </c>
      <c r="G17" s="294">
        <f t="shared" si="4"/>
        <v>0.24</v>
      </c>
      <c r="H17" s="294">
        <f t="shared" si="4"/>
        <v>0.5714285714285714</v>
      </c>
      <c r="I17" s="294">
        <f t="shared" si="4"/>
        <v>1</v>
      </c>
      <c r="J17" s="15"/>
      <c r="K17" s="15"/>
    </row>
    <row r="18" spans="1:11" ht="16.5" customHeight="1" x14ac:dyDescent="0.3">
      <c r="A18" s="12" t="s">
        <v>652</v>
      </c>
      <c r="B18" s="278">
        <f>GETPIVOTDATA("Sum of Brigade Manager",rolepivot!$A$3,"Type","Vol")</f>
        <v>0</v>
      </c>
      <c r="C18" s="278">
        <f>GETPIVOTDATA("Sum of Area Manager",rolepivot!$A$3,"Type","Vol")</f>
        <v>0</v>
      </c>
      <c r="D18" s="278">
        <f>GETPIVOTDATA("Sum of Group Manager",rolepivot!$A$3,"Type","Vol")</f>
        <v>0</v>
      </c>
      <c r="E18" s="278">
        <f>GETPIVOTDATA("Sum of Station Manager",rolepivot!$A$3,"Type","Vol")</f>
        <v>0</v>
      </c>
      <c r="F18" s="278">
        <f>GETPIVOTDATA("Sum of Watch Manager",rolepivot!$A$3,"Type","Vol")</f>
        <v>35</v>
      </c>
      <c r="G18" s="278">
        <f>GETPIVOTDATA("Sum of Crew Manager",rolepivot!$A$3,"Type","Vol")</f>
        <v>39</v>
      </c>
      <c r="H18" s="278">
        <f>GETPIVOTDATA("Sum of Firefighter",rolepivot!$A$3,"Type","Vol")</f>
        <v>178</v>
      </c>
      <c r="I18" s="279">
        <f t="shared" si="1"/>
        <v>252</v>
      </c>
      <c r="J18" s="15"/>
      <c r="K18" s="15"/>
    </row>
    <row r="19" spans="1:11" ht="16.5" customHeight="1" thickBot="1" x14ac:dyDescent="0.35">
      <c r="A19" s="34" t="s">
        <v>653</v>
      </c>
      <c r="B19" s="295">
        <f>IF(ISBLANK(B18), "-", B18/$I$18)</f>
        <v>0</v>
      </c>
      <c r="C19" s="295">
        <f t="shared" ref="C19:I19" si="5">IF(ISBLANK(C18), "-", C18/$I$18)</f>
        <v>0</v>
      </c>
      <c r="D19" s="295">
        <f t="shared" si="5"/>
        <v>0</v>
      </c>
      <c r="E19" s="295">
        <f t="shared" si="5"/>
        <v>0</v>
      </c>
      <c r="F19" s="295">
        <f t="shared" si="5"/>
        <v>0.1388888888888889</v>
      </c>
      <c r="G19" s="295">
        <f t="shared" si="5"/>
        <v>0.15476190476190477</v>
      </c>
      <c r="H19" s="295">
        <f t="shared" si="5"/>
        <v>0.70634920634920639</v>
      </c>
      <c r="I19" s="295">
        <f t="shared" si="5"/>
        <v>1</v>
      </c>
      <c r="J19" s="15"/>
      <c r="K19" s="15"/>
    </row>
    <row r="20" spans="1:11" x14ac:dyDescent="0.3">
      <c r="A20" s="15"/>
      <c r="B20" s="367"/>
      <c r="C20" s="15"/>
      <c r="D20" s="15"/>
      <c r="E20" s="15"/>
      <c r="F20" s="15"/>
      <c r="G20" s="15"/>
      <c r="H20" s="15"/>
      <c r="I20" s="15"/>
      <c r="J20" s="15"/>
      <c r="K20" s="15"/>
    </row>
    <row r="21" spans="1:11" x14ac:dyDescent="0.3">
      <c r="A21" s="336" t="s">
        <v>329</v>
      </c>
      <c r="B21" s="338"/>
      <c r="C21" s="338"/>
      <c r="D21" s="338"/>
      <c r="E21" s="338"/>
      <c r="F21" s="338"/>
      <c r="G21" s="338"/>
      <c r="H21" s="338"/>
      <c r="I21" s="338"/>
      <c r="J21" s="338"/>
      <c r="K21" s="338"/>
    </row>
    <row r="22" spans="1:11" ht="45" customHeight="1" x14ac:dyDescent="0.3">
      <c r="A22" s="1040" t="s">
        <v>654</v>
      </c>
      <c r="B22" s="1040"/>
      <c r="C22" s="1040"/>
      <c r="D22" s="1040"/>
      <c r="E22" s="1040"/>
      <c r="F22" s="1040"/>
      <c r="G22" s="1040"/>
      <c r="H22" s="1040"/>
      <c r="I22" s="1040"/>
      <c r="J22" s="338"/>
      <c r="K22" s="338"/>
    </row>
    <row r="23" spans="1:11" ht="30" customHeight="1" x14ac:dyDescent="0.3">
      <c r="A23" s="1048" t="s">
        <v>655</v>
      </c>
      <c r="B23" s="1048"/>
      <c r="C23" s="1048"/>
      <c r="D23" s="1048"/>
      <c r="E23" s="1048"/>
      <c r="F23" s="1048"/>
      <c r="G23" s="1048"/>
      <c r="H23" s="1048"/>
      <c r="I23" s="1048"/>
      <c r="J23" s="337"/>
      <c r="K23" s="337"/>
    </row>
    <row r="24" spans="1:11" ht="30" customHeight="1" x14ac:dyDescent="0.3"/>
  </sheetData>
  <sheetProtection algorithmName="SHA-512" hashValue="LHzBKIguzY9UwD7tlRCKrTmm808eqSQrstC0+ZfOZPUssjYZzcNTfW6hwTNqi1Li8StRimKyoKphE4DJATMZnA==" saltValue="/T/VIb3J4TgAodnO/48bxw==" spinCount="100000" sheet="1" scenarios="1" formatCells="0" sort="0" autoFilter="0" pivotTables="0"/>
  <mergeCells count="4">
    <mergeCell ref="A4:K4"/>
    <mergeCell ref="A1:H1"/>
    <mergeCell ref="A23:I23"/>
    <mergeCell ref="A22:I22"/>
  </mergeCells>
  <hyperlinks>
    <hyperlink ref="A2" location="'Table of Contents'!A1" display="Back to Table of Contents" xr:uid="{00000000-0004-0000-2A00-000000000000}"/>
  </hyperlinks>
  <pageMargins left="0.7" right="0.7" top="0.75" bottom="0.75" header="0.3" footer="0.3"/>
  <drawing r:id="rId1"/>
  <extLst>
    <ext xmlns:x14="http://schemas.microsoft.com/office/spreadsheetml/2009/9/main" uri="{A8765BA9-456A-4dab-B4F3-ACF838C121DE}">
      <x14:slicerList>
        <x14:slicer r:id="rId2"/>
      </x14:slicerList>
    </ext>
  </extLst>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tabColor theme="9" tint="0.39997558519241921"/>
  </sheetPr>
  <dimension ref="A1:H8"/>
  <sheetViews>
    <sheetView workbookViewId="0">
      <selection activeCell="D5" sqref="D5"/>
    </sheetView>
  </sheetViews>
  <sheetFormatPr defaultRowHeight="14.4" x14ac:dyDescent="0.3"/>
  <cols>
    <col min="1" max="1" width="25" bestFit="1" customWidth="1"/>
    <col min="2" max="2" width="25.44140625" bestFit="1" customWidth="1"/>
    <col min="3" max="3" width="22.77734375" bestFit="1" customWidth="1"/>
    <col min="4" max="4" width="24.109375" bestFit="1" customWidth="1"/>
    <col min="5" max="5" width="25" bestFit="1" customWidth="1"/>
    <col min="6" max="6" width="24.33203125" bestFit="1" customWidth="1"/>
    <col min="7" max="7" width="23.21875" bestFit="1" customWidth="1"/>
    <col min="8" max="8" width="16.77734375" bestFit="1" customWidth="1"/>
  </cols>
  <sheetData>
    <row r="1" spans="1:8" x14ac:dyDescent="0.3">
      <c r="A1" s="386" t="s">
        <v>208</v>
      </c>
      <c r="B1" t="s">
        <v>412</v>
      </c>
    </row>
    <row r="3" spans="1:8" x14ac:dyDescent="0.3">
      <c r="A3" s="386" t="s">
        <v>350</v>
      </c>
      <c r="B3" t="s">
        <v>656</v>
      </c>
      <c r="C3" t="s">
        <v>657</v>
      </c>
      <c r="D3" t="s">
        <v>658</v>
      </c>
      <c r="E3" t="s">
        <v>659</v>
      </c>
      <c r="F3" t="s">
        <v>660</v>
      </c>
      <c r="G3" t="s">
        <v>661</v>
      </c>
      <c r="H3" t="s">
        <v>636</v>
      </c>
    </row>
    <row r="4" spans="1:8" x14ac:dyDescent="0.3">
      <c r="A4" s="387" t="s">
        <v>532</v>
      </c>
      <c r="B4">
        <v>5</v>
      </c>
      <c r="C4">
        <v>29</v>
      </c>
      <c r="D4">
        <v>72</v>
      </c>
      <c r="E4">
        <v>160</v>
      </c>
      <c r="F4">
        <v>0</v>
      </c>
      <c r="G4">
        <v>0</v>
      </c>
      <c r="H4">
        <v>0</v>
      </c>
    </row>
    <row r="5" spans="1:8" x14ac:dyDescent="0.3">
      <c r="A5" s="387" t="s">
        <v>533</v>
      </c>
      <c r="B5">
        <v>0</v>
      </c>
      <c r="C5">
        <v>0</v>
      </c>
      <c r="D5">
        <v>0</v>
      </c>
      <c r="E5">
        <v>0</v>
      </c>
      <c r="F5">
        <v>249</v>
      </c>
      <c r="G5">
        <v>79</v>
      </c>
      <c r="H5">
        <v>21</v>
      </c>
    </row>
    <row r="6" spans="1:8" x14ac:dyDescent="0.3">
      <c r="A6" s="387" t="s">
        <v>662</v>
      </c>
      <c r="B6">
        <v>0</v>
      </c>
      <c r="C6">
        <v>0</v>
      </c>
      <c r="D6">
        <v>0</v>
      </c>
      <c r="E6">
        <v>0</v>
      </c>
      <c r="F6">
        <v>376</v>
      </c>
      <c r="G6">
        <v>562</v>
      </c>
      <c r="H6">
        <v>1806</v>
      </c>
    </row>
    <row r="7" spans="1:8" x14ac:dyDescent="0.3">
      <c r="A7" s="387" t="s">
        <v>534</v>
      </c>
      <c r="B7">
        <v>0</v>
      </c>
      <c r="C7">
        <v>0</v>
      </c>
      <c r="D7">
        <v>0</v>
      </c>
      <c r="E7">
        <v>0</v>
      </c>
      <c r="F7">
        <v>0</v>
      </c>
      <c r="G7">
        <v>0</v>
      </c>
      <c r="H7">
        <v>72</v>
      </c>
    </row>
    <row r="8" spans="1:8" x14ac:dyDescent="0.3">
      <c r="A8" s="387" t="s">
        <v>357</v>
      </c>
      <c r="B8">
        <v>5</v>
      </c>
      <c r="C8">
        <v>29</v>
      </c>
      <c r="D8">
        <v>72</v>
      </c>
      <c r="E8">
        <v>160</v>
      </c>
      <c r="F8">
        <v>625</v>
      </c>
      <c r="G8">
        <v>641</v>
      </c>
      <c r="H8">
        <v>1899</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tabColor theme="9" tint="0.39997558519241921"/>
  </sheetPr>
  <dimension ref="A1:I33"/>
  <sheetViews>
    <sheetView workbookViewId="0">
      <selection activeCell="E8" sqref="E8"/>
    </sheetView>
  </sheetViews>
  <sheetFormatPr defaultRowHeight="14.4" x14ac:dyDescent="0.3"/>
  <cols>
    <col min="1" max="1" width="7.6640625" bestFit="1" customWidth="1"/>
    <col min="2" max="2" width="25" bestFit="1" customWidth="1"/>
    <col min="3" max="3" width="21" bestFit="1" customWidth="1"/>
    <col min="4" max="4" width="18.33203125" bestFit="1" customWidth="1"/>
    <col min="5" max="5" width="19.88671875" bestFit="1" customWidth="1"/>
    <col min="6" max="6" width="20.5546875" bestFit="1" customWidth="1"/>
    <col min="7" max="7" width="20" bestFit="1" customWidth="1"/>
    <col min="8" max="8" width="18.77734375" bestFit="1" customWidth="1"/>
    <col min="9" max="9" width="12.33203125" bestFit="1" customWidth="1"/>
  </cols>
  <sheetData>
    <row r="1" spans="1:9" x14ac:dyDescent="0.3">
      <c r="A1" t="s">
        <v>208</v>
      </c>
      <c r="B1" t="s">
        <v>663</v>
      </c>
      <c r="C1" t="s">
        <v>638</v>
      </c>
      <c r="D1" t="s">
        <v>639</v>
      </c>
      <c r="E1" t="s">
        <v>640</v>
      </c>
      <c r="F1" t="s">
        <v>641</v>
      </c>
      <c r="G1" t="s">
        <v>642</v>
      </c>
      <c r="H1" t="s">
        <v>643</v>
      </c>
      <c r="I1" t="s">
        <v>627</v>
      </c>
    </row>
    <row r="2" spans="1:9" x14ac:dyDescent="0.3">
      <c r="A2" t="s">
        <v>213</v>
      </c>
      <c r="B2" t="s">
        <v>532</v>
      </c>
      <c r="C2">
        <v>4</v>
      </c>
      <c r="D2">
        <v>33</v>
      </c>
      <c r="E2">
        <v>80</v>
      </c>
      <c r="F2">
        <v>147</v>
      </c>
      <c r="G2">
        <v>0</v>
      </c>
      <c r="H2">
        <v>0</v>
      </c>
      <c r="I2">
        <v>0</v>
      </c>
    </row>
    <row r="3" spans="1:9" x14ac:dyDescent="0.3">
      <c r="A3" t="s">
        <v>312</v>
      </c>
      <c r="B3" t="s">
        <v>532</v>
      </c>
      <c r="C3">
        <v>6</v>
      </c>
      <c r="D3">
        <v>31</v>
      </c>
      <c r="E3">
        <v>80</v>
      </c>
      <c r="F3">
        <v>153</v>
      </c>
      <c r="G3">
        <v>0</v>
      </c>
      <c r="H3">
        <v>0</v>
      </c>
      <c r="I3">
        <v>0</v>
      </c>
    </row>
    <row r="4" spans="1:9" x14ac:dyDescent="0.3">
      <c r="A4" t="s">
        <v>318</v>
      </c>
      <c r="B4" t="s">
        <v>532</v>
      </c>
      <c r="C4">
        <v>5</v>
      </c>
      <c r="D4">
        <v>35</v>
      </c>
      <c r="E4">
        <v>79</v>
      </c>
      <c r="F4">
        <v>152</v>
      </c>
      <c r="G4">
        <v>0</v>
      </c>
      <c r="H4">
        <v>0</v>
      </c>
      <c r="I4">
        <v>0</v>
      </c>
    </row>
    <row r="5" spans="1:9" x14ac:dyDescent="0.3">
      <c r="A5" t="s">
        <v>320</v>
      </c>
      <c r="B5" t="s">
        <v>532</v>
      </c>
      <c r="C5">
        <v>5</v>
      </c>
      <c r="D5">
        <v>35</v>
      </c>
      <c r="E5">
        <v>76</v>
      </c>
      <c r="F5">
        <v>157</v>
      </c>
      <c r="G5">
        <v>0</v>
      </c>
      <c r="H5">
        <v>0</v>
      </c>
      <c r="I5">
        <v>0</v>
      </c>
    </row>
    <row r="6" spans="1:9" x14ac:dyDescent="0.3">
      <c r="A6" t="s">
        <v>325</v>
      </c>
      <c r="B6" t="s">
        <v>532</v>
      </c>
      <c r="C6">
        <v>5</v>
      </c>
      <c r="D6">
        <v>31</v>
      </c>
      <c r="E6">
        <v>78</v>
      </c>
      <c r="F6">
        <v>148</v>
      </c>
      <c r="G6">
        <v>0</v>
      </c>
      <c r="H6">
        <v>0</v>
      </c>
      <c r="I6">
        <v>0</v>
      </c>
    </row>
    <row r="7" spans="1:9" x14ac:dyDescent="0.3">
      <c r="A7" t="s">
        <v>326</v>
      </c>
      <c r="B7" t="s">
        <v>532</v>
      </c>
      <c r="C7">
        <v>5</v>
      </c>
      <c r="D7">
        <v>31</v>
      </c>
      <c r="E7">
        <v>71</v>
      </c>
      <c r="F7">
        <v>156</v>
      </c>
      <c r="G7">
        <v>0</v>
      </c>
      <c r="H7">
        <v>0</v>
      </c>
      <c r="I7">
        <v>0</v>
      </c>
    </row>
    <row r="8" spans="1:9" x14ac:dyDescent="0.3">
      <c r="A8" t="s">
        <v>328</v>
      </c>
      <c r="B8" t="s">
        <v>532</v>
      </c>
      <c r="C8">
        <v>5</v>
      </c>
      <c r="D8">
        <v>30</v>
      </c>
      <c r="E8">
        <v>72</v>
      </c>
      <c r="F8">
        <v>160</v>
      </c>
      <c r="G8">
        <v>0</v>
      </c>
      <c r="H8">
        <v>0</v>
      </c>
      <c r="I8">
        <v>0</v>
      </c>
    </row>
    <row r="9" spans="1:9" x14ac:dyDescent="0.3">
      <c r="A9" t="s">
        <v>412</v>
      </c>
      <c r="B9" t="s">
        <v>532</v>
      </c>
      <c r="C9">
        <v>5</v>
      </c>
      <c r="D9">
        <v>29</v>
      </c>
      <c r="E9">
        <v>72</v>
      </c>
      <c r="F9">
        <v>160</v>
      </c>
      <c r="G9">
        <v>0</v>
      </c>
      <c r="H9">
        <v>0</v>
      </c>
      <c r="I9">
        <v>0</v>
      </c>
    </row>
    <row r="10" spans="1:9" x14ac:dyDescent="0.3">
      <c r="A10" t="s">
        <v>213</v>
      </c>
      <c r="B10" t="s">
        <v>533</v>
      </c>
      <c r="C10">
        <v>0</v>
      </c>
      <c r="D10">
        <v>0</v>
      </c>
      <c r="E10">
        <v>0</v>
      </c>
      <c r="F10">
        <v>0</v>
      </c>
      <c r="G10">
        <v>234</v>
      </c>
      <c r="H10">
        <v>95</v>
      </c>
      <c r="I10">
        <v>29</v>
      </c>
    </row>
    <row r="11" spans="1:9" x14ac:dyDescent="0.3">
      <c r="A11" t="s">
        <v>312</v>
      </c>
      <c r="B11" t="s">
        <v>533</v>
      </c>
      <c r="C11">
        <v>0</v>
      </c>
      <c r="D11">
        <v>0</v>
      </c>
      <c r="E11">
        <v>0</v>
      </c>
      <c r="F11">
        <v>0</v>
      </c>
      <c r="G11">
        <v>232</v>
      </c>
      <c r="H11">
        <v>91</v>
      </c>
      <c r="I11">
        <v>28</v>
      </c>
    </row>
    <row r="12" spans="1:9" x14ac:dyDescent="0.3">
      <c r="A12" t="s">
        <v>318</v>
      </c>
      <c r="B12" t="s">
        <v>533</v>
      </c>
      <c r="C12">
        <v>0</v>
      </c>
      <c r="D12">
        <v>0</v>
      </c>
      <c r="E12">
        <v>0</v>
      </c>
      <c r="F12">
        <v>0</v>
      </c>
      <c r="G12">
        <v>231</v>
      </c>
      <c r="H12">
        <v>91</v>
      </c>
      <c r="I12">
        <v>26</v>
      </c>
    </row>
    <row r="13" spans="1:9" x14ac:dyDescent="0.3">
      <c r="A13" t="s">
        <v>320</v>
      </c>
      <c r="B13" t="s">
        <v>533</v>
      </c>
      <c r="C13">
        <v>0</v>
      </c>
      <c r="D13">
        <v>0</v>
      </c>
      <c r="E13">
        <v>0</v>
      </c>
      <c r="F13">
        <v>0</v>
      </c>
      <c r="G13">
        <v>234</v>
      </c>
      <c r="H13">
        <v>88</v>
      </c>
      <c r="I13">
        <v>27</v>
      </c>
    </row>
    <row r="14" spans="1:9" x14ac:dyDescent="0.3">
      <c r="A14" t="s">
        <v>325</v>
      </c>
      <c r="B14" t="s">
        <v>533</v>
      </c>
      <c r="C14">
        <v>0</v>
      </c>
      <c r="D14">
        <v>0</v>
      </c>
      <c r="E14">
        <v>0</v>
      </c>
      <c r="F14">
        <v>0</v>
      </c>
      <c r="G14">
        <v>225</v>
      </c>
      <c r="H14">
        <v>81</v>
      </c>
      <c r="I14">
        <v>21</v>
      </c>
    </row>
    <row r="15" spans="1:9" x14ac:dyDescent="0.3">
      <c r="A15" t="s">
        <v>326</v>
      </c>
      <c r="B15" t="s">
        <v>533</v>
      </c>
      <c r="C15">
        <v>0</v>
      </c>
      <c r="D15">
        <v>0</v>
      </c>
      <c r="E15">
        <v>0</v>
      </c>
      <c r="F15">
        <v>0</v>
      </c>
      <c r="G15">
        <v>232</v>
      </c>
      <c r="H15">
        <v>82</v>
      </c>
      <c r="I15">
        <v>21</v>
      </c>
    </row>
    <row r="16" spans="1:9" x14ac:dyDescent="0.3">
      <c r="A16" t="s">
        <v>328</v>
      </c>
      <c r="B16" t="s">
        <v>533</v>
      </c>
      <c r="C16">
        <v>0</v>
      </c>
      <c r="D16">
        <v>0</v>
      </c>
      <c r="E16">
        <v>0</v>
      </c>
      <c r="F16">
        <v>0</v>
      </c>
      <c r="G16">
        <v>236</v>
      </c>
      <c r="H16">
        <v>73</v>
      </c>
      <c r="I16">
        <v>23</v>
      </c>
    </row>
    <row r="17" spans="1:9" x14ac:dyDescent="0.3">
      <c r="A17" t="s">
        <v>412</v>
      </c>
      <c r="B17" t="s">
        <v>533</v>
      </c>
      <c r="C17">
        <v>0</v>
      </c>
      <c r="D17">
        <v>0</v>
      </c>
      <c r="E17">
        <v>0</v>
      </c>
      <c r="F17">
        <v>0</v>
      </c>
      <c r="G17">
        <v>249</v>
      </c>
      <c r="H17">
        <v>79</v>
      </c>
      <c r="I17">
        <v>21</v>
      </c>
    </row>
    <row r="18" spans="1:9" x14ac:dyDescent="0.3">
      <c r="A18" t="s">
        <v>213</v>
      </c>
      <c r="B18" t="s">
        <v>662</v>
      </c>
      <c r="C18">
        <v>0</v>
      </c>
      <c r="D18">
        <v>0</v>
      </c>
      <c r="E18">
        <v>0</v>
      </c>
      <c r="F18">
        <v>0</v>
      </c>
      <c r="G18">
        <v>377</v>
      </c>
      <c r="H18">
        <v>592</v>
      </c>
      <c r="I18">
        <v>1986</v>
      </c>
    </row>
    <row r="19" spans="1:9" x14ac:dyDescent="0.3">
      <c r="A19" t="s">
        <v>312</v>
      </c>
      <c r="B19" t="s">
        <v>662</v>
      </c>
      <c r="C19">
        <v>0</v>
      </c>
      <c r="D19">
        <v>0</v>
      </c>
      <c r="E19">
        <v>0</v>
      </c>
      <c r="F19">
        <v>0</v>
      </c>
      <c r="G19">
        <v>376</v>
      </c>
      <c r="H19">
        <v>597</v>
      </c>
      <c r="I19">
        <v>1993</v>
      </c>
    </row>
    <row r="20" spans="1:9" x14ac:dyDescent="0.3">
      <c r="A20" t="s">
        <v>318</v>
      </c>
      <c r="B20" t="s">
        <v>662</v>
      </c>
      <c r="C20">
        <v>0</v>
      </c>
      <c r="D20">
        <v>0</v>
      </c>
      <c r="E20">
        <v>0</v>
      </c>
      <c r="F20">
        <v>0</v>
      </c>
      <c r="G20">
        <v>372</v>
      </c>
      <c r="H20">
        <v>596</v>
      </c>
      <c r="I20">
        <v>1935</v>
      </c>
    </row>
    <row r="21" spans="1:9" x14ac:dyDescent="0.3">
      <c r="A21" t="s">
        <v>320</v>
      </c>
      <c r="B21" t="s">
        <v>662</v>
      </c>
      <c r="C21">
        <v>0</v>
      </c>
      <c r="D21">
        <v>0</v>
      </c>
      <c r="E21">
        <v>0</v>
      </c>
      <c r="F21">
        <v>0</v>
      </c>
      <c r="G21">
        <v>373</v>
      </c>
      <c r="H21">
        <v>572</v>
      </c>
      <c r="I21">
        <v>1898</v>
      </c>
    </row>
    <row r="22" spans="1:9" x14ac:dyDescent="0.3">
      <c r="A22" t="s">
        <v>325</v>
      </c>
      <c r="B22" t="s">
        <v>662</v>
      </c>
      <c r="C22">
        <v>0</v>
      </c>
      <c r="D22">
        <v>0</v>
      </c>
      <c r="E22">
        <v>0</v>
      </c>
      <c r="F22">
        <v>0</v>
      </c>
      <c r="G22">
        <v>376</v>
      </c>
      <c r="H22">
        <v>574</v>
      </c>
      <c r="I22">
        <v>1848</v>
      </c>
    </row>
    <row r="23" spans="1:9" x14ac:dyDescent="0.3">
      <c r="A23" t="s">
        <v>326</v>
      </c>
      <c r="B23" t="s">
        <v>662</v>
      </c>
      <c r="C23">
        <v>0</v>
      </c>
      <c r="D23">
        <v>0</v>
      </c>
      <c r="E23">
        <v>0</v>
      </c>
      <c r="F23">
        <v>0</v>
      </c>
      <c r="G23">
        <v>375</v>
      </c>
      <c r="H23">
        <v>558</v>
      </c>
      <c r="I23">
        <v>1890</v>
      </c>
    </row>
    <row r="24" spans="1:9" x14ac:dyDescent="0.3">
      <c r="A24" t="s">
        <v>328</v>
      </c>
      <c r="B24" t="s">
        <v>662</v>
      </c>
      <c r="C24">
        <v>0</v>
      </c>
      <c r="D24">
        <v>0</v>
      </c>
      <c r="E24">
        <v>0</v>
      </c>
      <c r="F24">
        <v>0</v>
      </c>
      <c r="G24">
        <v>369</v>
      </c>
      <c r="H24">
        <v>549</v>
      </c>
      <c r="I24">
        <v>1844</v>
      </c>
    </row>
    <row r="25" spans="1:9" x14ac:dyDescent="0.3">
      <c r="A25" t="s">
        <v>412</v>
      </c>
      <c r="B25" t="s">
        <v>662</v>
      </c>
      <c r="C25">
        <v>0</v>
      </c>
      <c r="D25">
        <v>0</v>
      </c>
      <c r="E25">
        <v>0</v>
      </c>
      <c r="F25">
        <v>0</v>
      </c>
      <c r="G25">
        <v>376</v>
      </c>
      <c r="H25">
        <v>562</v>
      </c>
      <c r="I25">
        <v>1806</v>
      </c>
    </row>
    <row r="26" spans="1:9" x14ac:dyDescent="0.3">
      <c r="A26" t="s">
        <v>213</v>
      </c>
      <c r="B26" t="s">
        <v>534</v>
      </c>
      <c r="C26">
        <v>0</v>
      </c>
      <c r="D26">
        <v>0</v>
      </c>
      <c r="E26">
        <v>0</v>
      </c>
      <c r="F26">
        <v>0</v>
      </c>
      <c r="G26">
        <v>0</v>
      </c>
      <c r="H26">
        <v>0</v>
      </c>
      <c r="I26">
        <v>60</v>
      </c>
    </row>
    <row r="27" spans="1:9" x14ac:dyDescent="0.3">
      <c r="A27" t="s">
        <v>312</v>
      </c>
      <c r="B27" t="s">
        <v>534</v>
      </c>
      <c r="C27">
        <v>0</v>
      </c>
      <c r="D27">
        <v>0</v>
      </c>
      <c r="E27">
        <v>0</v>
      </c>
      <c r="F27">
        <v>0</v>
      </c>
      <c r="G27">
        <v>0</v>
      </c>
      <c r="H27">
        <v>0</v>
      </c>
      <c r="I27">
        <v>49</v>
      </c>
    </row>
    <row r="28" spans="1:9" x14ac:dyDescent="0.3">
      <c r="A28" t="s">
        <v>318</v>
      </c>
      <c r="B28" t="s">
        <v>534</v>
      </c>
      <c r="C28">
        <v>0</v>
      </c>
      <c r="D28">
        <v>0</v>
      </c>
      <c r="E28">
        <v>0</v>
      </c>
      <c r="F28">
        <v>0</v>
      </c>
      <c r="G28">
        <v>0</v>
      </c>
      <c r="H28">
        <v>0</v>
      </c>
      <c r="I28">
        <v>59</v>
      </c>
    </row>
    <row r="29" spans="1:9" x14ac:dyDescent="0.3">
      <c r="A29" t="s">
        <v>320</v>
      </c>
      <c r="B29" t="s">
        <v>534</v>
      </c>
      <c r="C29">
        <v>0</v>
      </c>
      <c r="D29">
        <v>0</v>
      </c>
      <c r="E29">
        <v>0</v>
      </c>
      <c r="F29">
        <v>0</v>
      </c>
      <c r="G29">
        <v>0</v>
      </c>
      <c r="H29">
        <v>0</v>
      </c>
      <c r="I29">
        <v>65</v>
      </c>
    </row>
    <row r="30" spans="1:9" x14ac:dyDescent="0.3">
      <c r="A30" t="s">
        <v>325</v>
      </c>
      <c r="B30" t="s">
        <v>534</v>
      </c>
      <c r="C30">
        <v>0</v>
      </c>
      <c r="D30">
        <v>0</v>
      </c>
      <c r="E30">
        <v>0</v>
      </c>
      <c r="F30">
        <v>0</v>
      </c>
      <c r="G30">
        <v>0</v>
      </c>
      <c r="H30">
        <v>0</v>
      </c>
      <c r="I30">
        <v>103</v>
      </c>
    </row>
    <row r="31" spans="1:9" x14ac:dyDescent="0.3">
      <c r="A31" t="s">
        <v>326</v>
      </c>
      <c r="B31" t="s">
        <v>534</v>
      </c>
      <c r="C31">
        <v>0</v>
      </c>
      <c r="D31">
        <v>0</v>
      </c>
      <c r="E31">
        <v>0</v>
      </c>
      <c r="F31">
        <v>0</v>
      </c>
      <c r="G31">
        <v>0</v>
      </c>
      <c r="H31">
        <v>0</v>
      </c>
      <c r="I31">
        <v>1</v>
      </c>
    </row>
    <row r="32" spans="1:9" x14ac:dyDescent="0.3">
      <c r="A32" t="s">
        <v>328</v>
      </c>
      <c r="B32" t="s">
        <v>534</v>
      </c>
      <c r="C32">
        <v>0</v>
      </c>
      <c r="D32">
        <v>0</v>
      </c>
      <c r="E32">
        <v>0</v>
      </c>
      <c r="F32">
        <v>0</v>
      </c>
      <c r="G32">
        <v>0</v>
      </c>
      <c r="H32">
        <v>0</v>
      </c>
      <c r="I32">
        <v>69</v>
      </c>
    </row>
    <row r="33" spans="1:9" x14ac:dyDescent="0.3">
      <c r="A33" t="s">
        <v>412</v>
      </c>
      <c r="B33" t="s">
        <v>534</v>
      </c>
      <c r="C33">
        <v>0</v>
      </c>
      <c r="D33">
        <v>0</v>
      </c>
      <c r="E33">
        <v>0</v>
      </c>
      <c r="F33">
        <v>0</v>
      </c>
      <c r="G33">
        <v>0</v>
      </c>
      <c r="H33">
        <v>0</v>
      </c>
      <c r="I33">
        <v>72</v>
      </c>
    </row>
  </sheetData>
  <pageMargins left="0.7" right="0.7" top="0.75" bottom="0.75" header="0.3" footer="0.3"/>
  <tableParts count="1">
    <tablePart r:id="rId1"/>
  </tableParts>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tabColor theme="9" tint="0.39997558519241921"/>
  </sheetPr>
  <dimension ref="A1:I20"/>
  <sheetViews>
    <sheetView showGridLines="0" zoomScaleNormal="100" workbookViewId="0">
      <pane ySplit="2" topLeftCell="A3" activePane="bottomLeft" state="frozen"/>
      <selection pane="bottomLeft"/>
    </sheetView>
  </sheetViews>
  <sheetFormatPr defaultRowHeight="14.4" x14ac:dyDescent="0.3"/>
  <cols>
    <col min="1" max="1" width="27" customWidth="1"/>
    <col min="2" max="9" width="12.44140625" customWidth="1"/>
    <col min="10" max="10" width="15.5546875" bestFit="1" customWidth="1"/>
    <col min="11" max="11" width="14.88671875" bestFit="1" customWidth="1"/>
  </cols>
  <sheetData>
    <row r="1" spans="1:9" ht="15.6" x14ac:dyDescent="0.3">
      <c r="A1" s="513" t="s">
        <v>515</v>
      </c>
    </row>
    <row r="2" spans="1:9" x14ac:dyDescent="0.3">
      <c r="A2" s="498" t="s">
        <v>202</v>
      </c>
    </row>
    <row r="3" spans="1:9" ht="17.399999999999999" x14ac:dyDescent="0.3">
      <c r="A3" s="1"/>
      <c r="B3" s="1"/>
      <c r="C3" s="1"/>
      <c r="D3" s="1"/>
      <c r="E3" s="1"/>
      <c r="F3" s="1"/>
    </row>
    <row r="4" spans="1:9" ht="15.6" x14ac:dyDescent="0.3">
      <c r="A4" s="438" t="s">
        <v>1302</v>
      </c>
      <c r="B4" s="438"/>
      <c r="C4" s="438"/>
      <c r="D4" s="438"/>
      <c r="E4" s="438"/>
      <c r="F4" s="438"/>
    </row>
    <row r="5" spans="1:9" x14ac:dyDescent="0.3">
      <c r="A5" t="s">
        <v>203</v>
      </c>
      <c r="B5" t="s">
        <v>72</v>
      </c>
    </row>
    <row r="6" spans="1:9" x14ac:dyDescent="0.3">
      <c r="A6" t="s">
        <v>204</v>
      </c>
      <c r="B6" t="s">
        <v>205</v>
      </c>
    </row>
    <row r="7" spans="1:9" x14ac:dyDescent="0.3">
      <c r="A7" t="s">
        <v>206</v>
      </c>
      <c r="B7" t="s">
        <v>207</v>
      </c>
    </row>
    <row r="9" spans="1:9" x14ac:dyDescent="0.3">
      <c r="A9" s="36" t="s">
        <v>208</v>
      </c>
    </row>
    <row r="10" spans="1:9" x14ac:dyDescent="0.3">
      <c r="A10" s="39" t="str">
        <f>roledutysystempivot!B1</f>
        <v>2025-26</v>
      </c>
    </row>
    <row r="11" spans="1:9" ht="27" x14ac:dyDescent="0.3">
      <c r="A11" s="2" t="s">
        <v>54</v>
      </c>
      <c r="B11" s="3" t="s">
        <v>638</v>
      </c>
      <c r="C11" s="3" t="s">
        <v>639</v>
      </c>
      <c r="D11" s="3" t="s">
        <v>640</v>
      </c>
      <c r="E11" s="3" t="s">
        <v>641</v>
      </c>
      <c r="F11" s="3" t="s">
        <v>642</v>
      </c>
      <c r="G11" s="3" t="s">
        <v>643</v>
      </c>
      <c r="H11" s="3" t="s">
        <v>627</v>
      </c>
      <c r="I11" s="234" t="s">
        <v>608</v>
      </c>
    </row>
    <row r="12" spans="1:9" x14ac:dyDescent="0.3">
      <c r="A12" s="5" t="s">
        <v>532</v>
      </c>
      <c r="B12" s="262">
        <f>GETPIVOTDATA("Sum of Brigade Commander",roledutysystempivot!$A$3,"EmployeeGroup",A12)</f>
        <v>5</v>
      </c>
      <c r="C12" s="262">
        <f>GETPIVOTDATA("Sum of Area Commander",roledutysystempivot!$A$3,"EmployeeGroup",A12)</f>
        <v>29</v>
      </c>
      <c r="D12" s="262">
        <f>GETPIVOTDATA("Sum of Group Commander",roledutysystempivot!$A$3,"EmployeeGroup",A12)</f>
        <v>72</v>
      </c>
      <c r="E12" s="262">
        <f>GETPIVOTDATA("Sum of Station Commander",roledutysystempivot!$A$3,"EmployeeGroup",A12)</f>
        <v>160</v>
      </c>
      <c r="F12" s="262">
        <f>GETPIVOTDATA("Sum of Watch Commander",roledutysystempivot!$A$3,"EmployeeGroup",A12)</f>
        <v>0</v>
      </c>
      <c r="G12" s="262">
        <f>GETPIVOTDATA("Sum of Crew Commander",roledutysystempivot!$A$3,"EmployeeGroup",A12)</f>
        <v>0</v>
      </c>
      <c r="H12" s="262">
        <f>GETPIVOTDATA("Sum of Firefighter",roledutysystempivot!$A$3,"EmployeeGroup",A12)</f>
        <v>0</v>
      </c>
      <c r="I12" s="609">
        <f>SUM(B12:H12)</f>
        <v>266</v>
      </c>
    </row>
    <row r="13" spans="1:9" x14ac:dyDescent="0.3">
      <c r="A13" s="5" t="s">
        <v>662</v>
      </c>
      <c r="B13" s="262">
        <f>roledutysystempivot!B6</f>
        <v>0</v>
      </c>
      <c r="C13" s="262">
        <f>roledutysystempivot!C6</f>
        <v>0</v>
      </c>
      <c r="D13" s="262">
        <f>roledutysystempivot!D6</f>
        <v>0</v>
      </c>
      <c r="E13" s="262">
        <f>roledutysystempivot!E6</f>
        <v>0</v>
      </c>
      <c r="F13" s="262">
        <f>roledutysystempivot!F6</f>
        <v>376</v>
      </c>
      <c r="G13" s="262">
        <f>roledutysystempivot!G6</f>
        <v>562</v>
      </c>
      <c r="H13" s="262">
        <f>roledutysystempivot!H6</f>
        <v>1806</v>
      </c>
      <c r="I13" s="609">
        <f t="shared" ref="I13:I16" si="0">SUM(B13:H13)</f>
        <v>2744</v>
      </c>
    </row>
    <row r="14" spans="1:9" x14ac:dyDescent="0.3">
      <c r="A14" s="5" t="s">
        <v>535</v>
      </c>
      <c r="B14" s="262">
        <f>roledutysystempivot!B5</f>
        <v>0</v>
      </c>
      <c r="C14" s="262">
        <f>roledutysystempivot!C5</f>
        <v>0</v>
      </c>
      <c r="D14" s="262">
        <f>roledutysystempivot!D5</f>
        <v>0</v>
      </c>
      <c r="E14" s="262">
        <f>roledutysystempivot!E5</f>
        <v>0</v>
      </c>
      <c r="F14" s="262">
        <f>roledutysystempivot!F5</f>
        <v>249</v>
      </c>
      <c r="G14" s="262">
        <f>roledutysystempivot!G5</f>
        <v>79</v>
      </c>
      <c r="H14" s="262">
        <f>roledutysystempivot!H5</f>
        <v>21</v>
      </c>
      <c r="I14" s="609">
        <f>SUM(B14:H14)</f>
        <v>349</v>
      </c>
    </row>
    <row r="15" spans="1:9" x14ac:dyDescent="0.3">
      <c r="A15" s="5" t="s">
        <v>534</v>
      </c>
      <c r="B15" s="262">
        <f>roledutysystempivot!B7</f>
        <v>0</v>
      </c>
      <c r="C15" s="262">
        <f>roledutysystempivot!C7</f>
        <v>0</v>
      </c>
      <c r="D15" s="262">
        <f>roledutysystempivot!D7</f>
        <v>0</v>
      </c>
      <c r="E15" s="262">
        <f>roledutysystempivot!E7</f>
        <v>0</v>
      </c>
      <c r="F15" s="262">
        <f>roledutysystempivot!F7</f>
        <v>0</v>
      </c>
      <c r="G15" s="262">
        <f>roledutysystempivot!G7</f>
        <v>0</v>
      </c>
      <c r="H15" s="262">
        <f>roledutysystempivot!H7</f>
        <v>72</v>
      </c>
      <c r="I15" s="609">
        <f t="shared" si="0"/>
        <v>72</v>
      </c>
    </row>
    <row r="16" spans="1:9" ht="15" thickBot="1" x14ac:dyDescent="0.35">
      <c r="A16" s="715" t="s">
        <v>340</v>
      </c>
      <c r="B16" s="716">
        <f>SUM(B12:B15)</f>
        <v>5</v>
      </c>
      <c r="C16" s="716">
        <f t="shared" ref="C16:H16" si="1">SUM(C12:C15)</f>
        <v>29</v>
      </c>
      <c r="D16" s="716">
        <f t="shared" si="1"/>
        <v>72</v>
      </c>
      <c r="E16" s="716">
        <f t="shared" si="1"/>
        <v>160</v>
      </c>
      <c r="F16" s="716">
        <f t="shared" si="1"/>
        <v>625</v>
      </c>
      <c r="G16" s="716">
        <f t="shared" si="1"/>
        <v>641</v>
      </c>
      <c r="H16" s="716">
        <f t="shared" si="1"/>
        <v>1899</v>
      </c>
      <c r="I16" s="1015">
        <f t="shared" si="0"/>
        <v>3431</v>
      </c>
    </row>
    <row r="18" spans="1:9" x14ac:dyDescent="0.3">
      <c r="A18" s="312" t="s">
        <v>329</v>
      </c>
    </row>
    <row r="19" spans="1:9" ht="48.6" customHeight="1" x14ac:dyDescent="0.3">
      <c r="A19" s="1029" t="s">
        <v>536</v>
      </c>
      <c r="B19" s="1029"/>
      <c r="C19" s="1029"/>
      <c r="D19" s="1029"/>
      <c r="E19" s="1029"/>
      <c r="F19" s="1029"/>
      <c r="G19" s="1029"/>
      <c r="H19" s="1029"/>
      <c r="I19" s="1029"/>
    </row>
    <row r="20" spans="1:9" ht="46.5" customHeight="1" x14ac:dyDescent="0.3">
      <c r="A20" s="1040" t="s">
        <v>654</v>
      </c>
      <c r="B20" s="1040"/>
      <c r="C20" s="1040"/>
      <c r="D20" s="1040"/>
      <c r="E20" s="1040"/>
      <c r="F20" s="1040"/>
      <c r="G20" s="1040"/>
      <c r="H20" s="1040"/>
      <c r="I20" s="1040"/>
    </row>
  </sheetData>
  <sheetProtection algorithmName="SHA-512" hashValue="Jt1gzEwub6H0ShlEcwVedjdvhf9cm4mR8HagCEXVa9pRlcUzdKyNRghZsaEHcgdgmkHh+Wsbth3AOo2p533FRw==" saltValue="1SISI2FEp8Y3QV9YVwJkEg==" spinCount="100000" sheet="1" scenarios="1" formatCells="0" sort="0" autoFilter="0" pivotTables="0"/>
  <mergeCells count="2">
    <mergeCell ref="A20:I20"/>
    <mergeCell ref="A19:I19"/>
  </mergeCells>
  <hyperlinks>
    <hyperlink ref="A2" location="'Table of Contents'!A1" display="Back to Table of Contents" xr:uid="{00000000-0004-0000-2D00-000000000000}"/>
  </hyperlinks>
  <pageMargins left="0.7" right="0.7" top="0.75" bottom="0.75" header="0.3" footer="0.3"/>
  <pageSetup paperSize="9" orientation="portrait" r:id="rId1"/>
  <drawing r:id="rId2"/>
  <extLst>
    <ext xmlns:x14="http://schemas.microsoft.com/office/spreadsheetml/2009/9/main" uri="{A8765BA9-456A-4dab-B4F3-ACF838C121DE}">
      <x14:slicerList>
        <x14:slicer r:id="rId3"/>
      </x14:slicerList>
    </ext>
  </extLst>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tabColor theme="9" tint="0.39997558519241921"/>
  </sheetPr>
  <dimension ref="A1:H8"/>
  <sheetViews>
    <sheetView workbookViewId="0">
      <selection activeCell="D6" sqref="D6"/>
    </sheetView>
  </sheetViews>
  <sheetFormatPr defaultRowHeight="14.4" x14ac:dyDescent="0.3"/>
  <cols>
    <col min="1" max="1" width="12.77734375" bestFit="1" customWidth="1"/>
    <col min="2" max="2" width="22.33203125" bestFit="1" customWidth="1"/>
    <col min="3" max="3" width="19.6640625" bestFit="1" customWidth="1"/>
    <col min="4" max="4" width="21.21875" bestFit="1" customWidth="1"/>
    <col min="5" max="5" width="21.88671875" bestFit="1" customWidth="1"/>
    <col min="6" max="6" width="21.33203125" bestFit="1" customWidth="1"/>
    <col min="7" max="7" width="20.109375" bestFit="1" customWidth="1"/>
    <col min="8" max="8" width="16.77734375" bestFit="1" customWidth="1"/>
  </cols>
  <sheetData>
    <row r="1" spans="1:8" x14ac:dyDescent="0.3">
      <c r="A1" s="386" t="s">
        <v>208</v>
      </c>
      <c r="B1" t="s">
        <v>412</v>
      </c>
    </row>
    <row r="3" spans="1:8" x14ac:dyDescent="0.3">
      <c r="A3" s="386" t="s">
        <v>350</v>
      </c>
      <c r="B3" t="s">
        <v>630</v>
      </c>
      <c r="C3" t="s">
        <v>631</v>
      </c>
      <c r="D3" t="s">
        <v>632</v>
      </c>
      <c r="E3" t="s">
        <v>633</v>
      </c>
      <c r="F3" t="s">
        <v>634</v>
      </c>
      <c r="G3" t="s">
        <v>635</v>
      </c>
      <c r="H3" t="s">
        <v>636</v>
      </c>
    </row>
    <row r="4" spans="1:8" x14ac:dyDescent="0.3">
      <c r="A4" s="387" t="s">
        <v>537</v>
      </c>
      <c r="D4">
        <v>2</v>
      </c>
      <c r="E4">
        <v>2</v>
      </c>
      <c r="F4">
        <v>448</v>
      </c>
      <c r="G4">
        <v>579</v>
      </c>
      <c r="H4">
        <v>1779</v>
      </c>
    </row>
    <row r="5" spans="1:8" x14ac:dyDescent="0.3">
      <c r="A5" s="387" t="s">
        <v>540</v>
      </c>
      <c r="C5">
        <v>16</v>
      </c>
      <c r="D5">
        <v>47</v>
      </c>
      <c r="E5">
        <v>112</v>
      </c>
      <c r="F5">
        <v>97</v>
      </c>
      <c r="G5">
        <v>46</v>
      </c>
      <c r="H5">
        <v>47</v>
      </c>
    </row>
    <row r="6" spans="1:8" x14ac:dyDescent="0.3">
      <c r="A6" s="387" t="s">
        <v>542</v>
      </c>
      <c r="C6">
        <v>2</v>
      </c>
      <c r="D6">
        <v>8</v>
      </c>
      <c r="E6">
        <v>20</v>
      </c>
      <c r="F6">
        <v>44</v>
      </c>
      <c r="G6">
        <v>15</v>
      </c>
      <c r="H6">
        <v>72</v>
      </c>
    </row>
    <row r="7" spans="1:8" x14ac:dyDescent="0.3">
      <c r="A7" s="387" t="s">
        <v>544</v>
      </c>
      <c r="B7">
        <v>5</v>
      </c>
      <c r="C7">
        <v>9</v>
      </c>
      <c r="D7">
        <v>15</v>
      </c>
      <c r="E7">
        <v>26</v>
      </c>
      <c r="F7">
        <v>36</v>
      </c>
      <c r="G7">
        <v>1</v>
      </c>
      <c r="H7">
        <v>1</v>
      </c>
    </row>
    <row r="8" spans="1:8" x14ac:dyDescent="0.3">
      <c r="A8" s="387" t="s">
        <v>357</v>
      </c>
      <c r="B8">
        <v>5</v>
      </c>
      <c r="C8">
        <v>27</v>
      </c>
      <c r="D8">
        <v>72</v>
      </c>
      <c r="E8">
        <v>160</v>
      </c>
      <c r="F8">
        <v>625</v>
      </c>
      <c r="G8">
        <v>641</v>
      </c>
      <c r="H8">
        <v>1899</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tabColor theme="9" tint="0.39997558519241921"/>
  </sheetPr>
  <dimension ref="A1:J53"/>
  <sheetViews>
    <sheetView topLeftCell="A2" workbookViewId="0">
      <selection activeCell="D11" sqref="D11"/>
    </sheetView>
  </sheetViews>
  <sheetFormatPr defaultRowHeight="14.4" x14ac:dyDescent="0.3"/>
  <cols>
    <col min="1" max="1" width="7.6640625" bestFit="1" customWidth="1"/>
    <col min="2" max="2" width="16.33203125" bestFit="1" customWidth="1"/>
    <col min="3" max="3" width="17.88671875" bestFit="1" customWidth="1"/>
    <col min="4" max="4" width="15.44140625" bestFit="1" customWidth="1"/>
    <col min="5" max="5" width="16.77734375" bestFit="1" customWidth="1"/>
    <col min="6" max="6" width="17.44140625" bestFit="1" customWidth="1"/>
    <col min="7" max="7" width="16.88671875" bestFit="1" customWidth="1"/>
    <col min="8" max="8" width="15.77734375" bestFit="1" customWidth="1"/>
    <col min="9" max="9" width="12.33203125" bestFit="1" customWidth="1"/>
    <col min="10" max="10" width="7.44140625" bestFit="1" customWidth="1"/>
  </cols>
  <sheetData>
    <row r="1" spans="1:10" x14ac:dyDescent="0.3">
      <c r="A1" t="s">
        <v>208</v>
      </c>
      <c r="B1" t="s">
        <v>547</v>
      </c>
      <c r="C1" t="s">
        <v>621</v>
      </c>
      <c r="D1" t="s">
        <v>622</v>
      </c>
      <c r="E1" t="s">
        <v>623</v>
      </c>
      <c r="F1" t="s">
        <v>624</v>
      </c>
      <c r="G1" t="s">
        <v>625</v>
      </c>
      <c r="H1" t="s">
        <v>626</v>
      </c>
      <c r="I1" t="s">
        <v>627</v>
      </c>
      <c r="J1" t="s">
        <v>340</v>
      </c>
    </row>
    <row r="2" spans="1:10" x14ac:dyDescent="0.3">
      <c r="A2" t="s">
        <v>364</v>
      </c>
      <c r="B2" t="s">
        <v>540</v>
      </c>
      <c r="D2">
        <v>17</v>
      </c>
      <c r="E2">
        <v>69</v>
      </c>
      <c r="F2">
        <v>85</v>
      </c>
      <c r="G2">
        <v>94</v>
      </c>
      <c r="H2">
        <v>5</v>
      </c>
      <c r="I2">
        <v>15</v>
      </c>
    </row>
    <row r="3" spans="1:10" x14ac:dyDescent="0.3">
      <c r="A3" t="s">
        <v>365</v>
      </c>
      <c r="B3" t="s">
        <v>537</v>
      </c>
      <c r="F3">
        <v>14</v>
      </c>
      <c r="G3">
        <v>416</v>
      </c>
      <c r="H3">
        <v>592</v>
      </c>
      <c r="I3">
        <v>2263</v>
      </c>
    </row>
    <row r="4" spans="1:10" x14ac:dyDescent="0.3">
      <c r="A4" t="s">
        <v>341</v>
      </c>
      <c r="B4" t="s">
        <v>542</v>
      </c>
      <c r="D4">
        <v>3</v>
      </c>
      <c r="E4">
        <v>12</v>
      </c>
      <c r="F4">
        <v>25</v>
      </c>
      <c r="G4">
        <v>86</v>
      </c>
      <c r="H4">
        <v>22</v>
      </c>
      <c r="I4">
        <v>3</v>
      </c>
    </row>
    <row r="5" spans="1:10" x14ac:dyDescent="0.3">
      <c r="A5" t="s">
        <v>364</v>
      </c>
      <c r="B5" t="s">
        <v>542</v>
      </c>
      <c r="C5">
        <v>3</v>
      </c>
      <c r="D5">
        <v>6</v>
      </c>
      <c r="E5">
        <v>24</v>
      </c>
      <c r="F5">
        <v>33</v>
      </c>
      <c r="G5">
        <v>158</v>
      </c>
      <c r="H5">
        <v>40</v>
      </c>
      <c r="I5">
        <v>4</v>
      </c>
      <c r="J5">
        <v>268</v>
      </c>
    </row>
    <row r="6" spans="1:10" x14ac:dyDescent="0.3">
      <c r="A6" t="s">
        <v>365</v>
      </c>
      <c r="B6" t="s">
        <v>542</v>
      </c>
      <c r="D6">
        <v>4</v>
      </c>
      <c r="E6">
        <v>26</v>
      </c>
      <c r="F6">
        <v>31</v>
      </c>
      <c r="G6">
        <v>147</v>
      </c>
      <c r="H6">
        <v>34</v>
      </c>
      <c r="I6">
        <v>7</v>
      </c>
    </row>
    <row r="7" spans="1:10" x14ac:dyDescent="0.3">
      <c r="A7" t="s">
        <v>365</v>
      </c>
      <c r="B7" t="s">
        <v>544</v>
      </c>
      <c r="C7">
        <v>7</v>
      </c>
      <c r="D7">
        <v>11</v>
      </c>
      <c r="E7">
        <v>12</v>
      </c>
      <c r="F7">
        <v>6</v>
      </c>
      <c r="G7">
        <v>11</v>
      </c>
      <c r="H7">
        <v>4</v>
      </c>
      <c r="I7">
        <v>1</v>
      </c>
      <c r="J7">
        <v>52</v>
      </c>
    </row>
    <row r="8" spans="1:10" x14ac:dyDescent="0.3">
      <c r="A8" t="s">
        <v>341</v>
      </c>
      <c r="B8" t="s">
        <v>537</v>
      </c>
      <c r="F8">
        <v>1</v>
      </c>
      <c r="G8">
        <v>343</v>
      </c>
      <c r="H8">
        <v>552</v>
      </c>
      <c r="I8">
        <v>2027</v>
      </c>
    </row>
    <row r="9" spans="1:10" x14ac:dyDescent="0.3">
      <c r="A9" t="s">
        <v>341</v>
      </c>
      <c r="B9" t="s">
        <v>544</v>
      </c>
      <c r="C9">
        <v>4</v>
      </c>
      <c r="D9">
        <v>15</v>
      </c>
      <c r="E9">
        <v>11</v>
      </c>
      <c r="F9">
        <v>9</v>
      </c>
      <c r="G9">
        <v>42</v>
      </c>
      <c r="I9">
        <v>101</v>
      </c>
    </row>
    <row r="10" spans="1:10" x14ac:dyDescent="0.3">
      <c r="A10" t="s">
        <v>342</v>
      </c>
      <c r="B10" t="s">
        <v>544</v>
      </c>
      <c r="C10">
        <v>4</v>
      </c>
      <c r="D10">
        <v>15</v>
      </c>
      <c r="E10">
        <v>13</v>
      </c>
      <c r="F10">
        <v>9</v>
      </c>
      <c r="G10">
        <v>47</v>
      </c>
      <c r="I10">
        <v>55</v>
      </c>
    </row>
    <row r="11" spans="1:10" x14ac:dyDescent="0.3">
      <c r="A11" t="s">
        <v>213</v>
      </c>
      <c r="B11" t="s">
        <v>540</v>
      </c>
      <c r="D11">
        <v>16</v>
      </c>
      <c r="E11">
        <v>49</v>
      </c>
      <c r="F11">
        <v>115</v>
      </c>
      <c r="G11">
        <v>124</v>
      </c>
      <c r="H11">
        <v>54</v>
      </c>
      <c r="I11">
        <v>29</v>
      </c>
      <c r="J11">
        <v>387</v>
      </c>
    </row>
    <row r="12" spans="1:10" x14ac:dyDescent="0.3">
      <c r="A12" t="s">
        <v>213</v>
      </c>
      <c r="B12" t="s">
        <v>544</v>
      </c>
      <c r="C12">
        <v>4</v>
      </c>
      <c r="D12">
        <v>14</v>
      </c>
      <c r="E12">
        <v>17</v>
      </c>
      <c r="F12">
        <v>8</v>
      </c>
      <c r="G12">
        <v>46</v>
      </c>
      <c r="I12">
        <v>60</v>
      </c>
      <c r="J12">
        <v>149</v>
      </c>
    </row>
    <row r="13" spans="1:10" x14ac:dyDescent="0.3">
      <c r="A13" t="s">
        <v>318</v>
      </c>
      <c r="B13" t="s">
        <v>540</v>
      </c>
      <c r="D13">
        <v>16</v>
      </c>
      <c r="E13">
        <v>49</v>
      </c>
      <c r="F13">
        <v>116</v>
      </c>
      <c r="G13">
        <v>114</v>
      </c>
      <c r="H13">
        <v>55</v>
      </c>
      <c r="I13">
        <v>26</v>
      </c>
      <c r="J13">
        <v>376</v>
      </c>
    </row>
    <row r="14" spans="1:10" x14ac:dyDescent="0.3">
      <c r="A14" t="s">
        <v>366</v>
      </c>
      <c r="B14" t="s">
        <v>537</v>
      </c>
      <c r="F14">
        <v>2</v>
      </c>
      <c r="G14">
        <v>305</v>
      </c>
      <c r="H14">
        <v>511</v>
      </c>
      <c r="I14">
        <v>2207</v>
      </c>
    </row>
    <row r="15" spans="1:10" x14ac:dyDescent="0.3">
      <c r="A15" t="s">
        <v>366</v>
      </c>
      <c r="B15" t="s">
        <v>542</v>
      </c>
      <c r="D15">
        <v>3</v>
      </c>
      <c r="E15">
        <v>9</v>
      </c>
      <c r="F15">
        <v>14</v>
      </c>
      <c r="G15">
        <v>46</v>
      </c>
      <c r="H15">
        <v>13</v>
      </c>
    </row>
    <row r="16" spans="1:10" x14ac:dyDescent="0.3">
      <c r="A16" t="s">
        <v>342</v>
      </c>
      <c r="B16" t="s">
        <v>540</v>
      </c>
      <c r="D16">
        <v>16</v>
      </c>
      <c r="E16">
        <v>46</v>
      </c>
      <c r="F16">
        <v>115</v>
      </c>
      <c r="G16">
        <v>110</v>
      </c>
      <c r="H16">
        <v>63</v>
      </c>
      <c r="I16">
        <v>29</v>
      </c>
    </row>
    <row r="17" spans="1:10" x14ac:dyDescent="0.3">
      <c r="A17" t="s">
        <v>213</v>
      </c>
      <c r="B17" t="s">
        <v>537</v>
      </c>
      <c r="G17">
        <v>377</v>
      </c>
      <c r="H17">
        <v>592</v>
      </c>
      <c r="I17">
        <v>1986</v>
      </c>
      <c r="J17">
        <v>2955</v>
      </c>
    </row>
    <row r="18" spans="1:10" x14ac:dyDescent="0.3">
      <c r="A18" t="s">
        <v>320</v>
      </c>
      <c r="B18" t="s">
        <v>540</v>
      </c>
      <c r="D18">
        <v>14</v>
      </c>
      <c r="E18">
        <v>47</v>
      </c>
      <c r="F18">
        <v>119</v>
      </c>
      <c r="G18">
        <v>115</v>
      </c>
      <c r="H18">
        <v>56</v>
      </c>
      <c r="I18">
        <v>27</v>
      </c>
      <c r="J18">
        <v>378</v>
      </c>
    </row>
    <row r="19" spans="1:10" x14ac:dyDescent="0.3">
      <c r="A19" t="s">
        <v>320</v>
      </c>
      <c r="B19" t="s">
        <v>542</v>
      </c>
      <c r="D19">
        <v>5</v>
      </c>
      <c r="E19">
        <v>9</v>
      </c>
      <c r="F19">
        <v>19</v>
      </c>
      <c r="G19">
        <v>91</v>
      </c>
      <c r="H19">
        <v>32</v>
      </c>
      <c r="I19">
        <v>65</v>
      </c>
      <c r="J19">
        <v>221</v>
      </c>
    </row>
    <row r="20" spans="1:10" x14ac:dyDescent="0.3">
      <c r="A20" t="s">
        <v>325</v>
      </c>
      <c r="B20" t="s">
        <v>542</v>
      </c>
      <c r="D20">
        <v>5</v>
      </c>
      <c r="E20">
        <v>11</v>
      </c>
      <c r="F20">
        <v>21</v>
      </c>
      <c r="G20">
        <v>90</v>
      </c>
      <c r="H20">
        <v>26</v>
      </c>
      <c r="I20">
        <v>103</v>
      </c>
      <c r="J20">
        <v>256</v>
      </c>
    </row>
    <row r="21" spans="1:10" x14ac:dyDescent="0.3">
      <c r="A21" t="s">
        <v>326</v>
      </c>
      <c r="B21" t="s">
        <v>540</v>
      </c>
      <c r="D21">
        <v>15</v>
      </c>
      <c r="E21">
        <v>47</v>
      </c>
      <c r="F21">
        <v>112</v>
      </c>
      <c r="G21">
        <v>93</v>
      </c>
      <c r="H21">
        <v>42</v>
      </c>
      <c r="I21">
        <v>18</v>
      </c>
      <c r="J21">
        <v>327</v>
      </c>
    </row>
    <row r="22" spans="1:10" x14ac:dyDescent="0.3">
      <c r="A22" t="s">
        <v>328</v>
      </c>
      <c r="B22" t="s">
        <v>544</v>
      </c>
      <c r="C22">
        <v>5</v>
      </c>
      <c r="D22">
        <v>12</v>
      </c>
      <c r="E22">
        <v>16</v>
      </c>
      <c r="F22">
        <v>24</v>
      </c>
      <c r="G22">
        <v>31</v>
      </c>
      <c r="H22">
        <v>1</v>
      </c>
      <c r="I22">
        <v>1</v>
      </c>
      <c r="J22">
        <v>90</v>
      </c>
    </row>
    <row r="23" spans="1:10" x14ac:dyDescent="0.3">
      <c r="A23" t="s">
        <v>412</v>
      </c>
      <c r="B23" t="s">
        <v>542</v>
      </c>
      <c r="D23">
        <v>2</v>
      </c>
      <c r="E23">
        <v>8</v>
      </c>
      <c r="F23">
        <v>20</v>
      </c>
      <c r="G23">
        <v>44</v>
      </c>
      <c r="H23">
        <v>15</v>
      </c>
      <c r="I23">
        <v>72</v>
      </c>
      <c r="J23">
        <v>161</v>
      </c>
    </row>
    <row r="24" spans="1:10" x14ac:dyDescent="0.3">
      <c r="A24" t="s">
        <v>213</v>
      </c>
      <c r="B24" t="s">
        <v>542</v>
      </c>
      <c r="D24">
        <v>3</v>
      </c>
      <c r="E24">
        <v>14</v>
      </c>
      <c r="F24">
        <v>24</v>
      </c>
      <c r="G24">
        <v>64</v>
      </c>
      <c r="H24">
        <v>41</v>
      </c>
      <c r="J24">
        <v>146</v>
      </c>
    </row>
    <row r="25" spans="1:10" x14ac:dyDescent="0.3">
      <c r="A25" t="s">
        <v>318</v>
      </c>
      <c r="B25" t="s">
        <v>542</v>
      </c>
      <c r="D25">
        <v>6</v>
      </c>
      <c r="E25">
        <v>9</v>
      </c>
      <c r="F25">
        <v>16</v>
      </c>
      <c r="G25">
        <v>87</v>
      </c>
      <c r="H25">
        <v>36</v>
      </c>
      <c r="I25">
        <v>58</v>
      </c>
      <c r="J25">
        <v>212</v>
      </c>
    </row>
    <row r="26" spans="1:10" x14ac:dyDescent="0.3">
      <c r="A26" t="s">
        <v>320</v>
      </c>
      <c r="B26" t="s">
        <v>537</v>
      </c>
      <c r="G26">
        <v>373</v>
      </c>
      <c r="H26">
        <v>572</v>
      </c>
      <c r="I26">
        <v>1898</v>
      </c>
      <c r="J26">
        <v>2843</v>
      </c>
    </row>
    <row r="27" spans="1:10" x14ac:dyDescent="0.3">
      <c r="A27" t="s">
        <v>328</v>
      </c>
      <c r="B27" t="s">
        <v>540</v>
      </c>
      <c r="D27">
        <v>14</v>
      </c>
      <c r="E27">
        <v>47</v>
      </c>
      <c r="F27">
        <v>112</v>
      </c>
      <c r="G27">
        <v>77</v>
      </c>
      <c r="H27">
        <v>8</v>
      </c>
      <c r="I27">
        <v>21</v>
      </c>
      <c r="J27">
        <v>279</v>
      </c>
    </row>
    <row r="28" spans="1:10" x14ac:dyDescent="0.3">
      <c r="A28" t="s">
        <v>412</v>
      </c>
      <c r="B28" t="s">
        <v>537</v>
      </c>
      <c r="E28">
        <v>2</v>
      </c>
      <c r="F28">
        <v>2</v>
      </c>
      <c r="G28">
        <v>448</v>
      </c>
      <c r="H28">
        <v>579</v>
      </c>
      <c r="I28">
        <v>1779</v>
      </c>
      <c r="J28">
        <v>2810</v>
      </c>
    </row>
    <row r="29" spans="1:10" x14ac:dyDescent="0.3">
      <c r="A29" t="s">
        <v>412</v>
      </c>
      <c r="B29" t="s">
        <v>540</v>
      </c>
      <c r="D29">
        <v>16</v>
      </c>
      <c r="E29">
        <v>47</v>
      </c>
      <c r="F29">
        <v>112</v>
      </c>
      <c r="G29">
        <v>97</v>
      </c>
      <c r="H29">
        <v>46</v>
      </c>
      <c r="I29">
        <v>47</v>
      </c>
      <c r="J29">
        <v>365</v>
      </c>
    </row>
    <row r="30" spans="1:10" x14ac:dyDescent="0.3">
      <c r="A30" t="s">
        <v>365</v>
      </c>
      <c r="B30" t="s">
        <v>540</v>
      </c>
      <c r="D30">
        <v>18</v>
      </c>
      <c r="E30">
        <v>65</v>
      </c>
      <c r="F30">
        <v>79</v>
      </c>
      <c r="G30">
        <v>90</v>
      </c>
      <c r="H30">
        <v>4</v>
      </c>
      <c r="I30">
        <v>14</v>
      </c>
    </row>
    <row r="31" spans="1:10" x14ac:dyDescent="0.3">
      <c r="A31" t="s">
        <v>312</v>
      </c>
      <c r="B31" t="s">
        <v>540</v>
      </c>
      <c r="D31">
        <v>16</v>
      </c>
      <c r="E31">
        <v>50</v>
      </c>
      <c r="F31">
        <v>118</v>
      </c>
      <c r="G31">
        <v>113</v>
      </c>
      <c r="H31">
        <v>58</v>
      </c>
      <c r="I31">
        <v>28</v>
      </c>
      <c r="J31">
        <v>383</v>
      </c>
    </row>
    <row r="32" spans="1:10" x14ac:dyDescent="0.3">
      <c r="A32" t="s">
        <v>312</v>
      </c>
      <c r="B32" t="s">
        <v>542</v>
      </c>
      <c r="D32">
        <v>6</v>
      </c>
      <c r="E32">
        <v>17</v>
      </c>
      <c r="F32">
        <v>29</v>
      </c>
      <c r="G32">
        <v>112</v>
      </c>
      <c r="H32">
        <v>33</v>
      </c>
      <c r="J32">
        <v>197</v>
      </c>
    </row>
    <row r="33" spans="1:10" x14ac:dyDescent="0.3">
      <c r="A33" t="s">
        <v>318</v>
      </c>
      <c r="B33" t="s">
        <v>537</v>
      </c>
      <c r="G33">
        <v>372</v>
      </c>
      <c r="H33">
        <v>596</v>
      </c>
      <c r="I33">
        <v>1935</v>
      </c>
      <c r="J33">
        <v>2903</v>
      </c>
    </row>
    <row r="34" spans="1:10" x14ac:dyDescent="0.3">
      <c r="A34" t="s">
        <v>325</v>
      </c>
      <c r="B34" t="s">
        <v>544</v>
      </c>
      <c r="C34">
        <v>5</v>
      </c>
      <c r="D34">
        <v>12</v>
      </c>
      <c r="E34">
        <v>19</v>
      </c>
      <c r="F34">
        <v>16</v>
      </c>
      <c r="G34">
        <v>16</v>
      </c>
      <c r="H34">
        <v>1</v>
      </c>
      <c r="J34">
        <v>69</v>
      </c>
    </row>
    <row r="35" spans="1:10" x14ac:dyDescent="0.3">
      <c r="A35" t="s">
        <v>326</v>
      </c>
      <c r="B35" t="s">
        <v>537</v>
      </c>
      <c r="G35">
        <v>408</v>
      </c>
      <c r="H35">
        <v>569</v>
      </c>
      <c r="I35">
        <v>1893</v>
      </c>
      <c r="J35">
        <v>2870</v>
      </c>
    </row>
    <row r="36" spans="1:10" x14ac:dyDescent="0.3">
      <c r="A36" t="s">
        <v>326</v>
      </c>
      <c r="B36" t="s">
        <v>544</v>
      </c>
      <c r="C36">
        <v>5</v>
      </c>
      <c r="D36">
        <v>11</v>
      </c>
      <c r="E36">
        <v>16</v>
      </c>
      <c r="F36">
        <v>24</v>
      </c>
      <c r="G36">
        <v>27</v>
      </c>
      <c r="H36">
        <v>1</v>
      </c>
      <c r="J36">
        <v>84</v>
      </c>
    </row>
    <row r="37" spans="1:10" x14ac:dyDescent="0.3">
      <c r="A37" t="s">
        <v>328</v>
      </c>
      <c r="B37" t="s">
        <v>537</v>
      </c>
      <c r="G37">
        <v>396</v>
      </c>
      <c r="H37">
        <v>551</v>
      </c>
      <c r="I37">
        <v>1845</v>
      </c>
      <c r="J37">
        <v>2792</v>
      </c>
    </row>
    <row r="38" spans="1:10" x14ac:dyDescent="0.3">
      <c r="A38" t="s">
        <v>328</v>
      </c>
      <c r="B38" t="s">
        <v>542</v>
      </c>
      <c r="D38">
        <v>4</v>
      </c>
      <c r="E38">
        <v>9</v>
      </c>
      <c r="F38">
        <v>24</v>
      </c>
      <c r="G38">
        <v>101</v>
      </c>
      <c r="H38">
        <v>62</v>
      </c>
      <c r="I38">
        <v>69</v>
      </c>
      <c r="J38">
        <v>269</v>
      </c>
    </row>
    <row r="39" spans="1:10" x14ac:dyDescent="0.3">
      <c r="A39" t="s">
        <v>364</v>
      </c>
      <c r="B39" t="s">
        <v>537</v>
      </c>
      <c r="F39">
        <v>13</v>
      </c>
      <c r="G39">
        <v>416</v>
      </c>
      <c r="H39">
        <v>608</v>
      </c>
      <c r="I39">
        <v>2355</v>
      </c>
    </row>
    <row r="40" spans="1:10" x14ac:dyDescent="0.3">
      <c r="A40" t="s">
        <v>366</v>
      </c>
      <c r="B40" t="s">
        <v>540</v>
      </c>
      <c r="D40">
        <v>14</v>
      </c>
      <c r="E40">
        <v>62</v>
      </c>
      <c r="F40">
        <v>91</v>
      </c>
      <c r="G40">
        <v>133</v>
      </c>
      <c r="H40">
        <v>50</v>
      </c>
      <c r="I40">
        <v>35</v>
      </c>
    </row>
    <row r="41" spans="1:10" x14ac:dyDescent="0.3">
      <c r="A41" t="s">
        <v>320</v>
      </c>
      <c r="B41" t="s">
        <v>544</v>
      </c>
      <c r="C41">
        <v>5</v>
      </c>
      <c r="D41">
        <v>16</v>
      </c>
      <c r="E41">
        <v>20</v>
      </c>
      <c r="F41">
        <v>19</v>
      </c>
      <c r="G41">
        <v>28</v>
      </c>
      <c r="J41">
        <v>88</v>
      </c>
    </row>
    <row r="42" spans="1:10" x14ac:dyDescent="0.3">
      <c r="A42" t="s">
        <v>325</v>
      </c>
      <c r="B42" t="s">
        <v>537</v>
      </c>
      <c r="G42">
        <v>403</v>
      </c>
      <c r="H42">
        <v>585</v>
      </c>
      <c r="I42">
        <v>1849</v>
      </c>
      <c r="J42">
        <v>2837</v>
      </c>
    </row>
    <row r="43" spans="1:10" x14ac:dyDescent="0.3">
      <c r="A43" t="s">
        <v>312</v>
      </c>
      <c r="B43" t="s">
        <v>537</v>
      </c>
      <c r="G43">
        <v>376</v>
      </c>
      <c r="H43">
        <v>597</v>
      </c>
      <c r="I43">
        <v>1993</v>
      </c>
      <c r="J43">
        <v>2966</v>
      </c>
    </row>
    <row r="44" spans="1:10" x14ac:dyDescent="0.3">
      <c r="A44" t="s">
        <v>312</v>
      </c>
      <c r="B44" t="s">
        <v>544</v>
      </c>
      <c r="C44">
        <v>6</v>
      </c>
      <c r="D44">
        <v>9</v>
      </c>
      <c r="E44">
        <v>13</v>
      </c>
      <c r="F44">
        <v>6</v>
      </c>
      <c r="G44">
        <v>7</v>
      </c>
      <c r="I44">
        <v>49</v>
      </c>
      <c r="J44">
        <v>90</v>
      </c>
    </row>
    <row r="45" spans="1:10" x14ac:dyDescent="0.3">
      <c r="A45" t="s">
        <v>325</v>
      </c>
      <c r="B45" t="s">
        <v>540</v>
      </c>
      <c r="D45">
        <v>14</v>
      </c>
      <c r="E45">
        <v>48</v>
      </c>
      <c r="F45">
        <v>111</v>
      </c>
      <c r="G45">
        <v>92</v>
      </c>
      <c r="H45">
        <v>43</v>
      </c>
      <c r="I45">
        <v>20</v>
      </c>
      <c r="J45">
        <v>328</v>
      </c>
    </row>
    <row r="46" spans="1:10" x14ac:dyDescent="0.3">
      <c r="A46" t="s">
        <v>326</v>
      </c>
      <c r="B46" t="s">
        <v>542</v>
      </c>
      <c r="D46">
        <v>5</v>
      </c>
      <c r="E46">
        <v>8</v>
      </c>
      <c r="F46">
        <v>20</v>
      </c>
      <c r="G46">
        <v>79</v>
      </c>
      <c r="H46">
        <v>28</v>
      </c>
      <c r="I46">
        <v>1</v>
      </c>
      <c r="J46">
        <v>141</v>
      </c>
    </row>
    <row r="47" spans="1:10" x14ac:dyDescent="0.3">
      <c r="A47" t="s">
        <v>364</v>
      </c>
      <c r="B47" t="s">
        <v>544</v>
      </c>
      <c r="C47">
        <v>6</v>
      </c>
      <c r="D47">
        <v>5</v>
      </c>
      <c r="E47">
        <v>22</v>
      </c>
      <c r="F47">
        <v>5</v>
      </c>
      <c r="G47">
        <v>11</v>
      </c>
      <c r="H47">
        <v>7</v>
      </c>
    </row>
    <row r="48" spans="1:10" x14ac:dyDescent="0.3">
      <c r="A48" t="s">
        <v>366</v>
      </c>
      <c r="B48" t="s">
        <v>544</v>
      </c>
      <c r="C48">
        <v>4</v>
      </c>
      <c r="D48">
        <v>18</v>
      </c>
      <c r="E48">
        <v>19</v>
      </c>
      <c r="F48">
        <v>19</v>
      </c>
      <c r="G48">
        <v>93</v>
      </c>
      <c r="H48">
        <v>26</v>
      </c>
      <c r="I48">
        <v>16</v>
      </c>
      <c r="J48">
        <v>195</v>
      </c>
    </row>
    <row r="49" spans="1:10" x14ac:dyDescent="0.3">
      <c r="A49" t="s">
        <v>341</v>
      </c>
      <c r="B49" t="s">
        <v>540</v>
      </c>
      <c r="D49">
        <v>16</v>
      </c>
      <c r="E49">
        <v>47</v>
      </c>
      <c r="F49">
        <v>116</v>
      </c>
      <c r="G49">
        <v>119</v>
      </c>
      <c r="H49">
        <v>61</v>
      </c>
      <c r="I49">
        <v>30</v>
      </c>
    </row>
    <row r="50" spans="1:10" x14ac:dyDescent="0.3">
      <c r="A50" t="s">
        <v>342</v>
      </c>
      <c r="B50" t="s">
        <v>537</v>
      </c>
      <c r="G50">
        <v>375</v>
      </c>
      <c r="H50">
        <v>588</v>
      </c>
      <c r="I50">
        <v>1905</v>
      </c>
    </row>
    <row r="51" spans="1:10" x14ac:dyDescent="0.3">
      <c r="A51" t="s">
        <v>342</v>
      </c>
      <c r="B51" t="s">
        <v>542</v>
      </c>
      <c r="D51">
        <v>3</v>
      </c>
      <c r="E51">
        <v>15</v>
      </c>
      <c r="F51">
        <v>29</v>
      </c>
      <c r="G51">
        <v>71</v>
      </c>
      <c r="H51">
        <v>38</v>
      </c>
    </row>
    <row r="52" spans="1:10" x14ac:dyDescent="0.3">
      <c r="A52" t="s">
        <v>318</v>
      </c>
      <c r="B52" t="s">
        <v>544</v>
      </c>
      <c r="C52">
        <v>5</v>
      </c>
      <c r="D52">
        <v>13</v>
      </c>
      <c r="E52">
        <v>21</v>
      </c>
      <c r="F52">
        <v>20</v>
      </c>
      <c r="G52">
        <v>30</v>
      </c>
      <c r="I52">
        <v>1</v>
      </c>
      <c r="J52">
        <v>90</v>
      </c>
    </row>
    <row r="53" spans="1:10" x14ac:dyDescent="0.3">
      <c r="A53" t="s">
        <v>412</v>
      </c>
      <c r="B53" t="s">
        <v>544</v>
      </c>
      <c r="C53">
        <v>5</v>
      </c>
      <c r="D53">
        <v>9</v>
      </c>
      <c r="E53">
        <v>15</v>
      </c>
      <c r="F53">
        <v>26</v>
      </c>
      <c r="G53">
        <v>36</v>
      </c>
      <c r="H53">
        <v>1</v>
      </c>
      <c r="I53">
        <v>1</v>
      </c>
      <c r="J53">
        <v>93</v>
      </c>
    </row>
  </sheetData>
  <pageMargins left="0.7" right="0.7" top="0.75" bottom="0.75" header="0.3" footer="0.3"/>
  <tableParts count="1">
    <tablePart r:id="rId1"/>
  </tableParts>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tabColor theme="9" tint="0.39997558519241921"/>
  </sheetPr>
  <dimension ref="A1:J18"/>
  <sheetViews>
    <sheetView showGridLines="0" workbookViewId="0">
      <pane ySplit="2" topLeftCell="A3" activePane="bottomLeft" state="frozen"/>
      <selection pane="bottomLeft" sqref="A1:H1"/>
    </sheetView>
  </sheetViews>
  <sheetFormatPr defaultRowHeight="14.4" x14ac:dyDescent="0.3"/>
  <cols>
    <col min="1" max="1" width="25" bestFit="1" customWidth="1"/>
    <col min="2" max="8" width="12" customWidth="1"/>
    <col min="9" max="9" width="16" customWidth="1"/>
    <col min="10" max="10" width="11.6640625" bestFit="1" customWidth="1"/>
  </cols>
  <sheetData>
    <row r="1" spans="1:10" ht="15.6" x14ac:dyDescent="0.3">
      <c r="A1" s="1030" t="s">
        <v>515</v>
      </c>
      <c r="B1" s="1030"/>
      <c r="C1" s="1030"/>
      <c r="D1" s="1030"/>
      <c r="E1" s="1030"/>
      <c r="F1" s="1030"/>
      <c r="G1" s="1030"/>
      <c r="H1" s="1030"/>
      <c r="I1" s="29"/>
      <c r="J1" s="30"/>
    </row>
    <row r="2" spans="1:10" ht="17.399999999999999" x14ac:dyDescent="0.3">
      <c r="A2" s="498" t="s">
        <v>202</v>
      </c>
      <c r="B2" s="1"/>
      <c r="C2" s="1"/>
      <c r="D2" s="1"/>
      <c r="E2" s="1"/>
      <c r="F2" s="1"/>
      <c r="G2" s="1"/>
      <c r="H2" s="1"/>
      <c r="I2" s="29"/>
      <c r="J2" s="30"/>
    </row>
    <row r="3" spans="1:10" ht="17.399999999999999" x14ac:dyDescent="0.3">
      <c r="A3" s="1"/>
      <c r="B3" s="1"/>
      <c r="C3" s="1"/>
      <c r="D3" s="1"/>
      <c r="E3" s="1"/>
      <c r="F3" s="1"/>
      <c r="G3" s="1"/>
      <c r="H3" s="1"/>
      <c r="I3" s="29"/>
      <c r="J3" s="30"/>
    </row>
    <row r="4" spans="1:10" ht="30" customHeight="1" x14ac:dyDescent="0.3">
      <c r="A4" s="1041" t="s">
        <v>1303</v>
      </c>
      <c r="B4" s="1041"/>
      <c r="C4" s="1041"/>
      <c r="D4" s="1041"/>
      <c r="E4" s="1041"/>
      <c r="F4" s="1041"/>
      <c r="G4" s="1041"/>
      <c r="H4" s="1041"/>
      <c r="I4" s="1041"/>
      <c r="J4" s="1041"/>
    </row>
    <row r="5" spans="1:10" ht="15" customHeight="1" x14ac:dyDescent="0.3">
      <c r="A5" t="s">
        <v>203</v>
      </c>
      <c r="B5" t="s">
        <v>73</v>
      </c>
      <c r="C5" s="231"/>
      <c r="D5" s="231"/>
      <c r="E5" s="231"/>
      <c r="F5" s="231"/>
      <c r="G5" s="231"/>
      <c r="H5" s="231"/>
      <c r="I5" s="231"/>
      <c r="J5" s="231"/>
    </row>
    <row r="6" spans="1:10" ht="15" customHeight="1" x14ac:dyDescent="0.3">
      <c r="A6" t="s">
        <v>204</v>
      </c>
      <c r="B6" t="s">
        <v>205</v>
      </c>
      <c r="C6" s="231"/>
      <c r="D6" s="231"/>
      <c r="E6" s="231"/>
      <c r="F6" s="231"/>
      <c r="G6" s="231"/>
      <c r="H6" s="231"/>
      <c r="I6" s="231"/>
      <c r="J6" s="231"/>
    </row>
    <row r="7" spans="1:10" ht="15" customHeight="1" x14ac:dyDescent="0.3">
      <c r="A7" t="s">
        <v>206</v>
      </c>
      <c r="B7" t="s">
        <v>207</v>
      </c>
      <c r="C7" s="231"/>
      <c r="D7" s="231"/>
      <c r="E7" s="231"/>
      <c r="F7" s="231"/>
      <c r="H7" s="231"/>
      <c r="I7" s="231"/>
      <c r="J7" s="231"/>
    </row>
    <row r="8" spans="1:10" ht="19.5" customHeight="1" x14ac:dyDescent="0.3">
      <c r="A8" s="231"/>
      <c r="B8" s="26"/>
      <c r="C8" s="26"/>
      <c r="D8" s="26"/>
      <c r="E8" s="26"/>
      <c r="F8" s="26"/>
      <c r="G8" s="26"/>
      <c r="H8" s="3"/>
      <c r="I8" s="234" t="s">
        <v>346</v>
      </c>
      <c r="J8" s="234" t="s">
        <v>94</v>
      </c>
    </row>
    <row r="9" spans="1:10" ht="40.200000000000003" x14ac:dyDescent="0.3">
      <c r="A9" s="12" t="s">
        <v>550</v>
      </c>
      <c r="B9" s="3" t="s">
        <v>638</v>
      </c>
      <c r="C9" s="3" t="s">
        <v>639</v>
      </c>
      <c r="D9" s="3" t="s">
        <v>640</v>
      </c>
      <c r="E9" s="3" t="s">
        <v>641</v>
      </c>
      <c r="F9" s="3" t="s">
        <v>642</v>
      </c>
      <c r="G9" s="3" t="s">
        <v>643</v>
      </c>
      <c r="H9" s="3" t="s">
        <v>627</v>
      </c>
      <c r="I9" s="31" t="s">
        <v>664</v>
      </c>
      <c r="J9" s="235" t="s">
        <v>665</v>
      </c>
    </row>
    <row r="10" spans="1:10" ht="18.75" customHeight="1" x14ac:dyDescent="0.3">
      <c r="A10" s="32" t="s">
        <v>611</v>
      </c>
      <c r="B10" s="51">
        <f>GETPIVOTDATA("Sum of Brigade Manager",roleareapivot!$A$3,"ReportingLevel","1:LA")</f>
        <v>0</v>
      </c>
      <c r="C10" s="51">
        <f>GETPIVOTDATA("Sum of Area Manager",roleareapivot!$A$3,"ReportingLevel","1:LA")</f>
        <v>0</v>
      </c>
      <c r="D10" s="51">
        <f>GETPIVOTDATA("Sum of Group Manager",roleareapivot!$A$3,"ReportingLevel","1:LA")</f>
        <v>2</v>
      </c>
      <c r="E10" s="51">
        <f>GETPIVOTDATA("Sum of Station Manager",roleareapivot!$A$3,"ReportingLevel","1:LA")</f>
        <v>2</v>
      </c>
      <c r="F10" s="51">
        <f>GETPIVOTDATA("Sum of Watch Manager",roleareapivot!$A$3,"ReportingLevel","1:LA")</f>
        <v>448</v>
      </c>
      <c r="G10" s="51">
        <f>GETPIVOTDATA("Sum of Crew Manager",roleareapivot!$A$3,"ReportingLevel","1:LA")</f>
        <v>579</v>
      </c>
      <c r="H10" s="51">
        <f>GETPIVOTDATA("Sum of Firefighter",roleareapivot!$A$3,"ReportingLevel","1:LA")</f>
        <v>1779</v>
      </c>
      <c r="I10" s="279">
        <f>SUM(B10:H10)</f>
        <v>2810</v>
      </c>
      <c r="J10" s="287">
        <f>I10/$I$14</f>
        <v>0.81948089822105574</v>
      </c>
    </row>
    <row r="11" spans="1:10" x14ac:dyDescent="0.3">
      <c r="A11" s="12" t="s">
        <v>612</v>
      </c>
      <c r="B11" s="51">
        <f>GETPIVOTDATA("Sum of Brigade Manager",roleareapivot!$A$3,"ReportingLevel","2:LSO")</f>
        <v>0</v>
      </c>
      <c r="C11" s="51">
        <f>GETPIVOTDATA("Sum of Area Manager",roleareapivot!$A$3,"ReportingLevel","2:LSO")</f>
        <v>16</v>
      </c>
      <c r="D11" s="51">
        <f>GETPIVOTDATA("Sum of Group Manager",roleareapivot!$A$3,"ReportingLevel","2:LSO")</f>
        <v>47</v>
      </c>
      <c r="E11" s="51">
        <f>GETPIVOTDATA("Sum of Station Manager",roleareapivot!$A$3,"ReportingLevel","2:LSO")</f>
        <v>112</v>
      </c>
      <c r="F11" s="51">
        <f>GETPIVOTDATA("Sum of Watch Manager",roleareapivot!$A$3,"ReportingLevel","2:LSO")</f>
        <v>97</v>
      </c>
      <c r="G11" s="51">
        <f>GETPIVOTDATA("Sum of Crew Manager",roleareapivot!$A$3,"ReportingLevel","2:LSO")</f>
        <v>46</v>
      </c>
      <c r="H11" s="51">
        <f>GETPIVOTDATA("Sum of Firefighter",roleareapivot!$A$3,"ReportingLevel","2:LSO")</f>
        <v>47</v>
      </c>
      <c r="I11" s="279">
        <f>SUM(B11:H11)</f>
        <v>365</v>
      </c>
      <c r="J11" s="288">
        <f>I11/$I$14</f>
        <v>0.10644502770487023</v>
      </c>
    </row>
    <row r="12" spans="1:10" x14ac:dyDescent="0.3">
      <c r="A12" s="12" t="s">
        <v>212</v>
      </c>
      <c r="B12" s="51">
        <f>GETPIVOTDATA("Sum of Brigade Manager",roleareapivot!$A$3,"ReportingLevel","3:SDA")</f>
        <v>0</v>
      </c>
      <c r="C12" s="51">
        <f>GETPIVOTDATA("Sum of Area Manager",roleareapivot!$A$3,"ReportingLevel","3:SDA")</f>
        <v>2</v>
      </c>
      <c r="D12" s="51">
        <f>GETPIVOTDATA("Sum of Group Manager",roleareapivot!$A$3,"ReportingLevel","3:SDA")</f>
        <v>8</v>
      </c>
      <c r="E12" s="51">
        <f>GETPIVOTDATA("Sum of Station Manager",roleareapivot!$A$3,"ReportingLevel","3:SDA")</f>
        <v>20</v>
      </c>
      <c r="F12" s="51">
        <f>GETPIVOTDATA("Sum of Watch Manager",roleareapivot!$A$3,"ReportingLevel","3:SDA")</f>
        <v>44</v>
      </c>
      <c r="G12" s="51">
        <f>GETPIVOTDATA("Sum of Crew Manager",roleareapivot!$A$3,"ReportingLevel","3:SDA")</f>
        <v>15</v>
      </c>
      <c r="H12" s="51">
        <f>GETPIVOTDATA("Sum of Firefighter",roleareapivot!$A$3,"ReportingLevel","3:SDA")</f>
        <v>72</v>
      </c>
      <c r="I12" s="279">
        <f>SUM(B12:H12)</f>
        <v>161</v>
      </c>
      <c r="J12" s="288">
        <f>I12/$I$14</f>
        <v>4.6952464275298922E-2</v>
      </c>
    </row>
    <row r="13" spans="1:10" x14ac:dyDescent="0.3">
      <c r="A13" s="12" t="s">
        <v>613</v>
      </c>
      <c r="B13" s="51">
        <f>GETPIVOTDATA("Sum of Brigade Manager",roleareapivot!$A$3,"ReportingLevel","4:National")</f>
        <v>5</v>
      </c>
      <c r="C13" s="51">
        <f>GETPIVOTDATA("Sum of Area Manager",roleareapivot!$A$3,"ReportingLevel","4:National")</f>
        <v>9</v>
      </c>
      <c r="D13" s="51">
        <f>GETPIVOTDATA("Sum of Group Manager",roleareapivot!$A$3,"ReportingLevel","4:National")</f>
        <v>15</v>
      </c>
      <c r="E13" s="51">
        <f>GETPIVOTDATA("Sum of Station Manager",roleareapivot!$A$3,"ReportingLevel","4:National")</f>
        <v>26</v>
      </c>
      <c r="F13" s="51">
        <f>GETPIVOTDATA("Sum of Watch Manager",roleareapivot!$A$3,"ReportingLevel","4:National")</f>
        <v>36</v>
      </c>
      <c r="G13" s="51">
        <f>GETPIVOTDATA("Sum of Crew Manager",roleareapivot!$A$3,"ReportingLevel","4:National")</f>
        <v>1</v>
      </c>
      <c r="H13" s="51">
        <f>GETPIVOTDATA("Sum of Firefighter",roleareapivot!$A$3,"ReportingLevel","4:National")</f>
        <v>1</v>
      </c>
      <c r="I13" s="279">
        <f>SUM(B13:H13)</f>
        <v>93</v>
      </c>
      <c r="J13" s="288">
        <f>I13/$I$14</f>
        <v>2.7121609798775152E-2</v>
      </c>
    </row>
    <row r="14" spans="1:10" ht="23.25" customHeight="1" thickBot="1" x14ac:dyDescent="0.35">
      <c r="A14" s="33" t="s">
        <v>348</v>
      </c>
      <c r="B14" s="283">
        <f t="shared" ref="B14:H14" si="0">SUM(B10:B13)</f>
        <v>5</v>
      </c>
      <c r="C14" s="283">
        <f t="shared" si="0"/>
        <v>27</v>
      </c>
      <c r="D14" s="283">
        <f t="shared" si="0"/>
        <v>72</v>
      </c>
      <c r="E14" s="283">
        <f t="shared" si="0"/>
        <v>160</v>
      </c>
      <c r="F14" s="283">
        <f>SUM(F10:F13)</f>
        <v>625</v>
      </c>
      <c r="G14" s="283">
        <f t="shared" si="0"/>
        <v>641</v>
      </c>
      <c r="H14" s="283">
        <f t="shared" si="0"/>
        <v>1899</v>
      </c>
      <c r="I14" s="283">
        <f>SUM(I10:I13)</f>
        <v>3429</v>
      </c>
      <c r="J14" s="291">
        <f>I14/I14</f>
        <v>1</v>
      </c>
    </row>
    <row r="16" spans="1:10" x14ac:dyDescent="0.3">
      <c r="A16" s="336" t="s">
        <v>329</v>
      </c>
      <c r="B16" s="338"/>
      <c r="C16" s="338"/>
      <c r="D16" s="338"/>
      <c r="E16" s="338"/>
      <c r="F16" s="338"/>
      <c r="G16" s="338"/>
      <c r="H16" s="338"/>
      <c r="I16" s="338"/>
    </row>
    <row r="17" spans="1:9" ht="46.5" customHeight="1" x14ac:dyDescent="0.3">
      <c r="A17" s="1040" t="s">
        <v>654</v>
      </c>
      <c r="B17" s="1040"/>
      <c r="C17" s="1040"/>
      <c r="D17" s="1040"/>
      <c r="E17" s="1040"/>
      <c r="F17" s="1040"/>
      <c r="G17" s="1040"/>
      <c r="H17" s="1040"/>
      <c r="I17" s="1040"/>
    </row>
    <row r="18" spans="1:9" ht="31.5" customHeight="1" x14ac:dyDescent="0.3">
      <c r="A18" s="1048" t="s">
        <v>666</v>
      </c>
      <c r="B18" s="1048"/>
      <c r="C18" s="1048"/>
      <c r="D18" s="1048"/>
      <c r="E18" s="1048"/>
      <c r="F18" s="1048"/>
      <c r="G18" s="1048"/>
      <c r="H18" s="1048"/>
      <c r="I18" s="1048"/>
    </row>
  </sheetData>
  <sheetProtection algorithmName="SHA-512" hashValue="3q/tySyeD0M8gq6bcSQ/pDDAJpmtmkeZCG4OoI+byBeWKgWZxv8XTvbjKpQLP4CW/4LZzTycfCvIYYoaO+tE2g==" saltValue="vRBDCleZscCj+M/1pUoiNg==" spinCount="100000" sheet="1" scenarios="1" formatCells="0" sort="0" autoFilter="0" pivotTables="0"/>
  <mergeCells count="4">
    <mergeCell ref="A4:J4"/>
    <mergeCell ref="A1:H1"/>
    <mergeCell ref="A18:I18"/>
    <mergeCell ref="A17:I17"/>
  </mergeCells>
  <hyperlinks>
    <hyperlink ref="A2" location="'Table of Contents'!A1" display="Back to Table of Contents" xr:uid="{00000000-0004-0000-3100-000000000000}"/>
  </hyperlinks>
  <pageMargins left="0.7" right="0.7" top="0.75" bottom="0.75" header="0.3" footer="0.3"/>
  <drawing r:id="rId1"/>
  <extLst>
    <ext xmlns:x14="http://schemas.microsoft.com/office/spreadsheetml/2009/9/main" uri="{A8765BA9-456A-4dab-B4F3-ACF838C121DE}">
      <x14:slicerList>
        <x14:slicer r:id="rId2"/>
      </x14:slicerList>
    </ext>
  </extLst>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tabColor theme="9" tint="0.39997558519241921"/>
  </sheetPr>
  <dimension ref="A1:H61"/>
  <sheetViews>
    <sheetView topLeftCell="A10" zoomScale="70" zoomScaleNormal="70" workbookViewId="0">
      <selection activeCell="B32" sqref="B32"/>
    </sheetView>
  </sheetViews>
  <sheetFormatPr defaultRowHeight="14.4" x14ac:dyDescent="0.3"/>
  <cols>
    <col min="1" max="1" width="63.21875" bestFit="1" customWidth="1"/>
    <col min="2" max="2" width="29.109375" bestFit="1" customWidth="1"/>
    <col min="3" max="3" width="25.5546875" bestFit="1" customWidth="1"/>
    <col min="4" max="4" width="27.33203125" bestFit="1" customWidth="1"/>
    <col min="5" max="5" width="28.44140625" bestFit="1" customWidth="1"/>
    <col min="6" max="6" width="27.44140625" bestFit="1" customWidth="1"/>
    <col min="7" max="7" width="26" bestFit="1" customWidth="1"/>
    <col min="8" max="8" width="21.5546875" bestFit="1" customWidth="1"/>
    <col min="9" max="51" width="9.6640625" bestFit="1" customWidth="1"/>
    <col min="52" max="52" width="19.109375" bestFit="1" customWidth="1"/>
    <col min="53" max="101" width="9.6640625" bestFit="1" customWidth="1"/>
    <col min="102" max="102" width="20.44140625" bestFit="1" customWidth="1"/>
    <col min="103" max="151" width="9.6640625" bestFit="1" customWidth="1"/>
    <col min="152" max="152" width="21.33203125" bestFit="1" customWidth="1"/>
    <col min="153" max="201" width="9.6640625" bestFit="1" customWidth="1"/>
    <col min="202" max="202" width="20.5546875" bestFit="1" customWidth="1"/>
    <col min="203" max="251" width="9.6640625" bestFit="1" customWidth="1"/>
    <col min="252" max="252" width="19.44140625" bestFit="1" customWidth="1"/>
    <col min="253" max="301" width="9.6640625" bestFit="1" customWidth="1"/>
    <col min="302" max="302" width="15.88671875" bestFit="1" customWidth="1"/>
    <col min="303" max="351" width="9.6640625" bestFit="1" customWidth="1"/>
    <col min="352" max="352" width="26.44140625" bestFit="1" customWidth="1"/>
    <col min="353" max="353" width="23.88671875" bestFit="1" customWidth="1"/>
    <col min="354" max="354" width="25.44140625" bestFit="1" customWidth="1"/>
    <col min="355" max="355" width="26.109375" bestFit="1" customWidth="1"/>
    <col min="356" max="356" width="25.5546875" bestFit="1" customWidth="1"/>
    <col min="357" max="357" width="24.33203125" bestFit="1" customWidth="1"/>
    <col min="358" max="358" width="20.5546875" bestFit="1" customWidth="1"/>
  </cols>
  <sheetData>
    <row r="1" spans="1:8" x14ac:dyDescent="0.3">
      <c r="A1" s="386" t="s">
        <v>208</v>
      </c>
      <c r="B1" t="s">
        <v>412</v>
      </c>
    </row>
    <row r="3" spans="1:8" x14ac:dyDescent="0.3">
      <c r="A3" s="386" t="s">
        <v>350</v>
      </c>
      <c r="B3" t="s">
        <v>630</v>
      </c>
      <c r="C3" t="s">
        <v>631</v>
      </c>
      <c r="D3" t="s">
        <v>632</v>
      </c>
      <c r="E3" t="s">
        <v>633</v>
      </c>
      <c r="F3" t="s">
        <v>634</v>
      </c>
      <c r="G3" t="s">
        <v>635</v>
      </c>
      <c r="H3" t="s">
        <v>636</v>
      </c>
    </row>
    <row r="4" spans="1:8" x14ac:dyDescent="0.3">
      <c r="A4" s="387" t="s">
        <v>537</v>
      </c>
    </row>
    <row r="5" spans="1:8" x14ac:dyDescent="0.3">
      <c r="A5" s="388" t="s">
        <v>215</v>
      </c>
      <c r="B5">
        <v>0</v>
      </c>
      <c r="C5">
        <v>0</v>
      </c>
      <c r="D5">
        <v>0</v>
      </c>
      <c r="E5">
        <v>0</v>
      </c>
      <c r="F5">
        <v>15</v>
      </c>
      <c r="G5">
        <v>25</v>
      </c>
      <c r="H5">
        <v>69</v>
      </c>
    </row>
    <row r="6" spans="1:8" x14ac:dyDescent="0.3">
      <c r="A6" s="388" t="s">
        <v>220</v>
      </c>
      <c r="B6">
        <v>0</v>
      </c>
      <c r="C6">
        <v>0</v>
      </c>
      <c r="D6">
        <v>0</v>
      </c>
      <c r="E6">
        <v>0</v>
      </c>
      <c r="F6">
        <v>15</v>
      </c>
      <c r="G6">
        <v>11</v>
      </c>
      <c r="H6">
        <v>16</v>
      </c>
    </row>
    <row r="7" spans="1:8" x14ac:dyDescent="0.3">
      <c r="A7" s="388" t="s">
        <v>224</v>
      </c>
      <c r="B7">
        <v>0</v>
      </c>
      <c r="C7">
        <v>0</v>
      </c>
      <c r="D7">
        <v>0</v>
      </c>
      <c r="E7">
        <v>1</v>
      </c>
      <c r="F7">
        <v>5</v>
      </c>
      <c r="G7">
        <v>5</v>
      </c>
      <c r="H7">
        <v>15</v>
      </c>
    </row>
    <row r="8" spans="1:8" x14ac:dyDescent="0.3">
      <c r="A8" s="388" t="s">
        <v>228</v>
      </c>
      <c r="B8">
        <v>0</v>
      </c>
      <c r="C8">
        <v>0</v>
      </c>
      <c r="D8">
        <v>0</v>
      </c>
      <c r="E8">
        <v>0</v>
      </c>
      <c r="F8">
        <v>11</v>
      </c>
      <c r="G8">
        <v>10</v>
      </c>
      <c r="H8">
        <v>31</v>
      </c>
    </row>
    <row r="9" spans="1:8" x14ac:dyDescent="0.3">
      <c r="A9" s="388" t="s">
        <v>234</v>
      </c>
      <c r="B9">
        <v>0</v>
      </c>
      <c r="C9">
        <v>0</v>
      </c>
      <c r="D9">
        <v>0</v>
      </c>
      <c r="E9">
        <v>0</v>
      </c>
      <c r="F9">
        <v>51</v>
      </c>
      <c r="G9">
        <v>60</v>
      </c>
      <c r="H9">
        <v>192</v>
      </c>
    </row>
    <row r="10" spans="1:8" x14ac:dyDescent="0.3">
      <c r="A10" s="388" t="s">
        <v>240</v>
      </c>
      <c r="B10">
        <v>0</v>
      </c>
      <c r="C10">
        <v>0</v>
      </c>
      <c r="D10">
        <v>0</v>
      </c>
      <c r="E10">
        <v>0</v>
      </c>
      <c r="F10">
        <v>5</v>
      </c>
      <c r="G10">
        <v>5</v>
      </c>
      <c r="H10">
        <v>17</v>
      </c>
    </row>
    <row r="11" spans="1:8" x14ac:dyDescent="0.3">
      <c r="A11" s="388" t="s">
        <v>244</v>
      </c>
      <c r="B11">
        <v>0</v>
      </c>
      <c r="C11">
        <v>0</v>
      </c>
      <c r="D11">
        <v>0</v>
      </c>
      <c r="E11">
        <v>0</v>
      </c>
      <c r="F11">
        <v>13</v>
      </c>
      <c r="G11">
        <v>15</v>
      </c>
      <c r="H11">
        <v>36</v>
      </c>
    </row>
    <row r="12" spans="1:8" x14ac:dyDescent="0.3">
      <c r="A12" s="388" t="s">
        <v>247</v>
      </c>
      <c r="B12">
        <v>0</v>
      </c>
      <c r="C12">
        <v>0</v>
      </c>
      <c r="D12">
        <v>1</v>
      </c>
      <c r="E12">
        <v>0</v>
      </c>
      <c r="F12">
        <v>20</v>
      </c>
      <c r="G12">
        <v>31</v>
      </c>
      <c r="H12">
        <v>106</v>
      </c>
    </row>
    <row r="13" spans="1:8" x14ac:dyDescent="0.3">
      <c r="A13" s="388" t="s">
        <v>249</v>
      </c>
      <c r="B13">
        <v>0</v>
      </c>
      <c r="C13">
        <v>0</v>
      </c>
      <c r="D13">
        <v>0</v>
      </c>
      <c r="E13">
        <v>0</v>
      </c>
      <c r="F13">
        <v>5</v>
      </c>
      <c r="G13">
        <v>11</v>
      </c>
      <c r="H13">
        <v>37</v>
      </c>
    </row>
    <row r="14" spans="1:8" x14ac:dyDescent="0.3">
      <c r="A14" s="388" t="s">
        <v>253</v>
      </c>
      <c r="B14">
        <v>0</v>
      </c>
      <c r="C14">
        <v>0</v>
      </c>
      <c r="D14">
        <v>0</v>
      </c>
      <c r="E14">
        <v>0</v>
      </c>
      <c r="F14">
        <v>15</v>
      </c>
      <c r="G14">
        <v>17</v>
      </c>
      <c r="H14">
        <v>49</v>
      </c>
    </row>
    <row r="15" spans="1:8" x14ac:dyDescent="0.3">
      <c r="A15" s="388" t="s">
        <v>255</v>
      </c>
      <c r="B15">
        <v>0</v>
      </c>
      <c r="C15">
        <v>0</v>
      </c>
      <c r="D15">
        <v>0</v>
      </c>
      <c r="E15">
        <v>0</v>
      </c>
      <c r="F15">
        <v>5</v>
      </c>
      <c r="G15">
        <v>5</v>
      </c>
      <c r="H15">
        <v>15</v>
      </c>
    </row>
    <row r="16" spans="1:8" x14ac:dyDescent="0.3">
      <c r="A16" s="388" t="s">
        <v>259</v>
      </c>
      <c r="B16">
        <v>0</v>
      </c>
      <c r="C16">
        <v>0</v>
      </c>
      <c r="D16">
        <v>0</v>
      </c>
      <c r="E16">
        <v>0</v>
      </c>
      <c r="F16">
        <v>10</v>
      </c>
      <c r="G16">
        <v>10</v>
      </c>
      <c r="H16">
        <v>30</v>
      </c>
    </row>
    <row r="17" spans="1:8" x14ac:dyDescent="0.3">
      <c r="A17" s="388" t="s">
        <v>263</v>
      </c>
      <c r="B17">
        <v>0</v>
      </c>
      <c r="C17">
        <v>0</v>
      </c>
      <c r="D17">
        <v>0</v>
      </c>
      <c r="E17">
        <v>0</v>
      </c>
      <c r="F17">
        <v>15</v>
      </c>
      <c r="G17">
        <v>20</v>
      </c>
      <c r="H17">
        <v>49</v>
      </c>
    </row>
    <row r="18" spans="1:8" x14ac:dyDescent="0.3">
      <c r="A18" s="388" t="s">
        <v>267</v>
      </c>
      <c r="B18">
        <v>0</v>
      </c>
      <c r="C18">
        <v>0</v>
      </c>
      <c r="D18">
        <v>0</v>
      </c>
      <c r="E18">
        <v>0</v>
      </c>
      <c r="F18">
        <v>25</v>
      </c>
      <c r="G18">
        <v>42</v>
      </c>
      <c r="H18">
        <v>137</v>
      </c>
    </row>
    <row r="19" spans="1:8" x14ac:dyDescent="0.3">
      <c r="A19" s="388" t="s">
        <v>270</v>
      </c>
      <c r="B19">
        <v>0</v>
      </c>
      <c r="C19">
        <v>0</v>
      </c>
      <c r="D19">
        <v>0</v>
      </c>
      <c r="E19">
        <v>0</v>
      </c>
      <c r="F19">
        <v>67</v>
      </c>
      <c r="G19">
        <v>94</v>
      </c>
      <c r="H19">
        <v>291</v>
      </c>
    </row>
    <row r="20" spans="1:8" x14ac:dyDescent="0.3">
      <c r="A20" s="388" t="s">
        <v>273</v>
      </c>
      <c r="B20">
        <v>0</v>
      </c>
      <c r="C20">
        <v>0</v>
      </c>
      <c r="D20">
        <v>0</v>
      </c>
      <c r="E20">
        <v>0</v>
      </c>
      <c r="F20">
        <v>12</v>
      </c>
      <c r="G20">
        <v>21</v>
      </c>
      <c r="H20">
        <v>50</v>
      </c>
    </row>
    <row r="21" spans="1:8" x14ac:dyDescent="0.3">
      <c r="A21" s="388" t="s">
        <v>277</v>
      </c>
      <c r="B21">
        <v>0</v>
      </c>
      <c r="C21">
        <v>0</v>
      </c>
      <c r="D21">
        <v>0</v>
      </c>
      <c r="E21">
        <v>0</v>
      </c>
      <c r="F21">
        <v>10</v>
      </c>
      <c r="G21">
        <v>15</v>
      </c>
      <c r="H21">
        <v>41</v>
      </c>
    </row>
    <row r="22" spans="1:8" x14ac:dyDescent="0.3">
      <c r="A22" s="388" t="s">
        <v>279</v>
      </c>
      <c r="B22">
        <v>0</v>
      </c>
      <c r="C22">
        <v>0</v>
      </c>
      <c r="D22">
        <v>0</v>
      </c>
      <c r="E22">
        <v>0</v>
      </c>
      <c r="F22">
        <v>7</v>
      </c>
      <c r="G22">
        <v>6</v>
      </c>
      <c r="H22">
        <v>18</v>
      </c>
    </row>
    <row r="23" spans="1:8" x14ac:dyDescent="0.3">
      <c r="A23" s="388" t="s">
        <v>281</v>
      </c>
      <c r="B23">
        <v>0</v>
      </c>
      <c r="C23">
        <v>0</v>
      </c>
      <c r="D23">
        <v>0</v>
      </c>
      <c r="E23">
        <v>0</v>
      </c>
      <c r="F23">
        <v>5</v>
      </c>
      <c r="G23">
        <v>5</v>
      </c>
      <c r="H23">
        <v>19</v>
      </c>
    </row>
    <row r="24" spans="1:8" x14ac:dyDescent="0.3">
      <c r="A24" s="388" t="s">
        <v>283</v>
      </c>
      <c r="B24">
        <v>0</v>
      </c>
      <c r="C24">
        <v>0</v>
      </c>
      <c r="D24">
        <v>0</v>
      </c>
      <c r="E24">
        <v>0</v>
      </c>
      <c r="F24">
        <v>3</v>
      </c>
      <c r="G24">
        <v>0</v>
      </c>
      <c r="H24">
        <v>0</v>
      </c>
    </row>
    <row r="25" spans="1:8" x14ac:dyDescent="0.3">
      <c r="A25" s="388" t="s">
        <v>287</v>
      </c>
      <c r="B25">
        <v>0</v>
      </c>
      <c r="C25">
        <v>0</v>
      </c>
      <c r="D25">
        <v>0</v>
      </c>
      <c r="E25">
        <v>0</v>
      </c>
      <c r="F25">
        <v>16</v>
      </c>
      <c r="G25">
        <v>15</v>
      </c>
      <c r="H25">
        <v>45</v>
      </c>
    </row>
    <row r="26" spans="1:8" x14ac:dyDescent="0.3">
      <c r="A26" s="388" t="s">
        <v>289</v>
      </c>
      <c r="B26">
        <v>0</v>
      </c>
      <c r="C26">
        <v>0</v>
      </c>
      <c r="D26">
        <v>0</v>
      </c>
      <c r="E26">
        <v>0</v>
      </c>
      <c r="F26">
        <v>21</v>
      </c>
      <c r="G26">
        <v>35</v>
      </c>
      <c r="H26">
        <v>114</v>
      </c>
    </row>
    <row r="27" spans="1:8" x14ac:dyDescent="0.3">
      <c r="A27" s="388" t="s">
        <v>292</v>
      </c>
      <c r="B27">
        <v>0</v>
      </c>
      <c r="C27">
        <v>0</v>
      </c>
      <c r="D27">
        <v>0</v>
      </c>
      <c r="E27">
        <v>0</v>
      </c>
      <c r="F27">
        <v>1</v>
      </c>
      <c r="G27">
        <v>0</v>
      </c>
      <c r="H27">
        <v>0</v>
      </c>
    </row>
    <row r="28" spans="1:8" x14ac:dyDescent="0.3">
      <c r="A28" s="388" t="s">
        <v>294</v>
      </c>
      <c r="B28">
        <v>0</v>
      </c>
      <c r="C28">
        <v>0</v>
      </c>
      <c r="D28">
        <v>0</v>
      </c>
      <c r="E28">
        <v>1</v>
      </c>
      <c r="F28">
        <v>13</v>
      </c>
      <c r="G28">
        <v>15</v>
      </c>
      <c r="H28">
        <v>41</v>
      </c>
    </row>
    <row r="29" spans="1:8" x14ac:dyDescent="0.3">
      <c r="A29" s="388" t="s">
        <v>296</v>
      </c>
      <c r="B29">
        <v>0</v>
      </c>
      <c r="C29">
        <v>0</v>
      </c>
      <c r="D29">
        <v>0</v>
      </c>
      <c r="E29">
        <v>0</v>
      </c>
      <c r="F29">
        <v>15</v>
      </c>
      <c r="G29">
        <v>20</v>
      </c>
      <c r="H29">
        <v>66</v>
      </c>
    </row>
    <row r="30" spans="1:8" x14ac:dyDescent="0.3">
      <c r="A30" s="388" t="s">
        <v>298</v>
      </c>
      <c r="B30">
        <v>0</v>
      </c>
      <c r="C30">
        <v>0</v>
      </c>
      <c r="D30">
        <v>0</v>
      </c>
      <c r="E30">
        <v>0</v>
      </c>
      <c r="F30">
        <v>12</v>
      </c>
      <c r="G30">
        <v>10</v>
      </c>
      <c r="H30">
        <v>36</v>
      </c>
    </row>
    <row r="31" spans="1:8" x14ac:dyDescent="0.3">
      <c r="A31" s="388" t="s">
        <v>302</v>
      </c>
      <c r="B31">
        <v>0</v>
      </c>
      <c r="C31">
        <v>0</v>
      </c>
      <c r="D31">
        <v>0</v>
      </c>
      <c r="E31">
        <v>0</v>
      </c>
      <c r="F31">
        <v>6</v>
      </c>
      <c r="G31">
        <v>10</v>
      </c>
      <c r="H31">
        <v>35</v>
      </c>
    </row>
    <row r="32" spans="1:8" x14ac:dyDescent="0.3">
      <c r="A32" s="388" t="s">
        <v>304</v>
      </c>
      <c r="B32">
        <v>0</v>
      </c>
      <c r="C32">
        <v>0</v>
      </c>
      <c r="D32">
        <v>1</v>
      </c>
      <c r="E32">
        <v>0</v>
      </c>
      <c r="F32">
        <v>20</v>
      </c>
      <c r="G32">
        <v>29</v>
      </c>
      <c r="H32">
        <v>100</v>
      </c>
    </row>
    <row r="33" spans="1:8" x14ac:dyDescent="0.3">
      <c r="A33" s="388" t="s">
        <v>307</v>
      </c>
      <c r="B33">
        <v>0</v>
      </c>
      <c r="C33">
        <v>0</v>
      </c>
      <c r="D33">
        <v>0</v>
      </c>
      <c r="E33">
        <v>0</v>
      </c>
      <c r="F33">
        <v>5</v>
      </c>
      <c r="G33">
        <v>11</v>
      </c>
      <c r="H33">
        <v>33</v>
      </c>
    </row>
    <row r="34" spans="1:8" x14ac:dyDescent="0.3">
      <c r="A34" s="388" t="s">
        <v>309</v>
      </c>
      <c r="B34">
        <v>0</v>
      </c>
      <c r="C34">
        <v>0</v>
      </c>
      <c r="D34">
        <v>0</v>
      </c>
      <c r="E34">
        <v>0</v>
      </c>
      <c r="F34">
        <v>11</v>
      </c>
      <c r="G34">
        <v>15</v>
      </c>
      <c r="H34">
        <v>51</v>
      </c>
    </row>
    <row r="35" spans="1:8" x14ac:dyDescent="0.3">
      <c r="A35" s="388" t="s">
        <v>311</v>
      </c>
      <c r="B35">
        <v>0</v>
      </c>
      <c r="C35">
        <v>0</v>
      </c>
      <c r="D35">
        <v>0</v>
      </c>
      <c r="E35">
        <v>0</v>
      </c>
      <c r="F35">
        <v>14</v>
      </c>
      <c r="G35">
        <v>11</v>
      </c>
      <c r="H35">
        <v>40</v>
      </c>
    </row>
    <row r="36" spans="1:8" x14ac:dyDescent="0.3">
      <c r="A36" s="387" t="s">
        <v>539</v>
      </c>
      <c r="B36">
        <v>0</v>
      </c>
      <c r="C36">
        <v>0</v>
      </c>
      <c r="D36">
        <v>2</v>
      </c>
      <c r="E36">
        <v>2</v>
      </c>
      <c r="F36">
        <v>448</v>
      </c>
      <c r="G36">
        <v>579</v>
      </c>
      <c r="H36">
        <v>1779</v>
      </c>
    </row>
    <row r="37" spans="1:8" x14ac:dyDescent="0.3">
      <c r="A37" s="387" t="s">
        <v>540</v>
      </c>
    </row>
    <row r="38" spans="1:8" x14ac:dyDescent="0.3">
      <c r="A38" s="388" t="s">
        <v>230</v>
      </c>
      <c r="B38">
        <v>0</v>
      </c>
      <c r="C38">
        <v>1</v>
      </c>
      <c r="D38">
        <v>4</v>
      </c>
      <c r="E38">
        <v>9</v>
      </c>
      <c r="F38">
        <v>6</v>
      </c>
      <c r="G38">
        <v>4</v>
      </c>
      <c r="H38">
        <v>0</v>
      </c>
    </row>
    <row r="39" spans="1:8" x14ac:dyDescent="0.3">
      <c r="A39" s="388" t="s">
        <v>244</v>
      </c>
      <c r="B39">
        <v>0</v>
      </c>
      <c r="C39">
        <v>1</v>
      </c>
      <c r="D39">
        <v>3</v>
      </c>
      <c r="E39">
        <v>6</v>
      </c>
      <c r="F39">
        <v>1</v>
      </c>
      <c r="G39">
        <v>0</v>
      </c>
      <c r="H39">
        <v>0</v>
      </c>
    </row>
    <row r="40" spans="1:8" x14ac:dyDescent="0.3">
      <c r="A40" s="388" t="s">
        <v>226</v>
      </c>
      <c r="B40">
        <v>0</v>
      </c>
      <c r="C40">
        <v>1</v>
      </c>
      <c r="D40">
        <v>4</v>
      </c>
      <c r="E40">
        <v>6</v>
      </c>
      <c r="F40">
        <v>9</v>
      </c>
      <c r="G40">
        <v>1</v>
      </c>
      <c r="H40">
        <v>1</v>
      </c>
    </row>
    <row r="41" spans="1:8" x14ac:dyDescent="0.3">
      <c r="A41" s="388" t="s">
        <v>251</v>
      </c>
      <c r="B41">
        <v>0</v>
      </c>
      <c r="C41">
        <v>1</v>
      </c>
      <c r="D41">
        <v>3</v>
      </c>
      <c r="E41">
        <v>9</v>
      </c>
      <c r="F41">
        <v>9</v>
      </c>
      <c r="G41">
        <v>3</v>
      </c>
      <c r="H41">
        <v>0</v>
      </c>
    </row>
    <row r="42" spans="1:8" x14ac:dyDescent="0.3">
      <c r="A42" s="388" t="s">
        <v>257</v>
      </c>
      <c r="B42">
        <v>0</v>
      </c>
      <c r="C42">
        <v>1</v>
      </c>
      <c r="D42">
        <v>3</v>
      </c>
      <c r="E42">
        <v>6</v>
      </c>
      <c r="F42">
        <v>8</v>
      </c>
      <c r="G42">
        <v>4</v>
      </c>
      <c r="H42">
        <v>4</v>
      </c>
    </row>
    <row r="43" spans="1:8" x14ac:dyDescent="0.3">
      <c r="A43" s="388" t="s">
        <v>261</v>
      </c>
      <c r="B43">
        <v>0</v>
      </c>
      <c r="C43">
        <v>1</v>
      </c>
      <c r="D43">
        <v>3</v>
      </c>
      <c r="E43">
        <v>5</v>
      </c>
      <c r="F43">
        <v>5</v>
      </c>
      <c r="G43">
        <v>3</v>
      </c>
      <c r="H43">
        <v>1</v>
      </c>
    </row>
    <row r="44" spans="1:8" x14ac:dyDescent="0.3">
      <c r="A44" s="388" t="s">
        <v>236</v>
      </c>
      <c r="B44">
        <v>0</v>
      </c>
      <c r="C44">
        <v>2</v>
      </c>
      <c r="D44">
        <v>5</v>
      </c>
      <c r="E44">
        <v>9</v>
      </c>
      <c r="F44">
        <v>9</v>
      </c>
      <c r="G44">
        <v>3</v>
      </c>
      <c r="H44">
        <v>3</v>
      </c>
    </row>
    <row r="45" spans="1:8" x14ac:dyDescent="0.3">
      <c r="A45" s="388" t="s">
        <v>265</v>
      </c>
      <c r="B45">
        <v>0</v>
      </c>
      <c r="C45">
        <v>1</v>
      </c>
      <c r="D45">
        <v>2</v>
      </c>
      <c r="E45">
        <v>6</v>
      </c>
      <c r="F45">
        <v>6</v>
      </c>
      <c r="G45">
        <v>3</v>
      </c>
      <c r="H45">
        <v>1</v>
      </c>
    </row>
    <row r="46" spans="1:8" x14ac:dyDescent="0.3">
      <c r="A46" s="388" t="s">
        <v>270</v>
      </c>
      <c r="B46">
        <v>0</v>
      </c>
      <c r="C46">
        <v>2</v>
      </c>
      <c r="D46">
        <v>4</v>
      </c>
      <c r="E46">
        <v>8</v>
      </c>
      <c r="F46">
        <v>9</v>
      </c>
      <c r="G46">
        <v>5</v>
      </c>
      <c r="H46">
        <v>2</v>
      </c>
    </row>
    <row r="47" spans="1:8" x14ac:dyDescent="0.3">
      <c r="A47" s="388" t="s">
        <v>275</v>
      </c>
      <c r="B47">
        <v>0</v>
      </c>
      <c r="C47">
        <v>1</v>
      </c>
      <c r="D47">
        <v>4</v>
      </c>
      <c r="E47">
        <v>13</v>
      </c>
      <c r="F47">
        <v>5</v>
      </c>
      <c r="G47">
        <v>1</v>
      </c>
      <c r="H47">
        <v>0</v>
      </c>
    </row>
    <row r="48" spans="1:8" x14ac:dyDescent="0.3">
      <c r="A48" s="388" t="s">
        <v>285</v>
      </c>
      <c r="B48">
        <v>0</v>
      </c>
      <c r="C48">
        <v>1</v>
      </c>
      <c r="D48">
        <v>3</v>
      </c>
      <c r="E48">
        <v>6</v>
      </c>
      <c r="F48">
        <v>0</v>
      </c>
      <c r="G48">
        <v>0</v>
      </c>
      <c r="H48">
        <v>0</v>
      </c>
    </row>
    <row r="49" spans="1:8" x14ac:dyDescent="0.3">
      <c r="A49" s="388" t="s">
        <v>313</v>
      </c>
      <c r="B49">
        <v>0</v>
      </c>
      <c r="C49">
        <v>1</v>
      </c>
      <c r="D49">
        <v>3</v>
      </c>
      <c r="E49">
        <v>10</v>
      </c>
      <c r="F49">
        <v>10</v>
      </c>
      <c r="G49">
        <v>6</v>
      </c>
      <c r="H49">
        <v>2</v>
      </c>
    </row>
    <row r="50" spans="1:8" x14ac:dyDescent="0.3">
      <c r="A50" s="388" t="s">
        <v>322</v>
      </c>
      <c r="B50">
        <v>0</v>
      </c>
      <c r="C50">
        <v>1</v>
      </c>
      <c r="D50">
        <v>5</v>
      </c>
      <c r="E50">
        <v>10</v>
      </c>
      <c r="F50">
        <v>13</v>
      </c>
      <c r="G50">
        <v>12</v>
      </c>
      <c r="H50">
        <v>32</v>
      </c>
    </row>
    <row r="51" spans="1:8" x14ac:dyDescent="0.3">
      <c r="A51" s="388" t="s">
        <v>324</v>
      </c>
      <c r="B51">
        <v>0</v>
      </c>
      <c r="C51">
        <v>1</v>
      </c>
      <c r="D51">
        <v>1</v>
      </c>
      <c r="E51">
        <v>9</v>
      </c>
      <c r="F51">
        <v>7</v>
      </c>
      <c r="G51">
        <v>1</v>
      </c>
      <c r="H51">
        <v>1</v>
      </c>
    </row>
    <row r="52" spans="1:8" x14ac:dyDescent="0.3">
      <c r="A52" s="387" t="s">
        <v>541</v>
      </c>
      <c r="B52">
        <v>0</v>
      </c>
      <c r="C52">
        <v>16</v>
      </c>
      <c r="D52">
        <v>47</v>
      </c>
      <c r="E52">
        <v>112</v>
      </c>
      <c r="F52">
        <v>97</v>
      </c>
      <c r="G52">
        <v>46</v>
      </c>
      <c r="H52">
        <v>47</v>
      </c>
    </row>
    <row r="53" spans="1:8" x14ac:dyDescent="0.3">
      <c r="A53" s="387" t="s">
        <v>542</v>
      </c>
    </row>
    <row r="54" spans="1:8" x14ac:dyDescent="0.3">
      <c r="A54" s="388" t="s">
        <v>238</v>
      </c>
      <c r="B54">
        <v>0</v>
      </c>
      <c r="C54">
        <v>0</v>
      </c>
      <c r="D54">
        <v>2</v>
      </c>
      <c r="E54">
        <v>8</v>
      </c>
      <c r="F54">
        <v>5</v>
      </c>
      <c r="G54">
        <v>1</v>
      </c>
      <c r="H54">
        <v>24</v>
      </c>
    </row>
    <row r="55" spans="1:8" x14ac:dyDescent="0.3">
      <c r="A55" s="388" t="s">
        <v>218</v>
      </c>
      <c r="B55">
        <v>0</v>
      </c>
      <c r="C55">
        <v>1</v>
      </c>
      <c r="D55">
        <v>2</v>
      </c>
      <c r="E55">
        <v>6</v>
      </c>
      <c r="F55">
        <v>4</v>
      </c>
      <c r="G55">
        <v>2</v>
      </c>
      <c r="H55">
        <v>12</v>
      </c>
    </row>
    <row r="56" spans="1:8" x14ac:dyDescent="0.3">
      <c r="A56" s="388" t="s">
        <v>232</v>
      </c>
      <c r="B56">
        <v>0</v>
      </c>
      <c r="C56">
        <v>1</v>
      </c>
      <c r="D56">
        <v>4</v>
      </c>
      <c r="E56">
        <v>6</v>
      </c>
      <c r="F56">
        <v>35</v>
      </c>
      <c r="G56">
        <v>12</v>
      </c>
      <c r="H56">
        <v>36</v>
      </c>
    </row>
    <row r="57" spans="1:8" x14ac:dyDescent="0.3">
      <c r="A57" s="387" t="s">
        <v>543</v>
      </c>
      <c r="B57">
        <v>0</v>
      </c>
      <c r="C57">
        <v>2</v>
      </c>
      <c r="D57">
        <v>8</v>
      </c>
      <c r="E57">
        <v>20</v>
      </c>
      <c r="F57">
        <v>44</v>
      </c>
      <c r="G57">
        <v>15</v>
      </c>
      <c r="H57">
        <v>72</v>
      </c>
    </row>
    <row r="58" spans="1:8" x14ac:dyDescent="0.3">
      <c r="A58" s="387" t="s">
        <v>544</v>
      </c>
    </row>
    <row r="59" spans="1:8" x14ac:dyDescent="0.3">
      <c r="A59" s="388" t="s">
        <v>545</v>
      </c>
      <c r="B59">
        <v>5</v>
      </c>
      <c r="C59">
        <v>9</v>
      </c>
      <c r="D59">
        <v>15</v>
      </c>
      <c r="E59">
        <v>26</v>
      </c>
      <c r="F59">
        <v>36</v>
      </c>
      <c r="G59">
        <v>1</v>
      </c>
      <c r="H59">
        <v>1</v>
      </c>
    </row>
    <row r="60" spans="1:8" x14ac:dyDescent="0.3">
      <c r="A60" s="387" t="s">
        <v>546</v>
      </c>
      <c r="B60">
        <v>5</v>
      </c>
      <c r="C60">
        <v>9</v>
      </c>
      <c r="D60">
        <v>15</v>
      </c>
      <c r="E60">
        <v>26</v>
      </c>
      <c r="F60">
        <v>36</v>
      </c>
      <c r="G60">
        <v>1</v>
      </c>
      <c r="H60">
        <v>1</v>
      </c>
    </row>
    <row r="61" spans="1:8" x14ac:dyDescent="0.3">
      <c r="A61" s="387" t="s">
        <v>357</v>
      </c>
      <c r="B61">
        <v>5</v>
      </c>
      <c r="C61">
        <v>27</v>
      </c>
      <c r="D61">
        <v>72</v>
      </c>
      <c r="E61">
        <v>160</v>
      </c>
      <c r="F61">
        <v>625</v>
      </c>
      <c r="G61">
        <v>641</v>
      </c>
      <c r="H61">
        <v>1899</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tabColor theme="9" tint="0.39997558519241921"/>
  </sheetPr>
  <dimension ref="A1:K663"/>
  <sheetViews>
    <sheetView zoomScale="70" zoomScaleNormal="70" workbookViewId="0">
      <selection activeCell="D24" sqref="D24"/>
    </sheetView>
  </sheetViews>
  <sheetFormatPr defaultRowHeight="14.4" x14ac:dyDescent="0.3"/>
  <cols>
    <col min="1" max="1" width="10" bestFit="1" customWidth="1"/>
    <col min="2" max="2" width="21.77734375" bestFit="1" customWidth="1"/>
    <col min="3" max="3" width="12.21875" bestFit="1" customWidth="1"/>
    <col min="4" max="4" width="59.6640625" bestFit="1" customWidth="1"/>
    <col min="5" max="5" width="20.44140625" bestFit="1" customWidth="1"/>
    <col min="6" max="6" width="23.77734375" bestFit="1" customWidth="1"/>
    <col min="7" max="7" width="20.5546875" bestFit="1" customWidth="1"/>
    <col min="8" max="8" width="16.21875" bestFit="1" customWidth="1"/>
    <col min="9" max="9" width="21.88671875" bestFit="1" customWidth="1"/>
    <col min="10" max="10" width="23.21875" bestFit="1" customWidth="1"/>
    <col min="11" max="11" width="22.21875" bestFit="1" customWidth="1"/>
  </cols>
  <sheetData>
    <row r="1" spans="1:11" x14ac:dyDescent="0.3">
      <c r="A1" t="s">
        <v>208</v>
      </c>
      <c r="B1" t="s">
        <v>547</v>
      </c>
      <c r="C1" t="s">
        <v>25</v>
      </c>
      <c r="D1" t="s">
        <v>548</v>
      </c>
      <c r="E1" t="s">
        <v>622</v>
      </c>
      <c r="F1" t="s">
        <v>621</v>
      </c>
      <c r="G1" t="s">
        <v>626</v>
      </c>
      <c r="H1" t="s">
        <v>627</v>
      </c>
      <c r="I1" t="s">
        <v>623</v>
      </c>
      <c r="J1" t="s">
        <v>624</v>
      </c>
      <c r="K1" t="s">
        <v>625</v>
      </c>
    </row>
    <row r="2" spans="1:11" x14ac:dyDescent="0.3">
      <c r="A2" t="s">
        <v>364</v>
      </c>
      <c r="B2" t="s">
        <v>537</v>
      </c>
      <c r="C2" t="s">
        <v>239</v>
      </c>
      <c r="D2" t="s">
        <v>240</v>
      </c>
      <c r="G2">
        <v>9</v>
      </c>
      <c r="H2">
        <v>30</v>
      </c>
      <c r="J2">
        <v>0</v>
      </c>
      <c r="K2">
        <v>4</v>
      </c>
    </row>
    <row r="3" spans="1:11" x14ac:dyDescent="0.3">
      <c r="A3" t="s">
        <v>364</v>
      </c>
      <c r="B3" t="s">
        <v>537</v>
      </c>
      <c r="C3" t="s">
        <v>243</v>
      </c>
      <c r="D3" t="s">
        <v>244</v>
      </c>
      <c r="G3">
        <v>11</v>
      </c>
      <c r="H3">
        <v>53</v>
      </c>
      <c r="J3">
        <v>0</v>
      </c>
      <c r="K3">
        <v>5</v>
      </c>
    </row>
    <row r="4" spans="1:11" x14ac:dyDescent="0.3">
      <c r="A4" t="s">
        <v>364</v>
      </c>
      <c r="B4" t="s">
        <v>537</v>
      </c>
      <c r="C4" t="s">
        <v>248</v>
      </c>
      <c r="D4" t="s">
        <v>249</v>
      </c>
      <c r="G4">
        <v>11</v>
      </c>
      <c r="H4">
        <v>40</v>
      </c>
      <c r="J4">
        <v>0</v>
      </c>
      <c r="K4">
        <v>8</v>
      </c>
    </row>
    <row r="5" spans="1:11" x14ac:dyDescent="0.3">
      <c r="A5" t="s">
        <v>364</v>
      </c>
      <c r="B5" t="s">
        <v>537</v>
      </c>
      <c r="C5" t="s">
        <v>254</v>
      </c>
      <c r="D5" t="s">
        <v>255</v>
      </c>
      <c r="G5">
        <v>5</v>
      </c>
      <c r="H5">
        <v>21</v>
      </c>
      <c r="J5">
        <v>0</v>
      </c>
      <c r="K5">
        <v>3</v>
      </c>
    </row>
    <row r="6" spans="1:11" x14ac:dyDescent="0.3">
      <c r="A6" t="s">
        <v>364</v>
      </c>
      <c r="B6" t="s">
        <v>537</v>
      </c>
      <c r="C6" t="s">
        <v>258</v>
      </c>
      <c r="D6" t="s">
        <v>259</v>
      </c>
      <c r="G6">
        <v>14</v>
      </c>
      <c r="H6">
        <v>34</v>
      </c>
      <c r="J6">
        <v>0</v>
      </c>
      <c r="K6">
        <v>11</v>
      </c>
    </row>
    <row r="7" spans="1:11" x14ac:dyDescent="0.3">
      <c r="A7" t="s">
        <v>364</v>
      </c>
      <c r="B7" t="s">
        <v>537</v>
      </c>
      <c r="C7" t="s">
        <v>282</v>
      </c>
      <c r="D7" t="s">
        <v>283</v>
      </c>
      <c r="G7">
        <v>0</v>
      </c>
      <c r="H7">
        <v>0</v>
      </c>
      <c r="J7">
        <v>0</v>
      </c>
      <c r="K7">
        <v>0</v>
      </c>
    </row>
    <row r="8" spans="1:11" x14ac:dyDescent="0.3">
      <c r="A8" t="s">
        <v>364</v>
      </c>
      <c r="B8" t="s">
        <v>537</v>
      </c>
      <c r="C8" t="s">
        <v>262</v>
      </c>
      <c r="D8" t="s">
        <v>263</v>
      </c>
      <c r="G8">
        <v>18</v>
      </c>
      <c r="H8">
        <v>65</v>
      </c>
      <c r="J8">
        <v>1</v>
      </c>
      <c r="K8">
        <v>12</v>
      </c>
    </row>
    <row r="9" spans="1:11" x14ac:dyDescent="0.3">
      <c r="A9" t="s">
        <v>364</v>
      </c>
      <c r="B9" t="s">
        <v>537</v>
      </c>
      <c r="C9" t="s">
        <v>272</v>
      </c>
      <c r="D9" t="s">
        <v>273</v>
      </c>
      <c r="G9">
        <v>9</v>
      </c>
      <c r="H9">
        <v>60</v>
      </c>
      <c r="J9">
        <v>2</v>
      </c>
      <c r="K9">
        <v>10</v>
      </c>
    </row>
    <row r="10" spans="1:11" x14ac:dyDescent="0.3">
      <c r="A10" t="s">
        <v>364</v>
      </c>
      <c r="B10" t="s">
        <v>537</v>
      </c>
      <c r="C10" t="s">
        <v>276</v>
      </c>
      <c r="D10" t="s">
        <v>277</v>
      </c>
      <c r="G10">
        <v>18</v>
      </c>
      <c r="H10">
        <v>49</v>
      </c>
      <c r="J10">
        <v>0</v>
      </c>
      <c r="K10">
        <v>11</v>
      </c>
    </row>
    <row r="11" spans="1:11" x14ac:dyDescent="0.3">
      <c r="A11" t="s">
        <v>364</v>
      </c>
      <c r="B11" t="s">
        <v>537</v>
      </c>
      <c r="C11" t="s">
        <v>278</v>
      </c>
      <c r="D11" t="s">
        <v>279</v>
      </c>
      <c r="G11">
        <v>4</v>
      </c>
      <c r="H11">
        <v>26</v>
      </c>
      <c r="J11">
        <v>0</v>
      </c>
      <c r="K11">
        <v>5</v>
      </c>
    </row>
    <row r="12" spans="1:11" x14ac:dyDescent="0.3">
      <c r="A12" t="s">
        <v>364</v>
      </c>
      <c r="B12" t="s">
        <v>537</v>
      </c>
      <c r="C12" t="s">
        <v>280</v>
      </c>
      <c r="D12" t="s">
        <v>281</v>
      </c>
      <c r="G12">
        <v>2</v>
      </c>
      <c r="H12">
        <v>15</v>
      </c>
      <c r="J12">
        <v>0</v>
      </c>
      <c r="K12">
        <v>3</v>
      </c>
    </row>
    <row r="13" spans="1:11" x14ac:dyDescent="0.3">
      <c r="A13" t="s">
        <v>364</v>
      </c>
      <c r="B13" t="s">
        <v>537</v>
      </c>
      <c r="C13" t="s">
        <v>286</v>
      </c>
      <c r="D13" t="s">
        <v>287</v>
      </c>
      <c r="G13">
        <v>13</v>
      </c>
      <c r="H13">
        <v>50</v>
      </c>
      <c r="J13">
        <v>0</v>
      </c>
      <c r="K13">
        <v>13</v>
      </c>
    </row>
    <row r="14" spans="1:11" x14ac:dyDescent="0.3">
      <c r="A14" t="s">
        <v>364</v>
      </c>
      <c r="B14" t="s">
        <v>537</v>
      </c>
      <c r="C14" t="s">
        <v>291</v>
      </c>
      <c r="D14" t="s">
        <v>292</v>
      </c>
      <c r="G14">
        <v>0</v>
      </c>
      <c r="H14">
        <v>0</v>
      </c>
      <c r="J14">
        <v>0</v>
      </c>
      <c r="K14">
        <v>0</v>
      </c>
    </row>
    <row r="15" spans="1:11" x14ac:dyDescent="0.3">
      <c r="A15" t="s">
        <v>364</v>
      </c>
      <c r="B15" t="s">
        <v>537</v>
      </c>
      <c r="C15" t="s">
        <v>293</v>
      </c>
      <c r="D15" t="s">
        <v>294</v>
      </c>
      <c r="G15">
        <v>14</v>
      </c>
      <c r="H15">
        <v>61</v>
      </c>
      <c r="J15">
        <v>2</v>
      </c>
      <c r="K15">
        <v>11</v>
      </c>
    </row>
    <row r="16" spans="1:11" x14ac:dyDescent="0.3">
      <c r="A16" t="s">
        <v>364</v>
      </c>
      <c r="B16" t="s">
        <v>537</v>
      </c>
      <c r="C16" t="s">
        <v>297</v>
      </c>
      <c r="D16" t="s">
        <v>298</v>
      </c>
      <c r="G16">
        <v>11</v>
      </c>
      <c r="H16">
        <v>54</v>
      </c>
      <c r="J16">
        <v>0</v>
      </c>
      <c r="K16">
        <v>10</v>
      </c>
    </row>
    <row r="17" spans="1:11" x14ac:dyDescent="0.3">
      <c r="A17" t="s">
        <v>364</v>
      </c>
      <c r="B17" t="s">
        <v>537</v>
      </c>
      <c r="C17" t="s">
        <v>299</v>
      </c>
      <c r="D17" t="s">
        <v>300</v>
      </c>
      <c r="G17">
        <v>0</v>
      </c>
      <c r="H17">
        <v>0</v>
      </c>
      <c r="J17">
        <v>0</v>
      </c>
      <c r="K17">
        <v>0</v>
      </c>
    </row>
    <row r="18" spans="1:11" x14ac:dyDescent="0.3">
      <c r="A18" t="s">
        <v>364</v>
      </c>
      <c r="B18" t="s">
        <v>537</v>
      </c>
      <c r="C18" t="s">
        <v>301</v>
      </c>
      <c r="D18" t="s">
        <v>302</v>
      </c>
      <c r="G18">
        <v>10</v>
      </c>
      <c r="H18">
        <v>47</v>
      </c>
      <c r="J18">
        <v>0</v>
      </c>
      <c r="K18">
        <v>8</v>
      </c>
    </row>
    <row r="19" spans="1:11" x14ac:dyDescent="0.3">
      <c r="A19" t="s">
        <v>364</v>
      </c>
      <c r="B19" t="s">
        <v>537</v>
      </c>
      <c r="C19" t="s">
        <v>303</v>
      </c>
      <c r="D19" t="s">
        <v>304</v>
      </c>
      <c r="G19">
        <v>33</v>
      </c>
      <c r="H19">
        <v>129</v>
      </c>
      <c r="J19">
        <v>2</v>
      </c>
      <c r="K19">
        <v>26</v>
      </c>
    </row>
    <row r="20" spans="1:11" x14ac:dyDescent="0.3">
      <c r="A20" t="s">
        <v>364</v>
      </c>
      <c r="B20" t="s">
        <v>537</v>
      </c>
      <c r="C20" t="s">
        <v>306</v>
      </c>
      <c r="D20" t="s">
        <v>307</v>
      </c>
      <c r="G20">
        <v>10</v>
      </c>
      <c r="H20">
        <v>42</v>
      </c>
      <c r="J20">
        <v>0</v>
      </c>
      <c r="K20">
        <v>10</v>
      </c>
    </row>
    <row r="21" spans="1:11" x14ac:dyDescent="0.3">
      <c r="A21" t="s">
        <v>364</v>
      </c>
      <c r="B21" t="s">
        <v>537</v>
      </c>
      <c r="C21" t="s">
        <v>214</v>
      </c>
      <c r="D21" t="s">
        <v>215</v>
      </c>
      <c r="G21">
        <v>24</v>
      </c>
      <c r="H21">
        <v>128</v>
      </c>
      <c r="J21">
        <v>0</v>
      </c>
      <c r="K21">
        <v>22</v>
      </c>
    </row>
    <row r="22" spans="1:11" x14ac:dyDescent="0.3">
      <c r="A22" t="s">
        <v>364</v>
      </c>
      <c r="B22" t="s">
        <v>537</v>
      </c>
      <c r="C22" t="s">
        <v>219</v>
      </c>
      <c r="D22" t="s">
        <v>220</v>
      </c>
      <c r="G22">
        <v>3</v>
      </c>
      <c r="H22">
        <v>16</v>
      </c>
      <c r="J22">
        <v>0</v>
      </c>
      <c r="K22">
        <v>4</v>
      </c>
    </row>
    <row r="23" spans="1:11" x14ac:dyDescent="0.3">
      <c r="A23" t="s">
        <v>364</v>
      </c>
      <c r="B23" t="s">
        <v>537</v>
      </c>
      <c r="C23" t="s">
        <v>227</v>
      </c>
      <c r="D23" t="s">
        <v>228</v>
      </c>
      <c r="G23">
        <v>10</v>
      </c>
      <c r="H23">
        <v>31</v>
      </c>
      <c r="J23">
        <v>2</v>
      </c>
      <c r="K23">
        <v>15</v>
      </c>
    </row>
    <row r="24" spans="1:11" x14ac:dyDescent="0.3">
      <c r="A24" t="s">
        <v>364</v>
      </c>
      <c r="B24" t="s">
        <v>537</v>
      </c>
      <c r="C24" t="s">
        <v>233</v>
      </c>
      <c r="D24" t="s">
        <v>234</v>
      </c>
      <c r="G24">
        <v>70</v>
      </c>
      <c r="H24">
        <v>275</v>
      </c>
      <c r="J24">
        <v>0</v>
      </c>
      <c r="K24">
        <v>25</v>
      </c>
    </row>
    <row r="25" spans="1:11" x14ac:dyDescent="0.3">
      <c r="A25" t="s">
        <v>364</v>
      </c>
      <c r="B25" t="s">
        <v>537</v>
      </c>
      <c r="C25" t="s">
        <v>295</v>
      </c>
      <c r="D25" t="s">
        <v>296</v>
      </c>
      <c r="G25">
        <v>22</v>
      </c>
      <c r="H25">
        <v>74</v>
      </c>
      <c r="J25">
        <v>1</v>
      </c>
      <c r="K25">
        <v>19</v>
      </c>
    </row>
    <row r="26" spans="1:11" x14ac:dyDescent="0.3">
      <c r="A26" t="s">
        <v>364</v>
      </c>
      <c r="B26" t="s">
        <v>537</v>
      </c>
      <c r="C26" t="s">
        <v>308</v>
      </c>
      <c r="D26" t="s">
        <v>309</v>
      </c>
      <c r="G26">
        <v>18</v>
      </c>
      <c r="H26">
        <v>52</v>
      </c>
      <c r="J26">
        <v>0</v>
      </c>
      <c r="K26">
        <v>10</v>
      </c>
    </row>
    <row r="27" spans="1:11" x14ac:dyDescent="0.3">
      <c r="A27" t="s">
        <v>364</v>
      </c>
      <c r="B27" t="s">
        <v>537</v>
      </c>
      <c r="C27" t="s">
        <v>310</v>
      </c>
      <c r="D27" t="s">
        <v>311</v>
      </c>
      <c r="G27">
        <v>14</v>
      </c>
      <c r="H27">
        <v>61</v>
      </c>
      <c r="J27">
        <v>0</v>
      </c>
      <c r="K27">
        <v>10</v>
      </c>
    </row>
    <row r="28" spans="1:11" x14ac:dyDescent="0.3">
      <c r="A28" t="s">
        <v>364</v>
      </c>
      <c r="B28" t="s">
        <v>537</v>
      </c>
      <c r="C28" t="s">
        <v>223</v>
      </c>
      <c r="D28" t="s">
        <v>224</v>
      </c>
      <c r="G28">
        <v>0</v>
      </c>
      <c r="H28">
        <v>25</v>
      </c>
      <c r="J28">
        <v>1</v>
      </c>
      <c r="K28">
        <v>9</v>
      </c>
    </row>
    <row r="29" spans="1:11" x14ac:dyDescent="0.3">
      <c r="A29" t="s">
        <v>364</v>
      </c>
      <c r="B29" t="s">
        <v>537</v>
      </c>
      <c r="C29" t="s">
        <v>246</v>
      </c>
      <c r="D29" t="s">
        <v>247</v>
      </c>
      <c r="G29">
        <v>29</v>
      </c>
      <c r="H29">
        <v>162</v>
      </c>
      <c r="J29">
        <v>1</v>
      </c>
      <c r="K29">
        <v>23</v>
      </c>
    </row>
    <row r="30" spans="1:11" x14ac:dyDescent="0.3">
      <c r="A30" t="s">
        <v>364</v>
      </c>
      <c r="B30" t="s">
        <v>537</v>
      </c>
      <c r="C30" t="s">
        <v>288</v>
      </c>
      <c r="D30" t="s">
        <v>289</v>
      </c>
      <c r="G30">
        <v>34</v>
      </c>
      <c r="H30">
        <v>129</v>
      </c>
      <c r="J30">
        <v>1</v>
      </c>
      <c r="K30">
        <v>24</v>
      </c>
    </row>
    <row r="31" spans="1:11" x14ac:dyDescent="0.3">
      <c r="A31" t="s">
        <v>364</v>
      </c>
      <c r="B31" t="s">
        <v>537</v>
      </c>
      <c r="C31" t="s">
        <v>252</v>
      </c>
      <c r="D31" t="s">
        <v>253</v>
      </c>
      <c r="G31">
        <v>15</v>
      </c>
      <c r="H31">
        <v>45</v>
      </c>
      <c r="J31">
        <v>0</v>
      </c>
      <c r="K31">
        <v>14</v>
      </c>
    </row>
    <row r="32" spans="1:11" x14ac:dyDescent="0.3">
      <c r="A32" t="s">
        <v>364</v>
      </c>
      <c r="B32" t="s">
        <v>537</v>
      </c>
      <c r="C32" t="s">
        <v>269</v>
      </c>
      <c r="D32" t="s">
        <v>270</v>
      </c>
      <c r="G32">
        <v>119</v>
      </c>
      <c r="H32">
        <v>373</v>
      </c>
      <c r="J32">
        <v>0</v>
      </c>
      <c r="K32">
        <v>68</v>
      </c>
    </row>
    <row r="33" spans="1:11" x14ac:dyDescent="0.3">
      <c r="A33" t="s">
        <v>364</v>
      </c>
      <c r="B33" t="s">
        <v>537</v>
      </c>
      <c r="C33" t="s">
        <v>266</v>
      </c>
      <c r="D33" t="s">
        <v>267</v>
      </c>
      <c r="G33">
        <v>58</v>
      </c>
      <c r="H33">
        <v>208</v>
      </c>
      <c r="J33">
        <v>0</v>
      </c>
      <c r="K33">
        <v>23</v>
      </c>
    </row>
    <row r="34" spans="1:11" x14ac:dyDescent="0.3">
      <c r="A34" t="s">
        <v>364</v>
      </c>
      <c r="B34" t="s">
        <v>540</v>
      </c>
      <c r="C34" t="s">
        <v>216</v>
      </c>
      <c r="D34" t="s">
        <v>215</v>
      </c>
      <c r="E34">
        <v>1</v>
      </c>
      <c r="G34">
        <v>0</v>
      </c>
      <c r="H34">
        <v>1</v>
      </c>
      <c r="I34">
        <v>7</v>
      </c>
      <c r="J34">
        <v>6</v>
      </c>
      <c r="K34">
        <v>8</v>
      </c>
    </row>
    <row r="35" spans="1:11" x14ac:dyDescent="0.3">
      <c r="A35" t="s">
        <v>364</v>
      </c>
      <c r="B35" t="s">
        <v>540</v>
      </c>
      <c r="C35" t="s">
        <v>221</v>
      </c>
      <c r="D35" t="s">
        <v>222</v>
      </c>
      <c r="E35">
        <v>1</v>
      </c>
      <c r="G35">
        <v>0</v>
      </c>
      <c r="H35">
        <v>0</v>
      </c>
      <c r="I35">
        <v>2</v>
      </c>
      <c r="J35">
        <v>4</v>
      </c>
      <c r="K35">
        <v>8</v>
      </c>
    </row>
    <row r="36" spans="1:11" x14ac:dyDescent="0.3">
      <c r="A36" t="s">
        <v>364</v>
      </c>
      <c r="B36" t="s">
        <v>540</v>
      </c>
      <c r="C36" t="s">
        <v>229</v>
      </c>
      <c r="D36" t="s">
        <v>230</v>
      </c>
      <c r="E36">
        <v>1</v>
      </c>
      <c r="G36">
        <v>1</v>
      </c>
      <c r="H36">
        <v>1</v>
      </c>
      <c r="I36">
        <v>3</v>
      </c>
      <c r="J36">
        <v>6</v>
      </c>
      <c r="K36">
        <v>10</v>
      </c>
    </row>
    <row r="37" spans="1:11" x14ac:dyDescent="0.3">
      <c r="A37" t="s">
        <v>364</v>
      </c>
      <c r="B37" t="s">
        <v>540</v>
      </c>
      <c r="C37" t="s">
        <v>245</v>
      </c>
      <c r="D37" t="s">
        <v>244</v>
      </c>
      <c r="E37">
        <v>0</v>
      </c>
      <c r="G37">
        <v>0</v>
      </c>
      <c r="H37">
        <v>0</v>
      </c>
      <c r="I37">
        <v>2</v>
      </c>
      <c r="J37">
        <v>5</v>
      </c>
      <c r="K37">
        <v>9</v>
      </c>
    </row>
    <row r="38" spans="1:11" x14ac:dyDescent="0.3">
      <c r="A38" t="s">
        <v>364</v>
      </c>
      <c r="B38" t="s">
        <v>540</v>
      </c>
      <c r="C38" t="s">
        <v>250</v>
      </c>
      <c r="D38" t="s">
        <v>251</v>
      </c>
      <c r="E38">
        <v>1</v>
      </c>
      <c r="G38">
        <v>0</v>
      </c>
      <c r="H38">
        <v>5</v>
      </c>
      <c r="I38">
        <v>7</v>
      </c>
      <c r="J38">
        <v>0</v>
      </c>
      <c r="K38">
        <v>8</v>
      </c>
    </row>
    <row r="39" spans="1:11" x14ac:dyDescent="0.3">
      <c r="A39" t="s">
        <v>364</v>
      </c>
      <c r="B39" t="s">
        <v>540</v>
      </c>
      <c r="C39" t="s">
        <v>256</v>
      </c>
      <c r="D39" t="s">
        <v>257</v>
      </c>
      <c r="E39">
        <v>1</v>
      </c>
      <c r="G39">
        <v>0</v>
      </c>
      <c r="H39">
        <v>1</v>
      </c>
      <c r="I39">
        <v>3</v>
      </c>
      <c r="J39">
        <v>5</v>
      </c>
      <c r="K39">
        <v>2</v>
      </c>
    </row>
    <row r="40" spans="1:11" x14ac:dyDescent="0.3">
      <c r="A40" t="s">
        <v>364</v>
      </c>
      <c r="B40" t="s">
        <v>540</v>
      </c>
      <c r="C40" t="s">
        <v>260</v>
      </c>
      <c r="D40" t="s">
        <v>261</v>
      </c>
      <c r="E40">
        <v>1</v>
      </c>
      <c r="G40">
        <v>0</v>
      </c>
      <c r="H40">
        <v>0</v>
      </c>
      <c r="I40">
        <v>9</v>
      </c>
      <c r="J40">
        <v>7</v>
      </c>
      <c r="K40">
        <v>6</v>
      </c>
    </row>
    <row r="41" spans="1:11" x14ac:dyDescent="0.3">
      <c r="A41" t="s">
        <v>364</v>
      </c>
      <c r="B41" t="s">
        <v>540</v>
      </c>
      <c r="C41" t="s">
        <v>235</v>
      </c>
      <c r="D41" t="s">
        <v>236</v>
      </c>
      <c r="E41">
        <v>2</v>
      </c>
      <c r="G41">
        <v>3</v>
      </c>
      <c r="H41">
        <v>2</v>
      </c>
      <c r="I41">
        <v>9</v>
      </c>
      <c r="J41">
        <v>3</v>
      </c>
      <c r="K41">
        <v>7</v>
      </c>
    </row>
    <row r="42" spans="1:11" x14ac:dyDescent="0.3">
      <c r="A42" t="s">
        <v>364</v>
      </c>
      <c r="B42" t="s">
        <v>540</v>
      </c>
      <c r="C42" t="s">
        <v>264</v>
      </c>
      <c r="D42" t="s">
        <v>265</v>
      </c>
      <c r="E42">
        <v>1</v>
      </c>
      <c r="G42">
        <v>0</v>
      </c>
      <c r="H42">
        <v>2</v>
      </c>
      <c r="I42">
        <v>2</v>
      </c>
      <c r="J42">
        <v>2</v>
      </c>
      <c r="K42">
        <v>6</v>
      </c>
    </row>
    <row r="43" spans="1:11" x14ac:dyDescent="0.3">
      <c r="A43" t="s">
        <v>364</v>
      </c>
      <c r="B43" t="s">
        <v>540</v>
      </c>
      <c r="C43" t="s">
        <v>271</v>
      </c>
      <c r="D43" t="s">
        <v>270</v>
      </c>
      <c r="E43">
        <v>1</v>
      </c>
      <c r="G43">
        <v>0</v>
      </c>
      <c r="H43">
        <v>3</v>
      </c>
      <c r="I43">
        <v>4</v>
      </c>
      <c r="J43">
        <v>10</v>
      </c>
      <c r="K43">
        <v>10</v>
      </c>
    </row>
    <row r="44" spans="1:11" x14ac:dyDescent="0.3">
      <c r="A44" t="s">
        <v>364</v>
      </c>
      <c r="B44" t="s">
        <v>540</v>
      </c>
      <c r="C44" t="s">
        <v>274</v>
      </c>
      <c r="D44" t="s">
        <v>275</v>
      </c>
      <c r="E44">
        <v>1</v>
      </c>
      <c r="G44">
        <v>0</v>
      </c>
      <c r="H44">
        <v>0</v>
      </c>
      <c r="I44">
        <v>4</v>
      </c>
      <c r="J44">
        <v>7</v>
      </c>
      <c r="K44">
        <v>1</v>
      </c>
    </row>
    <row r="45" spans="1:11" x14ac:dyDescent="0.3">
      <c r="A45" t="s">
        <v>364</v>
      </c>
      <c r="B45" t="s">
        <v>540</v>
      </c>
      <c r="C45" t="s">
        <v>290</v>
      </c>
      <c r="D45" t="s">
        <v>289</v>
      </c>
      <c r="E45">
        <v>1</v>
      </c>
      <c r="G45">
        <v>1</v>
      </c>
      <c r="H45">
        <v>0</v>
      </c>
      <c r="I45">
        <v>2</v>
      </c>
      <c r="J45">
        <v>6</v>
      </c>
      <c r="K45">
        <v>4</v>
      </c>
    </row>
    <row r="46" spans="1:11" x14ac:dyDescent="0.3">
      <c r="A46" t="s">
        <v>364</v>
      </c>
      <c r="B46" t="s">
        <v>540</v>
      </c>
      <c r="C46" t="s">
        <v>305</v>
      </c>
      <c r="D46" t="s">
        <v>304</v>
      </c>
      <c r="E46">
        <v>1</v>
      </c>
      <c r="G46">
        <v>0</v>
      </c>
      <c r="H46">
        <v>0</v>
      </c>
      <c r="I46">
        <v>3</v>
      </c>
      <c r="J46">
        <v>4</v>
      </c>
      <c r="K46">
        <v>2</v>
      </c>
    </row>
    <row r="47" spans="1:11" x14ac:dyDescent="0.3">
      <c r="A47" t="s">
        <v>364</v>
      </c>
      <c r="B47" t="s">
        <v>540</v>
      </c>
      <c r="C47" t="s">
        <v>241</v>
      </c>
      <c r="D47" t="s">
        <v>242</v>
      </c>
      <c r="E47">
        <v>1</v>
      </c>
      <c r="G47">
        <v>0</v>
      </c>
      <c r="H47">
        <v>0</v>
      </c>
      <c r="I47">
        <v>3</v>
      </c>
      <c r="J47">
        <v>4</v>
      </c>
      <c r="K47">
        <v>0</v>
      </c>
    </row>
    <row r="48" spans="1:11" x14ac:dyDescent="0.3">
      <c r="A48" t="s">
        <v>364</v>
      </c>
      <c r="B48" t="s">
        <v>540</v>
      </c>
      <c r="C48" t="s">
        <v>284</v>
      </c>
      <c r="D48" t="s">
        <v>285</v>
      </c>
      <c r="E48">
        <v>1</v>
      </c>
      <c r="G48">
        <v>0</v>
      </c>
      <c r="H48">
        <v>0</v>
      </c>
      <c r="I48">
        <v>3</v>
      </c>
      <c r="J48">
        <v>5</v>
      </c>
      <c r="K48">
        <v>0</v>
      </c>
    </row>
    <row r="49" spans="1:11" x14ac:dyDescent="0.3">
      <c r="A49" t="s">
        <v>364</v>
      </c>
      <c r="B49" t="s">
        <v>540</v>
      </c>
      <c r="C49" t="s">
        <v>225</v>
      </c>
      <c r="D49" t="s">
        <v>226</v>
      </c>
      <c r="E49">
        <v>1</v>
      </c>
      <c r="G49">
        <v>0</v>
      </c>
      <c r="H49">
        <v>0</v>
      </c>
      <c r="I49">
        <v>3</v>
      </c>
      <c r="J49">
        <v>5</v>
      </c>
      <c r="K49">
        <v>2</v>
      </c>
    </row>
    <row r="50" spans="1:11" x14ac:dyDescent="0.3">
      <c r="A50" t="s">
        <v>364</v>
      </c>
      <c r="B50" t="s">
        <v>540</v>
      </c>
      <c r="C50" t="s">
        <v>268</v>
      </c>
      <c r="D50" t="s">
        <v>267</v>
      </c>
      <c r="E50">
        <v>1</v>
      </c>
      <c r="G50">
        <v>0</v>
      </c>
      <c r="H50">
        <v>0</v>
      </c>
      <c r="I50">
        <v>3</v>
      </c>
      <c r="J50">
        <v>6</v>
      </c>
      <c r="K50">
        <v>11</v>
      </c>
    </row>
    <row r="51" spans="1:11" x14ac:dyDescent="0.3">
      <c r="A51" t="s">
        <v>364</v>
      </c>
      <c r="B51" t="s">
        <v>542</v>
      </c>
      <c r="C51" t="s">
        <v>231</v>
      </c>
      <c r="D51" t="s">
        <v>232</v>
      </c>
      <c r="E51">
        <v>3</v>
      </c>
      <c r="F51">
        <v>1</v>
      </c>
      <c r="G51">
        <v>8</v>
      </c>
      <c r="H51">
        <v>0</v>
      </c>
      <c r="I51">
        <v>12</v>
      </c>
      <c r="J51">
        <v>8</v>
      </c>
      <c r="K51">
        <v>79</v>
      </c>
    </row>
    <row r="52" spans="1:11" x14ac:dyDescent="0.3">
      <c r="A52" t="s">
        <v>364</v>
      </c>
      <c r="B52" t="s">
        <v>542</v>
      </c>
      <c r="C52" t="s">
        <v>237</v>
      </c>
      <c r="D52" t="s">
        <v>238</v>
      </c>
      <c r="E52">
        <v>1</v>
      </c>
      <c r="F52">
        <v>1</v>
      </c>
      <c r="G52">
        <v>8</v>
      </c>
      <c r="H52">
        <v>3</v>
      </c>
      <c r="I52">
        <v>3</v>
      </c>
      <c r="J52">
        <v>15</v>
      </c>
      <c r="K52">
        <v>49</v>
      </c>
    </row>
    <row r="53" spans="1:11" x14ac:dyDescent="0.3">
      <c r="A53" t="s">
        <v>364</v>
      </c>
      <c r="B53" t="s">
        <v>542</v>
      </c>
      <c r="C53" t="s">
        <v>217</v>
      </c>
      <c r="D53" t="s">
        <v>218</v>
      </c>
      <c r="E53">
        <v>2</v>
      </c>
      <c r="F53">
        <v>1</v>
      </c>
      <c r="G53">
        <v>24</v>
      </c>
      <c r="H53">
        <v>1</v>
      </c>
      <c r="I53">
        <v>9</v>
      </c>
      <c r="J53">
        <v>10</v>
      </c>
      <c r="K53">
        <v>30</v>
      </c>
    </row>
    <row r="54" spans="1:11" x14ac:dyDescent="0.3">
      <c r="A54" t="s">
        <v>364</v>
      </c>
      <c r="B54" t="s">
        <v>544</v>
      </c>
      <c r="C54" t="s">
        <v>549</v>
      </c>
      <c r="D54" t="s">
        <v>545</v>
      </c>
      <c r="E54">
        <v>5</v>
      </c>
      <c r="F54">
        <v>6</v>
      </c>
      <c r="G54">
        <v>7</v>
      </c>
      <c r="H54">
        <v>0</v>
      </c>
      <c r="I54">
        <v>22</v>
      </c>
      <c r="J54">
        <v>5</v>
      </c>
      <c r="K54">
        <v>11</v>
      </c>
    </row>
    <row r="55" spans="1:11" x14ac:dyDescent="0.3">
      <c r="A55" t="s">
        <v>365</v>
      </c>
      <c r="B55" t="s">
        <v>537</v>
      </c>
      <c r="C55" t="s">
        <v>239</v>
      </c>
      <c r="D55" t="s">
        <v>240</v>
      </c>
      <c r="G55">
        <v>8</v>
      </c>
      <c r="H55">
        <v>25</v>
      </c>
      <c r="J55">
        <v>0</v>
      </c>
      <c r="K55">
        <v>4</v>
      </c>
    </row>
    <row r="56" spans="1:11" x14ac:dyDescent="0.3">
      <c r="A56" t="s">
        <v>365</v>
      </c>
      <c r="B56" t="s">
        <v>537</v>
      </c>
      <c r="C56" t="s">
        <v>243</v>
      </c>
      <c r="D56" t="s">
        <v>244</v>
      </c>
      <c r="G56">
        <v>11</v>
      </c>
      <c r="H56">
        <v>52</v>
      </c>
      <c r="J56">
        <v>0</v>
      </c>
      <c r="K56">
        <v>6</v>
      </c>
    </row>
    <row r="57" spans="1:11" x14ac:dyDescent="0.3">
      <c r="A57" t="s">
        <v>365</v>
      </c>
      <c r="B57" t="s">
        <v>537</v>
      </c>
      <c r="C57" t="s">
        <v>248</v>
      </c>
      <c r="D57" t="s">
        <v>249</v>
      </c>
      <c r="G57">
        <v>9</v>
      </c>
      <c r="H57">
        <v>39</v>
      </c>
      <c r="J57">
        <v>0</v>
      </c>
      <c r="K57">
        <v>8</v>
      </c>
    </row>
    <row r="58" spans="1:11" x14ac:dyDescent="0.3">
      <c r="A58" t="s">
        <v>365</v>
      </c>
      <c r="B58" t="s">
        <v>537</v>
      </c>
      <c r="C58" t="s">
        <v>254</v>
      </c>
      <c r="D58" t="s">
        <v>255</v>
      </c>
      <c r="G58">
        <v>3</v>
      </c>
      <c r="H58">
        <v>21</v>
      </c>
      <c r="J58">
        <v>0</v>
      </c>
      <c r="K58">
        <v>4</v>
      </c>
    </row>
    <row r="59" spans="1:11" x14ac:dyDescent="0.3">
      <c r="A59" t="s">
        <v>365</v>
      </c>
      <c r="B59" t="s">
        <v>537</v>
      </c>
      <c r="C59" t="s">
        <v>258</v>
      </c>
      <c r="D59" t="s">
        <v>259</v>
      </c>
      <c r="G59">
        <v>13</v>
      </c>
      <c r="H59">
        <v>35</v>
      </c>
      <c r="J59">
        <v>0</v>
      </c>
      <c r="K59">
        <v>9</v>
      </c>
    </row>
    <row r="60" spans="1:11" x14ac:dyDescent="0.3">
      <c r="A60" t="s">
        <v>365</v>
      </c>
      <c r="B60" t="s">
        <v>537</v>
      </c>
      <c r="C60" t="s">
        <v>282</v>
      </c>
      <c r="D60" t="s">
        <v>283</v>
      </c>
      <c r="G60">
        <v>0</v>
      </c>
      <c r="H60">
        <v>0</v>
      </c>
      <c r="J60">
        <v>0</v>
      </c>
      <c r="K60">
        <v>0</v>
      </c>
    </row>
    <row r="61" spans="1:11" x14ac:dyDescent="0.3">
      <c r="A61" t="s">
        <v>365</v>
      </c>
      <c r="B61" t="s">
        <v>537</v>
      </c>
      <c r="C61" t="s">
        <v>262</v>
      </c>
      <c r="D61" t="s">
        <v>263</v>
      </c>
      <c r="G61">
        <v>17</v>
      </c>
      <c r="H61">
        <v>60</v>
      </c>
      <c r="J61">
        <v>2</v>
      </c>
      <c r="K61">
        <v>15</v>
      </c>
    </row>
    <row r="62" spans="1:11" x14ac:dyDescent="0.3">
      <c r="A62" t="s">
        <v>365</v>
      </c>
      <c r="B62" t="s">
        <v>537</v>
      </c>
      <c r="C62" t="s">
        <v>272</v>
      </c>
      <c r="D62" t="s">
        <v>273</v>
      </c>
      <c r="G62">
        <v>11</v>
      </c>
      <c r="H62">
        <v>57</v>
      </c>
      <c r="J62">
        <v>1</v>
      </c>
      <c r="K62">
        <v>12</v>
      </c>
    </row>
    <row r="63" spans="1:11" x14ac:dyDescent="0.3">
      <c r="A63" t="s">
        <v>365</v>
      </c>
      <c r="B63" t="s">
        <v>537</v>
      </c>
      <c r="C63" t="s">
        <v>276</v>
      </c>
      <c r="D63" t="s">
        <v>277</v>
      </c>
      <c r="G63">
        <v>16</v>
      </c>
      <c r="H63">
        <v>49</v>
      </c>
      <c r="J63">
        <v>0</v>
      </c>
      <c r="K63">
        <v>12</v>
      </c>
    </row>
    <row r="64" spans="1:11" x14ac:dyDescent="0.3">
      <c r="A64" t="s">
        <v>365</v>
      </c>
      <c r="B64" t="s">
        <v>537</v>
      </c>
      <c r="C64" t="s">
        <v>278</v>
      </c>
      <c r="D64" t="s">
        <v>279</v>
      </c>
      <c r="G64">
        <v>4</v>
      </c>
      <c r="H64">
        <v>26</v>
      </c>
      <c r="J64">
        <v>0</v>
      </c>
      <c r="K64">
        <v>5</v>
      </c>
    </row>
    <row r="65" spans="1:11" x14ac:dyDescent="0.3">
      <c r="A65" t="s">
        <v>365</v>
      </c>
      <c r="B65" t="s">
        <v>537</v>
      </c>
      <c r="C65" t="s">
        <v>280</v>
      </c>
      <c r="D65" t="s">
        <v>281</v>
      </c>
      <c r="G65">
        <v>3</v>
      </c>
      <c r="H65">
        <v>14</v>
      </c>
      <c r="J65">
        <v>0</v>
      </c>
      <c r="K65">
        <v>4</v>
      </c>
    </row>
    <row r="66" spans="1:11" x14ac:dyDescent="0.3">
      <c r="A66" t="s">
        <v>365</v>
      </c>
      <c r="B66" t="s">
        <v>537</v>
      </c>
      <c r="C66" t="s">
        <v>286</v>
      </c>
      <c r="D66" t="s">
        <v>287</v>
      </c>
      <c r="G66">
        <v>14</v>
      </c>
      <c r="H66">
        <v>50</v>
      </c>
      <c r="J66">
        <v>0</v>
      </c>
      <c r="K66">
        <v>14</v>
      </c>
    </row>
    <row r="67" spans="1:11" x14ac:dyDescent="0.3">
      <c r="A67" t="s">
        <v>365</v>
      </c>
      <c r="B67" t="s">
        <v>537</v>
      </c>
      <c r="C67" t="s">
        <v>291</v>
      </c>
      <c r="D67" t="s">
        <v>292</v>
      </c>
      <c r="G67">
        <v>0</v>
      </c>
      <c r="H67">
        <v>0</v>
      </c>
      <c r="J67">
        <v>0</v>
      </c>
      <c r="K67">
        <v>0</v>
      </c>
    </row>
    <row r="68" spans="1:11" x14ac:dyDescent="0.3">
      <c r="A68" t="s">
        <v>365</v>
      </c>
      <c r="B68" t="s">
        <v>537</v>
      </c>
      <c r="C68" t="s">
        <v>293</v>
      </c>
      <c r="D68" t="s">
        <v>294</v>
      </c>
      <c r="G68">
        <v>16</v>
      </c>
      <c r="H68">
        <v>58</v>
      </c>
      <c r="J68">
        <v>1</v>
      </c>
      <c r="K68">
        <v>11</v>
      </c>
    </row>
    <row r="69" spans="1:11" x14ac:dyDescent="0.3">
      <c r="A69" t="s">
        <v>365</v>
      </c>
      <c r="B69" t="s">
        <v>537</v>
      </c>
      <c r="C69" t="s">
        <v>297</v>
      </c>
      <c r="D69" t="s">
        <v>298</v>
      </c>
      <c r="G69">
        <v>11</v>
      </c>
      <c r="H69">
        <v>51</v>
      </c>
      <c r="J69">
        <v>0</v>
      </c>
      <c r="K69">
        <v>11</v>
      </c>
    </row>
    <row r="70" spans="1:11" x14ac:dyDescent="0.3">
      <c r="A70" t="s">
        <v>365</v>
      </c>
      <c r="B70" t="s">
        <v>537</v>
      </c>
      <c r="C70" t="s">
        <v>299</v>
      </c>
      <c r="D70" t="s">
        <v>300</v>
      </c>
      <c r="G70">
        <v>0</v>
      </c>
      <c r="H70">
        <v>0</v>
      </c>
      <c r="J70">
        <v>0</v>
      </c>
      <c r="K70">
        <v>0</v>
      </c>
    </row>
    <row r="71" spans="1:11" x14ac:dyDescent="0.3">
      <c r="A71" t="s">
        <v>365</v>
      </c>
      <c r="B71" t="s">
        <v>537</v>
      </c>
      <c r="C71" t="s">
        <v>301</v>
      </c>
      <c r="D71" t="s">
        <v>302</v>
      </c>
      <c r="G71">
        <v>9</v>
      </c>
      <c r="H71">
        <v>43</v>
      </c>
      <c r="J71">
        <v>0</v>
      </c>
      <c r="K71">
        <v>8</v>
      </c>
    </row>
    <row r="72" spans="1:11" x14ac:dyDescent="0.3">
      <c r="A72" t="s">
        <v>365</v>
      </c>
      <c r="B72" t="s">
        <v>537</v>
      </c>
      <c r="C72" t="s">
        <v>303</v>
      </c>
      <c r="D72" t="s">
        <v>304</v>
      </c>
      <c r="G72">
        <v>35</v>
      </c>
      <c r="H72">
        <v>126</v>
      </c>
      <c r="J72">
        <v>2</v>
      </c>
      <c r="K72">
        <v>24</v>
      </c>
    </row>
    <row r="73" spans="1:11" x14ac:dyDescent="0.3">
      <c r="A73" t="s">
        <v>365</v>
      </c>
      <c r="B73" t="s">
        <v>537</v>
      </c>
      <c r="C73" t="s">
        <v>306</v>
      </c>
      <c r="D73" t="s">
        <v>307</v>
      </c>
      <c r="G73">
        <v>10</v>
      </c>
      <c r="H73">
        <v>37</v>
      </c>
      <c r="J73">
        <v>0</v>
      </c>
      <c r="K73">
        <v>8</v>
      </c>
    </row>
    <row r="74" spans="1:11" x14ac:dyDescent="0.3">
      <c r="A74" t="s">
        <v>365</v>
      </c>
      <c r="B74" t="s">
        <v>537</v>
      </c>
      <c r="C74" t="s">
        <v>214</v>
      </c>
      <c r="D74" t="s">
        <v>215</v>
      </c>
      <c r="G74">
        <v>25</v>
      </c>
      <c r="H74">
        <v>122</v>
      </c>
      <c r="J74">
        <v>0</v>
      </c>
      <c r="K74">
        <v>26</v>
      </c>
    </row>
    <row r="75" spans="1:11" x14ac:dyDescent="0.3">
      <c r="A75" t="s">
        <v>365</v>
      </c>
      <c r="B75" t="s">
        <v>537</v>
      </c>
      <c r="C75" t="s">
        <v>219</v>
      </c>
      <c r="D75" t="s">
        <v>220</v>
      </c>
      <c r="G75">
        <v>3</v>
      </c>
      <c r="H75">
        <v>18</v>
      </c>
      <c r="J75">
        <v>0</v>
      </c>
      <c r="K75">
        <v>2</v>
      </c>
    </row>
    <row r="76" spans="1:11" x14ac:dyDescent="0.3">
      <c r="A76" t="s">
        <v>365</v>
      </c>
      <c r="B76" t="s">
        <v>537</v>
      </c>
      <c r="C76" t="s">
        <v>227</v>
      </c>
      <c r="D76" t="s">
        <v>228</v>
      </c>
      <c r="G76">
        <v>10</v>
      </c>
      <c r="H76">
        <v>27</v>
      </c>
      <c r="J76">
        <v>2</v>
      </c>
      <c r="K76">
        <v>15</v>
      </c>
    </row>
    <row r="77" spans="1:11" x14ac:dyDescent="0.3">
      <c r="A77" t="s">
        <v>365</v>
      </c>
      <c r="B77" t="s">
        <v>537</v>
      </c>
      <c r="C77" t="s">
        <v>233</v>
      </c>
      <c r="D77" t="s">
        <v>234</v>
      </c>
      <c r="G77">
        <v>64</v>
      </c>
      <c r="H77">
        <v>257</v>
      </c>
      <c r="J77">
        <v>1</v>
      </c>
      <c r="K77">
        <v>26</v>
      </c>
    </row>
    <row r="78" spans="1:11" x14ac:dyDescent="0.3">
      <c r="A78" t="s">
        <v>365</v>
      </c>
      <c r="B78" t="s">
        <v>537</v>
      </c>
      <c r="C78" t="s">
        <v>295</v>
      </c>
      <c r="D78" t="s">
        <v>296</v>
      </c>
      <c r="G78">
        <v>23</v>
      </c>
      <c r="H78">
        <v>72</v>
      </c>
      <c r="J78">
        <v>0</v>
      </c>
      <c r="K78">
        <v>20</v>
      </c>
    </row>
    <row r="79" spans="1:11" x14ac:dyDescent="0.3">
      <c r="A79" t="s">
        <v>365</v>
      </c>
      <c r="B79" t="s">
        <v>537</v>
      </c>
      <c r="C79" t="s">
        <v>308</v>
      </c>
      <c r="D79" t="s">
        <v>309</v>
      </c>
      <c r="G79">
        <v>20</v>
      </c>
      <c r="H79">
        <v>45</v>
      </c>
      <c r="J79">
        <v>0</v>
      </c>
      <c r="K79">
        <v>9</v>
      </c>
    </row>
    <row r="80" spans="1:11" x14ac:dyDescent="0.3">
      <c r="A80" t="s">
        <v>365</v>
      </c>
      <c r="B80" t="s">
        <v>537</v>
      </c>
      <c r="C80" t="s">
        <v>310</v>
      </c>
      <c r="D80" t="s">
        <v>311</v>
      </c>
      <c r="G80">
        <v>9</v>
      </c>
      <c r="H80">
        <v>59</v>
      </c>
      <c r="J80">
        <v>1</v>
      </c>
      <c r="K80">
        <v>10</v>
      </c>
    </row>
    <row r="81" spans="1:11" x14ac:dyDescent="0.3">
      <c r="A81" t="s">
        <v>365</v>
      </c>
      <c r="B81" t="s">
        <v>537</v>
      </c>
      <c r="C81" t="s">
        <v>223</v>
      </c>
      <c r="D81" t="s">
        <v>224</v>
      </c>
      <c r="G81">
        <v>0</v>
      </c>
      <c r="H81">
        <v>22</v>
      </c>
      <c r="J81">
        <v>1</v>
      </c>
      <c r="K81">
        <v>4</v>
      </c>
    </row>
    <row r="82" spans="1:11" x14ac:dyDescent="0.3">
      <c r="A82" t="s">
        <v>365</v>
      </c>
      <c r="B82" t="s">
        <v>537</v>
      </c>
      <c r="C82" t="s">
        <v>246</v>
      </c>
      <c r="D82" t="s">
        <v>247</v>
      </c>
      <c r="G82">
        <v>27</v>
      </c>
      <c r="H82">
        <v>158</v>
      </c>
      <c r="J82">
        <v>1</v>
      </c>
      <c r="K82">
        <v>21</v>
      </c>
    </row>
    <row r="83" spans="1:11" x14ac:dyDescent="0.3">
      <c r="A83" t="s">
        <v>365</v>
      </c>
      <c r="B83" t="s">
        <v>537</v>
      </c>
      <c r="C83" t="s">
        <v>288</v>
      </c>
      <c r="D83" t="s">
        <v>289</v>
      </c>
      <c r="G83">
        <v>37</v>
      </c>
      <c r="H83">
        <v>125</v>
      </c>
      <c r="J83">
        <v>1</v>
      </c>
      <c r="K83">
        <v>24</v>
      </c>
    </row>
    <row r="84" spans="1:11" x14ac:dyDescent="0.3">
      <c r="A84" t="s">
        <v>365</v>
      </c>
      <c r="B84" t="s">
        <v>537</v>
      </c>
      <c r="C84" t="s">
        <v>252</v>
      </c>
      <c r="D84" t="s">
        <v>253</v>
      </c>
      <c r="G84">
        <v>14</v>
      </c>
      <c r="H84">
        <v>44</v>
      </c>
      <c r="J84">
        <v>0</v>
      </c>
      <c r="K84">
        <v>14</v>
      </c>
    </row>
    <row r="85" spans="1:11" x14ac:dyDescent="0.3">
      <c r="A85" t="s">
        <v>365</v>
      </c>
      <c r="B85" t="s">
        <v>537</v>
      </c>
      <c r="C85" t="s">
        <v>269</v>
      </c>
      <c r="D85" t="s">
        <v>270</v>
      </c>
      <c r="G85">
        <v>116</v>
      </c>
      <c r="H85">
        <v>362</v>
      </c>
      <c r="J85">
        <v>1</v>
      </c>
      <c r="K85">
        <v>65</v>
      </c>
    </row>
    <row r="86" spans="1:11" x14ac:dyDescent="0.3">
      <c r="A86" t="s">
        <v>365</v>
      </c>
      <c r="B86" t="s">
        <v>537</v>
      </c>
      <c r="C86" t="s">
        <v>266</v>
      </c>
      <c r="D86" t="s">
        <v>267</v>
      </c>
      <c r="G86">
        <v>54</v>
      </c>
      <c r="H86">
        <v>209</v>
      </c>
      <c r="J86">
        <v>0</v>
      </c>
      <c r="K86">
        <v>25</v>
      </c>
    </row>
    <row r="87" spans="1:11" x14ac:dyDescent="0.3">
      <c r="A87" t="s">
        <v>365</v>
      </c>
      <c r="B87" t="s">
        <v>540</v>
      </c>
      <c r="C87" t="s">
        <v>216</v>
      </c>
      <c r="D87" t="s">
        <v>215</v>
      </c>
      <c r="E87">
        <v>1</v>
      </c>
      <c r="G87">
        <v>0</v>
      </c>
      <c r="H87">
        <v>0</v>
      </c>
      <c r="I87">
        <v>3</v>
      </c>
      <c r="J87">
        <v>7</v>
      </c>
      <c r="K87">
        <v>7</v>
      </c>
    </row>
    <row r="88" spans="1:11" x14ac:dyDescent="0.3">
      <c r="A88" t="s">
        <v>365</v>
      </c>
      <c r="B88" t="s">
        <v>540</v>
      </c>
      <c r="C88" t="s">
        <v>221</v>
      </c>
      <c r="D88" t="s">
        <v>222</v>
      </c>
      <c r="E88">
        <v>1</v>
      </c>
      <c r="G88">
        <v>0</v>
      </c>
      <c r="H88">
        <v>2</v>
      </c>
      <c r="I88">
        <v>1</v>
      </c>
      <c r="J88">
        <v>4</v>
      </c>
      <c r="K88">
        <v>10</v>
      </c>
    </row>
    <row r="89" spans="1:11" x14ac:dyDescent="0.3">
      <c r="A89" t="s">
        <v>365</v>
      </c>
      <c r="B89" t="s">
        <v>540</v>
      </c>
      <c r="C89" t="s">
        <v>229</v>
      </c>
      <c r="D89" t="s">
        <v>230</v>
      </c>
      <c r="E89">
        <v>1</v>
      </c>
      <c r="G89">
        <v>0</v>
      </c>
      <c r="H89">
        <v>1</v>
      </c>
      <c r="I89">
        <v>7</v>
      </c>
      <c r="J89">
        <v>5</v>
      </c>
      <c r="K89">
        <v>7</v>
      </c>
    </row>
    <row r="90" spans="1:11" x14ac:dyDescent="0.3">
      <c r="A90" t="s">
        <v>365</v>
      </c>
      <c r="B90" t="s">
        <v>540</v>
      </c>
      <c r="C90" t="s">
        <v>245</v>
      </c>
      <c r="D90" t="s">
        <v>244</v>
      </c>
      <c r="E90">
        <v>0</v>
      </c>
      <c r="G90">
        <v>0</v>
      </c>
      <c r="H90">
        <v>1</v>
      </c>
      <c r="I90">
        <v>2</v>
      </c>
      <c r="J90">
        <v>5</v>
      </c>
      <c r="K90">
        <v>10</v>
      </c>
    </row>
    <row r="91" spans="1:11" x14ac:dyDescent="0.3">
      <c r="A91" t="s">
        <v>365</v>
      </c>
      <c r="B91" t="s">
        <v>540</v>
      </c>
      <c r="C91" t="s">
        <v>250</v>
      </c>
      <c r="D91" t="s">
        <v>251</v>
      </c>
      <c r="E91">
        <v>1</v>
      </c>
      <c r="G91">
        <v>0</v>
      </c>
      <c r="H91">
        <v>0</v>
      </c>
      <c r="I91">
        <v>7</v>
      </c>
      <c r="J91">
        <v>7</v>
      </c>
      <c r="K91">
        <v>5</v>
      </c>
    </row>
    <row r="92" spans="1:11" x14ac:dyDescent="0.3">
      <c r="A92" t="s">
        <v>365</v>
      </c>
      <c r="B92" t="s">
        <v>540</v>
      </c>
      <c r="C92" t="s">
        <v>256</v>
      </c>
      <c r="D92" t="s">
        <v>257</v>
      </c>
      <c r="E92">
        <v>1</v>
      </c>
      <c r="G92">
        <v>0</v>
      </c>
      <c r="H92">
        <v>4</v>
      </c>
      <c r="I92">
        <v>5</v>
      </c>
      <c r="J92">
        <v>1</v>
      </c>
      <c r="K92">
        <v>6</v>
      </c>
    </row>
    <row r="93" spans="1:11" x14ac:dyDescent="0.3">
      <c r="A93" t="s">
        <v>365</v>
      </c>
      <c r="B93" t="s">
        <v>540</v>
      </c>
      <c r="C93" t="s">
        <v>260</v>
      </c>
      <c r="D93" t="s">
        <v>261</v>
      </c>
      <c r="E93">
        <v>1</v>
      </c>
      <c r="G93">
        <v>0</v>
      </c>
      <c r="H93">
        <v>0</v>
      </c>
      <c r="I93">
        <v>3</v>
      </c>
      <c r="J93">
        <v>5</v>
      </c>
      <c r="K93">
        <v>3</v>
      </c>
    </row>
    <row r="94" spans="1:11" x14ac:dyDescent="0.3">
      <c r="A94" t="s">
        <v>365</v>
      </c>
      <c r="B94" t="s">
        <v>540</v>
      </c>
      <c r="C94" t="s">
        <v>235</v>
      </c>
      <c r="D94" t="s">
        <v>236</v>
      </c>
      <c r="E94">
        <v>2</v>
      </c>
      <c r="G94">
        <v>2</v>
      </c>
      <c r="H94">
        <v>2</v>
      </c>
      <c r="I94">
        <v>8</v>
      </c>
      <c r="J94">
        <v>4</v>
      </c>
      <c r="K94">
        <v>6</v>
      </c>
    </row>
    <row r="95" spans="1:11" x14ac:dyDescent="0.3">
      <c r="A95" t="s">
        <v>365</v>
      </c>
      <c r="B95" t="s">
        <v>540</v>
      </c>
      <c r="C95" t="s">
        <v>264</v>
      </c>
      <c r="D95" t="s">
        <v>265</v>
      </c>
      <c r="E95">
        <v>1</v>
      </c>
      <c r="G95">
        <v>0</v>
      </c>
      <c r="H95">
        <v>1</v>
      </c>
      <c r="I95">
        <v>3</v>
      </c>
      <c r="J95">
        <v>3</v>
      </c>
      <c r="K95">
        <v>5</v>
      </c>
    </row>
    <row r="96" spans="1:11" x14ac:dyDescent="0.3">
      <c r="A96" t="s">
        <v>365</v>
      </c>
      <c r="B96" t="s">
        <v>540</v>
      </c>
      <c r="C96" t="s">
        <v>271</v>
      </c>
      <c r="D96" t="s">
        <v>270</v>
      </c>
      <c r="E96">
        <v>1</v>
      </c>
      <c r="G96">
        <v>1</v>
      </c>
      <c r="H96">
        <v>2</v>
      </c>
      <c r="I96">
        <v>4</v>
      </c>
      <c r="J96">
        <v>8</v>
      </c>
      <c r="K96">
        <v>9</v>
      </c>
    </row>
    <row r="97" spans="1:11" x14ac:dyDescent="0.3">
      <c r="A97" t="s">
        <v>365</v>
      </c>
      <c r="B97" t="s">
        <v>540</v>
      </c>
      <c r="C97" t="s">
        <v>274</v>
      </c>
      <c r="D97" t="s">
        <v>275</v>
      </c>
      <c r="E97">
        <v>1</v>
      </c>
      <c r="G97">
        <v>0</v>
      </c>
      <c r="H97">
        <v>0</v>
      </c>
      <c r="I97">
        <v>6</v>
      </c>
      <c r="J97">
        <v>5</v>
      </c>
      <c r="K97">
        <v>1</v>
      </c>
    </row>
    <row r="98" spans="1:11" x14ac:dyDescent="0.3">
      <c r="A98" t="s">
        <v>365</v>
      </c>
      <c r="B98" t="s">
        <v>540</v>
      </c>
      <c r="C98" t="s">
        <v>290</v>
      </c>
      <c r="D98" t="s">
        <v>289</v>
      </c>
      <c r="E98">
        <v>2</v>
      </c>
      <c r="G98">
        <v>1</v>
      </c>
      <c r="H98">
        <v>1</v>
      </c>
      <c r="I98">
        <v>3</v>
      </c>
      <c r="J98">
        <v>5</v>
      </c>
      <c r="K98">
        <v>4</v>
      </c>
    </row>
    <row r="99" spans="1:11" x14ac:dyDescent="0.3">
      <c r="A99" t="s">
        <v>365</v>
      </c>
      <c r="B99" t="s">
        <v>540</v>
      </c>
      <c r="C99" t="s">
        <v>305</v>
      </c>
      <c r="D99" t="s">
        <v>304</v>
      </c>
      <c r="E99">
        <v>1</v>
      </c>
      <c r="G99">
        <v>0</v>
      </c>
      <c r="H99">
        <v>0</v>
      </c>
      <c r="I99">
        <v>4</v>
      </c>
      <c r="J99">
        <v>2</v>
      </c>
      <c r="K99">
        <v>3</v>
      </c>
    </row>
    <row r="100" spans="1:11" x14ac:dyDescent="0.3">
      <c r="A100" t="s">
        <v>365</v>
      </c>
      <c r="B100" t="s">
        <v>540</v>
      </c>
      <c r="C100" t="s">
        <v>241</v>
      </c>
      <c r="D100" t="s">
        <v>242</v>
      </c>
      <c r="E100">
        <v>0</v>
      </c>
      <c r="G100">
        <v>0</v>
      </c>
      <c r="H100">
        <v>0</v>
      </c>
      <c r="I100">
        <v>1</v>
      </c>
      <c r="J100">
        <v>4</v>
      </c>
      <c r="K100">
        <v>0</v>
      </c>
    </row>
    <row r="101" spans="1:11" x14ac:dyDescent="0.3">
      <c r="A101" t="s">
        <v>365</v>
      </c>
      <c r="B101" t="s">
        <v>540</v>
      </c>
      <c r="C101" t="s">
        <v>284</v>
      </c>
      <c r="D101" t="s">
        <v>285</v>
      </c>
      <c r="E101">
        <v>1</v>
      </c>
      <c r="G101">
        <v>0</v>
      </c>
      <c r="H101">
        <v>0</v>
      </c>
      <c r="I101">
        <v>3</v>
      </c>
      <c r="J101">
        <v>3</v>
      </c>
      <c r="K101">
        <v>0</v>
      </c>
    </row>
    <row r="102" spans="1:11" x14ac:dyDescent="0.3">
      <c r="A102" t="s">
        <v>365</v>
      </c>
      <c r="B102" t="s">
        <v>540</v>
      </c>
      <c r="C102" t="s">
        <v>225</v>
      </c>
      <c r="D102" t="s">
        <v>226</v>
      </c>
      <c r="E102">
        <v>1</v>
      </c>
      <c r="G102">
        <v>0</v>
      </c>
      <c r="H102">
        <v>0</v>
      </c>
      <c r="I102">
        <v>3</v>
      </c>
      <c r="J102">
        <v>5</v>
      </c>
      <c r="K102">
        <v>3</v>
      </c>
    </row>
    <row r="103" spans="1:11" x14ac:dyDescent="0.3">
      <c r="A103" t="s">
        <v>365</v>
      </c>
      <c r="B103" t="s">
        <v>540</v>
      </c>
      <c r="C103" t="s">
        <v>268</v>
      </c>
      <c r="D103" t="s">
        <v>267</v>
      </c>
      <c r="E103">
        <v>2</v>
      </c>
      <c r="G103">
        <v>0</v>
      </c>
      <c r="H103">
        <v>0</v>
      </c>
      <c r="I103">
        <v>2</v>
      </c>
      <c r="J103">
        <v>6</v>
      </c>
      <c r="K103">
        <v>11</v>
      </c>
    </row>
    <row r="104" spans="1:11" x14ac:dyDescent="0.3">
      <c r="A104" t="s">
        <v>365</v>
      </c>
      <c r="B104" t="s">
        <v>542</v>
      </c>
      <c r="C104" t="s">
        <v>231</v>
      </c>
      <c r="D104" t="s">
        <v>232</v>
      </c>
      <c r="E104">
        <v>2</v>
      </c>
      <c r="G104">
        <v>9</v>
      </c>
      <c r="H104">
        <v>0</v>
      </c>
      <c r="I104">
        <v>15</v>
      </c>
      <c r="J104">
        <v>4</v>
      </c>
      <c r="K104">
        <v>75</v>
      </c>
    </row>
    <row r="105" spans="1:11" x14ac:dyDescent="0.3">
      <c r="A105" t="s">
        <v>365</v>
      </c>
      <c r="B105" t="s">
        <v>542</v>
      </c>
      <c r="C105" t="s">
        <v>237</v>
      </c>
      <c r="D105" t="s">
        <v>238</v>
      </c>
      <c r="E105">
        <v>1</v>
      </c>
      <c r="G105">
        <v>4</v>
      </c>
      <c r="H105">
        <v>6</v>
      </c>
      <c r="I105">
        <v>4</v>
      </c>
      <c r="J105">
        <v>17</v>
      </c>
      <c r="K105">
        <v>46</v>
      </c>
    </row>
    <row r="106" spans="1:11" x14ac:dyDescent="0.3">
      <c r="A106" t="s">
        <v>365</v>
      </c>
      <c r="B106" t="s">
        <v>542</v>
      </c>
      <c r="C106" t="s">
        <v>217</v>
      </c>
      <c r="D106" t="s">
        <v>218</v>
      </c>
      <c r="E106">
        <v>1</v>
      </c>
      <c r="G106">
        <v>21</v>
      </c>
      <c r="H106">
        <v>1</v>
      </c>
      <c r="I106">
        <v>7</v>
      </c>
      <c r="J106">
        <v>10</v>
      </c>
      <c r="K106">
        <v>26</v>
      </c>
    </row>
    <row r="107" spans="1:11" x14ac:dyDescent="0.3">
      <c r="A107" t="s">
        <v>365</v>
      </c>
      <c r="B107" t="s">
        <v>544</v>
      </c>
      <c r="C107" t="s">
        <v>549</v>
      </c>
      <c r="D107" t="s">
        <v>545</v>
      </c>
      <c r="E107">
        <v>11</v>
      </c>
      <c r="F107">
        <v>7</v>
      </c>
      <c r="G107">
        <v>4</v>
      </c>
      <c r="H107">
        <v>1</v>
      </c>
      <c r="I107">
        <v>12</v>
      </c>
      <c r="J107">
        <v>6</v>
      </c>
      <c r="K107">
        <v>11</v>
      </c>
    </row>
    <row r="108" spans="1:11" x14ac:dyDescent="0.3">
      <c r="A108" t="s">
        <v>366</v>
      </c>
      <c r="B108" t="s">
        <v>537</v>
      </c>
      <c r="C108" t="s">
        <v>239</v>
      </c>
      <c r="D108" t="s">
        <v>240</v>
      </c>
      <c r="G108">
        <v>5</v>
      </c>
      <c r="H108">
        <v>17</v>
      </c>
      <c r="J108">
        <v>0</v>
      </c>
      <c r="K108">
        <v>4</v>
      </c>
    </row>
    <row r="109" spans="1:11" x14ac:dyDescent="0.3">
      <c r="A109" t="s">
        <v>366</v>
      </c>
      <c r="B109" t="s">
        <v>537</v>
      </c>
      <c r="C109" t="s">
        <v>243</v>
      </c>
      <c r="D109" t="s">
        <v>244</v>
      </c>
      <c r="G109">
        <v>14</v>
      </c>
      <c r="H109">
        <v>48</v>
      </c>
      <c r="J109">
        <v>0</v>
      </c>
      <c r="K109">
        <v>3</v>
      </c>
    </row>
    <row r="110" spans="1:11" x14ac:dyDescent="0.3">
      <c r="A110" t="s">
        <v>366</v>
      </c>
      <c r="B110" t="s">
        <v>537</v>
      </c>
      <c r="C110" t="s">
        <v>248</v>
      </c>
      <c r="D110" t="s">
        <v>249</v>
      </c>
      <c r="G110">
        <v>7</v>
      </c>
      <c r="H110">
        <v>41</v>
      </c>
      <c r="J110">
        <v>0</v>
      </c>
      <c r="K110">
        <v>5</v>
      </c>
    </row>
    <row r="111" spans="1:11" x14ac:dyDescent="0.3">
      <c r="A111" t="s">
        <v>366</v>
      </c>
      <c r="B111" t="s">
        <v>537</v>
      </c>
      <c r="C111" t="s">
        <v>254</v>
      </c>
      <c r="D111" t="s">
        <v>255</v>
      </c>
      <c r="G111">
        <v>4</v>
      </c>
      <c r="H111">
        <v>19</v>
      </c>
      <c r="J111">
        <v>0</v>
      </c>
      <c r="K111">
        <v>4</v>
      </c>
    </row>
    <row r="112" spans="1:11" x14ac:dyDescent="0.3">
      <c r="A112" t="s">
        <v>366</v>
      </c>
      <c r="B112" t="s">
        <v>537</v>
      </c>
      <c r="C112" t="s">
        <v>258</v>
      </c>
      <c r="D112" t="s">
        <v>259</v>
      </c>
      <c r="G112">
        <v>10</v>
      </c>
      <c r="H112">
        <v>34</v>
      </c>
      <c r="J112">
        <v>0</v>
      </c>
      <c r="K112">
        <v>9</v>
      </c>
    </row>
    <row r="113" spans="1:11" x14ac:dyDescent="0.3">
      <c r="A113" t="s">
        <v>366</v>
      </c>
      <c r="B113" t="s">
        <v>537</v>
      </c>
      <c r="C113" t="s">
        <v>282</v>
      </c>
      <c r="D113" t="s">
        <v>283</v>
      </c>
      <c r="G113">
        <v>0</v>
      </c>
      <c r="H113">
        <v>0</v>
      </c>
      <c r="J113">
        <v>0</v>
      </c>
      <c r="K113">
        <v>0</v>
      </c>
    </row>
    <row r="114" spans="1:11" x14ac:dyDescent="0.3">
      <c r="A114" t="s">
        <v>366</v>
      </c>
      <c r="B114" t="s">
        <v>537</v>
      </c>
      <c r="C114" t="s">
        <v>262</v>
      </c>
      <c r="D114" t="s">
        <v>263</v>
      </c>
      <c r="G114">
        <v>17</v>
      </c>
      <c r="H114">
        <v>66</v>
      </c>
      <c r="J114">
        <v>0</v>
      </c>
      <c r="K114">
        <v>12</v>
      </c>
    </row>
    <row r="115" spans="1:11" x14ac:dyDescent="0.3">
      <c r="A115" t="s">
        <v>366</v>
      </c>
      <c r="B115" t="s">
        <v>537</v>
      </c>
      <c r="C115" t="s">
        <v>272</v>
      </c>
      <c r="D115" t="s">
        <v>273</v>
      </c>
      <c r="G115">
        <v>11</v>
      </c>
      <c r="H115">
        <v>53</v>
      </c>
      <c r="J115">
        <v>0</v>
      </c>
      <c r="K115">
        <v>4</v>
      </c>
    </row>
    <row r="116" spans="1:11" x14ac:dyDescent="0.3">
      <c r="A116" t="s">
        <v>366</v>
      </c>
      <c r="B116" t="s">
        <v>537</v>
      </c>
      <c r="C116" t="s">
        <v>276</v>
      </c>
      <c r="D116" t="s">
        <v>277</v>
      </c>
      <c r="G116">
        <v>12</v>
      </c>
      <c r="H116">
        <v>48</v>
      </c>
      <c r="J116">
        <v>1</v>
      </c>
      <c r="K116">
        <v>9</v>
      </c>
    </row>
    <row r="117" spans="1:11" x14ac:dyDescent="0.3">
      <c r="A117" t="s">
        <v>366</v>
      </c>
      <c r="B117" t="s">
        <v>537</v>
      </c>
      <c r="C117" t="s">
        <v>278</v>
      </c>
      <c r="D117" t="s">
        <v>279</v>
      </c>
      <c r="G117">
        <v>4</v>
      </c>
      <c r="H117">
        <v>16</v>
      </c>
      <c r="J117">
        <v>0</v>
      </c>
      <c r="K117">
        <v>3</v>
      </c>
    </row>
    <row r="118" spans="1:11" x14ac:dyDescent="0.3">
      <c r="A118" t="s">
        <v>366</v>
      </c>
      <c r="B118" t="s">
        <v>537</v>
      </c>
      <c r="C118" t="s">
        <v>280</v>
      </c>
      <c r="D118" t="s">
        <v>281</v>
      </c>
      <c r="G118">
        <v>5</v>
      </c>
      <c r="H118">
        <v>21</v>
      </c>
      <c r="J118">
        <v>0</v>
      </c>
      <c r="K118">
        <v>5</v>
      </c>
    </row>
    <row r="119" spans="1:11" x14ac:dyDescent="0.3">
      <c r="A119" t="s">
        <v>366</v>
      </c>
      <c r="B119" t="s">
        <v>537</v>
      </c>
      <c r="C119" t="s">
        <v>286</v>
      </c>
      <c r="D119" t="s">
        <v>287</v>
      </c>
      <c r="G119">
        <v>14</v>
      </c>
      <c r="H119">
        <v>52</v>
      </c>
      <c r="J119">
        <v>0</v>
      </c>
      <c r="K119">
        <v>12</v>
      </c>
    </row>
    <row r="120" spans="1:11" x14ac:dyDescent="0.3">
      <c r="A120" t="s">
        <v>366</v>
      </c>
      <c r="B120" t="s">
        <v>537</v>
      </c>
      <c r="C120" t="s">
        <v>291</v>
      </c>
      <c r="D120" t="s">
        <v>292</v>
      </c>
      <c r="G120">
        <v>0</v>
      </c>
      <c r="H120">
        <v>0</v>
      </c>
      <c r="J120">
        <v>0</v>
      </c>
      <c r="K120">
        <v>0</v>
      </c>
    </row>
    <row r="121" spans="1:11" x14ac:dyDescent="0.3">
      <c r="A121" t="s">
        <v>366</v>
      </c>
      <c r="B121" t="s">
        <v>537</v>
      </c>
      <c r="C121" t="s">
        <v>293</v>
      </c>
      <c r="D121" t="s">
        <v>294</v>
      </c>
      <c r="G121">
        <v>13</v>
      </c>
      <c r="H121">
        <v>56</v>
      </c>
      <c r="J121">
        <v>0</v>
      </c>
      <c r="K121">
        <v>4</v>
      </c>
    </row>
    <row r="122" spans="1:11" x14ac:dyDescent="0.3">
      <c r="A122" t="s">
        <v>366</v>
      </c>
      <c r="B122" t="s">
        <v>537</v>
      </c>
      <c r="C122" t="s">
        <v>297</v>
      </c>
      <c r="D122" t="s">
        <v>298</v>
      </c>
      <c r="G122">
        <v>12</v>
      </c>
      <c r="H122">
        <v>50</v>
      </c>
      <c r="J122">
        <v>0</v>
      </c>
      <c r="K122">
        <v>9</v>
      </c>
    </row>
    <row r="123" spans="1:11" x14ac:dyDescent="0.3">
      <c r="A123" t="s">
        <v>366</v>
      </c>
      <c r="B123" t="s">
        <v>537</v>
      </c>
      <c r="C123" t="s">
        <v>299</v>
      </c>
      <c r="D123" t="s">
        <v>300</v>
      </c>
      <c r="G123">
        <v>0</v>
      </c>
      <c r="H123">
        <v>0</v>
      </c>
      <c r="J123">
        <v>0</v>
      </c>
      <c r="K123">
        <v>0</v>
      </c>
    </row>
    <row r="124" spans="1:11" x14ac:dyDescent="0.3">
      <c r="A124" t="s">
        <v>366</v>
      </c>
      <c r="B124" t="s">
        <v>537</v>
      </c>
      <c r="C124" t="s">
        <v>301</v>
      </c>
      <c r="D124" t="s">
        <v>302</v>
      </c>
      <c r="G124">
        <v>10</v>
      </c>
      <c r="H124">
        <v>40</v>
      </c>
      <c r="J124">
        <v>0</v>
      </c>
      <c r="K124">
        <v>5</v>
      </c>
    </row>
    <row r="125" spans="1:11" x14ac:dyDescent="0.3">
      <c r="A125" t="s">
        <v>366</v>
      </c>
      <c r="B125" t="s">
        <v>537</v>
      </c>
      <c r="C125" t="s">
        <v>303</v>
      </c>
      <c r="D125" t="s">
        <v>304</v>
      </c>
      <c r="G125">
        <v>28</v>
      </c>
      <c r="H125">
        <v>132</v>
      </c>
      <c r="J125">
        <v>0</v>
      </c>
      <c r="K125">
        <v>18</v>
      </c>
    </row>
    <row r="126" spans="1:11" x14ac:dyDescent="0.3">
      <c r="A126" t="s">
        <v>366</v>
      </c>
      <c r="B126" t="s">
        <v>537</v>
      </c>
      <c r="C126" t="s">
        <v>306</v>
      </c>
      <c r="D126" t="s">
        <v>307</v>
      </c>
      <c r="G126">
        <v>9</v>
      </c>
      <c r="H126">
        <v>40</v>
      </c>
      <c r="J126">
        <v>0</v>
      </c>
      <c r="K126">
        <v>2</v>
      </c>
    </row>
    <row r="127" spans="1:11" x14ac:dyDescent="0.3">
      <c r="A127" t="s">
        <v>366</v>
      </c>
      <c r="B127" t="s">
        <v>537</v>
      </c>
      <c r="C127" t="s">
        <v>214</v>
      </c>
      <c r="D127" t="s">
        <v>215</v>
      </c>
      <c r="G127">
        <v>22</v>
      </c>
      <c r="H127">
        <v>109</v>
      </c>
      <c r="J127">
        <v>0</v>
      </c>
      <c r="K127">
        <v>13</v>
      </c>
    </row>
    <row r="128" spans="1:11" x14ac:dyDescent="0.3">
      <c r="A128" t="s">
        <v>366</v>
      </c>
      <c r="B128" t="s">
        <v>537</v>
      </c>
      <c r="C128" t="s">
        <v>219</v>
      </c>
      <c r="D128" t="s">
        <v>220</v>
      </c>
      <c r="G128">
        <v>6</v>
      </c>
      <c r="H128">
        <v>22</v>
      </c>
      <c r="J128">
        <v>0</v>
      </c>
      <c r="K128">
        <v>4</v>
      </c>
    </row>
    <row r="129" spans="1:11" x14ac:dyDescent="0.3">
      <c r="A129" t="s">
        <v>366</v>
      </c>
      <c r="B129" t="s">
        <v>537</v>
      </c>
      <c r="C129" t="s">
        <v>227</v>
      </c>
      <c r="D129" t="s">
        <v>228</v>
      </c>
      <c r="G129">
        <v>8</v>
      </c>
      <c r="H129">
        <v>37</v>
      </c>
      <c r="J129">
        <v>0</v>
      </c>
      <c r="K129">
        <v>10</v>
      </c>
    </row>
    <row r="130" spans="1:11" x14ac:dyDescent="0.3">
      <c r="A130" t="s">
        <v>366</v>
      </c>
      <c r="B130" t="s">
        <v>537</v>
      </c>
      <c r="C130" t="s">
        <v>233</v>
      </c>
      <c r="D130" t="s">
        <v>234</v>
      </c>
      <c r="G130">
        <v>48</v>
      </c>
      <c r="H130">
        <v>248</v>
      </c>
      <c r="J130">
        <v>0</v>
      </c>
      <c r="K130">
        <v>19</v>
      </c>
    </row>
    <row r="131" spans="1:11" x14ac:dyDescent="0.3">
      <c r="A131" t="s">
        <v>366</v>
      </c>
      <c r="B131" t="s">
        <v>537</v>
      </c>
      <c r="C131" t="s">
        <v>295</v>
      </c>
      <c r="D131" t="s">
        <v>296</v>
      </c>
      <c r="G131">
        <v>15</v>
      </c>
      <c r="H131">
        <v>62</v>
      </c>
      <c r="J131">
        <v>0</v>
      </c>
      <c r="K131">
        <v>15</v>
      </c>
    </row>
    <row r="132" spans="1:11" x14ac:dyDescent="0.3">
      <c r="A132" t="s">
        <v>366</v>
      </c>
      <c r="B132" t="s">
        <v>537</v>
      </c>
      <c r="C132" t="s">
        <v>308</v>
      </c>
      <c r="D132" t="s">
        <v>309</v>
      </c>
      <c r="G132">
        <v>11</v>
      </c>
      <c r="H132">
        <v>49</v>
      </c>
      <c r="J132">
        <v>0</v>
      </c>
      <c r="K132">
        <v>10</v>
      </c>
    </row>
    <row r="133" spans="1:11" x14ac:dyDescent="0.3">
      <c r="A133" t="s">
        <v>366</v>
      </c>
      <c r="B133" t="s">
        <v>537</v>
      </c>
      <c r="C133" t="s">
        <v>310</v>
      </c>
      <c r="D133" t="s">
        <v>311</v>
      </c>
      <c r="G133">
        <v>9</v>
      </c>
      <c r="H133">
        <v>44</v>
      </c>
      <c r="J133">
        <v>0</v>
      </c>
      <c r="K133">
        <v>8</v>
      </c>
    </row>
    <row r="134" spans="1:11" x14ac:dyDescent="0.3">
      <c r="A134" t="s">
        <v>366</v>
      </c>
      <c r="B134" t="s">
        <v>537</v>
      </c>
      <c r="C134" t="s">
        <v>223</v>
      </c>
      <c r="D134" t="s">
        <v>224</v>
      </c>
      <c r="G134">
        <v>8</v>
      </c>
      <c r="H134">
        <v>25</v>
      </c>
      <c r="J134">
        <v>0</v>
      </c>
      <c r="K134">
        <v>3</v>
      </c>
    </row>
    <row r="135" spans="1:11" x14ac:dyDescent="0.3">
      <c r="A135" t="s">
        <v>366</v>
      </c>
      <c r="B135" t="s">
        <v>537</v>
      </c>
      <c r="C135" t="s">
        <v>246</v>
      </c>
      <c r="D135" t="s">
        <v>247</v>
      </c>
      <c r="G135">
        <v>26</v>
      </c>
      <c r="H135">
        <v>135</v>
      </c>
      <c r="J135">
        <v>1</v>
      </c>
      <c r="K135">
        <v>14</v>
      </c>
    </row>
    <row r="136" spans="1:11" x14ac:dyDescent="0.3">
      <c r="A136" t="s">
        <v>366</v>
      </c>
      <c r="B136" t="s">
        <v>537</v>
      </c>
      <c r="C136" t="s">
        <v>288</v>
      </c>
      <c r="D136" t="s">
        <v>289</v>
      </c>
      <c r="G136">
        <v>28</v>
      </c>
      <c r="H136">
        <v>136</v>
      </c>
      <c r="J136">
        <v>0</v>
      </c>
      <c r="K136">
        <v>16</v>
      </c>
    </row>
    <row r="137" spans="1:11" x14ac:dyDescent="0.3">
      <c r="A137" t="s">
        <v>366</v>
      </c>
      <c r="B137" t="s">
        <v>537</v>
      </c>
      <c r="C137" t="s">
        <v>252</v>
      </c>
      <c r="D137" t="s">
        <v>253</v>
      </c>
      <c r="G137">
        <v>9</v>
      </c>
      <c r="H137">
        <v>46</v>
      </c>
      <c r="J137">
        <v>0</v>
      </c>
      <c r="K137">
        <v>15</v>
      </c>
    </row>
    <row r="138" spans="1:11" x14ac:dyDescent="0.3">
      <c r="A138" t="s">
        <v>366</v>
      </c>
      <c r="B138" t="s">
        <v>537</v>
      </c>
      <c r="C138" t="s">
        <v>269</v>
      </c>
      <c r="D138" t="s">
        <v>270</v>
      </c>
      <c r="G138">
        <v>99</v>
      </c>
      <c r="H138">
        <v>350</v>
      </c>
      <c r="J138">
        <v>0</v>
      </c>
      <c r="K138">
        <v>50</v>
      </c>
    </row>
    <row r="139" spans="1:11" x14ac:dyDescent="0.3">
      <c r="A139" t="s">
        <v>366</v>
      </c>
      <c r="B139" t="s">
        <v>537</v>
      </c>
      <c r="C139" t="s">
        <v>266</v>
      </c>
      <c r="D139" t="s">
        <v>267</v>
      </c>
      <c r="G139">
        <v>47</v>
      </c>
      <c r="H139">
        <v>211</v>
      </c>
      <c r="J139">
        <v>0</v>
      </c>
      <c r="K139">
        <v>20</v>
      </c>
    </row>
    <row r="140" spans="1:11" x14ac:dyDescent="0.3">
      <c r="A140" t="s">
        <v>366</v>
      </c>
      <c r="B140" t="s">
        <v>540</v>
      </c>
      <c r="C140" t="s">
        <v>216</v>
      </c>
      <c r="D140" t="s">
        <v>215</v>
      </c>
      <c r="E140">
        <v>1</v>
      </c>
      <c r="G140">
        <v>0</v>
      </c>
      <c r="H140">
        <v>3</v>
      </c>
      <c r="I140">
        <v>3</v>
      </c>
      <c r="J140">
        <v>2</v>
      </c>
      <c r="K140">
        <v>7</v>
      </c>
    </row>
    <row r="141" spans="1:11" x14ac:dyDescent="0.3">
      <c r="A141" t="s">
        <v>366</v>
      </c>
      <c r="B141" t="s">
        <v>540</v>
      </c>
      <c r="C141" t="s">
        <v>221</v>
      </c>
      <c r="D141" t="s">
        <v>222</v>
      </c>
      <c r="E141">
        <v>1</v>
      </c>
      <c r="G141">
        <v>7</v>
      </c>
      <c r="H141">
        <v>1</v>
      </c>
      <c r="I141">
        <v>2</v>
      </c>
      <c r="J141">
        <v>6</v>
      </c>
      <c r="K141">
        <v>10</v>
      </c>
    </row>
    <row r="142" spans="1:11" x14ac:dyDescent="0.3">
      <c r="A142" t="s">
        <v>366</v>
      </c>
      <c r="B142" t="s">
        <v>540</v>
      </c>
      <c r="C142" t="s">
        <v>229</v>
      </c>
      <c r="D142" t="s">
        <v>230</v>
      </c>
      <c r="E142">
        <v>1</v>
      </c>
      <c r="G142">
        <v>2</v>
      </c>
      <c r="H142">
        <v>4</v>
      </c>
      <c r="I142">
        <v>5</v>
      </c>
      <c r="J142">
        <v>7</v>
      </c>
      <c r="K142">
        <v>6</v>
      </c>
    </row>
    <row r="143" spans="1:11" x14ac:dyDescent="0.3">
      <c r="A143" t="s">
        <v>366</v>
      </c>
      <c r="B143" t="s">
        <v>540</v>
      </c>
      <c r="C143" t="s">
        <v>245</v>
      </c>
      <c r="D143" t="s">
        <v>244</v>
      </c>
      <c r="E143">
        <v>0</v>
      </c>
      <c r="G143">
        <v>0</v>
      </c>
      <c r="H143">
        <v>2</v>
      </c>
      <c r="I143">
        <v>2</v>
      </c>
      <c r="J143">
        <v>5</v>
      </c>
      <c r="K143">
        <v>10</v>
      </c>
    </row>
    <row r="144" spans="1:11" x14ac:dyDescent="0.3">
      <c r="A144" t="s">
        <v>366</v>
      </c>
      <c r="B144" t="s">
        <v>540</v>
      </c>
      <c r="C144" t="s">
        <v>250</v>
      </c>
      <c r="D144" t="s">
        <v>251</v>
      </c>
      <c r="E144">
        <v>1</v>
      </c>
      <c r="G144">
        <v>4</v>
      </c>
      <c r="H144">
        <v>2</v>
      </c>
      <c r="I144">
        <v>6</v>
      </c>
      <c r="J144">
        <v>7</v>
      </c>
      <c r="K144">
        <v>9</v>
      </c>
    </row>
    <row r="145" spans="1:11" x14ac:dyDescent="0.3">
      <c r="A145" t="s">
        <v>366</v>
      </c>
      <c r="B145" t="s">
        <v>540</v>
      </c>
      <c r="C145" t="s">
        <v>256</v>
      </c>
      <c r="D145" t="s">
        <v>257</v>
      </c>
      <c r="E145">
        <v>1</v>
      </c>
      <c r="G145">
        <v>10</v>
      </c>
      <c r="H145">
        <v>5</v>
      </c>
      <c r="I145">
        <v>5</v>
      </c>
      <c r="J145">
        <v>6</v>
      </c>
      <c r="K145">
        <v>11</v>
      </c>
    </row>
    <row r="146" spans="1:11" x14ac:dyDescent="0.3">
      <c r="A146" t="s">
        <v>366</v>
      </c>
      <c r="B146" t="s">
        <v>540</v>
      </c>
      <c r="C146" t="s">
        <v>260</v>
      </c>
      <c r="D146" t="s">
        <v>261</v>
      </c>
      <c r="E146">
        <v>1</v>
      </c>
      <c r="G146">
        <v>1</v>
      </c>
      <c r="H146">
        <v>3</v>
      </c>
      <c r="I146">
        <v>2</v>
      </c>
      <c r="J146">
        <v>3</v>
      </c>
      <c r="K146">
        <v>7</v>
      </c>
    </row>
    <row r="147" spans="1:11" x14ac:dyDescent="0.3">
      <c r="A147" t="s">
        <v>366</v>
      </c>
      <c r="B147" t="s">
        <v>540</v>
      </c>
      <c r="C147" t="s">
        <v>235</v>
      </c>
      <c r="D147" t="s">
        <v>236</v>
      </c>
      <c r="E147">
        <v>0</v>
      </c>
      <c r="G147">
        <v>5</v>
      </c>
      <c r="H147">
        <v>4</v>
      </c>
      <c r="I147">
        <v>7</v>
      </c>
      <c r="J147">
        <v>2</v>
      </c>
      <c r="K147">
        <v>9</v>
      </c>
    </row>
    <row r="148" spans="1:11" x14ac:dyDescent="0.3">
      <c r="A148" t="s">
        <v>366</v>
      </c>
      <c r="B148" t="s">
        <v>540</v>
      </c>
      <c r="C148" t="s">
        <v>264</v>
      </c>
      <c r="D148" t="s">
        <v>265</v>
      </c>
      <c r="E148">
        <v>1</v>
      </c>
      <c r="G148">
        <v>1</v>
      </c>
      <c r="H148">
        <v>2</v>
      </c>
      <c r="I148">
        <v>2</v>
      </c>
      <c r="J148">
        <v>3</v>
      </c>
      <c r="K148">
        <v>7</v>
      </c>
    </row>
    <row r="149" spans="1:11" x14ac:dyDescent="0.3">
      <c r="A149" t="s">
        <v>366</v>
      </c>
      <c r="B149" t="s">
        <v>540</v>
      </c>
      <c r="C149" t="s">
        <v>271</v>
      </c>
      <c r="D149" t="s">
        <v>270</v>
      </c>
      <c r="E149">
        <v>1</v>
      </c>
      <c r="G149">
        <v>1</v>
      </c>
      <c r="H149">
        <v>2</v>
      </c>
      <c r="I149">
        <v>5</v>
      </c>
      <c r="J149">
        <v>8</v>
      </c>
      <c r="K149">
        <v>15</v>
      </c>
    </row>
    <row r="150" spans="1:11" x14ac:dyDescent="0.3">
      <c r="A150" t="s">
        <v>366</v>
      </c>
      <c r="B150" t="s">
        <v>540</v>
      </c>
      <c r="C150" t="s">
        <v>274</v>
      </c>
      <c r="D150" t="s">
        <v>275</v>
      </c>
      <c r="E150">
        <v>1</v>
      </c>
      <c r="G150">
        <v>7</v>
      </c>
      <c r="H150">
        <v>0</v>
      </c>
      <c r="I150">
        <v>6</v>
      </c>
      <c r="J150">
        <v>8</v>
      </c>
      <c r="K150">
        <v>7</v>
      </c>
    </row>
    <row r="151" spans="1:11" x14ac:dyDescent="0.3">
      <c r="A151" t="s">
        <v>366</v>
      </c>
      <c r="B151" t="s">
        <v>540</v>
      </c>
      <c r="C151" t="s">
        <v>290</v>
      </c>
      <c r="D151" t="s">
        <v>289</v>
      </c>
      <c r="E151">
        <v>1</v>
      </c>
      <c r="G151">
        <v>3</v>
      </c>
      <c r="H151">
        <v>0</v>
      </c>
      <c r="I151">
        <v>3</v>
      </c>
      <c r="J151">
        <v>4</v>
      </c>
      <c r="K151">
        <v>9</v>
      </c>
    </row>
    <row r="152" spans="1:11" x14ac:dyDescent="0.3">
      <c r="A152" t="s">
        <v>366</v>
      </c>
      <c r="B152" t="s">
        <v>540</v>
      </c>
      <c r="C152" t="s">
        <v>305</v>
      </c>
      <c r="D152" t="s">
        <v>304</v>
      </c>
      <c r="E152">
        <v>1</v>
      </c>
      <c r="G152">
        <v>3</v>
      </c>
      <c r="H152">
        <v>1</v>
      </c>
      <c r="I152">
        <v>3</v>
      </c>
      <c r="J152">
        <v>5</v>
      </c>
      <c r="K152">
        <v>3</v>
      </c>
    </row>
    <row r="153" spans="1:11" x14ac:dyDescent="0.3">
      <c r="A153" t="s">
        <v>366</v>
      </c>
      <c r="B153" t="s">
        <v>540</v>
      </c>
      <c r="C153" t="s">
        <v>241</v>
      </c>
      <c r="D153" t="s">
        <v>242</v>
      </c>
      <c r="E153">
        <v>0</v>
      </c>
      <c r="G153">
        <v>2</v>
      </c>
      <c r="H153">
        <v>1</v>
      </c>
      <c r="I153">
        <v>2</v>
      </c>
      <c r="J153">
        <v>5</v>
      </c>
      <c r="K153">
        <v>3</v>
      </c>
    </row>
    <row r="154" spans="1:11" x14ac:dyDescent="0.3">
      <c r="A154" t="s">
        <v>366</v>
      </c>
      <c r="B154" t="s">
        <v>540</v>
      </c>
      <c r="C154" t="s">
        <v>284</v>
      </c>
      <c r="D154" t="s">
        <v>285</v>
      </c>
      <c r="E154">
        <v>1</v>
      </c>
      <c r="G154">
        <v>1</v>
      </c>
      <c r="H154">
        <v>0</v>
      </c>
      <c r="I154">
        <v>3</v>
      </c>
      <c r="J154">
        <v>5</v>
      </c>
      <c r="K154">
        <v>1</v>
      </c>
    </row>
    <row r="155" spans="1:11" x14ac:dyDescent="0.3">
      <c r="A155" t="s">
        <v>366</v>
      </c>
      <c r="B155" t="s">
        <v>540</v>
      </c>
      <c r="C155" t="s">
        <v>225</v>
      </c>
      <c r="D155" t="s">
        <v>226</v>
      </c>
      <c r="E155">
        <v>1</v>
      </c>
      <c r="G155">
        <v>0</v>
      </c>
      <c r="H155">
        <v>1</v>
      </c>
      <c r="I155">
        <v>4</v>
      </c>
      <c r="J155">
        <v>10</v>
      </c>
      <c r="K155">
        <v>8</v>
      </c>
    </row>
    <row r="156" spans="1:11" x14ac:dyDescent="0.3">
      <c r="A156" t="s">
        <v>366</v>
      </c>
      <c r="B156" t="s">
        <v>540</v>
      </c>
      <c r="C156" t="s">
        <v>268</v>
      </c>
      <c r="D156" t="s">
        <v>267</v>
      </c>
      <c r="E156">
        <v>1</v>
      </c>
      <c r="G156">
        <v>3</v>
      </c>
      <c r="H156">
        <v>4</v>
      </c>
      <c r="I156">
        <v>2</v>
      </c>
      <c r="J156">
        <v>5</v>
      </c>
      <c r="K156">
        <v>11</v>
      </c>
    </row>
    <row r="157" spans="1:11" x14ac:dyDescent="0.3">
      <c r="A157" t="s">
        <v>366</v>
      </c>
      <c r="B157" t="s">
        <v>542</v>
      </c>
      <c r="C157" t="s">
        <v>231</v>
      </c>
      <c r="D157" t="s">
        <v>232</v>
      </c>
      <c r="E157">
        <v>1</v>
      </c>
      <c r="G157">
        <v>3</v>
      </c>
      <c r="I157">
        <v>5</v>
      </c>
      <c r="J157">
        <v>3</v>
      </c>
      <c r="K157">
        <v>4</v>
      </c>
    </row>
    <row r="158" spans="1:11" x14ac:dyDescent="0.3">
      <c r="A158" t="s">
        <v>366</v>
      </c>
      <c r="B158" t="s">
        <v>542</v>
      </c>
      <c r="C158" t="s">
        <v>237</v>
      </c>
      <c r="D158" t="s">
        <v>238</v>
      </c>
      <c r="E158">
        <v>1</v>
      </c>
      <c r="G158">
        <v>2</v>
      </c>
      <c r="I158">
        <v>2</v>
      </c>
      <c r="J158">
        <v>3</v>
      </c>
      <c r="K158">
        <v>17</v>
      </c>
    </row>
    <row r="159" spans="1:11" x14ac:dyDescent="0.3">
      <c r="A159" t="s">
        <v>366</v>
      </c>
      <c r="B159" t="s">
        <v>542</v>
      </c>
      <c r="C159" t="s">
        <v>217</v>
      </c>
      <c r="D159" t="s">
        <v>218</v>
      </c>
      <c r="E159">
        <v>1</v>
      </c>
      <c r="G159">
        <v>8</v>
      </c>
      <c r="I159">
        <v>2</v>
      </c>
      <c r="J159">
        <v>8</v>
      </c>
      <c r="K159">
        <v>25</v>
      </c>
    </row>
    <row r="160" spans="1:11" x14ac:dyDescent="0.3">
      <c r="A160" t="s">
        <v>366</v>
      </c>
      <c r="B160" t="s">
        <v>544</v>
      </c>
      <c r="C160" t="s">
        <v>549</v>
      </c>
      <c r="D160" t="s">
        <v>545</v>
      </c>
      <c r="E160">
        <v>18</v>
      </c>
      <c r="F160">
        <v>4</v>
      </c>
      <c r="G160">
        <v>26</v>
      </c>
      <c r="H160">
        <v>16</v>
      </c>
      <c r="I160">
        <v>19</v>
      </c>
      <c r="J160">
        <v>19</v>
      </c>
      <c r="K160">
        <v>93</v>
      </c>
    </row>
    <row r="161" spans="1:11" x14ac:dyDescent="0.3">
      <c r="A161" t="s">
        <v>341</v>
      </c>
      <c r="B161" t="s">
        <v>537</v>
      </c>
      <c r="C161" t="s">
        <v>239</v>
      </c>
      <c r="D161" t="s">
        <v>240</v>
      </c>
      <c r="G161">
        <v>4</v>
      </c>
      <c r="H161">
        <v>14</v>
      </c>
      <c r="K161">
        <v>4</v>
      </c>
    </row>
    <row r="162" spans="1:11" x14ac:dyDescent="0.3">
      <c r="A162" t="s">
        <v>341</v>
      </c>
      <c r="B162" t="s">
        <v>537</v>
      </c>
      <c r="C162" t="s">
        <v>243</v>
      </c>
      <c r="D162" t="s">
        <v>244</v>
      </c>
      <c r="G162">
        <v>11</v>
      </c>
      <c r="H162">
        <v>48</v>
      </c>
      <c r="K162">
        <v>4</v>
      </c>
    </row>
    <row r="163" spans="1:11" x14ac:dyDescent="0.3">
      <c r="A163" t="s">
        <v>341</v>
      </c>
      <c r="B163" t="s">
        <v>537</v>
      </c>
      <c r="C163" t="s">
        <v>248</v>
      </c>
      <c r="D163" t="s">
        <v>249</v>
      </c>
      <c r="G163">
        <v>9</v>
      </c>
      <c r="H163">
        <v>32</v>
      </c>
      <c r="K163">
        <v>5</v>
      </c>
    </row>
    <row r="164" spans="1:11" x14ac:dyDescent="0.3">
      <c r="A164" t="s">
        <v>341</v>
      </c>
      <c r="B164" t="s">
        <v>537</v>
      </c>
      <c r="C164" t="s">
        <v>254</v>
      </c>
      <c r="D164" t="s">
        <v>255</v>
      </c>
      <c r="G164">
        <v>4</v>
      </c>
      <c r="H164">
        <v>19</v>
      </c>
      <c r="K164">
        <v>4</v>
      </c>
    </row>
    <row r="165" spans="1:11" x14ac:dyDescent="0.3">
      <c r="A165" t="s">
        <v>341</v>
      </c>
      <c r="B165" t="s">
        <v>537</v>
      </c>
      <c r="C165" t="s">
        <v>258</v>
      </c>
      <c r="D165" t="s">
        <v>259</v>
      </c>
      <c r="G165">
        <v>10</v>
      </c>
      <c r="H165">
        <v>30</v>
      </c>
      <c r="K165">
        <v>10</v>
      </c>
    </row>
    <row r="166" spans="1:11" x14ac:dyDescent="0.3">
      <c r="A166" t="s">
        <v>341</v>
      </c>
      <c r="B166" t="s">
        <v>537</v>
      </c>
      <c r="C166" t="s">
        <v>282</v>
      </c>
      <c r="D166" t="s">
        <v>283</v>
      </c>
      <c r="G166">
        <v>0</v>
      </c>
      <c r="H166">
        <v>0</v>
      </c>
      <c r="K166">
        <v>0</v>
      </c>
    </row>
    <row r="167" spans="1:11" x14ac:dyDescent="0.3">
      <c r="A167" t="s">
        <v>341</v>
      </c>
      <c r="B167" t="s">
        <v>537</v>
      </c>
      <c r="C167" t="s">
        <v>262</v>
      </c>
      <c r="D167" t="s">
        <v>263</v>
      </c>
      <c r="G167">
        <v>16</v>
      </c>
      <c r="H167">
        <v>57</v>
      </c>
      <c r="K167">
        <v>13</v>
      </c>
    </row>
    <row r="168" spans="1:11" x14ac:dyDescent="0.3">
      <c r="A168" t="s">
        <v>341</v>
      </c>
      <c r="B168" t="s">
        <v>537</v>
      </c>
      <c r="C168" t="s">
        <v>272</v>
      </c>
      <c r="D168" t="s">
        <v>273</v>
      </c>
      <c r="G168">
        <v>11</v>
      </c>
      <c r="H168">
        <v>52</v>
      </c>
      <c r="K168">
        <v>4</v>
      </c>
    </row>
    <row r="169" spans="1:11" x14ac:dyDescent="0.3">
      <c r="A169" t="s">
        <v>341</v>
      </c>
      <c r="B169" t="s">
        <v>537</v>
      </c>
      <c r="C169" t="s">
        <v>276</v>
      </c>
      <c r="D169" t="s">
        <v>277</v>
      </c>
      <c r="G169">
        <v>13</v>
      </c>
      <c r="H169">
        <v>43</v>
      </c>
      <c r="J169">
        <v>1</v>
      </c>
      <c r="K169">
        <v>11</v>
      </c>
    </row>
    <row r="170" spans="1:11" x14ac:dyDescent="0.3">
      <c r="A170" t="s">
        <v>341</v>
      </c>
      <c r="B170" t="s">
        <v>537</v>
      </c>
      <c r="C170" t="s">
        <v>278</v>
      </c>
      <c r="D170" t="s">
        <v>279</v>
      </c>
      <c r="G170">
        <v>4</v>
      </c>
      <c r="H170">
        <v>14</v>
      </c>
      <c r="K170">
        <v>4</v>
      </c>
    </row>
    <row r="171" spans="1:11" x14ac:dyDescent="0.3">
      <c r="A171" t="s">
        <v>341</v>
      </c>
      <c r="B171" t="s">
        <v>537</v>
      </c>
      <c r="C171" t="s">
        <v>280</v>
      </c>
      <c r="D171" t="s">
        <v>281</v>
      </c>
      <c r="G171">
        <v>4</v>
      </c>
      <c r="H171">
        <v>19</v>
      </c>
      <c r="K171">
        <v>4</v>
      </c>
    </row>
    <row r="172" spans="1:11" x14ac:dyDescent="0.3">
      <c r="A172" t="s">
        <v>341</v>
      </c>
      <c r="B172" t="s">
        <v>537</v>
      </c>
      <c r="C172" t="s">
        <v>286</v>
      </c>
      <c r="D172" t="s">
        <v>287</v>
      </c>
      <c r="G172">
        <v>17</v>
      </c>
      <c r="H172">
        <v>46</v>
      </c>
      <c r="K172">
        <v>15</v>
      </c>
    </row>
    <row r="173" spans="1:11" x14ac:dyDescent="0.3">
      <c r="A173" t="s">
        <v>341</v>
      </c>
      <c r="B173" t="s">
        <v>537</v>
      </c>
      <c r="C173" t="s">
        <v>291</v>
      </c>
      <c r="D173" t="s">
        <v>292</v>
      </c>
      <c r="G173">
        <v>0</v>
      </c>
      <c r="H173">
        <v>0</v>
      </c>
      <c r="K173">
        <v>0</v>
      </c>
    </row>
    <row r="174" spans="1:11" x14ac:dyDescent="0.3">
      <c r="A174" t="s">
        <v>341</v>
      </c>
      <c r="B174" t="s">
        <v>537</v>
      </c>
      <c r="C174" t="s">
        <v>293</v>
      </c>
      <c r="D174" t="s">
        <v>294</v>
      </c>
      <c r="G174">
        <v>12</v>
      </c>
      <c r="H174">
        <v>52</v>
      </c>
      <c r="K174">
        <v>4</v>
      </c>
    </row>
    <row r="175" spans="1:11" x14ac:dyDescent="0.3">
      <c r="A175" t="s">
        <v>341</v>
      </c>
      <c r="B175" t="s">
        <v>537</v>
      </c>
      <c r="C175" t="s">
        <v>297</v>
      </c>
      <c r="D175" t="s">
        <v>298</v>
      </c>
      <c r="G175">
        <v>8</v>
      </c>
      <c r="H175">
        <v>40</v>
      </c>
      <c r="K175">
        <v>8</v>
      </c>
    </row>
    <row r="176" spans="1:11" x14ac:dyDescent="0.3">
      <c r="A176" t="s">
        <v>341</v>
      </c>
      <c r="B176" t="s">
        <v>537</v>
      </c>
      <c r="C176" t="s">
        <v>299</v>
      </c>
      <c r="D176" t="s">
        <v>300</v>
      </c>
      <c r="G176">
        <v>0</v>
      </c>
      <c r="H176">
        <v>0</v>
      </c>
      <c r="K176">
        <v>0</v>
      </c>
    </row>
    <row r="177" spans="1:11" x14ac:dyDescent="0.3">
      <c r="A177" t="s">
        <v>341</v>
      </c>
      <c r="B177" t="s">
        <v>537</v>
      </c>
      <c r="C177" t="s">
        <v>301</v>
      </c>
      <c r="D177" t="s">
        <v>302</v>
      </c>
      <c r="G177">
        <v>10</v>
      </c>
      <c r="H177">
        <v>39</v>
      </c>
      <c r="K177">
        <v>5</v>
      </c>
    </row>
    <row r="178" spans="1:11" x14ac:dyDescent="0.3">
      <c r="A178" t="s">
        <v>341</v>
      </c>
      <c r="B178" t="s">
        <v>537</v>
      </c>
      <c r="C178" t="s">
        <v>303</v>
      </c>
      <c r="D178" t="s">
        <v>304</v>
      </c>
      <c r="G178">
        <v>34</v>
      </c>
      <c r="H178">
        <v>117</v>
      </c>
      <c r="K178">
        <v>20</v>
      </c>
    </row>
    <row r="179" spans="1:11" x14ac:dyDescent="0.3">
      <c r="A179" t="s">
        <v>341</v>
      </c>
      <c r="B179" t="s">
        <v>537</v>
      </c>
      <c r="C179" t="s">
        <v>306</v>
      </c>
      <c r="D179" t="s">
        <v>307</v>
      </c>
      <c r="G179">
        <v>9</v>
      </c>
      <c r="H179">
        <v>40</v>
      </c>
      <c r="K179">
        <v>4</v>
      </c>
    </row>
    <row r="180" spans="1:11" x14ac:dyDescent="0.3">
      <c r="A180" t="s">
        <v>341</v>
      </c>
      <c r="B180" t="s">
        <v>537</v>
      </c>
      <c r="C180" t="s">
        <v>214</v>
      </c>
      <c r="D180" t="s">
        <v>215</v>
      </c>
      <c r="G180">
        <v>26</v>
      </c>
      <c r="H180">
        <v>113</v>
      </c>
      <c r="K180">
        <v>16</v>
      </c>
    </row>
    <row r="181" spans="1:11" x14ac:dyDescent="0.3">
      <c r="A181" t="s">
        <v>341</v>
      </c>
      <c r="B181" t="s">
        <v>537</v>
      </c>
      <c r="C181" t="s">
        <v>219</v>
      </c>
      <c r="D181" t="s">
        <v>220</v>
      </c>
      <c r="G181">
        <v>4</v>
      </c>
      <c r="H181">
        <v>17</v>
      </c>
      <c r="K181">
        <v>4</v>
      </c>
    </row>
    <row r="182" spans="1:11" x14ac:dyDescent="0.3">
      <c r="A182" t="s">
        <v>341</v>
      </c>
      <c r="B182" t="s">
        <v>537</v>
      </c>
      <c r="C182" t="s">
        <v>227</v>
      </c>
      <c r="D182" t="s">
        <v>228</v>
      </c>
      <c r="G182">
        <v>9</v>
      </c>
      <c r="H182">
        <v>24</v>
      </c>
      <c r="K182">
        <v>10</v>
      </c>
    </row>
    <row r="183" spans="1:11" x14ac:dyDescent="0.3">
      <c r="A183" t="s">
        <v>341</v>
      </c>
      <c r="B183" t="s">
        <v>537</v>
      </c>
      <c r="C183" t="s">
        <v>233</v>
      </c>
      <c r="D183" t="s">
        <v>234</v>
      </c>
      <c r="G183">
        <v>60</v>
      </c>
      <c r="H183">
        <v>227</v>
      </c>
      <c r="K183">
        <v>26</v>
      </c>
    </row>
    <row r="184" spans="1:11" x14ac:dyDescent="0.3">
      <c r="A184" t="s">
        <v>341</v>
      </c>
      <c r="B184" t="s">
        <v>537</v>
      </c>
      <c r="C184" t="s">
        <v>295</v>
      </c>
      <c r="D184" t="s">
        <v>296</v>
      </c>
      <c r="G184">
        <v>21</v>
      </c>
      <c r="H184">
        <v>60</v>
      </c>
      <c r="K184">
        <v>16</v>
      </c>
    </row>
    <row r="185" spans="1:11" x14ac:dyDescent="0.3">
      <c r="A185" t="s">
        <v>341</v>
      </c>
      <c r="B185" t="s">
        <v>537</v>
      </c>
      <c r="C185" t="s">
        <v>308</v>
      </c>
      <c r="D185" t="s">
        <v>309</v>
      </c>
      <c r="G185">
        <v>15</v>
      </c>
      <c r="H185">
        <v>44</v>
      </c>
      <c r="K185">
        <v>10</v>
      </c>
    </row>
    <row r="186" spans="1:11" x14ac:dyDescent="0.3">
      <c r="A186" t="s">
        <v>341</v>
      </c>
      <c r="B186" t="s">
        <v>537</v>
      </c>
      <c r="C186" t="s">
        <v>310</v>
      </c>
      <c r="D186" t="s">
        <v>311</v>
      </c>
      <c r="G186">
        <v>10</v>
      </c>
      <c r="H186">
        <v>42</v>
      </c>
      <c r="K186">
        <v>8</v>
      </c>
    </row>
    <row r="187" spans="1:11" x14ac:dyDescent="0.3">
      <c r="A187" t="s">
        <v>341</v>
      </c>
      <c r="B187" t="s">
        <v>537</v>
      </c>
      <c r="C187" t="s">
        <v>223</v>
      </c>
      <c r="D187" t="s">
        <v>224</v>
      </c>
      <c r="G187">
        <v>4</v>
      </c>
      <c r="H187">
        <v>18</v>
      </c>
      <c r="K187">
        <v>3</v>
      </c>
    </row>
    <row r="188" spans="1:11" x14ac:dyDescent="0.3">
      <c r="A188" t="s">
        <v>341</v>
      </c>
      <c r="B188" t="s">
        <v>537</v>
      </c>
      <c r="C188" t="s">
        <v>246</v>
      </c>
      <c r="D188" t="s">
        <v>247</v>
      </c>
      <c r="G188">
        <v>30</v>
      </c>
      <c r="H188">
        <v>144</v>
      </c>
      <c r="K188">
        <v>18</v>
      </c>
    </row>
    <row r="189" spans="1:11" x14ac:dyDescent="0.3">
      <c r="A189" t="s">
        <v>341</v>
      </c>
      <c r="B189" t="s">
        <v>537</v>
      </c>
      <c r="C189" t="s">
        <v>288</v>
      </c>
      <c r="D189" t="s">
        <v>289</v>
      </c>
      <c r="G189">
        <v>30</v>
      </c>
      <c r="H189">
        <v>123</v>
      </c>
      <c r="K189">
        <v>20</v>
      </c>
    </row>
    <row r="190" spans="1:11" x14ac:dyDescent="0.3">
      <c r="A190" t="s">
        <v>341</v>
      </c>
      <c r="B190" t="s">
        <v>537</v>
      </c>
      <c r="C190" t="s">
        <v>252</v>
      </c>
      <c r="D190" t="s">
        <v>253</v>
      </c>
      <c r="G190">
        <v>14</v>
      </c>
      <c r="H190">
        <v>39</v>
      </c>
      <c r="K190">
        <v>15</v>
      </c>
    </row>
    <row r="191" spans="1:11" x14ac:dyDescent="0.3">
      <c r="A191" t="s">
        <v>341</v>
      </c>
      <c r="B191" t="s">
        <v>537</v>
      </c>
      <c r="C191" t="s">
        <v>269</v>
      </c>
      <c r="D191" t="s">
        <v>270</v>
      </c>
      <c r="G191">
        <v>105</v>
      </c>
      <c r="H191">
        <v>313</v>
      </c>
      <c r="K191">
        <v>57</v>
      </c>
    </row>
    <row r="192" spans="1:11" x14ac:dyDescent="0.3">
      <c r="A192" t="s">
        <v>341</v>
      </c>
      <c r="B192" t="s">
        <v>537</v>
      </c>
      <c r="C192" t="s">
        <v>266</v>
      </c>
      <c r="D192" t="s">
        <v>267</v>
      </c>
      <c r="G192">
        <v>48</v>
      </c>
      <c r="H192">
        <v>201</v>
      </c>
      <c r="K192">
        <v>21</v>
      </c>
    </row>
    <row r="193" spans="1:11" x14ac:dyDescent="0.3">
      <c r="A193" t="s">
        <v>341</v>
      </c>
      <c r="B193" t="s">
        <v>540</v>
      </c>
      <c r="C193" t="s">
        <v>216</v>
      </c>
      <c r="D193" t="s">
        <v>215</v>
      </c>
      <c r="E193">
        <v>1</v>
      </c>
      <c r="G193">
        <v>2</v>
      </c>
      <c r="H193">
        <v>2</v>
      </c>
      <c r="I193">
        <v>1</v>
      </c>
      <c r="J193">
        <v>3</v>
      </c>
      <c r="K193">
        <v>5</v>
      </c>
    </row>
    <row r="194" spans="1:11" x14ac:dyDescent="0.3">
      <c r="A194" t="s">
        <v>341</v>
      </c>
      <c r="B194" t="s">
        <v>540</v>
      </c>
      <c r="C194" t="s">
        <v>221</v>
      </c>
      <c r="D194" t="s">
        <v>222</v>
      </c>
      <c r="E194">
        <v>1</v>
      </c>
      <c r="G194">
        <v>5</v>
      </c>
      <c r="H194">
        <v>0</v>
      </c>
      <c r="I194">
        <v>2</v>
      </c>
      <c r="J194">
        <v>8</v>
      </c>
      <c r="K194">
        <v>9</v>
      </c>
    </row>
    <row r="195" spans="1:11" x14ac:dyDescent="0.3">
      <c r="A195" t="s">
        <v>341</v>
      </c>
      <c r="B195" t="s">
        <v>540</v>
      </c>
      <c r="C195" t="s">
        <v>229</v>
      </c>
      <c r="D195" t="s">
        <v>230</v>
      </c>
      <c r="E195">
        <v>1</v>
      </c>
      <c r="G195">
        <v>4</v>
      </c>
      <c r="H195">
        <v>2</v>
      </c>
      <c r="I195">
        <v>3</v>
      </c>
      <c r="J195">
        <v>9</v>
      </c>
      <c r="K195">
        <v>7</v>
      </c>
    </row>
    <row r="196" spans="1:11" x14ac:dyDescent="0.3">
      <c r="A196" t="s">
        <v>341</v>
      </c>
      <c r="B196" t="s">
        <v>540</v>
      </c>
      <c r="C196" t="s">
        <v>245</v>
      </c>
      <c r="D196" t="s">
        <v>244</v>
      </c>
      <c r="E196">
        <v>1</v>
      </c>
      <c r="G196">
        <v>3</v>
      </c>
      <c r="H196">
        <v>1</v>
      </c>
      <c r="I196">
        <v>2</v>
      </c>
      <c r="J196">
        <v>6</v>
      </c>
      <c r="K196">
        <v>9</v>
      </c>
    </row>
    <row r="197" spans="1:11" x14ac:dyDescent="0.3">
      <c r="A197" t="s">
        <v>341</v>
      </c>
      <c r="B197" t="s">
        <v>540</v>
      </c>
      <c r="C197" t="s">
        <v>250</v>
      </c>
      <c r="D197" t="s">
        <v>251</v>
      </c>
      <c r="E197">
        <v>1</v>
      </c>
      <c r="G197">
        <v>5</v>
      </c>
      <c r="H197">
        <v>2</v>
      </c>
      <c r="I197">
        <v>4</v>
      </c>
      <c r="J197">
        <v>9</v>
      </c>
      <c r="K197">
        <v>9</v>
      </c>
    </row>
    <row r="198" spans="1:11" x14ac:dyDescent="0.3">
      <c r="A198" t="s">
        <v>341</v>
      </c>
      <c r="B198" t="s">
        <v>540</v>
      </c>
      <c r="C198" t="s">
        <v>256</v>
      </c>
      <c r="D198" t="s">
        <v>257</v>
      </c>
      <c r="E198">
        <v>1</v>
      </c>
      <c r="G198">
        <v>5</v>
      </c>
      <c r="H198">
        <v>5</v>
      </c>
      <c r="I198">
        <v>4</v>
      </c>
      <c r="J198">
        <v>8</v>
      </c>
      <c r="K198">
        <v>8</v>
      </c>
    </row>
    <row r="199" spans="1:11" x14ac:dyDescent="0.3">
      <c r="A199" t="s">
        <v>341</v>
      </c>
      <c r="B199" t="s">
        <v>540</v>
      </c>
      <c r="C199" t="s">
        <v>260</v>
      </c>
      <c r="D199" t="s">
        <v>261</v>
      </c>
      <c r="E199">
        <v>1</v>
      </c>
      <c r="G199">
        <v>2</v>
      </c>
      <c r="H199">
        <v>1</v>
      </c>
      <c r="I199">
        <v>3</v>
      </c>
      <c r="J199">
        <v>4</v>
      </c>
      <c r="K199">
        <v>7</v>
      </c>
    </row>
    <row r="200" spans="1:11" x14ac:dyDescent="0.3">
      <c r="A200" t="s">
        <v>341</v>
      </c>
      <c r="B200" t="s">
        <v>540</v>
      </c>
      <c r="C200" t="s">
        <v>235</v>
      </c>
      <c r="D200" t="s">
        <v>236</v>
      </c>
      <c r="E200">
        <v>1</v>
      </c>
      <c r="G200">
        <v>2</v>
      </c>
      <c r="H200">
        <v>4</v>
      </c>
      <c r="I200">
        <v>3</v>
      </c>
      <c r="J200">
        <v>6</v>
      </c>
      <c r="K200">
        <v>11</v>
      </c>
    </row>
    <row r="201" spans="1:11" x14ac:dyDescent="0.3">
      <c r="A201" t="s">
        <v>341</v>
      </c>
      <c r="B201" t="s">
        <v>540</v>
      </c>
      <c r="C201" t="s">
        <v>264</v>
      </c>
      <c r="D201" t="s">
        <v>265</v>
      </c>
      <c r="E201">
        <v>1</v>
      </c>
      <c r="G201">
        <v>3</v>
      </c>
      <c r="H201">
        <v>2</v>
      </c>
      <c r="I201">
        <v>2</v>
      </c>
      <c r="J201">
        <v>6</v>
      </c>
      <c r="K201">
        <v>7</v>
      </c>
    </row>
    <row r="202" spans="1:11" x14ac:dyDescent="0.3">
      <c r="A202" t="s">
        <v>341</v>
      </c>
      <c r="B202" t="s">
        <v>540</v>
      </c>
      <c r="C202" t="s">
        <v>271</v>
      </c>
      <c r="D202" t="s">
        <v>270</v>
      </c>
      <c r="E202">
        <v>1</v>
      </c>
      <c r="G202">
        <v>3</v>
      </c>
      <c r="H202">
        <v>2</v>
      </c>
      <c r="I202">
        <v>4</v>
      </c>
      <c r="J202">
        <v>9</v>
      </c>
      <c r="K202">
        <v>6</v>
      </c>
    </row>
    <row r="203" spans="1:11" x14ac:dyDescent="0.3">
      <c r="A203" t="s">
        <v>341</v>
      </c>
      <c r="B203" t="s">
        <v>540</v>
      </c>
      <c r="C203" t="s">
        <v>274</v>
      </c>
      <c r="D203" t="s">
        <v>275</v>
      </c>
      <c r="E203">
        <v>1</v>
      </c>
      <c r="G203">
        <v>10</v>
      </c>
      <c r="H203">
        <v>1</v>
      </c>
      <c r="I203">
        <v>4</v>
      </c>
      <c r="J203">
        <v>13</v>
      </c>
      <c r="K203">
        <v>8</v>
      </c>
    </row>
    <row r="204" spans="1:11" x14ac:dyDescent="0.3">
      <c r="A204" t="s">
        <v>341</v>
      </c>
      <c r="B204" t="s">
        <v>540</v>
      </c>
      <c r="C204" t="s">
        <v>290</v>
      </c>
      <c r="D204" t="s">
        <v>289</v>
      </c>
      <c r="E204">
        <v>1</v>
      </c>
      <c r="G204">
        <v>1</v>
      </c>
      <c r="H204">
        <v>1</v>
      </c>
      <c r="I204">
        <v>2</v>
      </c>
      <c r="J204">
        <v>5</v>
      </c>
      <c r="K204">
        <v>5</v>
      </c>
    </row>
    <row r="205" spans="1:11" x14ac:dyDescent="0.3">
      <c r="A205" t="s">
        <v>341</v>
      </c>
      <c r="B205" t="s">
        <v>540</v>
      </c>
      <c r="C205" t="s">
        <v>305</v>
      </c>
      <c r="D205" t="s">
        <v>304</v>
      </c>
      <c r="E205">
        <v>1</v>
      </c>
      <c r="G205">
        <v>2</v>
      </c>
      <c r="H205">
        <v>1</v>
      </c>
      <c r="I205">
        <v>2</v>
      </c>
      <c r="J205">
        <v>5</v>
      </c>
      <c r="K205">
        <v>4</v>
      </c>
    </row>
    <row r="206" spans="1:11" x14ac:dyDescent="0.3">
      <c r="A206" t="s">
        <v>341</v>
      </c>
      <c r="B206" t="s">
        <v>540</v>
      </c>
      <c r="C206" t="s">
        <v>241</v>
      </c>
      <c r="D206" t="s">
        <v>242</v>
      </c>
      <c r="E206">
        <v>0</v>
      </c>
      <c r="G206">
        <v>3</v>
      </c>
      <c r="H206">
        <v>1</v>
      </c>
      <c r="I206">
        <v>2</v>
      </c>
      <c r="J206">
        <v>4</v>
      </c>
      <c r="K206">
        <v>5</v>
      </c>
    </row>
    <row r="207" spans="1:11" x14ac:dyDescent="0.3">
      <c r="A207" t="s">
        <v>341</v>
      </c>
      <c r="B207" t="s">
        <v>540</v>
      </c>
      <c r="C207" t="s">
        <v>284</v>
      </c>
      <c r="D207" t="s">
        <v>285</v>
      </c>
      <c r="E207">
        <v>1</v>
      </c>
      <c r="G207">
        <v>6</v>
      </c>
      <c r="H207">
        <v>0</v>
      </c>
      <c r="I207">
        <v>3</v>
      </c>
      <c r="J207">
        <v>5</v>
      </c>
      <c r="K207">
        <v>1</v>
      </c>
    </row>
    <row r="208" spans="1:11" x14ac:dyDescent="0.3">
      <c r="A208" t="s">
        <v>341</v>
      </c>
      <c r="B208" t="s">
        <v>540</v>
      </c>
      <c r="C208" t="s">
        <v>225</v>
      </c>
      <c r="D208" t="s">
        <v>226</v>
      </c>
      <c r="E208">
        <v>1</v>
      </c>
      <c r="G208">
        <v>2</v>
      </c>
      <c r="H208">
        <v>2</v>
      </c>
      <c r="I208">
        <v>4</v>
      </c>
      <c r="J208">
        <v>9</v>
      </c>
      <c r="K208">
        <v>10</v>
      </c>
    </row>
    <row r="209" spans="1:11" x14ac:dyDescent="0.3">
      <c r="A209" t="s">
        <v>341</v>
      </c>
      <c r="B209" t="s">
        <v>540</v>
      </c>
      <c r="C209" t="s">
        <v>268</v>
      </c>
      <c r="D209" t="s">
        <v>267</v>
      </c>
      <c r="E209">
        <v>1</v>
      </c>
      <c r="G209">
        <v>3</v>
      </c>
      <c r="H209">
        <v>3</v>
      </c>
      <c r="I209">
        <v>2</v>
      </c>
      <c r="J209">
        <v>7</v>
      </c>
      <c r="K209">
        <v>8</v>
      </c>
    </row>
    <row r="210" spans="1:11" x14ac:dyDescent="0.3">
      <c r="A210" t="s">
        <v>341</v>
      </c>
      <c r="B210" t="s">
        <v>542</v>
      </c>
      <c r="C210" t="s">
        <v>231</v>
      </c>
      <c r="D210" t="s">
        <v>232</v>
      </c>
      <c r="E210">
        <v>1</v>
      </c>
      <c r="G210">
        <v>10</v>
      </c>
      <c r="H210">
        <v>1</v>
      </c>
      <c r="I210">
        <v>3</v>
      </c>
      <c r="J210">
        <v>11</v>
      </c>
      <c r="K210">
        <v>42</v>
      </c>
    </row>
    <row r="211" spans="1:11" x14ac:dyDescent="0.3">
      <c r="A211" t="s">
        <v>341</v>
      </c>
      <c r="B211" t="s">
        <v>542</v>
      </c>
      <c r="C211" t="s">
        <v>237</v>
      </c>
      <c r="D211" t="s">
        <v>238</v>
      </c>
      <c r="E211">
        <v>1</v>
      </c>
      <c r="G211">
        <v>6</v>
      </c>
      <c r="H211">
        <v>1</v>
      </c>
      <c r="I211">
        <v>5</v>
      </c>
      <c r="J211">
        <v>5</v>
      </c>
      <c r="K211">
        <v>20</v>
      </c>
    </row>
    <row r="212" spans="1:11" x14ac:dyDescent="0.3">
      <c r="A212" t="s">
        <v>341</v>
      </c>
      <c r="B212" t="s">
        <v>542</v>
      </c>
      <c r="C212" t="s">
        <v>217</v>
      </c>
      <c r="D212" t="s">
        <v>218</v>
      </c>
      <c r="E212">
        <v>1</v>
      </c>
      <c r="G212">
        <v>6</v>
      </c>
      <c r="H212">
        <v>1</v>
      </c>
      <c r="I212">
        <v>4</v>
      </c>
      <c r="J212">
        <v>9</v>
      </c>
      <c r="K212">
        <v>24</v>
      </c>
    </row>
    <row r="213" spans="1:11" x14ac:dyDescent="0.3">
      <c r="A213" t="s">
        <v>341</v>
      </c>
      <c r="B213" t="s">
        <v>544</v>
      </c>
      <c r="C213" t="s">
        <v>549</v>
      </c>
      <c r="D213" t="s">
        <v>545</v>
      </c>
      <c r="E213">
        <v>15</v>
      </c>
      <c r="F213">
        <v>4</v>
      </c>
      <c r="G213">
        <v>0</v>
      </c>
      <c r="H213">
        <v>101</v>
      </c>
      <c r="I213">
        <v>11</v>
      </c>
      <c r="J213">
        <v>9</v>
      </c>
      <c r="K213">
        <v>42</v>
      </c>
    </row>
    <row r="214" spans="1:11" x14ac:dyDescent="0.3">
      <c r="A214" t="s">
        <v>342</v>
      </c>
      <c r="B214" t="s">
        <v>537</v>
      </c>
      <c r="C214" t="s">
        <v>239</v>
      </c>
      <c r="D214" t="s">
        <v>240</v>
      </c>
      <c r="G214">
        <v>5</v>
      </c>
      <c r="H214">
        <v>15</v>
      </c>
      <c r="K214">
        <v>5</v>
      </c>
    </row>
    <row r="215" spans="1:11" x14ac:dyDescent="0.3">
      <c r="A215" t="s">
        <v>342</v>
      </c>
      <c r="B215" t="s">
        <v>537</v>
      </c>
      <c r="C215" t="s">
        <v>243</v>
      </c>
      <c r="D215" t="s">
        <v>244</v>
      </c>
      <c r="G215">
        <v>11</v>
      </c>
      <c r="H215">
        <v>38</v>
      </c>
      <c r="K215">
        <v>5</v>
      </c>
    </row>
    <row r="216" spans="1:11" x14ac:dyDescent="0.3">
      <c r="A216" t="s">
        <v>342</v>
      </c>
      <c r="B216" t="s">
        <v>537</v>
      </c>
      <c r="C216" t="s">
        <v>248</v>
      </c>
      <c r="D216" t="s">
        <v>249</v>
      </c>
      <c r="G216">
        <v>10</v>
      </c>
      <c r="H216">
        <v>34</v>
      </c>
      <c r="K216">
        <v>5</v>
      </c>
    </row>
    <row r="217" spans="1:11" x14ac:dyDescent="0.3">
      <c r="A217" t="s">
        <v>342</v>
      </c>
      <c r="B217" t="s">
        <v>537</v>
      </c>
      <c r="C217" t="s">
        <v>254</v>
      </c>
      <c r="D217" t="s">
        <v>255</v>
      </c>
      <c r="G217">
        <v>5</v>
      </c>
      <c r="H217">
        <v>13</v>
      </c>
      <c r="K217">
        <v>5</v>
      </c>
    </row>
    <row r="218" spans="1:11" x14ac:dyDescent="0.3">
      <c r="A218" t="s">
        <v>342</v>
      </c>
      <c r="B218" t="s">
        <v>537</v>
      </c>
      <c r="C218" t="s">
        <v>258</v>
      </c>
      <c r="D218" t="s">
        <v>259</v>
      </c>
      <c r="G218">
        <v>10</v>
      </c>
      <c r="H218">
        <v>30</v>
      </c>
      <c r="K218">
        <v>11</v>
      </c>
    </row>
    <row r="219" spans="1:11" x14ac:dyDescent="0.3">
      <c r="A219" t="s">
        <v>342</v>
      </c>
      <c r="B219" t="s">
        <v>537</v>
      </c>
      <c r="C219" t="s">
        <v>262</v>
      </c>
      <c r="D219" t="s">
        <v>263</v>
      </c>
      <c r="G219">
        <v>22</v>
      </c>
      <c r="H219">
        <v>49</v>
      </c>
      <c r="K219">
        <v>16</v>
      </c>
    </row>
    <row r="220" spans="1:11" x14ac:dyDescent="0.3">
      <c r="A220" t="s">
        <v>342</v>
      </c>
      <c r="B220" t="s">
        <v>537</v>
      </c>
      <c r="C220" t="s">
        <v>272</v>
      </c>
      <c r="D220" t="s">
        <v>273</v>
      </c>
      <c r="G220">
        <v>15</v>
      </c>
      <c r="H220">
        <v>49</v>
      </c>
      <c r="K220">
        <v>4</v>
      </c>
    </row>
    <row r="221" spans="1:11" x14ac:dyDescent="0.3">
      <c r="A221" t="s">
        <v>342</v>
      </c>
      <c r="B221" t="s">
        <v>537</v>
      </c>
      <c r="C221" t="s">
        <v>276</v>
      </c>
      <c r="D221" t="s">
        <v>277</v>
      </c>
      <c r="G221">
        <v>15</v>
      </c>
      <c r="H221">
        <v>44</v>
      </c>
      <c r="K221">
        <v>13</v>
      </c>
    </row>
    <row r="222" spans="1:11" x14ac:dyDescent="0.3">
      <c r="A222" t="s">
        <v>342</v>
      </c>
      <c r="B222" t="s">
        <v>537</v>
      </c>
      <c r="C222" t="s">
        <v>278</v>
      </c>
      <c r="D222" t="s">
        <v>279</v>
      </c>
      <c r="G222">
        <v>5</v>
      </c>
      <c r="H222">
        <v>18</v>
      </c>
      <c r="K222">
        <v>5</v>
      </c>
    </row>
    <row r="223" spans="1:11" x14ac:dyDescent="0.3">
      <c r="A223" t="s">
        <v>342</v>
      </c>
      <c r="B223" t="s">
        <v>537</v>
      </c>
      <c r="C223" t="s">
        <v>280</v>
      </c>
      <c r="D223" t="s">
        <v>281</v>
      </c>
      <c r="G223">
        <v>5</v>
      </c>
      <c r="H223">
        <v>19</v>
      </c>
      <c r="K223">
        <v>5</v>
      </c>
    </row>
    <row r="224" spans="1:11" x14ac:dyDescent="0.3">
      <c r="A224" t="s">
        <v>342</v>
      </c>
      <c r="B224" t="s">
        <v>537</v>
      </c>
      <c r="C224" t="s">
        <v>286</v>
      </c>
      <c r="D224" t="s">
        <v>287</v>
      </c>
      <c r="G224">
        <v>16</v>
      </c>
      <c r="H224">
        <v>45</v>
      </c>
      <c r="K224">
        <v>15</v>
      </c>
    </row>
    <row r="225" spans="1:11" x14ac:dyDescent="0.3">
      <c r="A225" t="s">
        <v>342</v>
      </c>
      <c r="B225" t="s">
        <v>537</v>
      </c>
      <c r="C225" t="s">
        <v>293</v>
      </c>
      <c r="D225" t="s">
        <v>294</v>
      </c>
      <c r="G225">
        <v>10</v>
      </c>
      <c r="H225">
        <v>54</v>
      </c>
      <c r="K225">
        <v>5</v>
      </c>
    </row>
    <row r="226" spans="1:11" x14ac:dyDescent="0.3">
      <c r="A226" t="s">
        <v>342</v>
      </c>
      <c r="B226" t="s">
        <v>537</v>
      </c>
      <c r="C226" t="s">
        <v>297</v>
      </c>
      <c r="D226" t="s">
        <v>298</v>
      </c>
      <c r="G226">
        <v>9</v>
      </c>
      <c r="H226">
        <v>32</v>
      </c>
      <c r="K226">
        <v>10</v>
      </c>
    </row>
    <row r="227" spans="1:11" x14ac:dyDescent="0.3">
      <c r="A227" t="s">
        <v>342</v>
      </c>
      <c r="B227" t="s">
        <v>537</v>
      </c>
      <c r="C227" t="s">
        <v>301</v>
      </c>
      <c r="D227" t="s">
        <v>302</v>
      </c>
      <c r="G227">
        <v>10</v>
      </c>
      <c r="H227">
        <v>35</v>
      </c>
      <c r="K227">
        <v>5</v>
      </c>
    </row>
    <row r="228" spans="1:11" x14ac:dyDescent="0.3">
      <c r="A228" t="s">
        <v>342</v>
      </c>
      <c r="B228" t="s">
        <v>537</v>
      </c>
      <c r="C228" t="s">
        <v>303</v>
      </c>
      <c r="D228" t="s">
        <v>304</v>
      </c>
      <c r="G228">
        <v>35</v>
      </c>
      <c r="H228">
        <v>111</v>
      </c>
      <c r="K228">
        <v>20</v>
      </c>
    </row>
    <row r="229" spans="1:11" x14ac:dyDescent="0.3">
      <c r="A229" t="s">
        <v>342</v>
      </c>
      <c r="B229" t="s">
        <v>537</v>
      </c>
      <c r="C229" t="s">
        <v>306</v>
      </c>
      <c r="D229" t="s">
        <v>307</v>
      </c>
      <c r="G229">
        <v>9</v>
      </c>
      <c r="H229">
        <v>34</v>
      </c>
      <c r="K229">
        <v>5</v>
      </c>
    </row>
    <row r="230" spans="1:11" x14ac:dyDescent="0.3">
      <c r="A230" t="s">
        <v>342</v>
      </c>
      <c r="B230" t="s">
        <v>537</v>
      </c>
      <c r="C230" t="s">
        <v>214</v>
      </c>
      <c r="D230" t="s">
        <v>215</v>
      </c>
      <c r="G230">
        <v>33</v>
      </c>
      <c r="H230">
        <v>97</v>
      </c>
      <c r="K230">
        <v>15</v>
      </c>
    </row>
    <row r="231" spans="1:11" x14ac:dyDescent="0.3">
      <c r="A231" t="s">
        <v>342</v>
      </c>
      <c r="B231" t="s">
        <v>537</v>
      </c>
      <c r="C231" t="s">
        <v>219</v>
      </c>
      <c r="D231" t="s">
        <v>220</v>
      </c>
      <c r="G231">
        <v>5</v>
      </c>
      <c r="H231">
        <v>14</v>
      </c>
      <c r="K231">
        <v>5</v>
      </c>
    </row>
    <row r="232" spans="1:11" x14ac:dyDescent="0.3">
      <c r="A232" t="s">
        <v>342</v>
      </c>
      <c r="B232" t="s">
        <v>537</v>
      </c>
      <c r="C232" t="s">
        <v>227</v>
      </c>
      <c r="D232" t="s">
        <v>228</v>
      </c>
      <c r="G232">
        <v>10</v>
      </c>
      <c r="H232">
        <v>30</v>
      </c>
      <c r="K232">
        <v>10</v>
      </c>
    </row>
    <row r="233" spans="1:11" x14ac:dyDescent="0.3">
      <c r="A233" t="s">
        <v>342</v>
      </c>
      <c r="B233" t="s">
        <v>537</v>
      </c>
      <c r="C233" t="s">
        <v>233</v>
      </c>
      <c r="D233" t="s">
        <v>234</v>
      </c>
      <c r="G233">
        <v>54</v>
      </c>
      <c r="H233">
        <v>204</v>
      </c>
      <c r="K233">
        <v>35</v>
      </c>
    </row>
    <row r="234" spans="1:11" x14ac:dyDescent="0.3">
      <c r="A234" t="s">
        <v>342</v>
      </c>
      <c r="B234" t="s">
        <v>537</v>
      </c>
      <c r="C234" t="s">
        <v>295</v>
      </c>
      <c r="D234" t="s">
        <v>296</v>
      </c>
      <c r="G234">
        <v>20</v>
      </c>
      <c r="H234">
        <v>59</v>
      </c>
      <c r="K234">
        <v>15</v>
      </c>
    </row>
    <row r="235" spans="1:11" x14ac:dyDescent="0.3">
      <c r="A235" t="s">
        <v>342</v>
      </c>
      <c r="B235" t="s">
        <v>537</v>
      </c>
      <c r="C235" t="s">
        <v>308</v>
      </c>
      <c r="D235" t="s">
        <v>309</v>
      </c>
      <c r="G235">
        <v>15</v>
      </c>
      <c r="H235">
        <v>43</v>
      </c>
      <c r="K235">
        <v>10</v>
      </c>
    </row>
    <row r="236" spans="1:11" x14ac:dyDescent="0.3">
      <c r="A236" t="s">
        <v>342</v>
      </c>
      <c r="B236" t="s">
        <v>537</v>
      </c>
      <c r="C236" t="s">
        <v>310</v>
      </c>
      <c r="D236" t="s">
        <v>311</v>
      </c>
      <c r="G236">
        <v>11</v>
      </c>
      <c r="H236">
        <v>37</v>
      </c>
      <c r="K236">
        <v>10</v>
      </c>
    </row>
    <row r="237" spans="1:11" x14ac:dyDescent="0.3">
      <c r="A237" t="s">
        <v>342</v>
      </c>
      <c r="B237" t="s">
        <v>537</v>
      </c>
      <c r="C237" t="s">
        <v>223</v>
      </c>
      <c r="D237" t="s">
        <v>224</v>
      </c>
      <c r="G237">
        <v>5</v>
      </c>
      <c r="H237">
        <v>18</v>
      </c>
      <c r="K237">
        <v>5</v>
      </c>
    </row>
    <row r="238" spans="1:11" x14ac:dyDescent="0.3">
      <c r="A238" t="s">
        <v>342</v>
      </c>
      <c r="B238" t="s">
        <v>537</v>
      </c>
      <c r="C238" t="s">
        <v>246</v>
      </c>
      <c r="D238" t="s">
        <v>247</v>
      </c>
      <c r="G238">
        <v>35</v>
      </c>
      <c r="H238">
        <v>122</v>
      </c>
      <c r="K238">
        <v>21</v>
      </c>
    </row>
    <row r="239" spans="1:11" x14ac:dyDescent="0.3">
      <c r="A239" t="s">
        <v>342</v>
      </c>
      <c r="B239" t="s">
        <v>537</v>
      </c>
      <c r="C239" t="s">
        <v>288</v>
      </c>
      <c r="D239" t="s">
        <v>289</v>
      </c>
      <c r="G239">
        <v>31</v>
      </c>
      <c r="H239">
        <v>113</v>
      </c>
      <c r="K239">
        <v>19</v>
      </c>
    </row>
    <row r="240" spans="1:11" x14ac:dyDescent="0.3">
      <c r="A240" t="s">
        <v>342</v>
      </c>
      <c r="B240" t="s">
        <v>537</v>
      </c>
      <c r="C240" t="s">
        <v>252</v>
      </c>
      <c r="D240" t="s">
        <v>253</v>
      </c>
      <c r="G240">
        <v>15</v>
      </c>
      <c r="H240">
        <v>48</v>
      </c>
      <c r="K240">
        <v>15</v>
      </c>
    </row>
    <row r="241" spans="1:11" x14ac:dyDescent="0.3">
      <c r="A241" t="s">
        <v>342</v>
      </c>
      <c r="B241" t="s">
        <v>537</v>
      </c>
      <c r="C241" t="s">
        <v>269</v>
      </c>
      <c r="D241" t="s">
        <v>270</v>
      </c>
      <c r="G241">
        <v>113</v>
      </c>
      <c r="H241">
        <v>319</v>
      </c>
      <c r="K241">
        <v>57</v>
      </c>
    </row>
    <row r="242" spans="1:11" x14ac:dyDescent="0.3">
      <c r="A242" t="s">
        <v>342</v>
      </c>
      <c r="B242" t="s">
        <v>537</v>
      </c>
      <c r="C242" t="s">
        <v>266</v>
      </c>
      <c r="D242" t="s">
        <v>267</v>
      </c>
      <c r="G242">
        <v>49</v>
      </c>
      <c r="H242">
        <v>181</v>
      </c>
      <c r="K242">
        <v>24</v>
      </c>
    </row>
    <row r="243" spans="1:11" x14ac:dyDescent="0.3">
      <c r="A243" t="s">
        <v>342</v>
      </c>
      <c r="B243" t="s">
        <v>540</v>
      </c>
      <c r="C243" t="s">
        <v>216</v>
      </c>
      <c r="D243" t="s">
        <v>215</v>
      </c>
      <c r="E243">
        <v>1</v>
      </c>
      <c r="G243">
        <v>2</v>
      </c>
      <c r="H243">
        <v>2</v>
      </c>
      <c r="I243">
        <v>2</v>
      </c>
      <c r="J243">
        <v>3</v>
      </c>
      <c r="K243">
        <v>5</v>
      </c>
    </row>
    <row r="244" spans="1:11" x14ac:dyDescent="0.3">
      <c r="A244" t="s">
        <v>342</v>
      </c>
      <c r="B244" t="s">
        <v>540</v>
      </c>
      <c r="C244" t="s">
        <v>221</v>
      </c>
      <c r="D244" t="s">
        <v>222</v>
      </c>
      <c r="E244">
        <v>1</v>
      </c>
      <c r="G244">
        <v>7</v>
      </c>
      <c r="I244">
        <v>2</v>
      </c>
      <c r="J244">
        <v>7</v>
      </c>
      <c r="K244">
        <v>8</v>
      </c>
    </row>
    <row r="245" spans="1:11" x14ac:dyDescent="0.3">
      <c r="A245" t="s">
        <v>342</v>
      </c>
      <c r="B245" t="s">
        <v>540</v>
      </c>
      <c r="C245" t="s">
        <v>229</v>
      </c>
      <c r="D245" t="s">
        <v>230</v>
      </c>
      <c r="E245">
        <v>1</v>
      </c>
      <c r="G245">
        <v>6</v>
      </c>
      <c r="H245">
        <v>1</v>
      </c>
      <c r="I245">
        <v>3</v>
      </c>
      <c r="J245">
        <v>9</v>
      </c>
      <c r="K245">
        <v>6</v>
      </c>
    </row>
    <row r="246" spans="1:11" x14ac:dyDescent="0.3">
      <c r="A246" t="s">
        <v>342</v>
      </c>
      <c r="B246" t="s">
        <v>540</v>
      </c>
      <c r="C246" t="s">
        <v>245</v>
      </c>
      <c r="D246" t="s">
        <v>244</v>
      </c>
      <c r="E246">
        <v>1</v>
      </c>
      <c r="G246">
        <v>4</v>
      </c>
      <c r="H246">
        <v>2</v>
      </c>
      <c r="I246">
        <v>2</v>
      </c>
      <c r="J246">
        <v>6</v>
      </c>
      <c r="K246">
        <v>7</v>
      </c>
    </row>
    <row r="247" spans="1:11" x14ac:dyDescent="0.3">
      <c r="A247" t="s">
        <v>342</v>
      </c>
      <c r="B247" t="s">
        <v>540</v>
      </c>
      <c r="C247" t="s">
        <v>250</v>
      </c>
      <c r="D247" t="s">
        <v>251</v>
      </c>
      <c r="E247">
        <v>1</v>
      </c>
      <c r="G247">
        <v>5</v>
      </c>
      <c r="H247">
        <v>1</v>
      </c>
      <c r="I247">
        <v>3</v>
      </c>
      <c r="J247">
        <v>9</v>
      </c>
      <c r="K247">
        <v>8</v>
      </c>
    </row>
    <row r="248" spans="1:11" x14ac:dyDescent="0.3">
      <c r="A248" t="s">
        <v>342</v>
      </c>
      <c r="B248" t="s">
        <v>540</v>
      </c>
      <c r="C248" t="s">
        <v>256</v>
      </c>
      <c r="D248" t="s">
        <v>257</v>
      </c>
      <c r="E248">
        <v>1</v>
      </c>
      <c r="G248">
        <v>3</v>
      </c>
      <c r="H248">
        <v>5</v>
      </c>
      <c r="I248">
        <v>3</v>
      </c>
      <c r="J248">
        <v>7</v>
      </c>
      <c r="K248">
        <v>8</v>
      </c>
    </row>
    <row r="249" spans="1:11" x14ac:dyDescent="0.3">
      <c r="A249" t="s">
        <v>342</v>
      </c>
      <c r="B249" t="s">
        <v>540</v>
      </c>
      <c r="C249" t="s">
        <v>260</v>
      </c>
      <c r="D249" t="s">
        <v>261</v>
      </c>
      <c r="E249">
        <v>1</v>
      </c>
      <c r="G249">
        <v>2</v>
      </c>
      <c r="H249">
        <v>2</v>
      </c>
      <c r="I249">
        <v>3</v>
      </c>
      <c r="J249">
        <v>4</v>
      </c>
      <c r="K249">
        <v>4</v>
      </c>
    </row>
    <row r="250" spans="1:11" x14ac:dyDescent="0.3">
      <c r="A250" t="s">
        <v>342</v>
      </c>
      <c r="B250" t="s">
        <v>540</v>
      </c>
      <c r="C250" t="s">
        <v>235</v>
      </c>
      <c r="D250" t="s">
        <v>236</v>
      </c>
      <c r="E250">
        <v>1</v>
      </c>
      <c r="G250">
        <v>6</v>
      </c>
      <c r="H250">
        <v>3</v>
      </c>
      <c r="I250">
        <v>3</v>
      </c>
      <c r="J250">
        <v>7</v>
      </c>
      <c r="K250">
        <v>11</v>
      </c>
    </row>
    <row r="251" spans="1:11" x14ac:dyDescent="0.3">
      <c r="A251" t="s">
        <v>342</v>
      </c>
      <c r="B251" t="s">
        <v>540</v>
      </c>
      <c r="C251" t="s">
        <v>264</v>
      </c>
      <c r="D251" t="s">
        <v>265</v>
      </c>
      <c r="E251">
        <v>1</v>
      </c>
      <c r="G251">
        <v>3</v>
      </c>
      <c r="H251">
        <v>2</v>
      </c>
      <c r="I251">
        <v>2</v>
      </c>
      <c r="J251">
        <v>5</v>
      </c>
      <c r="K251">
        <v>6</v>
      </c>
    </row>
    <row r="252" spans="1:11" x14ac:dyDescent="0.3">
      <c r="A252" t="s">
        <v>342</v>
      </c>
      <c r="B252" t="s">
        <v>540</v>
      </c>
      <c r="C252" t="s">
        <v>271</v>
      </c>
      <c r="D252" t="s">
        <v>270</v>
      </c>
      <c r="E252">
        <v>1</v>
      </c>
      <c r="G252">
        <v>2</v>
      </c>
      <c r="H252">
        <v>1</v>
      </c>
      <c r="I252">
        <v>4</v>
      </c>
      <c r="J252">
        <v>8</v>
      </c>
      <c r="K252">
        <v>6</v>
      </c>
    </row>
    <row r="253" spans="1:11" x14ac:dyDescent="0.3">
      <c r="A253" t="s">
        <v>342</v>
      </c>
      <c r="B253" t="s">
        <v>540</v>
      </c>
      <c r="C253" t="s">
        <v>274</v>
      </c>
      <c r="D253" t="s">
        <v>275</v>
      </c>
      <c r="E253">
        <v>1</v>
      </c>
      <c r="G253">
        <v>7</v>
      </c>
      <c r="H253">
        <v>1</v>
      </c>
      <c r="I253">
        <v>4</v>
      </c>
      <c r="J253">
        <v>12</v>
      </c>
      <c r="K253">
        <v>7</v>
      </c>
    </row>
    <row r="254" spans="1:11" x14ac:dyDescent="0.3">
      <c r="A254" t="s">
        <v>342</v>
      </c>
      <c r="B254" t="s">
        <v>540</v>
      </c>
      <c r="C254" t="s">
        <v>290</v>
      </c>
      <c r="D254" t="s">
        <v>289</v>
      </c>
      <c r="E254">
        <v>1</v>
      </c>
      <c r="G254">
        <v>2</v>
      </c>
      <c r="H254">
        <v>1</v>
      </c>
      <c r="I254">
        <v>2</v>
      </c>
      <c r="J254">
        <v>6</v>
      </c>
      <c r="K254">
        <v>5</v>
      </c>
    </row>
    <row r="255" spans="1:11" x14ac:dyDescent="0.3">
      <c r="A255" t="s">
        <v>342</v>
      </c>
      <c r="B255" t="s">
        <v>540</v>
      </c>
      <c r="C255" t="s">
        <v>305</v>
      </c>
      <c r="D255" t="s">
        <v>304</v>
      </c>
      <c r="E255">
        <v>1</v>
      </c>
      <c r="G255">
        <v>2</v>
      </c>
      <c r="H255">
        <v>1</v>
      </c>
      <c r="I255">
        <v>2</v>
      </c>
      <c r="J255">
        <v>6</v>
      </c>
      <c r="K255">
        <v>4</v>
      </c>
    </row>
    <row r="256" spans="1:11" x14ac:dyDescent="0.3">
      <c r="A256" t="s">
        <v>342</v>
      </c>
      <c r="B256" t="s">
        <v>540</v>
      </c>
      <c r="C256" t="s">
        <v>241</v>
      </c>
      <c r="D256" t="s">
        <v>242</v>
      </c>
      <c r="E256">
        <v>1</v>
      </c>
      <c r="G256">
        <v>3</v>
      </c>
      <c r="H256">
        <v>1</v>
      </c>
      <c r="I256">
        <v>3</v>
      </c>
      <c r="J256">
        <v>5</v>
      </c>
      <c r="K256">
        <v>5</v>
      </c>
    </row>
    <row r="257" spans="1:11" x14ac:dyDescent="0.3">
      <c r="A257" t="s">
        <v>342</v>
      </c>
      <c r="B257" t="s">
        <v>540</v>
      </c>
      <c r="C257" t="s">
        <v>284</v>
      </c>
      <c r="D257" t="s">
        <v>285</v>
      </c>
      <c r="E257">
        <v>1</v>
      </c>
      <c r="G257">
        <v>5</v>
      </c>
      <c r="I257">
        <v>2</v>
      </c>
      <c r="J257">
        <v>6</v>
      </c>
      <c r="K257">
        <v>5</v>
      </c>
    </row>
    <row r="258" spans="1:11" x14ac:dyDescent="0.3">
      <c r="A258" t="s">
        <v>342</v>
      </c>
      <c r="B258" t="s">
        <v>540</v>
      </c>
      <c r="C258" t="s">
        <v>225</v>
      </c>
      <c r="D258" t="s">
        <v>226</v>
      </c>
      <c r="E258">
        <v>1</v>
      </c>
      <c r="G258">
        <v>3</v>
      </c>
      <c r="H258">
        <v>2</v>
      </c>
      <c r="I258">
        <v>4</v>
      </c>
      <c r="J258">
        <v>9</v>
      </c>
      <c r="K258">
        <v>9</v>
      </c>
    </row>
    <row r="259" spans="1:11" x14ac:dyDescent="0.3">
      <c r="A259" t="s">
        <v>342</v>
      </c>
      <c r="B259" t="s">
        <v>540</v>
      </c>
      <c r="C259" t="s">
        <v>268</v>
      </c>
      <c r="D259" t="s">
        <v>267</v>
      </c>
      <c r="G259">
        <v>1</v>
      </c>
      <c r="H259">
        <v>4</v>
      </c>
      <c r="I259">
        <v>2</v>
      </c>
      <c r="J259">
        <v>6</v>
      </c>
      <c r="K259">
        <v>6</v>
      </c>
    </row>
    <row r="260" spans="1:11" x14ac:dyDescent="0.3">
      <c r="A260" t="s">
        <v>342</v>
      </c>
      <c r="B260" t="s">
        <v>542</v>
      </c>
      <c r="C260" t="s">
        <v>231</v>
      </c>
      <c r="D260" t="s">
        <v>232</v>
      </c>
      <c r="E260">
        <v>1</v>
      </c>
      <c r="G260">
        <v>18</v>
      </c>
      <c r="I260">
        <v>4</v>
      </c>
      <c r="J260">
        <v>13</v>
      </c>
      <c r="K260">
        <v>37</v>
      </c>
    </row>
    <row r="261" spans="1:11" x14ac:dyDescent="0.3">
      <c r="A261" t="s">
        <v>342</v>
      </c>
      <c r="B261" t="s">
        <v>542</v>
      </c>
      <c r="C261" t="s">
        <v>237</v>
      </c>
      <c r="D261" t="s">
        <v>238</v>
      </c>
      <c r="E261">
        <v>1</v>
      </c>
      <c r="G261">
        <v>9</v>
      </c>
      <c r="I261">
        <v>5</v>
      </c>
      <c r="J261">
        <v>6</v>
      </c>
      <c r="K261">
        <v>16</v>
      </c>
    </row>
    <row r="262" spans="1:11" x14ac:dyDescent="0.3">
      <c r="A262" t="s">
        <v>342</v>
      </c>
      <c r="B262" t="s">
        <v>542</v>
      </c>
      <c r="C262" t="s">
        <v>217</v>
      </c>
      <c r="D262" t="s">
        <v>218</v>
      </c>
      <c r="E262">
        <v>1</v>
      </c>
      <c r="G262">
        <v>11</v>
      </c>
      <c r="I262">
        <v>6</v>
      </c>
      <c r="J262">
        <v>10</v>
      </c>
      <c r="K262">
        <v>18</v>
      </c>
    </row>
    <row r="263" spans="1:11" x14ac:dyDescent="0.3">
      <c r="A263" t="s">
        <v>342</v>
      </c>
      <c r="B263" t="s">
        <v>544</v>
      </c>
      <c r="C263" t="s">
        <v>549</v>
      </c>
      <c r="D263" t="s">
        <v>545</v>
      </c>
      <c r="E263">
        <v>15</v>
      </c>
      <c r="F263">
        <v>4</v>
      </c>
      <c r="H263">
        <v>55</v>
      </c>
      <c r="I263">
        <v>13</v>
      </c>
      <c r="J263">
        <v>9</v>
      </c>
      <c r="K263">
        <v>47</v>
      </c>
    </row>
    <row r="264" spans="1:11" x14ac:dyDescent="0.3">
      <c r="A264" t="s">
        <v>213</v>
      </c>
      <c r="B264" t="s">
        <v>537</v>
      </c>
      <c r="C264" t="s">
        <v>243</v>
      </c>
      <c r="D264" t="s">
        <v>244</v>
      </c>
      <c r="E264">
        <v>0</v>
      </c>
      <c r="F264">
        <v>0</v>
      </c>
      <c r="G264">
        <v>10</v>
      </c>
      <c r="H264">
        <v>38</v>
      </c>
      <c r="I264">
        <v>0</v>
      </c>
      <c r="J264">
        <v>0</v>
      </c>
      <c r="K264">
        <v>5</v>
      </c>
    </row>
    <row r="265" spans="1:11" x14ac:dyDescent="0.3">
      <c r="A265" t="s">
        <v>213</v>
      </c>
      <c r="B265" t="s">
        <v>537</v>
      </c>
      <c r="C265" t="s">
        <v>248</v>
      </c>
      <c r="D265" t="s">
        <v>249</v>
      </c>
      <c r="E265">
        <v>0</v>
      </c>
      <c r="F265">
        <v>0</v>
      </c>
      <c r="G265">
        <v>10</v>
      </c>
      <c r="H265">
        <v>32</v>
      </c>
      <c r="I265">
        <v>0</v>
      </c>
      <c r="J265">
        <v>0</v>
      </c>
      <c r="K265">
        <v>5</v>
      </c>
    </row>
    <row r="266" spans="1:11" x14ac:dyDescent="0.3">
      <c r="A266" t="s">
        <v>213</v>
      </c>
      <c r="B266" t="s">
        <v>537</v>
      </c>
      <c r="C266" t="s">
        <v>258</v>
      </c>
      <c r="D266" t="s">
        <v>259</v>
      </c>
      <c r="E266">
        <v>0</v>
      </c>
      <c r="F266">
        <v>0</v>
      </c>
      <c r="G266">
        <v>10</v>
      </c>
      <c r="H266">
        <v>31</v>
      </c>
      <c r="I266">
        <v>0</v>
      </c>
      <c r="J266">
        <v>0</v>
      </c>
      <c r="K266">
        <v>11</v>
      </c>
    </row>
    <row r="267" spans="1:11" x14ac:dyDescent="0.3">
      <c r="A267" t="s">
        <v>213</v>
      </c>
      <c r="B267" t="s">
        <v>537</v>
      </c>
      <c r="C267" t="s">
        <v>272</v>
      </c>
      <c r="D267" t="s">
        <v>273</v>
      </c>
      <c r="E267">
        <v>0</v>
      </c>
      <c r="F267">
        <v>0</v>
      </c>
      <c r="G267">
        <v>15</v>
      </c>
      <c r="H267">
        <v>50</v>
      </c>
      <c r="I267">
        <v>0</v>
      </c>
      <c r="J267">
        <v>0</v>
      </c>
      <c r="K267">
        <v>5</v>
      </c>
    </row>
    <row r="268" spans="1:11" x14ac:dyDescent="0.3">
      <c r="A268" t="s">
        <v>213</v>
      </c>
      <c r="B268" t="s">
        <v>537</v>
      </c>
      <c r="C268" t="s">
        <v>276</v>
      </c>
      <c r="D268" t="s">
        <v>277</v>
      </c>
      <c r="E268">
        <v>0</v>
      </c>
      <c r="F268">
        <v>0</v>
      </c>
      <c r="G268">
        <v>15</v>
      </c>
      <c r="H268">
        <v>47</v>
      </c>
      <c r="I268">
        <v>0</v>
      </c>
      <c r="J268">
        <v>0</v>
      </c>
      <c r="K268">
        <v>10</v>
      </c>
    </row>
    <row r="269" spans="1:11" x14ac:dyDescent="0.3">
      <c r="A269" t="s">
        <v>213</v>
      </c>
      <c r="B269" t="s">
        <v>537</v>
      </c>
      <c r="C269" t="s">
        <v>280</v>
      </c>
      <c r="D269" t="s">
        <v>281</v>
      </c>
      <c r="E269">
        <v>0</v>
      </c>
      <c r="F269">
        <v>0</v>
      </c>
      <c r="G269">
        <v>5</v>
      </c>
      <c r="H269">
        <v>20</v>
      </c>
      <c r="I269">
        <v>0</v>
      </c>
      <c r="J269">
        <v>0</v>
      </c>
      <c r="K269">
        <v>5</v>
      </c>
    </row>
    <row r="270" spans="1:11" x14ac:dyDescent="0.3">
      <c r="A270" t="s">
        <v>213</v>
      </c>
      <c r="B270" t="s">
        <v>537</v>
      </c>
      <c r="C270" t="s">
        <v>286</v>
      </c>
      <c r="D270" t="s">
        <v>287</v>
      </c>
      <c r="E270">
        <v>0</v>
      </c>
      <c r="F270">
        <v>0</v>
      </c>
      <c r="G270">
        <v>15</v>
      </c>
      <c r="H270">
        <v>45</v>
      </c>
      <c r="I270">
        <v>0</v>
      </c>
      <c r="J270">
        <v>0</v>
      </c>
      <c r="K270">
        <v>16</v>
      </c>
    </row>
    <row r="271" spans="1:11" x14ac:dyDescent="0.3">
      <c r="A271" t="s">
        <v>213</v>
      </c>
      <c r="B271" t="s">
        <v>537</v>
      </c>
      <c r="C271" t="s">
        <v>301</v>
      </c>
      <c r="D271" t="s">
        <v>302</v>
      </c>
      <c r="E271">
        <v>0</v>
      </c>
      <c r="F271">
        <v>0</v>
      </c>
      <c r="G271">
        <v>11</v>
      </c>
      <c r="H271">
        <v>34</v>
      </c>
      <c r="I271">
        <v>0</v>
      </c>
      <c r="J271">
        <v>0</v>
      </c>
      <c r="K271">
        <v>5</v>
      </c>
    </row>
    <row r="272" spans="1:11" x14ac:dyDescent="0.3">
      <c r="A272" t="s">
        <v>213</v>
      </c>
      <c r="B272" t="s">
        <v>537</v>
      </c>
      <c r="C272" t="s">
        <v>303</v>
      </c>
      <c r="D272" t="s">
        <v>304</v>
      </c>
      <c r="E272">
        <v>0</v>
      </c>
      <c r="F272">
        <v>0</v>
      </c>
      <c r="G272">
        <v>36</v>
      </c>
      <c r="H272">
        <v>111</v>
      </c>
      <c r="I272">
        <v>0</v>
      </c>
      <c r="J272">
        <v>0</v>
      </c>
      <c r="K272">
        <v>20</v>
      </c>
    </row>
    <row r="273" spans="1:11" x14ac:dyDescent="0.3">
      <c r="A273" t="s">
        <v>213</v>
      </c>
      <c r="B273" t="s">
        <v>537</v>
      </c>
      <c r="C273" t="s">
        <v>214</v>
      </c>
      <c r="D273" t="s">
        <v>215</v>
      </c>
      <c r="E273">
        <v>0</v>
      </c>
      <c r="F273">
        <v>0</v>
      </c>
      <c r="G273">
        <v>35</v>
      </c>
      <c r="H273">
        <v>104</v>
      </c>
      <c r="I273">
        <v>0</v>
      </c>
      <c r="J273">
        <v>0</v>
      </c>
      <c r="K273">
        <v>15</v>
      </c>
    </row>
    <row r="274" spans="1:11" x14ac:dyDescent="0.3">
      <c r="A274" t="s">
        <v>213</v>
      </c>
      <c r="B274" t="s">
        <v>537</v>
      </c>
      <c r="C274" t="s">
        <v>219</v>
      </c>
      <c r="D274" t="s">
        <v>220</v>
      </c>
      <c r="E274">
        <v>0</v>
      </c>
      <c r="F274">
        <v>0</v>
      </c>
      <c r="G274">
        <v>5</v>
      </c>
      <c r="H274">
        <v>20</v>
      </c>
      <c r="I274">
        <v>0</v>
      </c>
      <c r="J274">
        <v>0</v>
      </c>
      <c r="K274">
        <v>5</v>
      </c>
    </row>
    <row r="275" spans="1:11" x14ac:dyDescent="0.3">
      <c r="A275" t="s">
        <v>213</v>
      </c>
      <c r="B275" t="s">
        <v>537</v>
      </c>
      <c r="C275" t="s">
        <v>227</v>
      </c>
      <c r="D275" t="s">
        <v>228</v>
      </c>
      <c r="E275">
        <v>0</v>
      </c>
      <c r="F275">
        <v>0</v>
      </c>
      <c r="G275">
        <v>11</v>
      </c>
      <c r="H275">
        <v>33</v>
      </c>
      <c r="I275">
        <v>0</v>
      </c>
      <c r="J275">
        <v>0</v>
      </c>
      <c r="K275">
        <v>10</v>
      </c>
    </row>
    <row r="276" spans="1:11" x14ac:dyDescent="0.3">
      <c r="A276" t="s">
        <v>213</v>
      </c>
      <c r="B276" t="s">
        <v>537</v>
      </c>
      <c r="C276" t="s">
        <v>295</v>
      </c>
      <c r="D276" t="s">
        <v>296</v>
      </c>
      <c r="E276">
        <v>0</v>
      </c>
      <c r="F276">
        <v>0</v>
      </c>
      <c r="G276">
        <v>18</v>
      </c>
      <c r="H276">
        <v>65</v>
      </c>
      <c r="I276">
        <v>0</v>
      </c>
      <c r="J276">
        <v>0</v>
      </c>
      <c r="K276">
        <v>16</v>
      </c>
    </row>
    <row r="277" spans="1:11" x14ac:dyDescent="0.3">
      <c r="A277" t="s">
        <v>213</v>
      </c>
      <c r="B277" t="s">
        <v>537</v>
      </c>
      <c r="C277" t="s">
        <v>308</v>
      </c>
      <c r="D277" t="s">
        <v>309</v>
      </c>
      <c r="E277">
        <v>0</v>
      </c>
      <c r="F277">
        <v>0</v>
      </c>
      <c r="G277">
        <v>15</v>
      </c>
      <c r="H277">
        <v>48</v>
      </c>
      <c r="I277">
        <v>0</v>
      </c>
      <c r="J277">
        <v>0</v>
      </c>
      <c r="K277">
        <v>10</v>
      </c>
    </row>
    <row r="278" spans="1:11" x14ac:dyDescent="0.3">
      <c r="A278" t="s">
        <v>213</v>
      </c>
      <c r="B278" t="s">
        <v>537</v>
      </c>
      <c r="C278" t="s">
        <v>223</v>
      </c>
      <c r="D278" t="s">
        <v>224</v>
      </c>
      <c r="E278">
        <v>0</v>
      </c>
      <c r="F278">
        <v>0</v>
      </c>
      <c r="G278">
        <v>5</v>
      </c>
      <c r="H278">
        <v>18</v>
      </c>
      <c r="I278">
        <v>0</v>
      </c>
      <c r="J278">
        <v>0</v>
      </c>
      <c r="K278">
        <v>5</v>
      </c>
    </row>
    <row r="279" spans="1:11" x14ac:dyDescent="0.3">
      <c r="A279" t="s">
        <v>213</v>
      </c>
      <c r="B279" t="s">
        <v>537</v>
      </c>
      <c r="C279" t="s">
        <v>246</v>
      </c>
      <c r="D279" t="s">
        <v>247</v>
      </c>
      <c r="E279">
        <v>0</v>
      </c>
      <c r="F279">
        <v>0</v>
      </c>
      <c r="G279">
        <v>35</v>
      </c>
      <c r="H279">
        <v>122</v>
      </c>
      <c r="I279">
        <v>0</v>
      </c>
      <c r="J279">
        <v>0</v>
      </c>
      <c r="K279">
        <v>20</v>
      </c>
    </row>
    <row r="280" spans="1:11" x14ac:dyDescent="0.3">
      <c r="A280" t="s">
        <v>213</v>
      </c>
      <c r="B280" t="s">
        <v>537</v>
      </c>
      <c r="C280" t="s">
        <v>288</v>
      </c>
      <c r="D280" t="s">
        <v>289</v>
      </c>
      <c r="E280">
        <v>0</v>
      </c>
      <c r="F280">
        <v>0</v>
      </c>
      <c r="G280">
        <v>35</v>
      </c>
      <c r="H280">
        <v>111</v>
      </c>
      <c r="I280">
        <v>0</v>
      </c>
      <c r="J280">
        <v>0</v>
      </c>
      <c r="K280">
        <v>20</v>
      </c>
    </row>
    <row r="281" spans="1:11" x14ac:dyDescent="0.3">
      <c r="A281" t="s">
        <v>213</v>
      </c>
      <c r="B281" t="s">
        <v>537</v>
      </c>
      <c r="C281" t="s">
        <v>252</v>
      </c>
      <c r="D281" t="s">
        <v>253</v>
      </c>
      <c r="E281">
        <v>0</v>
      </c>
      <c r="F281">
        <v>0</v>
      </c>
      <c r="G281">
        <v>15</v>
      </c>
      <c r="H281">
        <v>47</v>
      </c>
      <c r="I281">
        <v>0</v>
      </c>
      <c r="J281">
        <v>0</v>
      </c>
      <c r="K281">
        <v>16</v>
      </c>
    </row>
    <row r="282" spans="1:11" x14ac:dyDescent="0.3">
      <c r="A282" t="s">
        <v>213</v>
      </c>
      <c r="B282" t="s">
        <v>537</v>
      </c>
      <c r="C282" t="s">
        <v>269</v>
      </c>
      <c r="D282" t="s">
        <v>270</v>
      </c>
      <c r="E282">
        <v>0</v>
      </c>
      <c r="F282">
        <v>0</v>
      </c>
      <c r="G282">
        <v>110</v>
      </c>
      <c r="H282">
        <v>349</v>
      </c>
      <c r="I282">
        <v>0</v>
      </c>
      <c r="J282">
        <v>0</v>
      </c>
      <c r="K282">
        <v>56</v>
      </c>
    </row>
    <row r="283" spans="1:11" x14ac:dyDescent="0.3">
      <c r="A283" t="s">
        <v>213</v>
      </c>
      <c r="B283" t="s">
        <v>537</v>
      </c>
      <c r="C283" t="s">
        <v>496</v>
      </c>
      <c r="D283" t="s">
        <v>294</v>
      </c>
      <c r="E283">
        <v>0</v>
      </c>
      <c r="F283">
        <v>0</v>
      </c>
      <c r="G283">
        <v>10</v>
      </c>
      <c r="H283">
        <v>54</v>
      </c>
      <c r="I283">
        <v>0</v>
      </c>
      <c r="J283">
        <v>0</v>
      </c>
      <c r="K283">
        <v>5</v>
      </c>
    </row>
    <row r="284" spans="1:11" x14ac:dyDescent="0.3">
      <c r="A284" t="s">
        <v>213</v>
      </c>
      <c r="B284" t="s">
        <v>537</v>
      </c>
      <c r="C284" t="s">
        <v>237</v>
      </c>
      <c r="D284" t="s">
        <v>234</v>
      </c>
      <c r="E284">
        <v>0</v>
      </c>
      <c r="F284">
        <v>0</v>
      </c>
      <c r="G284">
        <v>59</v>
      </c>
      <c r="H284">
        <v>203</v>
      </c>
      <c r="I284">
        <v>0</v>
      </c>
      <c r="J284">
        <v>0</v>
      </c>
      <c r="K284">
        <v>35</v>
      </c>
    </row>
    <row r="285" spans="1:11" x14ac:dyDescent="0.3">
      <c r="A285" t="s">
        <v>213</v>
      </c>
      <c r="B285" t="s">
        <v>537</v>
      </c>
      <c r="C285" t="s">
        <v>237</v>
      </c>
      <c r="D285" t="s">
        <v>240</v>
      </c>
      <c r="E285">
        <v>0</v>
      </c>
      <c r="F285">
        <v>0</v>
      </c>
      <c r="G285">
        <v>5</v>
      </c>
      <c r="H285">
        <v>15</v>
      </c>
      <c r="I285">
        <v>0</v>
      </c>
      <c r="J285">
        <v>0</v>
      </c>
      <c r="K285">
        <v>5</v>
      </c>
    </row>
    <row r="286" spans="1:11" x14ac:dyDescent="0.3">
      <c r="A286" t="s">
        <v>213</v>
      </c>
      <c r="B286" t="s">
        <v>537</v>
      </c>
      <c r="C286" t="s">
        <v>237</v>
      </c>
      <c r="D286" t="s">
        <v>255</v>
      </c>
      <c r="E286">
        <v>0</v>
      </c>
      <c r="F286">
        <v>0</v>
      </c>
      <c r="G286">
        <v>5</v>
      </c>
      <c r="H286">
        <v>14</v>
      </c>
      <c r="I286">
        <v>0</v>
      </c>
      <c r="J286">
        <v>0</v>
      </c>
      <c r="K286">
        <v>5</v>
      </c>
    </row>
    <row r="287" spans="1:11" x14ac:dyDescent="0.3">
      <c r="A287" t="s">
        <v>213</v>
      </c>
      <c r="B287" t="s">
        <v>537</v>
      </c>
      <c r="C287" t="s">
        <v>237</v>
      </c>
      <c r="D287" t="s">
        <v>263</v>
      </c>
      <c r="E287">
        <v>0</v>
      </c>
      <c r="F287">
        <v>0</v>
      </c>
      <c r="G287">
        <v>20</v>
      </c>
      <c r="H287">
        <v>53</v>
      </c>
      <c r="I287">
        <v>0</v>
      </c>
      <c r="J287">
        <v>0</v>
      </c>
      <c r="K287">
        <v>15</v>
      </c>
    </row>
    <row r="288" spans="1:11" x14ac:dyDescent="0.3">
      <c r="A288" t="s">
        <v>213</v>
      </c>
      <c r="B288" t="s">
        <v>537</v>
      </c>
      <c r="C288" t="s">
        <v>237</v>
      </c>
      <c r="D288" t="s">
        <v>267</v>
      </c>
      <c r="E288">
        <v>0</v>
      </c>
      <c r="F288">
        <v>0</v>
      </c>
      <c r="G288">
        <v>48</v>
      </c>
      <c r="H288">
        <v>199</v>
      </c>
      <c r="I288">
        <v>0</v>
      </c>
      <c r="J288">
        <v>0</v>
      </c>
      <c r="K288">
        <v>27</v>
      </c>
    </row>
    <row r="289" spans="1:11" x14ac:dyDescent="0.3">
      <c r="A289" t="s">
        <v>213</v>
      </c>
      <c r="B289" t="s">
        <v>537</v>
      </c>
      <c r="C289" t="s">
        <v>237</v>
      </c>
      <c r="D289" t="s">
        <v>279</v>
      </c>
      <c r="E289">
        <v>0</v>
      </c>
      <c r="F289">
        <v>0</v>
      </c>
      <c r="G289">
        <v>4</v>
      </c>
      <c r="H289">
        <v>17</v>
      </c>
      <c r="I289">
        <v>0</v>
      </c>
      <c r="J289">
        <v>0</v>
      </c>
      <c r="K289">
        <v>5</v>
      </c>
    </row>
    <row r="290" spans="1:11" x14ac:dyDescent="0.3">
      <c r="A290" t="s">
        <v>213</v>
      </c>
      <c r="B290" t="s">
        <v>537</v>
      </c>
      <c r="C290" t="s">
        <v>237</v>
      </c>
      <c r="D290" t="s">
        <v>298</v>
      </c>
      <c r="E290">
        <v>0</v>
      </c>
      <c r="F290">
        <v>0</v>
      </c>
      <c r="G290">
        <v>10</v>
      </c>
      <c r="H290">
        <v>36</v>
      </c>
      <c r="I290">
        <v>0</v>
      </c>
      <c r="J290">
        <v>0</v>
      </c>
      <c r="K290">
        <v>10</v>
      </c>
    </row>
    <row r="291" spans="1:11" x14ac:dyDescent="0.3">
      <c r="A291" t="s">
        <v>213</v>
      </c>
      <c r="B291" t="s">
        <v>537</v>
      </c>
      <c r="C291" t="s">
        <v>237</v>
      </c>
      <c r="D291" t="s">
        <v>307</v>
      </c>
      <c r="E291">
        <v>0</v>
      </c>
      <c r="F291">
        <v>0</v>
      </c>
      <c r="G291">
        <v>10</v>
      </c>
      <c r="H291">
        <v>34</v>
      </c>
      <c r="I291">
        <v>0</v>
      </c>
      <c r="J291">
        <v>0</v>
      </c>
      <c r="K291">
        <v>5</v>
      </c>
    </row>
    <row r="292" spans="1:11" x14ac:dyDescent="0.3">
      <c r="A292" t="s">
        <v>213</v>
      </c>
      <c r="B292" t="s">
        <v>537</v>
      </c>
      <c r="C292" t="s">
        <v>237</v>
      </c>
      <c r="D292" t="s">
        <v>311</v>
      </c>
      <c r="E292">
        <v>0</v>
      </c>
      <c r="F292">
        <v>0</v>
      </c>
      <c r="G292">
        <v>10</v>
      </c>
      <c r="H292">
        <v>36</v>
      </c>
      <c r="I292">
        <v>0</v>
      </c>
      <c r="J292">
        <v>0</v>
      </c>
      <c r="K292">
        <v>10</v>
      </c>
    </row>
    <row r="293" spans="1:11" x14ac:dyDescent="0.3">
      <c r="A293" t="s">
        <v>213</v>
      </c>
      <c r="B293" t="s">
        <v>540</v>
      </c>
      <c r="C293" t="s">
        <v>216</v>
      </c>
      <c r="D293" t="s">
        <v>215</v>
      </c>
      <c r="E293">
        <v>1</v>
      </c>
      <c r="F293">
        <v>0</v>
      </c>
      <c r="G293">
        <v>2</v>
      </c>
      <c r="H293">
        <v>1</v>
      </c>
      <c r="I293">
        <v>2</v>
      </c>
      <c r="J293">
        <v>4</v>
      </c>
      <c r="K293">
        <v>6</v>
      </c>
    </row>
    <row r="294" spans="1:11" x14ac:dyDescent="0.3">
      <c r="A294" t="s">
        <v>213</v>
      </c>
      <c r="B294" t="s">
        <v>540</v>
      </c>
      <c r="C294" t="s">
        <v>221</v>
      </c>
      <c r="D294" t="s">
        <v>222</v>
      </c>
      <c r="E294">
        <v>1</v>
      </c>
      <c r="F294">
        <v>0</v>
      </c>
      <c r="G294">
        <v>6</v>
      </c>
      <c r="H294">
        <v>0</v>
      </c>
      <c r="I294">
        <v>2</v>
      </c>
      <c r="J294">
        <v>8</v>
      </c>
      <c r="K294">
        <v>8</v>
      </c>
    </row>
    <row r="295" spans="1:11" x14ac:dyDescent="0.3">
      <c r="A295" t="s">
        <v>213</v>
      </c>
      <c r="B295" t="s">
        <v>540</v>
      </c>
      <c r="C295" t="s">
        <v>229</v>
      </c>
      <c r="D295" t="s">
        <v>230</v>
      </c>
      <c r="E295">
        <v>1</v>
      </c>
      <c r="F295">
        <v>0</v>
      </c>
      <c r="G295">
        <v>6</v>
      </c>
      <c r="H295">
        <v>2</v>
      </c>
      <c r="I295">
        <v>3</v>
      </c>
      <c r="J295">
        <v>8</v>
      </c>
      <c r="K295">
        <v>6</v>
      </c>
    </row>
    <row r="296" spans="1:11" x14ac:dyDescent="0.3">
      <c r="A296" t="s">
        <v>213</v>
      </c>
      <c r="B296" t="s">
        <v>540</v>
      </c>
      <c r="C296" t="s">
        <v>245</v>
      </c>
      <c r="D296" t="s">
        <v>244</v>
      </c>
      <c r="E296">
        <v>1</v>
      </c>
      <c r="F296">
        <v>0</v>
      </c>
      <c r="G296">
        <v>4</v>
      </c>
      <c r="H296">
        <v>2</v>
      </c>
      <c r="I296">
        <v>2</v>
      </c>
      <c r="J296">
        <v>6</v>
      </c>
      <c r="K296">
        <v>7</v>
      </c>
    </row>
    <row r="297" spans="1:11" x14ac:dyDescent="0.3">
      <c r="A297" t="s">
        <v>213</v>
      </c>
      <c r="B297" t="s">
        <v>540</v>
      </c>
      <c r="C297" t="s">
        <v>250</v>
      </c>
      <c r="D297" t="s">
        <v>251</v>
      </c>
      <c r="E297">
        <v>1</v>
      </c>
      <c r="F297">
        <v>0</v>
      </c>
      <c r="G297">
        <v>2</v>
      </c>
      <c r="H297">
        <v>2</v>
      </c>
      <c r="I297">
        <v>3</v>
      </c>
      <c r="J297">
        <v>9</v>
      </c>
      <c r="K297">
        <v>8</v>
      </c>
    </row>
    <row r="298" spans="1:11" x14ac:dyDescent="0.3">
      <c r="A298" t="s">
        <v>213</v>
      </c>
      <c r="B298" t="s">
        <v>540</v>
      </c>
      <c r="C298" t="s">
        <v>256</v>
      </c>
      <c r="D298" t="s">
        <v>257</v>
      </c>
      <c r="E298">
        <v>1</v>
      </c>
      <c r="F298">
        <v>0</v>
      </c>
      <c r="G298">
        <v>2</v>
      </c>
      <c r="H298">
        <v>3</v>
      </c>
      <c r="I298">
        <v>3</v>
      </c>
      <c r="J298">
        <v>7</v>
      </c>
      <c r="K298">
        <v>9</v>
      </c>
    </row>
    <row r="299" spans="1:11" x14ac:dyDescent="0.3">
      <c r="A299" t="s">
        <v>213</v>
      </c>
      <c r="B299" t="s">
        <v>540</v>
      </c>
      <c r="C299" t="s">
        <v>260</v>
      </c>
      <c r="D299" t="s">
        <v>261</v>
      </c>
      <c r="E299">
        <v>1</v>
      </c>
      <c r="F299">
        <v>0</v>
      </c>
      <c r="G299">
        <v>0</v>
      </c>
      <c r="H299">
        <v>2</v>
      </c>
      <c r="I299">
        <v>4</v>
      </c>
      <c r="J299">
        <v>4</v>
      </c>
      <c r="K299">
        <v>3</v>
      </c>
    </row>
    <row r="300" spans="1:11" x14ac:dyDescent="0.3">
      <c r="A300" t="s">
        <v>213</v>
      </c>
      <c r="B300" t="s">
        <v>540</v>
      </c>
      <c r="C300" t="s">
        <v>235</v>
      </c>
      <c r="D300" t="s">
        <v>236</v>
      </c>
      <c r="E300">
        <v>1</v>
      </c>
      <c r="F300">
        <v>0</v>
      </c>
      <c r="G300">
        <v>5</v>
      </c>
      <c r="H300">
        <v>3</v>
      </c>
      <c r="I300">
        <v>5</v>
      </c>
      <c r="J300">
        <v>4</v>
      </c>
      <c r="K300">
        <v>12</v>
      </c>
    </row>
    <row r="301" spans="1:11" x14ac:dyDescent="0.3">
      <c r="A301" t="s">
        <v>213</v>
      </c>
      <c r="B301" t="s">
        <v>540</v>
      </c>
      <c r="C301" t="s">
        <v>264</v>
      </c>
      <c r="D301" t="s">
        <v>265</v>
      </c>
      <c r="E301">
        <v>1</v>
      </c>
      <c r="F301">
        <v>0</v>
      </c>
      <c r="G301">
        <v>3</v>
      </c>
      <c r="H301">
        <v>2</v>
      </c>
      <c r="I301">
        <v>2</v>
      </c>
      <c r="J301">
        <v>6</v>
      </c>
      <c r="K301">
        <v>6</v>
      </c>
    </row>
    <row r="302" spans="1:11" x14ac:dyDescent="0.3">
      <c r="A302" t="s">
        <v>213</v>
      </c>
      <c r="B302" t="s">
        <v>540</v>
      </c>
      <c r="C302" t="s">
        <v>271</v>
      </c>
      <c r="D302" t="s">
        <v>270</v>
      </c>
      <c r="E302">
        <v>1</v>
      </c>
      <c r="F302">
        <v>0</v>
      </c>
      <c r="G302">
        <v>2</v>
      </c>
      <c r="H302">
        <v>2</v>
      </c>
      <c r="I302">
        <v>4</v>
      </c>
      <c r="J302">
        <v>9</v>
      </c>
      <c r="K302">
        <v>7</v>
      </c>
    </row>
    <row r="303" spans="1:11" x14ac:dyDescent="0.3">
      <c r="A303" t="s">
        <v>213</v>
      </c>
      <c r="B303" t="s">
        <v>540</v>
      </c>
      <c r="C303" t="s">
        <v>274</v>
      </c>
      <c r="D303" t="s">
        <v>275</v>
      </c>
      <c r="E303">
        <v>1</v>
      </c>
      <c r="F303">
        <v>0</v>
      </c>
      <c r="G303">
        <v>9</v>
      </c>
      <c r="H303">
        <v>1</v>
      </c>
      <c r="I303">
        <v>4</v>
      </c>
      <c r="J303">
        <v>14</v>
      </c>
      <c r="K303">
        <v>16</v>
      </c>
    </row>
    <row r="304" spans="1:11" x14ac:dyDescent="0.3">
      <c r="A304" t="s">
        <v>213</v>
      </c>
      <c r="B304" t="s">
        <v>540</v>
      </c>
      <c r="C304" t="s">
        <v>290</v>
      </c>
      <c r="D304" t="s">
        <v>289</v>
      </c>
      <c r="E304">
        <v>1</v>
      </c>
      <c r="F304">
        <v>0</v>
      </c>
      <c r="G304">
        <v>2</v>
      </c>
      <c r="H304">
        <v>1</v>
      </c>
      <c r="I304">
        <v>2</v>
      </c>
      <c r="J304">
        <v>5</v>
      </c>
      <c r="K304">
        <v>6</v>
      </c>
    </row>
    <row r="305" spans="1:11" x14ac:dyDescent="0.3">
      <c r="A305" t="s">
        <v>213</v>
      </c>
      <c r="B305" t="s">
        <v>540</v>
      </c>
      <c r="C305" t="s">
        <v>305</v>
      </c>
      <c r="D305" t="s">
        <v>304</v>
      </c>
      <c r="E305">
        <v>1</v>
      </c>
      <c r="F305">
        <v>0</v>
      </c>
      <c r="G305">
        <v>2</v>
      </c>
      <c r="H305">
        <v>1</v>
      </c>
      <c r="I305">
        <v>2</v>
      </c>
      <c r="J305">
        <v>6</v>
      </c>
      <c r="K305">
        <v>4</v>
      </c>
    </row>
    <row r="306" spans="1:11" x14ac:dyDescent="0.3">
      <c r="A306" t="s">
        <v>213</v>
      </c>
      <c r="B306" t="s">
        <v>540</v>
      </c>
      <c r="C306" t="s">
        <v>241</v>
      </c>
      <c r="D306" t="s">
        <v>242</v>
      </c>
      <c r="E306">
        <v>1</v>
      </c>
      <c r="F306">
        <v>0</v>
      </c>
      <c r="G306">
        <v>3</v>
      </c>
      <c r="H306">
        <v>1</v>
      </c>
      <c r="I306">
        <v>2</v>
      </c>
      <c r="J306">
        <v>6</v>
      </c>
      <c r="K306">
        <v>5</v>
      </c>
    </row>
    <row r="307" spans="1:11" x14ac:dyDescent="0.3">
      <c r="A307" t="s">
        <v>213</v>
      </c>
      <c r="B307" t="s">
        <v>540</v>
      </c>
      <c r="C307" t="s">
        <v>284</v>
      </c>
      <c r="D307" t="s">
        <v>285</v>
      </c>
      <c r="E307">
        <v>1</v>
      </c>
      <c r="F307">
        <v>0</v>
      </c>
      <c r="G307">
        <v>3</v>
      </c>
      <c r="H307">
        <v>0</v>
      </c>
      <c r="I307">
        <v>3</v>
      </c>
      <c r="J307">
        <v>5</v>
      </c>
      <c r="K307">
        <v>4</v>
      </c>
    </row>
    <row r="308" spans="1:11" x14ac:dyDescent="0.3">
      <c r="A308" t="s">
        <v>213</v>
      </c>
      <c r="B308" t="s">
        <v>540</v>
      </c>
      <c r="C308" t="s">
        <v>225</v>
      </c>
      <c r="D308" t="s">
        <v>226</v>
      </c>
      <c r="E308">
        <v>1</v>
      </c>
      <c r="F308">
        <v>0</v>
      </c>
      <c r="G308">
        <v>3</v>
      </c>
      <c r="H308">
        <v>2</v>
      </c>
      <c r="I308">
        <v>4</v>
      </c>
      <c r="J308">
        <v>8</v>
      </c>
      <c r="K308">
        <v>11</v>
      </c>
    </row>
    <row r="309" spans="1:11" x14ac:dyDescent="0.3">
      <c r="A309" t="s">
        <v>213</v>
      </c>
      <c r="B309" t="s">
        <v>540</v>
      </c>
      <c r="C309" t="s">
        <v>268</v>
      </c>
      <c r="D309" t="s">
        <v>267</v>
      </c>
      <c r="E309">
        <v>0</v>
      </c>
      <c r="F309">
        <v>0</v>
      </c>
      <c r="G309">
        <v>0</v>
      </c>
      <c r="H309">
        <v>4</v>
      </c>
      <c r="I309">
        <v>2</v>
      </c>
      <c r="J309">
        <v>6</v>
      </c>
      <c r="K309">
        <v>6</v>
      </c>
    </row>
    <row r="310" spans="1:11" x14ac:dyDescent="0.3">
      <c r="A310" t="s">
        <v>213</v>
      </c>
      <c r="B310" t="s">
        <v>542</v>
      </c>
      <c r="C310" t="s">
        <v>231</v>
      </c>
      <c r="D310" t="s">
        <v>232</v>
      </c>
      <c r="E310">
        <v>1</v>
      </c>
      <c r="F310">
        <v>0</v>
      </c>
      <c r="G310">
        <v>26</v>
      </c>
      <c r="H310">
        <v>0</v>
      </c>
      <c r="I310">
        <v>5</v>
      </c>
      <c r="J310">
        <v>12</v>
      </c>
      <c r="K310">
        <v>35</v>
      </c>
    </row>
    <row r="311" spans="1:11" x14ac:dyDescent="0.3">
      <c r="A311" t="s">
        <v>213</v>
      </c>
      <c r="B311" t="s">
        <v>542</v>
      </c>
      <c r="C311" t="s">
        <v>237</v>
      </c>
      <c r="D311" t="s">
        <v>238</v>
      </c>
      <c r="E311">
        <v>1</v>
      </c>
      <c r="F311">
        <v>0</v>
      </c>
      <c r="G311">
        <v>8</v>
      </c>
      <c r="H311">
        <v>0</v>
      </c>
      <c r="I311">
        <v>5</v>
      </c>
      <c r="J311">
        <v>5</v>
      </c>
      <c r="K311">
        <v>18</v>
      </c>
    </row>
    <row r="312" spans="1:11" x14ac:dyDescent="0.3">
      <c r="A312" t="s">
        <v>213</v>
      </c>
      <c r="B312" t="s">
        <v>542</v>
      </c>
      <c r="C312" t="s">
        <v>217</v>
      </c>
      <c r="D312" t="s">
        <v>218</v>
      </c>
      <c r="E312">
        <v>1</v>
      </c>
      <c r="F312">
        <v>0</v>
      </c>
      <c r="G312">
        <v>7</v>
      </c>
      <c r="H312">
        <v>0</v>
      </c>
      <c r="I312">
        <v>4</v>
      </c>
      <c r="J312">
        <v>7</v>
      </c>
      <c r="K312">
        <v>11</v>
      </c>
    </row>
    <row r="313" spans="1:11" x14ac:dyDescent="0.3">
      <c r="A313" t="s">
        <v>213</v>
      </c>
      <c r="B313" t="s">
        <v>544</v>
      </c>
      <c r="C313" t="s">
        <v>549</v>
      </c>
      <c r="D313" t="s">
        <v>545</v>
      </c>
      <c r="E313">
        <v>14</v>
      </c>
      <c r="F313">
        <v>4</v>
      </c>
      <c r="G313">
        <v>0</v>
      </c>
      <c r="H313">
        <v>60</v>
      </c>
      <c r="I313">
        <v>17</v>
      </c>
      <c r="J313">
        <v>8</v>
      </c>
      <c r="K313">
        <v>46</v>
      </c>
    </row>
    <row r="314" spans="1:11" x14ac:dyDescent="0.3">
      <c r="A314" t="s">
        <v>312</v>
      </c>
      <c r="B314" t="s">
        <v>537</v>
      </c>
      <c r="C314" t="s">
        <v>231</v>
      </c>
      <c r="D314" t="s">
        <v>228</v>
      </c>
      <c r="E314">
        <v>0</v>
      </c>
      <c r="F314">
        <v>0</v>
      </c>
      <c r="G314">
        <v>10</v>
      </c>
      <c r="H314">
        <v>33</v>
      </c>
      <c r="I314">
        <v>0</v>
      </c>
      <c r="J314">
        <v>0</v>
      </c>
      <c r="K314">
        <v>10</v>
      </c>
    </row>
    <row r="315" spans="1:11" x14ac:dyDescent="0.3">
      <c r="A315" t="s">
        <v>312</v>
      </c>
      <c r="B315" t="s">
        <v>537</v>
      </c>
      <c r="C315" t="s">
        <v>231</v>
      </c>
      <c r="D315" t="s">
        <v>244</v>
      </c>
      <c r="E315">
        <v>0</v>
      </c>
      <c r="F315">
        <v>0</v>
      </c>
      <c r="G315">
        <v>10</v>
      </c>
      <c r="H315">
        <v>37</v>
      </c>
      <c r="I315">
        <v>0</v>
      </c>
      <c r="J315">
        <v>0</v>
      </c>
      <c r="K315">
        <v>5</v>
      </c>
    </row>
    <row r="316" spans="1:11" x14ac:dyDescent="0.3">
      <c r="A316" t="s">
        <v>312</v>
      </c>
      <c r="B316" t="s">
        <v>537</v>
      </c>
      <c r="C316" t="s">
        <v>231</v>
      </c>
      <c r="D316" t="s">
        <v>249</v>
      </c>
      <c r="E316">
        <v>0</v>
      </c>
      <c r="F316">
        <v>0</v>
      </c>
      <c r="G316">
        <v>10</v>
      </c>
      <c r="H316">
        <v>34</v>
      </c>
      <c r="I316">
        <v>0</v>
      </c>
      <c r="J316">
        <v>0</v>
      </c>
      <c r="K316">
        <v>5</v>
      </c>
    </row>
    <row r="317" spans="1:11" x14ac:dyDescent="0.3">
      <c r="A317" t="s">
        <v>312</v>
      </c>
      <c r="B317" t="s">
        <v>537</v>
      </c>
      <c r="C317" t="s">
        <v>231</v>
      </c>
      <c r="D317" t="s">
        <v>253</v>
      </c>
      <c r="E317">
        <v>0</v>
      </c>
      <c r="F317">
        <v>0</v>
      </c>
      <c r="G317">
        <v>15</v>
      </c>
      <c r="H317">
        <v>49</v>
      </c>
      <c r="I317">
        <v>0</v>
      </c>
      <c r="J317">
        <v>0</v>
      </c>
      <c r="K317">
        <v>15</v>
      </c>
    </row>
    <row r="318" spans="1:11" x14ac:dyDescent="0.3">
      <c r="A318" t="s">
        <v>312</v>
      </c>
      <c r="B318" t="s">
        <v>537</v>
      </c>
      <c r="C318" t="s">
        <v>231</v>
      </c>
      <c r="D318" t="s">
        <v>259</v>
      </c>
      <c r="E318">
        <v>0</v>
      </c>
      <c r="F318">
        <v>0</v>
      </c>
      <c r="G318">
        <v>10</v>
      </c>
      <c r="H318">
        <v>30</v>
      </c>
      <c r="I318">
        <v>0</v>
      </c>
      <c r="J318">
        <v>0</v>
      </c>
      <c r="K318">
        <v>10</v>
      </c>
    </row>
    <row r="319" spans="1:11" x14ac:dyDescent="0.3">
      <c r="A319" t="s">
        <v>312</v>
      </c>
      <c r="B319" t="s">
        <v>537</v>
      </c>
      <c r="C319" t="s">
        <v>231</v>
      </c>
      <c r="D319" t="s">
        <v>270</v>
      </c>
      <c r="E319">
        <v>0</v>
      </c>
      <c r="F319">
        <v>0</v>
      </c>
      <c r="G319">
        <v>114</v>
      </c>
      <c r="H319">
        <v>346</v>
      </c>
      <c r="I319">
        <v>0</v>
      </c>
      <c r="J319">
        <v>0</v>
      </c>
      <c r="K319">
        <v>57</v>
      </c>
    </row>
    <row r="320" spans="1:11" x14ac:dyDescent="0.3">
      <c r="A320" t="s">
        <v>312</v>
      </c>
      <c r="B320" t="s">
        <v>537</v>
      </c>
      <c r="C320" t="s">
        <v>231</v>
      </c>
      <c r="D320" t="s">
        <v>277</v>
      </c>
      <c r="E320">
        <v>0</v>
      </c>
      <c r="F320">
        <v>0</v>
      </c>
      <c r="G320">
        <v>15</v>
      </c>
      <c r="H320">
        <v>45</v>
      </c>
      <c r="I320">
        <v>0</v>
      </c>
      <c r="J320">
        <v>0</v>
      </c>
      <c r="K320">
        <v>10</v>
      </c>
    </row>
    <row r="321" spans="1:11" x14ac:dyDescent="0.3">
      <c r="A321" t="s">
        <v>312</v>
      </c>
      <c r="B321" t="s">
        <v>537</v>
      </c>
      <c r="C321" t="s">
        <v>231</v>
      </c>
      <c r="D321" t="s">
        <v>287</v>
      </c>
      <c r="E321">
        <v>0</v>
      </c>
      <c r="F321">
        <v>0</v>
      </c>
      <c r="G321">
        <v>15</v>
      </c>
      <c r="H321">
        <v>45</v>
      </c>
      <c r="I321">
        <v>0</v>
      </c>
      <c r="J321">
        <v>0</v>
      </c>
      <c r="K321">
        <v>15</v>
      </c>
    </row>
    <row r="322" spans="1:11" x14ac:dyDescent="0.3">
      <c r="A322" t="s">
        <v>312</v>
      </c>
      <c r="B322" t="s">
        <v>537</v>
      </c>
      <c r="C322" t="s">
        <v>231</v>
      </c>
      <c r="D322" t="s">
        <v>289</v>
      </c>
      <c r="E322">
        <v>0</v>
      </c>
      <c r="F322">
        <v>0</v>
      </c>
      <c r="G322">
        <v>37</v>
      </c>
      <c r="H322">
        <v>105</v>
      </c>
      <c r="I322">
        <v>0</v>
      </c>
      <c r="J322">
        <v>0</v>
      </c>
      <c r="K322">
        <v>21</v>
      </c>
    </row>
    <row r="323" spans="1:11" x14ac:dyDescent="0.3">
      <c r="A323" t="s">
        <v>312</v>
      </c>
      <c r="B323" t="s">
        <v>537</v>
      </c>
      <c r="C323" t="s">
        <v>231</v>
      </c>
      <c r="D323" t="s">
        <v>296</v>
      </c>
      <c r="E323">
        <v>0</v>
      </c>
      <c r="F323">
        <v>0</v>
      </c>
      <c r="G323">
        <v>21</v>
      </c>
      <c r="H323">
        <v>66</v>
      </c>
      <c r="I323">
        <v>0</v>
      </c>
      <c r="J323">
        <v>0</v>
      </c>
      <c r="K323">
        <v>15</v>
      </c>
    </row>
    <row r="324" spans="1:11" x14ac:dyDescent="0.3">
      <c r="A324" t="s">
        <v>312</v>
      </c>
      <c r="B324" t="s">
        <v>537</v>
      </c>
      <c r="C324" t="s">
        <v>231</v>
      </c>
      <c r="D324" t="s">
        <v>302</v>
      </c>
      <c r="E324">
        <v>0</v>
      </c>
      <c r="F324">
        <v>0</v>
      </c>
      <c r="G324">
        <v>9</v>
      </c>
      <c r="H324">
        <v>36</v>
      </c>
      <c r="I324">
        <v>0</v>
      </c>
      <c r="J324">
        <v>0</v>
      </c>
      <c r="K324">
        <v>5</v>
      </c>
    </row>
    <row r="325" spans="1:11" x14ac:dyDescent="0.3">
      <c r="A325" t="s">
        <v>312</v>
      </c>
      <c r="B325" t="s">
        <v>537</v>
      </c>
      <c r="C325" t="s">
        <v>231</v>
      </c>
      <c r="D325" t="s">
        <v>304</v>
      </c>
      <c r="E325">
        <v>0</v>
      </c>
      <c r="F325">
        <v>0</v>
      </c>
      <c r="G325">
        <v>37</v>
      </c>
      <c r="H325">
        <v>111</v>
      </c>
      <c r="I325">
        <v>0</v>
      </c>
      <c r="J325">
        <v>0</v>
      </c>
      <c r="K325">
        <v>20</v>
      </c>
    </row>
    <row r="326" spans="1:11" x14ac:dyDescent="0.3">
      <c r="A326" t="s">
        <v>312</v>
      </c>
      <c r="B326" t="s">
        <v>537</v>
      </c>
      <c r="C326" t="s">
        <v>231</v>
      </c>
      <c r="D326" t="s">
        <v>309</v>
      </c>
      <c r="E326">
        <v>0</v>
      </c>
      <c r="F326">
        <v>0</v>
      </c>
      <c r="G326">
        <v>15</v>
      </c>
      <c r="H326">
        <v>48</v>
      </c>
      <c r="I326">
        <v>0</v>
      </c>
      <c r="J326">
        <v>0</v>
      </c>
      <c r="K326">
        <v>10</v>
      </c>
    </row>
    <row r="327" spans="1:11" x14ac:dyDescent="0.3">
      <c r="A327" t="s">
        <v>312</v>
      </c>
      <c r="B327" t="s">
        <v>537</v>
      </c>
      <c r="C327" t="s">
        <v>237</v>
      </c>
      <c r="D327" t="s">
        <v>234</v>
      </c>
      <c r="E327">
        <v>0</v>
      </c>
      <c r="F327">
        <v>0</v>
      </c>
      <c r="G327">
        <v>56</v>
      </c>
      <c r="H327">
        <v>214</v>
      </c>
      <c r="I327">
        <v>0</v>
      </c>
      <c r="J327">
        <v>0</v>
      </c>
      <c r="K327">
        <v>36</v>
      </c>
    </row>
    <row r="328" spans="1:11" x14ac:dyDescent="0.3">
      <c r="A328" t="s">
        <v>312</v>
      </c>
      <c r="B328" t="s">
        <v>537</v>
      </c>
      <c r="C328" t="s">
        <v>237</v>
      </c>
      <c r="D328" t="s">
        <v>240</v>
      </c>
      <c r="E328">
        <v>0</v>
      </c>
      <c r="F328">
        <v>0</v>
      </c>
      <c r="G328">
        <v>5</v>
      </c>
      <c r="H328">
        <v>15</v>
      </c>
      <c r="I328">
        <v>0</v>
      </c>
      <c r="J328">
        <v>0</v>
      </c>
      <c r="K328">
        <v>5</v>
      </c>
    </row>
    <row r="329" spans="1:11" x14ac:dyDescent="0.3">
      <c r="A329" t="s">
        <v>312</v>
      </c>
      <c r="B329" t="s">
        <v>537</v>
      </c>
      <c r="C329" t="s">
        <v>237</v>
      </c>
      <c r="D329" t="s">
        <v>255</v>
      </c>
      <c r="E329">
        <v>0</v>
      </c>
      <c r="F329">
        <v>0</v>
      </c>
      <c r="G329">
        <v>5</v>
      </c>
      <c r="H329">
        <v>15</v>
      </c>
      <c r="I329">
        <v>0</v>
      </c>
      <c r="J329">
        <v>0</v>
      </c>
      <c r="K329">
        <v>5</v>
      </c>
    </row>
    <row r="330" spans="1:11" x14ac:dyDescent="0.3">
      <c r="A330" t="s">
        <v>312</v>
      </c>
      <c r="B330" t="s">
        <v>537</v>
      </c>
      <c r="C330" t="s">
        <v>237</v>
      </c>
      <c r="D330" t="s">
        <v>263</v>
      </c>
      <c r="E330">
        <v>0</v>
      </c>
      <c r="F330">
        <v>0</v>
      </c>
      <c r="G330">
        <v>19</v>
      </c>
      <c r="H330">
        <v>54</v>
      </c>
      <c r="I330">
        <v>0</v>
      </c>
      <c r="J330">
        <v>0</v>
      </c>
      <c r="K330">
        <v>15</v>
      </c>
    </row>
    <row r="331" spans="1:11" x14ac:dyDescent="0.3">
      <c r="A331" t="s">
        <v>312</v>
      </c>
      <c r="B331" t="s">
        <v>537</v>
      </c>
      <c r="C331" t="s">
        <v>237</v>
      </c>
      <c r="D331" t="s">
        <v>267</v>
      </c>
      <c r="E331">
        <v>0</v>
      </c>
      <c r="F331">
        <v>0</v>
      </c>
      <c r="G331">
        <v>51</v>
      </c>
      <c r="H331">
        <v>192</v>
      </c>
      <c r="I331">
        <v>0</v>
      </c>
      <c r="J331">
        <v>0</v>
      </c>
      <c r="K331">
        <v>26</v>
      </c>
    </row>
    <row r="332" spans="1:11" x14ac:dyDescent="0.3">
      <c r="A332" t="s">
        <v>312</v>
      </c>
      <c r="B332" t="s">
        <v>537</v>
      </c>
      <c r="C332" t="s">
        <v>237</v>
      </c>
      <c r="D332" t="s">
        <v>279</v>
      </c>
      <c r="E332">
        <v>0</v>
      </c>
      <c r="F332">
        <v>0</v>
      </c>
      <c r="G332">
        <v>4</v>
      </c>
      <c r="H332">
        <v>17</v>
      </c>
      <c r="I332">
        <v>0</v>
      </c>
      <c r="J332">
        <v>0</v>
      </c>
      <c r="K332">
        <v>5</v>
      </c>
    </row>
    <row r="333" spans="1:11" x14ac:dyDescent="0.3">
      <c r="A333" t="s">
        <v>312</v>
      </c>
      <c r="B333" t="s">
        <v>537</v>
      </c>
      <c r="C333" t="s">
        <v>237</v>
      </c>
      <c r="D333" t="s">
        <v>298</v>
      </c>
      <c r="E333">
        <v>0</v>
      </c>
      <c r="F333">
        <v>0</v>
      </c>
      <c r="G333">
        <v>10</v>
      </c>
      <c r="H333">
        <v>33</v>
      </c>
      <c r="I333">
        <v>0</v>
      </c>
      <c r="J333">
        <v>0</v>
      </c>
      <c r="K333">
        <v>10</v>
      </c>
    </row>
    <row r="334" spans="1:11" x14ac:dyDescent="0.3">
      <c r="A334" t="s">
        <v>312</v>
      </c>
      <c r="B334" t="s">
        <v>537</v>
      </c>
      <c r="C334" t="s">
        <v>237</v>
      </c>
      <c r="D334" t="s">
        <v>307</v>
      </c>
      <c r="E334">
        <v>0</v>
      </c>
      <c r="F334">
        <v>0</v>
      </c>
      <c r="G334">
        <v>10</v>
      </c>
      <c r="H334">
        <v>36</v>
      </c>
      <c r="I334">
        <v>0</v>
      </c>
      <c r="J334">
        <v>0</v>
      </c>
      <c r="K334">
        <v>5</v>
      </c>
    </row>
    <row r="335" spans="1:11" x14ac:dyDescent="0.3">
      <c r="A335" t="s">
        <v>312</v>
      </c>
      <c r="B335" t="s">
        <v>537</v>
      </c>
      <c r="C335" t="s">
        <v>237</v>
      </c>
      <c r="D335" t="s">
        <v>311</v>
      </c>
      <c r="E335">
        <v>0</v>
      </c>
      <c r="F335">
        <v>0</v>
      </c>
      <c r="G335">
        <v>10</v>
      </c>
      <c r="H335">
        <v>38</v>
      </c>
      <c r="I335">
        <v>0</v>
      </c>
      <c r="J335">
        <v>0</v>
      </c>
      <c r="K335">
        <v>10</v>
      </c>
    </row>
    <row r="336" spans="1:11" x14ac:dyDescent="0.3">
      <c r="A336" t="s">
        <v>312</v>
      </c>
      <c r="B336" t="s">
        <v>537</v>
      </c>
      <c r="C336" t="s">
        <v>217</v>
      </c>
      <c r="D336" t="s">
        <v>215</v>
      </c>
      <c r="E336">
        <v>0</v>
      </c>
      <c r="F336">
        <v>0</v>
      </c>
      <c r="G336">
        <v>35</v>
      </c>
      <c r="H336">
        <v>105</v>
      </c>
      <c r="I336">
        <v>0</v>
      </c>
      <c r="J336">
        <v>0</v>
      </c>
      <c r="K336">
        <v>15</v>
      </c>
    </row>
    <row r="337" spans="1:11" x14ac:dyDescent="0.3">
      <c r="A337" t="s">
        <v>312</v>
      </c>
      <c r="B337" t="s">
        <v>537</v>
      </c>
      <c r="C337" t="s">
        <v>217</v>
      </c>
      <c r="D337" t="s">
        <v>220</v>
      </c>
      <c r="E337">
        <v>0</v>
      </c>
      <c r="F337">
        <v>0</v>
      </c>
      <c r="G337">
        <v>4</v>
      </c>
      <c r="H337">
        <v>22</v>
      </c>
      <c r="I337">
        <v>0</v>
      </c>
      <c r="J337">
        <v>0</v>
      </c>
      <c r="K337">
        <v>6</v>
      </c>
    </row>
    <row r="338" spans="1:11" x14ac:dyDescent="0.3">
      <c r="A338" t="s">
        <v>312</v>
      </c>
      <c r="B338" t="s">
        <v>537</v>
      </c>
      <c r="C338" t="s">
        <v>217</v>
      </c>
      <c r="D338" t="s">
        <v>224</v>
      </c>
      <c r="E338">
        <v>0</v>
      </c>
      <c r="F338">
        <v>0</v>
      </c>
      <c r="G338">
        <v>5</v>
      </c>
      <c r="H338">
        <v>17</v>
      </c>
      <c r="I338">
        <v>0</v>
      </c>
      <c r="J338">
        <v>0</v>
      </c>
      <c r="K338">
        <v>5</v>
      </c>
    </row>
    <row r="339" spans="1:11" x14ac:dyDescent="0.3">
      <c r="A339" t="s">
        <v>312</v>
      </c>
      <c r="B339" t="s">
        <v>537</v>
      </c>
      <c r="C339" t="s">
        <v>217</v>
      </c>
      <c r="D339" t="s">
        <v>247</v>
      </c>
      <c r="E339">
        <v>0</v>
      </c>
      <c r="F339">
        <v>0</v>
      </c>
      <c r="G339">
        <v>36</v>
      </c>
      <c r="H339">
        <v>126</v>
      </c>
      <c r="I339">
        <v>0</v>
      </c>
      <c r="J339">
        <v>0</v>
      </c>
      <c r="K339">
        <v>20</v>
      </c>
    </row>
    <row r="340" spans="1:11" x14ac:dyDescent="0.3">
      <c r="A340" t="s">
        <v>312</v>
      </c>
      <c r="B340" t="s">
        <v>537</v>
      </c>
      <c r="C340" t="s">
        <v>217</v>
      </c>
      <c r="D340" t="s">
        <v>273</v>
      </c>
      <c r="E340">
        <v>0</v>
      </c>
      <c r="F340">
        <v>0</v>
      </c>
      <c r="G340">
        <v>14</v>
      </c>
      <c r="H340">
        <v>52</v>
      </c>
      <c r="I340">
        <v>0</v>
      </c>
      <c r="J340">
        <v>0</v>
      </c>
      <c r="K340">
        <v>5</v>
      </c>
    </row>
    <row r="341" spans="1:11" x14ac:dyDescent="0.3">
      <c r="A341" t="s">
        <v>312</v>
      </c>
      <c r="B341" t="s">
        <v>537</v>
      </c>
      <c r="C341" t="s">
        <v>217</v>
      </c>
      <c r="D341" t="s">
        <v>281</v>
      </c>
      <c r="E341">
        <v>0</v>
      </c>
      <c r="F341">
        <v>0</v>
      </c>
      <c r="G341">
        <v>5</v>
      </c>
      <c r="H341">
        <v>20</v>
      </c>
      <c r="I341">
        <v>0</v>
      </c>
      <c r="J341">
        <v>0</v>
      </c>
      <c r="K341">
        <v>5</v>
      </c>
    </row>
    <row r="342" spans="1:11" x14ac:dyDescent="0.3">
      <c r="A342" t="s">
        <v>312</v>
      </c>
      <c r="B342" t="s">
        <v>537</v>
      </c>
      <c r="C342" t="s">
        <v>217</v>
      </c>
      <c r="D342" t="s">
        <v>294</v>
      </c>
      <c r="E342">
        <v>0</v>
      </c>
      <c r="F342">
        <v>0</v>
      </c>
      <c r="G342">
        <v>10</v>
      </c>
      <c r="H342">
        <v>52</v>
      </c>
      <c r="I342">
        <v>0</v>
      </c>
      <c r="J342">
        <v>0</v>
      </c>
      <c r="K342">
        <v>5</v>
      </c>
    </row>
    <row r="343" spans="1:11" x14ac:dyDescent="0.3">
      <c r="A343" t="s">
        <v>312</v>
      </c>
      <c r="B343" t="s">
        <v>540</v>
      </c>
      <c r="D343" t="s">
        <v>313</v>
      </c>
      <c r="E343">
        <v>1</v>
      </c>
      <c r="F343">
        <v>0</v>
      </c>
      <c r="G343">
        <v>6</v>
      </c>
      <c r="H343">
        <v>4</v>
      </c>
      <c r="I343">
        <v>4</v>
      </c>
      <c r="J343">
        <v>12</v>
      </c>
      <c r="K343">
        <v>11</v>
      </c>
    </row>
    <row r="344" spans="1:11" x14ac:dyDescent="0.3">
      <c r="A344" t="s">
        <v>312</v>
      </c>
      <c r="B344" t="s">
        <v>540</v>
      </c>
      <c r="C344" t="s">
        <v>231</v>
      </c>
      <c r="D344" t="s">
        <v>230</v>
      </c>
      <c r="E344">
        <v>1</v>
      </c>
      <c r="F344">
        <v>0</v>
      </c>
      <c r="G344">
        <v>7</v>
      </c>
      <c r="H344">
        <v>2</v>
      </c>
      <c r="I344">
        <v>3</v>
      </c>
      <c r="J344">
        <v>8</v>
      </c>
      <c r="K344">
        <v>7</v>
      </c>
    </row>
    <row r="345" spans="1:11" x14ac:dyDescent="0.3">
      <c r="A345" t="s">
        <v>312</v>
      </c>
      <c r="B345" t="s">
        <v>540</v>
      </c>
      <c r="C345" t="s">
        <v>231</v>
      </c>
      <c r="D345" t="s">
        <v>244</v>
      </c>
      <c r="E345">
        <v>1</v>
      </c>
      <c r="F345">
        <v>0</v>
      </c>
      <c r="G345">
        <v>3</v>
      </c>
      <c r="H345">
        <v>2</v>
      </c>
      <c r="I345">
        <v>2</v>
      </c>
      <c r="J345">
        <v>6</v>
      </c>
      <c r="K345">
        <v>8</v>
      </c>
    </row>
    <row r="346" spans="1:11" x14ac:dyDescent="0.3">
      <c r="A346" t="s">
        <v>312</v>
      </c>
      <c r="B346" t="s">
        <v>540</v>
      </c>
      <c r="C346" t="s">
        <v>231</v>
      </c>
      <c r="D346" t="s">
        <v>251</v>
      </c>
      <c r="E346">
        <v>1</v>
      </c>
      <c r="F346">
        <v>0</v>
      </c>
      <c r="G346">
        <v>5</v>
      </c>
      <c r="H346">
        <v>1</v>
      </c>
      <c r="I346">
        <v>3</v>
      </c>
      <c r="J346">
        <v>10</v>
      </c>
      <c r="K346">
        <v>8</v>
      </c>
    </row>
    <row r="347" spans="1:11" x14ac:dyDescent="0.3">
      <c r="A347" t="s">
        <v>312</v>
      </c>
      <c r="B347" t="s">
        <v>540</v>
      </c>
      <c r="C347" t="s">
        <v>231</v>
      </c>
      <c r="D347" t="s">
        <v>261</v>
      </c>
      <c r="E347">
        <v>1</v>
      </c>
      <c r="F347">
        <v>0</v>
      </c>
      <c r="G347">
        <v>0</v>
      </c>
      <c r="H347">
        <v>1</v>
      </c>
      <c r="I347">
        <v>4</v>
      </c>
      <c r="J347">
        <v>4</v>
      </c>
      <c r="K347">
        <v>3</v>
      </c>
    </row>
    <row r="348" spans="1:11" x14ac:dyDescent="0.3">
      <c r="A348" t="s">
        <v>312</v>
      </c>
      <c r="B348" t="s">
        <v>540</v>
      </c>
      <c r="C348" t="s">
        <v>231</v>
      </c>
      <c r="D348" t="s">
        <v>270</v>
      </c>
      <c r="E348">
        <v>1</v>
      </c>
      <c r="F348">
        <v>0</v>
      </c>
      <c r="G348">
        <v>2</v>
      </c>
      <c r="H348">
        <v>2</v>
      </c>
      <c r="I348">
        <v>5</v>
      </c>
      <c r="J348">
        <v>10</v>
      </c>
      <c r="K348">
        <v>5</v>
      </c>
    </row>
    <row r="349" spans="1:11" x14ac:dyDescent="0.3">
      <c r="A349" t="s">
        <v>312</v>
      </c>
      <c r="B349" t="s">
        <v>540</v>
      </c>
      <c r="C349" t="s">
        <v>231</v>
      </c>
      <c r="D349" t="s">
        <v>289</v>
      </c>
      <c r="E349">
        <v>1</v>
      </c>
      <c r="F349">
        <v>0</v>
      </c>
      <c r="G349">
        <v>2</v>
      </c>
      <c r="H349">
        <v>1</v>
      </c>
      <c r="I349">
        <v>2</v>
      </c>
      <c r="J349">
        <v>5</v>
      </c>
      <c r="K349">
        <v>5</v>
      </c>
    </row>
    <row r="350" spans="1:11" x14ac:dyDescent="0.3">
      <c r="A350" t="s">
        <v>312</v>
      </c>
      <c r="B350" t="s">
        <v>540</v>
      </c>
      <c r="C350" t="s">
        <v>231</v>
      </c>
      <c r="D350" t="s">
        <v>304</v>
      </c>
      <c r="E350">
        <v>1</v>
      </c>
      <c r="F350">
        <v>0</v>
      </c>
      <c r="G350">
        <v>3</v>
      </c>
      <c r="H350">
        <v>0</v>
      </c>
      <c r="I350">
        <v>2</v>
      </c>
      <c r="J350">
        <v>6</v>
      </c>
      <c r="K350">
        <v>4</v>
      </c>
    </row>
    <row r="351" spans="1:11" x14ac:dyDescent="0.3">
      <c r="A351" t="s">
        <v>312</v>
      </c>
      <c r="B351" t="s">
        <v>540</v>
      </c>
      <c r="C351" t="s">
        <v>237</v>
      </c>
      <c r="D351" t="s">
        <v>257</v>
      </c>
      <c r="E351">
        <v>1</v>
      </c>
      <c r="F351">
        <v>0</v>
      </c>
      <c r="G351">
        <v>5</v>
      </c>
      <c r="H351">
        <v>4</v>
      </c>
      <c r="I351">
        <v>3</v>
      </c>
      <c r="J351">
        <v>7</v>
      </c>
      <c r="K351">
        <v>9</v>
      </c>
    </row>
    <row r="352" spans="1:11" x14ac:dyDescent="0.3">
      <c r="A352" t="s">
        <v>312</v>
      </c>
      <c r="B352" t="s">
        <v>540</v>
      </c>
      <c r="C352" t="s">
        <v>237</v>
      </c>
      <c r="D352" t="s">
        <v>236</v>
      </c>
      <c r="E352">
        <v>1</v>
      </c>
      <c r="F352">
        <v>0</v>
      </c>
      <c r="G352">
        <v>4</v>
      </c>
      <c r="H352">
        <v>4</v>
      </c>
      <c r="I352">
        <v>4</v>
      </c>
      <c r="J352">
        <v>5</v>
      </c>
      <c r="K352">
        <v>10</v>
      </c>
    </row>
    <row r="353" spans="1:11" x14ac:dyDescent="0.3">
      <c r="A353" t="s">
        <v>312</v>
      </c>
      <c r="B353" t="s">
        <v>540</v>
      </c>
      <c r="C353" t="s">
        <v>237</v>
      </c>
      <c r="D353" t="s">
        <v>265</v>
      </c>
      <c r="E353">
        <v>1</v>
      </c>
      <c r="F353">
        <v>0</v>
      </c>
      <c r="G353">
        <v>2</v>
      </c>
      <c r="H353">
        <v>2</v>
      </c>
      <c r="I353">
        <v>2</v>
      </c>
      <c r="J353">
        <v>6</v>
      </c>
      <c r="K353">
        <v>6</v>
      </c>
    </row>
    <row r="354" spans="1:11" x14ac:dyDescent="0.3">
      <c r="A354" t="s">
        <v>312</v>
      </c>
      <c r="B354" t="s">
        <v>540</v>
      </c>
      <c r="C354" t="s">
        <v>217</v>
      </c>
      <c r="D354" t="s">
        <v>215</v>
      </c>
      <c r="E354">
        <v>1</v>
      </c>
      <c r="F354">
        <v>0</v>
      </c>
      <c r="G354">
        <v>2</v>
      </c>
      <c r="H354">
        <v>1</v>
      </c>
      <c r="I354">
        <v>2</v>
      </c>
      <c r="J354">
        <v>3</v>
      </c>
      <c r="K354">
        <v>4</v>
      </c>
    </row>
    <row r="355" spans="1:11" x14ac:dyDescent="0.3">
      <c r="A355" t="s">
        <v>312</v>
      </c>
      <c r="B355" t="s">
        <v>540</v>
      </c>
      <c r="C355" t="s">
        <v>217</v>
      </c>
      <c r="D355" t="s">
        <v>222</v>
      </c>
      <c r="E355">
        <v>1</v>
      </c>
      <c r="F355">
        <v>0</v>
      </c>
      <c r="G355">
        <v>4</v>
      </c>
      <c r="H355">
        <v>1</v>
      </c>
      <c r="I355">
        <v>3</v>
      </c>
      <c r="J355">
        <v>9</v>
      </c>
      <c r="K355">
        <v>7</v>
      </c>
    </row>
    <row r="356" spans="1:11" x14ac:dyDescent="0.3">
      <c r="A356" t="s">
        <v>312</v>
      </c>
      <c r="B356" t="s">
        <v>540</v>
      </c>
      <c r="C356" t="s">
        <v>217</v>
      </c>
      <c r="D356" t="s">
        <v>226</v>
      </c>
      <c r="E356">
        <v>1</v>
      </c>
      <c r="F356">
        <v>0</v>
      </c>
      <c r="G356">
        <v>4</v>
      </c>
      <c r="H356">
        <v>2</v>
      </c>
      <c r="I356">
        <v>4</v>
      </c>
      <c r="J356">
        <v>9</v>
      </c>
      <c r="K356">
        <v>11</v>
      </c>
    </row>
    <row r="357" spans="1:11" x14ac:dyDescent="0.3">
      <c r="A357" t="s">
        <v>312</v>
      </c>
      <c r="B357" t="s">
        <v>540</v>
      </c>
      <c r="C357" t="s">
        <v>217</v>
      </c>
      <c r="D357" t="s">
        <v>275</v>
      </c>
      <c r="E357">
        <v>1</v>
      </c>
      <c r="F357">
        <v>0</v>
      </c>
      <c r="G357">
        <v>8</v>
      </c>
      <c r="H357">
        <v>1</v>
      </c>
      <c r="I357">
        <v>4</v>
      </c>
      <c r="J357">
        <v>13</v>
      </c>
      <c r="K357">
        <v>11</v>
      </c>
    </row>
    <row r="358" spans="1:11" x14ac:dyDescent="0.3">
      <c r="A358" t="s">
        <v>312</v>
      </c>
      <c r="B358" t="s">
        <v>540</v>
      </c>
      <c r="C358" t="s">
        <v>217</v>
      </c>
      <c r="D358" t="s">
        <v>285</v>
      </c>
      <c r="E358">
        <v>1</v>
      </c>
      <c r="F358">
        <v>0</v>
      </c>
      <c r="G358">
        <v>1</v>
      </c>
      <c r="H358">
        <v>0</v>
      </c>
      <c r="I358">
        <v>3</v>
      </c>
      <c r="J358">
        <v>5</v>
      </c>
      <c r="K358">
        <v>4</v>
      </c>
    </row>
    <row r="359" spans="1:11" x14ac:dyDescent="0.3">
      <c r="A359" t="s">
        <v>312</v>
      </c>
      <c r="B359" t="s">
        <v>542</v>
      </c>
      <c r="C359" t="s">
        <v>231</v>
      </c>
      <c r="D359" t="s">
        <v>232</v>
      </c>
      <c r="E359">
        <v>3</v>
      </c>
      <c r="F359">
        <v>0</v>
      </c>
      <c r="G359">
        <v>21</v>
      </c>
      <c r="H359">
        <v>0</v>
      </c>
      <c r="I359">
        <v>10</v>
      </c>
      <c r="J359">
        <v>14</v>
      </c>
      <c r="K359">
        <v>55</v>
      </c>
    </row>
    <row r="360" spans="1:11" x14ac:dyDescent="0.3">
      <c r="A360" t="s">
        <v>312</v>
      </c>
      <c r="B360" t="s">
        <v>542</v>
      </c>
      <c r="C360" t="s">
        <v>237</v>
      </c>
      <c r="D360" t="s">
        <v>238</v>
      </c>
      <c r="E360">
        <v>1</v>
      </c>
      <c r="F360">
        <v>0</v>
      </c>
      <c r="G360">
        <v>6</v>
      </c>
      <c r="H360">
        <v>0</v>
      </c>
      <c r="I360">
        <v>4</v>
      </c>
      <c r="J360">
        <v>8</v>
      </c>
      <c r="K360">
        <v>33</v>
      </c>
    </row>
    <row r="361" spans="1:11" x14ac:dyDescent="0.3">
      <c r="A361" t="s">
        <v>312</v>
      </c>
      <c r="B361" t="s">
        <v>542</v>
      </c>
      <c r="C361" t="s">
        <v>217</v>
      </c>
      <c r="D361" t="s">
        <v>218</v>
      </c>
      <c r="E361">
        <v>2</v>
      </c>
      <c r="F361">
        <v>0</v>
      </c>
      <c r="G361">
        <v>6</v>
      </c>
      <c r="H361">
        <v>0</v>
      </c>
      <c r="I361">
        <v>3</v>
      </c>
      <c r="J361">
        <v>7</v>
      </c>
      <c r="K361">
        <v>24</v>
      </c>
    </row>
    <row r="362" spans="1:11" x14ac:dyDescent="0.3">
      <c r="A362" t="s">
        <v>312</v>
      </c>
      <c r="B362" t="s">
        <v>544</v>
      </c>
      <c r="C362" t="s">
        <v>549</v>
      </c>
      <c r="D362" t="s">
        <v>545</v>
      </c>
      <c r="E362">
        <v>9</v>
      </c>
      <c r="F362">
        <v>6</v>
      </c>
      <c r="G362">
        <v>0</v>
      </c>
      <c r="H362">
        <v>49</v>
      </c>
      <c r="I362">
        <v>13</v>
      </c>
      <c r="J362">
        <v>6</v>
      </c>
      <c r="K362">
        <v>7</v>
      </c>
    </row>
    <row r="363" spans="1:11" x14ac:dyDescent="0.3">
      <c r="A363" t="s">
        <v>318</v>
      </c>
      <c r="B363" t="s">
        <v>537</v>
      </c>
      <c r="C363" t="s">
        <v>231</v>
      </c>
      <c r="D363" t="s">
        <v>228</v>
      </c>
      <c r="E363">
        <v>0</v>
      </c>
      <c r="F363">
        <v>0</v>
      </c>
      <c r="G363">
        <v>10</v>
      </c>
      <c r="H363">
        <v>32</v>
      </c>
      <c r="I363">
        <v>0</v>
      </c>
      <c r="J363">
        <v>0</v>
      </c>
      <c r="K363">
        <v>10</v>
      </c>
    </row>
    <row r="364" spans="1:11" x14ac:dyDescent="0.3">
      <c r="A364" t="s">
        <v>318</v>
      </c>
      <c r="B364" t="s">
        <v>537</v>
      </c>
      <c r="C364" t="s">
        <v>231</v>
      </c>
      <c r="D364" t="s">
        <v>244</v>
      </c>
      <c r="E364">
        <v>0</v>
      </c>
      <c r="F364">
        <v>0</v>
      </c>
      <c r="G364">
        <v>10</v>
      </c>
      <c r="H364">
        <v>36</v>
      </c>
      <c r="I364">
        <v>0</v>
      </c>
      <c r="J364">
        <v>0</v>
      </c>
      <c r="K364">
        <v>5</v>
      </c>
    </row>
    <row r="365" spans="1:11" x14ac:dyDescent="0.3">
      <c r="A365" t="s">
        <v>318</v>
      </c>
      <c r="B365" t="s">
        <v>537</v>
      </c>
      <c r="C365" t="s">
        <v>231</v>
      </c>
      <c r="D365" t="s">
        <v>249</v>
      </c>
      <c r="E365">
        <v>0</v>
      </c>
      <c r="F365">
        <v>0</v>
      </c>
      <c r="G365">
        <v>10</v>
      </c>
      <c r="H365">
        <v>32</v>
      </c>
      <c r="I365">
        <v>0</v>
      </c>
      <c r="J365">
        <v>0</v>
      </c>
      <c r="K365">
        <v>5</v>
      </c>
    </row>
    <row r="366" spans="1:11" x14ac:dyDescent="0.3">
      <c r="A366" t="s">
        <v>318</v>
      </c>
      <c r="B366" t="s">
        <v>537</v>
      </c>
      <c r="C366" t="s">
        <v>231</v>
      </c>
      <c r="D366" t="s">
        <v>253</v>
      </c>
      <c r="E366">
        <v>0</v>
      </c>
      <c r="F366">
        <v>0</v>
      </c>
      <c r="G366">
        <v>14</v>
      </c>
      <c r="H366">
        <v>46</v>
      </c>
      <c r="I366">
        <v>0</v>
      </c>
      <c r="J366">
        <v>0</v>
      </c>
      <c r="K366">
        <v>16</v>
      </c>
    </row>
    <row r="367" spans="1:11" x14ac:dyDescent="0.3">
      <c r="A367" t="s">
        <v>318</v>
      </c>
      <c r="B367" t="s">
        <v>537</v>
      </c>
      <c r="C367" t="s">
        <v>231</v>
      </c>
      <c r="D367" t="s">
        <v>259</v>
      </c>
      <c r="E367">
        <v>0</v>
      </c>
      <c r="F367">
        <v>0</v>
      </c>
      <c r="G367">
        <v>10</v>
      </c>
      <c r="H367">
        <v>28</v>
      </c>
      <c r="I367">
        <v>0</v>
      </c>
      <c r="J367">
        <v>0</v>
      </c>
      <c r="K367">
        <v>10</v>
      </c>
    </row>
    <row r="368" spans="1:11" x14ac:dyDescent="0.3">
      <c r="A368" t="s">
        <v>318</v>
      </c>
      <c r="B368" t="s">
        <v>537</v>
      </c>
      <c r="C368" t="s">
        <v>231</v>
      </c>
      <c r="D368" t="s">
        <v>270</v>
      </c>
      <c r="E368">
        <v>0</v>
      </c>
      <c r="F368">
        <v>0</v>
      </c>
      <c r="G368">
        <v>109</v>
      </c>
      <c r="H368">
        <v>335</v>
      </c>
      <c r="I368">
        <v>0</v>
      </c>
      <c r="J368">
        <v>0</v>
      </c>
      <c r="K368">
        <v>55</v>
      </c>
    </row>
    <row r="369" spans="1:11" x14ac:dyDescent="0.3">
      <c r="A369" t="s">
        <v>318</v>
      </c>
      <c r="B369" t="s">
        <v>537</v>
      </c>
      <c r="C369" t="s">
        <v>231</v>
      </c>
      <c r="D369" t="s">
        <v>277</v>
      </c>
      <c r="E369">
        <v>0</v>
      </c>
      <c r="F369">
        <v>0</v>
      </c>
      <c r="G369">
        <v>15</v>
      </c>
      <c r="H369">
        <v>45</v>
      </c>
      <c r="I369">
        <v>0</v>
      </c>
      <c r="J369">
        <v>0</v>
      </c>
      <c r="K369">
        <v>10</v>
      </c>
    </row>
    <row r="370" spans="1:11" x14ac:dyDescent="0.3">
      <c r="A370" t="s">
        <v>318</v>
      </c>
      <c r="B370" t="s">
        <v>537</v>
      </c>
      <c r="C370" t="s">
        <v>231</v>
      </c>
      <c r="D370" t="s">
        <v>287</v>
      </c>
      <c r="E370">
        <v>0</v>
      </c>
      <c r="F370">
        <v>0</v>
      </c>
      <c r="G370">
        <v>15</v>
      </c>
      <c r="H370">
        <v>45</v>
      </c>
      <c r="I370">
        <v>0</v>
      </c>
      <c r="J370">
        <v>0</v>
      </c>
      <c r="K370">
        <v>15</v>
      </c>
    </row>
    <row r="371" spans="1:11" x14ac:dyDescent="0.3">
      <c r="A371" t="s">
        <v>318</v>
      </c>
      <c r="B371" t="s">
        <v>537</v>
      </c>
      <c r="C371" t="s">
        <v>231</v>
      </c>
      <c r="D371" t="s">
        <v>289</v>
      </c>
      <c r="E371">
        <v>0</v>
      </c>
      <c r="F371">
        <v>0</v>
      </c>
      <c r="G371">
        <v>35</v>
      </c>
      <c r="H371">
        <v>105</v>
      </c>
      <c r="I371">
        <v>0</v>
      </c>
      <c r="J371">
        <v>0</v>
      </c>
      <c r="K371">
        <v>20</v>
      </c>
    </row>
    <row r="372" spans="1:11" x14ac:dyDescent="0.3">
      <c r="A372" t="s">
        <v>318</v>
      </c>
      <c r="B372" t="s">
        <v>537</v>
      </c>
      <c r="C372" t="s">
        <v>231</v>
      </c>
      <c r="D372" t="s">
        <v>296</v>
      </c>
      <c r="E372">
        <v>0</v>
      </c>
      <c r="F372">
        <v>0</v>
      </c>
      <c r="G372">
        <v>21</v>
      </c>
      <c r="H372">
        <v>64</v>
      </c>
      <c r="I372">
        <v>0</v>
      </c>
      <c r="J372">
        <v>0</v>
      </c>
      <c r="K372">
        <v>15</v>
      </c>
    </row>
    <row r="373" spans="1:11" x14ac:dyDescent="0.3">
      <c r="A373" t="s">
        <v>318</v>
      </c>
      <c r="B373" t="s">
        <v>537</v>
      </c>
      <c r="C373" t="s">
        <v>231</v>
      </c>
      <c r="D373" t="s">
        <v>302</v>
      </c>
      <c r="E373">
        <v>0</v>
      </c>
      <c r="F373">
        <v>0</v>
      </c>
      <c r="G373">
        <v>10</v>
      </c>
      <c r="H373">
        <v>36</v>
      </c>
      <c r="I373">
        <v>0</v>
      </c>
      <c r="J373">
        <v>0</v>
      </c>
      <c r="K373">
        <v>5</v>
      </c>
    </row>
    <row r="374" spans="1:11" x14ac:dyDescent="0.3">
      <c r="A374" t="s">
        <v>318</v>
      </c>
      <c r="B374" t="s">
        <v>537</v>
      </c>
      <c r="C374" t="s">
        <v>231</v>
      </c>
      <c r="D374" t="s">
        <v>304</v>
      </c>
      <c r="E374">
        <v>0</v>
      </c>
      <c r="F374">
        <v>0</v>
      </c>
      <c r="G374">
        <v>37</v>
      </c>
      <c r="H374">
        <v>111</v>
      </c>
      <c r="I374">
        <v>0</v>
      </c>
      <c r="J374">
        <v>0</v>
      </c>
      <c r="K374">
        <v>20</v>
      </c>
    </row>
    <row r="375" spans="1:11" x14ac:dyDescent="0.3">
      <c r="A375" t="s">
        <v>318</v>
      </c>
      <c r="B375" t="s">
        <v>537</v>
      </c>
      <c r="C375" t="s">
        <v>231</v>
      </c>
      <c r="D375" t="s">
        <v>309</v>
      </c>
      <c r="E375">
        <v>0</v>
      </c>
      <c r="F375">
        <v>0</v>
      </c>
      <c r="G375">
        <v>17</v>
      </c>
      <c r="H375">
        <v>46</v>
      </c>
      <c r="I375">
        <v>0</v>
      </c>
      <c r="J375">
        <v>0</v>
      </c>
      <c r="K375">
        <v>10</v>
      </c>
    </row>
    <row r="376" spans="1:11" x14ac:dyDescent="0.3">
      <c r="A376" t="s">
        <v>318</v>
      </c>
      <c r="B376" t="s">
        <v>537</v>
      </c>
      <c r="C376" t="s">
        <v>237</v>
      </c>
      <c r="D376" t="s">
        <v>234</v>
      </c>
      <c r="E376">
        <v>0</v>
      </c>
      <c r="F376">
        <v>0</v>
      </c>
      <c r="G376">
        <v>58</v>
      </c>
      <c r="H376">
        <v>206</v>
      </c>
      <c r="I376">
        <v>0</v>
      </c>
      <c r="J376">
        <v>0</v>
      </c>
      <c r="K376">
        <v>36</v>
      </c>
    </row>
    <row r="377" spans="1:11" x14ac:dyDescent="0.3">
      <c r="A377" t="s">
        <v>318</v>
      </c>
      <c r="B377" t="s">
        <v>537</v>
      </c>
      <c r="C377" t="s">
        <v>237</v>
      </c>
      <c r="D377" t="s">
        <v>240</v>
      </c>
      <c r="E377">
        <v>0</v>
      </c>
      <c r="F377">
        <v>0</v>
      </c>
      <c r="G377">
        <v>5</v>
      </c>
      <c r="H377">
        <v>13</v>
      </c>
      <c r="I377">
        <v>0</v>
      </c>
      <c r="J377">
        <v>0</v>
      </c>
      <c r="K377">
        <v>6</v>
      </c>
    </row>
    <row r="378" spans="1:11" x14ac:dyDescent="0.3">
      <c r="A378" t="s">
        <v>318</v>
      </c>
      <c r="B378" t="s">
        <v>537</v>
      </c>
      <c r="C378" t="s">
        <v>237</v>
      </c>
      <c r="D378" t="s">
        <v>255</v>
      </c>
      <c r="E378">
        <v>0</v>
      </c>
      <c r="F378">
        <v>0</v>
      </c>
      <c r="G378">
        <v>5</v>
      </c>
      <c r="H378">
        <v>16</v>
      </c>
      <c r="I378">
        <v>0</v>
      </c>
      <c r="J378">
        <v>0</v>
      </c>
      <c r="K378">
        <v>5</v>
      </c>
    </row>
    <row r="379" spans="1:11" x14ac:dyDescent="0.3">
      <c r="A379" t="s">
        <v>318</v>
      </c>
      <c r="B379" t="s">
        <v>537</v>
      </c>
      <c r="C379" t="s">
        <v>237</v>
      </c>
      <c r="D379" t="s">
        <v>263</v>
      </c>
      <c r="E379">
        <v>0</v>
      </c>
      <c r="F379">
        <v>0</v>
      </c>
      <c r="G379">
        <v>20</v>
      </c>
      <c r="H379">
        <v>53</v>
      </c>
      <c r="I379">
        <v>0</v>
      </c>
      <c r="J379">
        <v>0</v>
      </c>
      <c r="K379">
        <v>15</v>
      </c>
    </row>
    <row r="380" spans="1:11" x14ac:dyDescent="0.3">
      <c r="A380" t="s">
        <v>318</v>
      </c>
      <c r="B380" t="s">
        <v>537</v>
      </c>
      <c r="C380" t="s">
        <v>237</v>
      </c>
      <c r="D380" t="s">
        <v>267</v>
      </c>
      <c r="E380">
        <v>0</v>
      </c>
      <c r="F380">
        <v>0</v>
      </c>
      <c r="G380">
        <v>50</v>
      </c>
      <c r="H380">
        <v>179</v>
      </c>
      <c r="I380">
        <v>0</v>
      </c>
      <c r="J380">
        <v>0</v>
      </c>
      <c r="K380">
        <v>25</v>
      </c>
    </row>
    <row r="381" spans="1:11" x14ac:dyDescent="0.3">
      <c r="A381" t="s">
        <v>318</v>
      </c>
      <c r="B381" t="s">
        <v>537</v>
      </c>
      <c r="C381" t="s">
        <v>237</v>
      </c>
      <c r="D381" t="s">
        <v>279</v>
      </c>
      <c r="E381">
        <v>0</v>
      </c>
      <c r="F381">
        <v>0</v>
      </c>
      <c r="G381">
        <v>5</v>
      </c>
      <c r="H381">
        <v>17</v>
      </c>
      <c r="I381">
        <v>0</v>
      </c>
      <c r="J381">
        <v>0</v>
      </c>
      <c r="K381">
        <v>5</v>
      </c>
    </row>
    <row r="382" spans="1:11" x14ac:dyDescent="0.3">
      <c r="A382" t="s">
        <v>318</v>
      </c>
      <c r="B382" t="s">
        <v>537</v>
      </c>
      <c r="C382" t="s">
        <v>237</v>
      </c>
      <c r="D382" t="s">
        <v>298</v>
      </c>
      <c r="E382">
        <v>0</v>
      </c>
      <c r="F382">
        <v>0</v>
      </c>
      <c r="G382">
        <v>8</v>
      </c>
      <c r="H382">
        <v>33</v>
      </c>
      <c r="I382">
        <v>0</v>
      </c>
      <c r="J382">
        <v>0</v>
      </c>
      <c r="K382">
        <v>10</v>
      </c>
    </row>
    <row r="383" spans="1:11" x14ac:dyDescent="0.3">
      <c r="A383" t="s">
        <v>318</v>
      </c>
      <c r="B383" t="s">
        <v>537</v>
      </c>
      <c r="C383" t="s">
        <v>237</v>
      </c>
      <c r="D383" t="s">
        <v>307</v>
      </c>
      <c r="E383">
        <v>0</v>
      </c>
      <c r="F383">
        <v>0</v>
      </c>
      <c r="G383">
        <v>10</v>
      </c>
      <c r="H383">
        <v>37</v>
      </c>
      <c r="I383">
        <v>0</v>
      </c>
      <c r="J383">
        <v>0</v>
      </c>
      <c r="K383">
        <v>5</v>
      </c>
    </row>
    <row r="384" spans="1:11" x14ac:dyDescent="0.3">
      <c r="A384" t="s">
        <v>318</v>
      </c>
      <c r="B384" t="s">
        <v>537</v>
      </c>
      <c r="C384" t="s">
        <v>237</v>
      </c>
      <c r="D384" t="s">
        <v>311</v>
      </c>
      <c r="E384">
        <v>0</v>
      </c>
      <c r="F384">
        <v>0</v>
      </c>
      <c r="G384">
        <v>11</v>
      </c>
      <c r="H384">
        <v>36</v>
      </c>
      <c r="I384">
        <v>0</v>
      </c>
      <c r="J384">
        <v>0</v>
      </c>
      <c r="K384">
        <v>10</v>
      </c>
    </row>
    <row r="385" spans="1:11" x14ac:dyDescent="0.3">
      <c r="A385" t="s">
        <v>318</v>
      </c>
      <c r="B385" t="s">
        <v>537</v>
      </c>
      <c r="C385" t="s">
        <v>217</v>
      </c>
      <c r="D385" t="s">
        <v>215</v>
      </c>
      <c r="E385">
        <v>0</v>
      </c>
      <c r="F385">
        <v>0</v>
      </c>
      <c r="G385">
        <v>35</v>
      </c>
      <c r="H385">
        <v>99</v>
      </c>
      <c r="I385">
        <v>0</v>
      </c>
      <c r="J385">
        <v>0</v>
      </c>
      <c r="K385">
        <v>15</v>
      </c>
    </row>
    <row r="386" spans="1:11" x14ac:dyDescent="0.3">
      <c r="A386" t="s">
        <v>318</v>
      </c>
      <c r="B386" t="s">
        <v>537</v>
      </c>
      <c r="C386" t="s">
        <v>217</v>
      </c>
      <c r="D386" t="s">
        <v>220</v>
      </c>
      <c r="E386">
        <v>0</v>
      </c>
      <c r="F386">
        <v>0</v>
      </c>
      <c r="G386">
        <v>5</v>
      </c>
      <c r="H386">
        <v>19</v>
      </c>
      <c r="I386">
        <v>0</v>
      </c>
      <c r="J386">
        <v>0</v>
      </c>
      <c r="K386">
        <v>5</v>
      </c>
    </row>
    <row r="387" spans="1:11" x14ac:dyDescent="0.3">
      <c r="A387" t="s">
        <v>318</v>
      </c>
      <c r="B387" t="s">
        <v>537</v>
      </c>
      <c r="C387" t="s">
        <v>217</v>
      </c>
      <c r="D387" t="s">
        <v>224</v>
      </c>
      <c r="E387">
        <v>0</v>
      </c>
      <c r="F387">
        <v>0</v>
      </c>
      <c r="G387">
        <v>5</v>
      </c>
      <c r="H387">
        <v>17</v>
      </c>
      <c r="I387">
        <v>0</v>
      </c>
      <c r="J387">
        <v>0</v>
      </c>
      <c r="K387">
        <v>5</v>
      </c>
    </row>
    <row r="388" spans="1:11" x14ac:dyDescent="0.3">
      <c r="A388" t="s">
        <v>318</v>
      </c>
      <c r="B388" t="s">
        <v>537</v>
      </c>
      <c r="C388" t="s">
        <v>217</v>
      </c>
      <c r="D388" t="s">
        <v>247</v>
      </c>
      <c r="E388">
        <v>0</v>
      </c>
      <c r="F388">
        <v>0</v>
      </c>
      <c r="G388">
        <v>36</v>
      </c>
      <c r="H388">
        <v>127</v>
      </c>
      <c r="I388">
        <v>0</v>
      </c>
      <c r="J388">
        <v>0</v>
      </c>
      <c r="K388">
        <v>19</v>
      </c>
    </row>
    <row r="389" spans="1:11" x14ac:dyDescent="0.3">
      <c r="A389" t="s">
        <v>318</v>
      </c>
      <c r="B389" t="s">
        <v>537</v>
      </c>
      <c r="C389" t="s">
        <v>217</v>
      </c>
      <c r="D389" t="s">
        <v>273</v>
      </c>
      <c r="E389">
        <v>0</v>
      </c>
      <c r="F389">
        <v>0</v>
      </c>
      <c r="G389">
        <v>15</v>
      </c>
      <c r="H389">
        <v>54</v>
      </c>
      <c r="I389">
        <v>0</v>
      </c>
      <c r="J389">
        <v>0</v>
      </c>
      <c r="K389">
        <v>5</v>
      </c>
    </row>
    <row r="390" spans="1:11" x14ac:dyDescent="0.3">
      <c r="A390" t="s">
        <v>318</v>
      </c>
      <c r="B390" t="s">
        <v>537</v>
      </c>
      <c r="C390" t="s">
        <v>217</v>
      </c>
      <c r="D390" t="s">
        <v>281</v>
      </c>
      <c r="E390">
        <v>0</v>
      </c>
      <c r="F390">
        <v>0</v>
      </c>
      <c r="G390">
        <v>5</v>
      </c>
      <c r="H390">
        <v>20</v>
      </c>
      <c r="I390">
        <v>0</v>
      </c>
      <c r="J390">
        <v>0</v>
      </c>
      <c r="K390">
        <v>5</v>
      </c>
    </row>
    <row r="391" spans="1:11" x14ac:dyDescent="0.3">
      <c r="A391" t="s">
        <v>318</v>
      </c>
      <c r="B391" t="s">
        <v>537</v>
      </c>
      <c r="C391" t="s">
        <v>217</v>
      </c>
      <c r="D391" t="s">
        <v>294</v>
      </c>
      <c r="E391">
        <v>0</v>
      </c>
      <c r="F391">
        <v>0</v>
      </c>
      <c r="G391">
        <v>10</v>
      </c>
      <c r="H391">
        <v>48</v>
      </c>
      <c r="I391">
        <v>0</v>
      </c>
      <c r="J391">
        <v>0</v>
      </c>
      <c r="K391">
        <v>5</v>
      </c>
    </row>
    <row r="392" spans="1:11" x14ac:dyDescent="0.3">
      <c r="A392" t="s">
        <v>318</v>
      </c>
      <c r="B392" t="s">
        <v>540</v>
      </c>
      <c r="D392" t="s">
        <v>313</v>
      </c>
      <c r="E392">
        <v>1</v>
      </c>
      <c r="F392">
        <v>0</v>
      </c>
      <c r="G392">
        <v>6</v>
      </c>
      <c r="H392">
        <v>4</v>
      </c>
      <c r="I392">
        <v>4</v>
      </c>
      <c r="J392">
        <v>11</v>
      </c>
      <c r="K392">
        <v>11</v>
      </c>
    </row>
    <row r="393" spans="1:11" x14ac:dyDescent="0.3">
      <c r="A393" t="s">
        <v>318</v>
      </c>
      <c r="B393" t="s">
        <v>540</v>
      </c>
      <c r="C393" t="s">
        <v>231</v>
      </c>
      <c r="D393" t="s">
        <v>230</v>
      </c>
      <c r="E393">
        <v>1</v>
      </c>
      <c r="F393">
        <v>0</v>
      </c>
      <c r="G393">
        <v>6</v>
      </c>
      <c r="H393">
        <v>2</v>
      </c>
      <c r="I393">
        <v>3</v>
      </c>
      <c r="J393">
        <v>7</v>
      </c>
      <c r="K393">
        <v>7</v>
      </c>
    </row>
    <row r="394" spans="1:11" x14ac:dyDescent="0.3">
      <c r="A394" t="s">
        <v>318</v>
      </c>
      <c r="B394" t="s">
        <v>540</v>
      </c>
      <c r="C394" t="s">
        <v>231</v>
      </c>
      <c r="D394" t="s">
        <v>244</v>
      </c>
      <c r="E394">
        <v>1</v>
      </c>
      <c r="F394">
        <v>0</v>
      </c>
      <c r="G394">
        <v>4</v>
      </c>
      <c r="H394">
        <v>2</v>
      </c>
      <c r="I394">
        <v>2</v>
      </c>
      <c r="J394">
        <v>6</v>
      </c>
      <c r="K394">
        <v>6</v>
      </c>
    </row>
    <row r="395" spans="1:11" x14ac:dyDescent="0.3">
      <c r="A395" t="s">
        <v>318</v>
      </c>
      <c r="B395" t="s">
        <v>540</v>
      </c>
      <c r="C395" t="s">
        <v>231</v>
      </c>
      <c r="D395" t="s">
        <v>251</v>
      </c>
      <c r="E395">
        <v>1</v>
      </c>
      <c r="F395">
        <v>0</v>
      </c>
      <c r="G395">
        <v>5</v>
      </c>
      <c r="H395">
        <v>1</v>
      </c>
      <c r="I395">
        <v>3</v>
      </c>
      <c r="J395">
        <v>9</v>
      </c>
      <c r="K395">
        <v>8</v>
      </c>
    </row>
    <row r="396" spans="1:11" x14ac:dyDescent="0.3">
      <c r="A396" t="s">
        <v>318</v>
      </c>
      <c r="B396" t="s">
        <v>540</v>
      </c>
      <c r="C396" t="s">
        <v>231</v>
      </c>
      <c r="D396" t="s">
        <v>261</v>
      </c>
      <c r="E396">
        <v>1</v>
      </c>
      <c r="F396">
        <v>0</v>
      </c>
      <c r="G396">
        <v>2</v>
      </c>
      <c r="H396">
        <v>1</v>
      </c>
      <c r="I396">
        <v>4</v>
      </c>
      <c r="J396">
        <v>5</v>
      </c>
      <c r="K396">
        <v>4</v>
      </c>
    </row>
    <row r="397" spans="1:11" x14ac:dyDescent="0.3">
      <c r="A397" t="s">
        <v>318</v>
      </c>
      <c r="B397" t="s">
        <v>540</v>
      </c>
      <c r="C397" t="s">
        <v>231</v>
      </c>
      <c r="D397" t="s">
        <v>270</v>
      </c>
      <c r="E397">
        <v>1</v>
      </c>
      <c r="F397">
        <v>0</v>
      </c>
      <c r="G397">
        <v>2</v>
      </c>
      <c r="H397">
        <v>2</v>
      </c>
      <c r="I397">
        <v>5</v>
      </c>
      <c r="J397">
        <v>9</v>
      </c>
      <c r="K397">
        <v>7</v>
      </c>
    </row>
    <row r="398" spans="1:11" x14ac:dyDescent="0.3">
      <c r="A398" t="s">
        <v>318</v>
      </c>
      <c r="B398" t="s">
        <v>540</v>
      </c>
      <c r="C398" t="s">
        <v>231</v>
      </c>
      <c r="D398" t="s">
        <v>289</v>
      </c>
      <c r="E398">
        <v>1</v>
      </c>
      <c r="F398">
        <v>0</v>
      </c>
      <c r="G398">
        <v>2</v>
      </c>
      <c r="H398">
        <v>0</v>
      </c>
      <c r="I398">
        <v>2</v>
      </c>
      <c r="J398">
        <v>5</v>
      </c>
      <c r="K398">
        <v>5</v>
      </c>
    </row>
    <row r="399" spans="1:11" x14ac:dyDescent="0.3">
      <c r="A399" t="s">
        <v>318</v>
      </c>
      <c r="B399" t="s">
        <v>540</v>
      </c>
      <c r="C399" t="s">
        <v>231</v>
      </c>
      <c r="D399" t="s">
        <v>304</v>
      </c>
      <c r="E399">
        <v>1</v>
      </c>
      <c r="F399">
        <v>0</v>
      </c>
      <c r="G399">
        <v>3</v>
      </c>
      <c r="H399">
        <v>0</v>
      </c>
      <c r="I399">
        <v>2</v>
      </c>
      <c r="J399">
        <v>6</v>
      </c>
      <c r="K399">
        <v>4</v>
      </c>
    </row>
    <row r="400" spans="1:11" x14ac:dyDescent="0.3">
      <c r="A400" t="s">
        <v>318</v>
      </c>
      <c r="B400" t="s">
        <v>540</v>
      </c>
      <c r="C400" t="s">
        <v>237</v>
      </c>
      <c r="D400" t="s">
        <v>257</v>
      </c>
      <c r="E400">
        <v>1</v>
      </c>
      <c r="F400">
        <v>0</v>
      </c>
      <c r="G400">
        <v>3</v>
      </c>
      <c r="H400">
        <v>4</v>
      </c>
      <c r="I400">
        <v>3</v>
      </c>
      <c r="J400">
        <v>7</v>
      </c>
      <c r="K400">
        <v>10</v>
      </c>
    </row>
    <row r="401" spans="1:11" x14ac:dyDescent="0.3">
      <c r="A401" t="s">
        <v>318</v>
      </c>
      <c r="B401" t="s">
        <v>540</v>
      </c>
      <c r="C401" t="s">
        <v>237</v>
      </c>
      <c r="D401" t="s">
        <v>236</v>
      </c>
      <c r="E401">
        <v>1</v>
      </c>
      <c r="F401">
        <v>0</v>
      </c>
      <c r="G401">
        <v>3</v>
      </c>
      <c r="H401">
        <v>4</v>
      </c>
      <c r="I401">
        <v>3</v>
      </c>
      <c r="J401">
        <v>7</v>
      </c>
      <c r="K401">
        <v>10</v>
      </c>
    </row>
    <row r="402" spans="1:11" x14ac:dyDescent="0.3">
      <c r="A402" t="s">
        <v>318</v>
      </c>
      <c r="B402" t="s">
        <v>540</v>
      </c>
      <c r="C402" t="s">
        <v>237</v>
      </c>
      <c r="D402" t="s">
        <v>265</v>
      </c>
      <c r="E402">
        <v>1</v>
      </c>
      <c r="F402">
        <v>0</v>
      </c>
      <c r="G402">
        <v>3</v>
      </c>
      <c r="H402">
        <v>2</v>
      </c>
      <c r="I402">
        <v>2</v>
      </c>
      <c r="J402">
        <v>5</v>
      </c>
      <c r="K402">
        <v>6</v>
      </c>
    </row>
    <row r="403" spans="1:11" x14ac:dyDescent="0.3">
      <c r="A403" t="s">
        <v>318</v>
      </c>
      <c r="B403" t="s">
        <v>540</v>
      </c>
      <c r="C403" t="s">
        <v>217</v>
      </c>
      <c r="D403" t="s">
        <v>215</v>
      </c>
      <c r="E403">
        <v>1</v>
      </c>
      <c r="F403">
        <v>0</v>
      </c>
      <c r="G403">
        <v>1</v>
      </c>
      <c r="H403">
        <v>1</v>
      </c>
      <c r="I403">
        <v>2</v>
      </c>
      <c r="J403">
        <v>3</v>
      </c>
      <c r="K403">
        <v>4</v>
      </c>
    </row>
    <row r="404" spans="1:11" x14ac:dyDescent="0.3">
      <c r="A404" t="s">
        <v>318</v>
      </c>
      <c r="B404" t="s">
        <v>540</v>
      </c>
      <c r="C404" t="s">
        <v>217</v>
      </c>
      <c r="D404" t="s">
        <v>222</v>
      </c>
      <c r="E404">
        <v>1</v>
      </c>
      <c r="F404">
        <v>0</v>
      </c>
      <c r="G404">
        <v>4</v>
      </c>
      <c r="H404">
        <v>1</v>
      </c>
      <c r="I404">
        <v>3</v>
      </c>
      <c r="J404">
        <v>9</v>
      </c>
      <c r="K404">
        <v>8</v>
      </c>
    </row>
    <row r="405" spans="1:11" x14ac:dyDescent="0.3">
      <c r="A405" t="s">
        <v>318</v>
      </c>
      <c r="B405" t="s">
        <v>540</v>
      </c>
      <c r="C405" t="s">
        <v>217</v>
      </c>
      <c r="D405" t="s">
        <v>226</v>
      </c>
      <c r="E405">
        <v>1</v>
      </c>
      <c r="F405">
        <v>0</v>
      </c>
      <c r="G405">
        <v>4</v>
      </c>
      <c r="H405">
        <v>1</v>
      </c>
      <c r="I405">
        <v>4</v>
      </c>
      <c r="J405">
        <v>8</v>
      </c>
      <c r="K405">
        <v>10</v>
      </c>
    </row>
    <row r="406" spans="1:11" x14ac:dyDescent="0.3">
      <c r="A406" t="s">
        <v>318</v>
      </c>
      <c r="B406" t="s">
        <v>540</v>
      </c>
      <c r="C406" t="s">
        <v>217</v>
      </c>
      <c r="D406" t="s">
        <v>275</v>
      </c>
      <c r="E406">
        <v>1</v>
      </c>
      <c r="F406">
        <v>0</v>
      </c>
      <c r="G406">
        <v>7</v>
      </c>
      <c r="H406">
        <v>1</v>
      </c>
      <c r="I406">
        <v>4</v>
      </c>
      <c r="J406">
        <v>12</v>
      </c>
      <c r="K406">
        <v>10</v>
      </c>
    </row>
    <row r="407" spans="1:11" x14ac:dyDescent="0.3">
      <c r="A407" t="s">
        <v>318</v>
      </c>
      <c r="B407" t="s">
        <v>540</v>
      </c>
      <c r="C407" t="s">
        <v>217</v>
      </c>
      <c r="D407" t="s">
        <v>285</v>
      </c>
      <c r="E407">
        <v>1</v>
      </c>
      <c r="F407">
        <v>0</v>
      </c>
      <c r="G407">
        <v>0</v>
      </c>
      <c r="H407">
        <v>0</v>
      </c>
      <c r="I407">
        <v>3</v>
      </c>
      <c r="J407">
        <v>7</v>
      </c>
      <c r="K407">
        <v>4</v>
      </c>
    </row>
    <row r="408" spans="1:11" x14ac:dyDescent="0.3">
      <c r="A408" t="s">
        <v>318</v>
      </c>
      <c r="B408" t="s">
        <v>542</v>
      </c>
      <c r="C408" t="s">
        <v>231</v>
      </c>
      <c r="D408" t="s">
        <v>232</v>
      </c>
      <c r="E408">
        <v>3</v>
      </c>
      <c r="F408">
        <v>0</v>
      </c>
      <c r="G408">
        <v>17</v>
      </c>
      <c r="H408">
        <v>25</v>
      </c>
      <c r="I408">
        <v>5</v>
      </c>
      <c r="J408">
        <v>5</v>
      </c>
      <c r="K408">
        <v>36</v>
      </c>
    </row>
    <row r="409" spans="1:11" x14ac:dyDescent="0.3">
      <c r="A409" t="s">
        <v>318</v>
      </c>
      <c r="B409" t="s">
        <v>542</v>
      </c>
      <c r="C409" t="s">
        <v>237</v>
      </c>
      <c r="D409" t="s">
        <v>238</v>
      </c>
      <c r="E409">
        <v>1</v>
      </c>
      <c r="F409">
        <v>0</v>
      </c>
      <c r="G409">
        <v>6</v>
      </c>
      <c r="H409">
        <v>20</v>
      </c>
      <c r="I409">
        <v>2</v>
      </c>
      <c r="J409">
        <v>5</v>
      </c>
      <c r="K409">
        <v>32</v>
      </c>
    </row>
    <row r="410" spans="1:11" x14ac:dyDescent="0.3">
      <c r="A410" t="s">
        <v>318</v>
      </c>
      <c r="B410" t="s">
        <v>542</v>
      </c>
      <c r="C410" t="s">
        <v>217</v>
      </c>
      <c r="D410" t="s">
        <v>218</v>
      </c>
      <c r="E410">
        <v>2</v>
      </c>
      <c r="F410">
        <v>0</v>
      </c>
      <c r="G410">
        <v>13</v>
      </c>
      <c r="H410">
        <v>13</v>
      </c>
      <c r="I410">
        <v>2</v>
      </c>
      <c r="J410">
        <v>6</v>
      </c>
      <c r="K410">
        <v>19</v>
      </c>
    </row>
    <row r="411" spans="1:11" x14ac:dyDescent="0.3">
      <c r="A411" t="s">
        <v>318</v>
      </c>
      <c r="B411" t="s">
        <v>544</v>
      </c>
      <c r="C411" t="s">
        <v>549</v>
      </c>
      <c r="D411" t="s">
        <v>545</v>
      </c>
      <c r="E411">
        <v>13</v>
      </c>
      <c r="F411">
        <v>5</v>
      </c>
      <c r="G411">
        <v>0</v>
      </c>
      <c r="H411">
        <v>1</v>
      </c>
      <c r="I411">
        <v>21</v>
      </c>
      <c r="J411">
        <v>20</v>
      </c>
      <c r="K411">
        <v>30</v>
      </c>
    </row>
    <row r="412" spans="1:11" x14ac:dyDescent="0.3">
      <c r="A412" t="s">
        <v>320</v>
      </c>
      <c r="B412" t="s">
        <v>537</v>
      </c>
      <c r="D412" t="s">
        <v>215</v>
      </c>
      <c r="E412">
        <v>0</v>
      </c>
      <c r="F412">
        <v>0</v>
      </c>
      <c r="G412">
        <v>35</v>
      </c>
      <c r="H412">
        <v>103</v>
      </c>
      <c r="I412">
        <v>0</v>
      </c>
      <c r="J412">
        <v>0</v>
      </c>
      <c r="K412">
        <v>16</v>
      </c>
    </row>
    <row r="413" spans="1:11" x14ac:dyDescent="0.3">
      <c r="A413" t="s">
        <v>320</v>
      </c>
      <c r="B413" t="s">
        <v>537</v>
      </c>
      <c r="D413" t="s">
        <v>220</v>
      </c>
      <c r="E413">
        <v>0</v>
      </c>
      <c r="F413">
        <v>0</v>
      </c>
      <c r="G413">
        <v>5</v>
      </c>
      <c r="H413">
        <v>18</v>
      </c>
      <c r="I413">
        <v>0</v>
      </c>
      <c r="J413">
        <v>0</v>
      </c>
      <c r="K413">
        <v>5</v>
      </c>
    </row>
    <row r="414" spans="1:11" x14ac:dyDescent="0.3">
      <c r="A414" t="s">
        <v>320</v>
      </c>
      <c r="B414" t="s">
        <v>537</v>
      </c>
      <c r="D414" t="s">
        <v>224</v>
      </c>
      <c r="E414">
        <v>0</v>
      </c>
      <c r="F414">
        <v>0</v>
      </c>
      <c r="G414">
        <v>5</v>
      </c>
      <c r="H414">
        <v>16</v>
      </c>
      <c r="I414">
        <v>0</v>
      </c>
      <c r="J414">
        <v>0</v>
      </c>
      <c r="K414">
        <v>5</v>
      </c>
    </row>
    <row r="415" spans="1:11" x14ac:dyDescent="0.3">
      <c r="A415" t="s">
        <v>320</v>
      </c>
      <c r="B415" t="s">
        <v>537</v>
      </c>
      <c r="D415" t="s">
        <v>228</v>
      </c>
      <c r="E415">
        <v>0</v>
      </c>
      <c r="F415">
        <v>0</v>
      </c>
      <c r="G415">
        <v>8</v>
      </c>
      <c r="H415">
        <v>28</v>
      </c>
      <c r="I415">
        <v>0</v>
      </c>
      <c r="J415">
        <v>0</v>
      </c>
      <c r="K415">
        <v>10</v>
      </c>
    </row>
    <row r="416" spans="1:11" x14ac:dyDescent="0.3">
      <c r="A416" t="s">
        <v>320</v>
      </c>
      <c r="B416" t="s">
        <v>537</v>
      </c>
      <c r="D416" t="s">
        <v>244</v>
      </c>
      <c r="E416">
        <v>0</v>
      </c>
      <c r="F416">
        <v>0</v>
      </c>
      <c r="G416">
        <v>10</v>
      </c>
      <c r="H416">
        <v>35</v>
      </c>
      <c r="I416">
        <v>0</v>
      </c>
      <c r="J416">
        <v>0</v>
      </c>
      <c r="K416">
        <v>5</v>
      </c>
    </row>
    <row r="417" spans="1:11" x14ac:dyDescent="0.3">
      <c r="A417" t="s">
        <v>320</v>
      </c>
      <c r="B417" t="s">
        <v>537</v>
      </c>
      <c r="D417" t="s">
        <v>247</v>
      </c>
      <c r="E417">
        <v>0</v>
      </c>
      <c r="F417">
        <v>0</v>
      </c>
      <c r="G417">
        <v>35</v>
      </c>
      <c r="H417">
        <v>119</v>
      </c>
      <c r="I417">
        <v>0</v>
      </c>
      <c r="J417">
        <v>0</v>
      </c>
      <c r="K417">
        <v>20</v>
      </c>
    </row>
    <row r="418" spans="1:11" x14ac:dyDescent="0.3">
      <c r="A418" t="s">
        <v>320</v>
      </c>
      <c r="B418" t="s">
        <v>537</v>
      </c>
      <c r="D418" t="s">
        <v>249</v>
      </c>
      <c r="E418">
        <v>0</v>
      </c>
      <c r="F418">
        <v>0</v>
      </c>
      <c r="G418">
        <v>10</v>
      </c>
      <c r="H418">
        <v>31</v>
      </c>
      <c r="I418">
        <v>0</v>
      </c>
      <c r="J418">
        <v>0</v>
      </c>
      <c r="K418">
        <v>5</v>
      </c>
    </row>
    <row r="419" spans="1:11" x14ac:dyDescent="0.3">
      <c r="A419" t="s">
        <v>320</v>
      </c>
      <c r="B419" t="s">
        <v>537</v>
      </c>
      <c r="D419" t="s">
        <v>253</v>
      </c>
      <c r="E419">
        <v>0</v>
      </c>
      <c r="F419">
        <v>0</v>
      </c>
      <c r="G419">
        <v>13</v>
      </c>
      <c r="H419">
        <v>46</v>
      </c>
      <c r="I419">
        <v>0</v>
      </c>
      <c r="J419">
        <v>0</v>
      </c>
      <c r="K419">
        <v>16</v>
      </c>
    </row>
    <row r="420" spans="1:11" x14ac:dyDescent="0.3">
      <c r="A420" t="s">
        <v>320</v>
      </c>
      <c r="B420" t="s">
        <v>537</v>
      </c>
      <c r="D420" t="s">
        <v>259</v>
      </c>
      <c r="E420">
        <v>0</v>
      </c>
      <c r="F420">
        <v>0</v>
      </c>
      <c r="G420">
        <v>7</v>
      </c>
      <c r="H420">
        <v>30</v>
      </c>
      <c r="I420">
        <v>0</v>
      </c>
      <c r="J420">
        <v>0</v>
      </c>
      <c r="K420">
        <v>10</v>
      </c>
    </row>
    <row r="421" spans="1:11" x14ac:dyDescent="0.3">
      <c r="A421" t="s">
        <v>320</v>
      </c>
      <c r="B421" t="s">
        <v>537</v>
      </c>
      <c r="D421" t="s">
        <v>270</v>
      </c>
      <c r="E421">
        <v>0</v>
      </c>
      <c r="F421">
        <v>0</v>
      </c>
      <c r="G421">
        <v>106</v>
      </c>
      <c r="H421">
        <v>332</v>
      </c>
      <c r="I421">
        <v>0</v>
      </c>
      <c r="J421">
        <v>0</v>
      </c>
      <c r="K421">
        <v>55</v>
      </c>
    </row>
    <row r="422" spans="1:11" x14ac:dyDescent="0.3">
      <c r="A422" t="s">
        <v>320</v>
      </c>
      <c r="B422" t="s">
        <v>537</v>
      </c>
      <c r="D422" t="s">
        <v>273</v>
      </c>
      <c r="E422">
        <v>0</v>
      </c>
      <c r="F422">
        <v>0</v>
      </c>
      <c r="G422">
        <v>15</v>
      </c>
      <c r="H422">
        <v>50</v>
      </c>
      <c r="I422">
        <v>0</v>
      </c>
      <c r="J422">
        <v>0</v>
      </c>
      <c r="K422">
        <v>5</v>
      </c>
    </row>
    <row r="423" spans="1:11" x14ac:dyDescent="0.3">
      <c r="A423" t="s">
        <v>320</v>
      </c>
      <c r="B423" t="s">
        <v>537</v>
      </c>
      <c r="D423" t="s">
        <v>277</v>
      </c>
      <c r="E423">
        <v>0</v>
      </c>
      <c r="F423">
        <v>0</v>
      </c>
      <c r="G423">
        <v>12</v>
      </c>
      <c r="H423">
        <v>46</v>
      </c>
      <c r="I423">
        <v>0</v>
      </c>
      <c r="J423">
        <v>0</v>
      </c>
      <c r="K423">
        <v>10</v>
      </c>
    </row>
    <row r="424" spans="1:11" x14ac:dyDescent="0.3">
      <c r="A424" t="s">
        <v>320</v>
      </c>
      <c r="B424" t="s">
        <v>537</v>
      </c>
      <c r="D424" t="s">
        <v>281</v>
      </c>
      <c r="E424">
        <v>0</v>
      </c>
      <c r="F424">
        <v>0</v>
      </c>
      <c r="G424">
        <v>5</v>
      </c>
      <c r="H424">
        <v>20</v>
      </c>
      <c r="I424">
        <v>0</v>
      </c>
      <c r="J424">
        <v>0</v>
      </c>
      <c r="K424">
        <v>5</v>
      </c>
    </row>
    <row r="425" spans="1:11" x14ac:dyDescent="0.3">
      <c r="A425" t="s">
        <v>320</v>
      </c>
      <c r="B425" t="s">
        <v>537</v>
      </c>
      <c r="D425" t="s">
        <v>287</v>
      </c>
      <c r="E425">
        <v>0</v>
      </c>
      <c r="F425">
        <v>0</v>
      </c>
      <c r="G425">
        <v>14</v>
      </c>
      <c r="H425">
        <v>46</v>
      </c>
      <c r="I425">
        <v>0</v>
      </c>
      <c r="J425">
        <v>0</v>
      </c>
      <c r="K425">
        <v>14</v>
      </c>
    </row>
    <row r="426" spans="1:11" x14ac:dyDescent="0.3">
      <c r="A426" t="s">
        <v>320</v>
      </c>
      <c r="B426" t="s">
        <v>537</v>
      </c>
      <c r="D426" t="s">
        <v>289</v>
      </c>
      <c r="E426">
        <v>0</v>
      </c>
      <c r="F426">
        <v>0</v>
      </c>
      <c r="G426">
        <v>37</v>
      </c>
      <c r="H426">
        <v>100</v>
      </c>
      <c r="I426">
        <v>0</v>
      </c>
      <c r="J426">
        <v>0</v>
      </c>
      <c r="K426">
        <v>19</v>
      </c>
    </row>
    <row r="427" spans="1:11" x14ac:dyDescent="0.3">
      <c r="A427" t="s">
        <v>320</v>
      </c>
      <c r="B427" t="s">
        <v>537</v>
      </c>
      <c r="D427" t="s">
        <v>294</v>
      </c>
      <c r="E427">
        <v>0</v>
      </c>
      <c r="F427">
        <v>0</v>
      </c>
      <c r="G427">
        <v>9</v>
      </c>
      <c r="H427">
        <v>53</v>
      </c>
      <c r="I427">
        <v>0</v>
      </c>
      <c r="J427">
        <v>0</v>
      </c>
      <c r="K427">
        <v>4</v>
      </c>
    </row>
    <row r="428" spans="1:11" x14ac:dyDescent="0.3">
      <c r="A428" t="s">
        <v>320</v>
      </c>
      <c r="B428" t="s">
        <v>537</v>
      </c>
      <c r="D428" t="s">
        <v>296</v>
      </c>
      <c r="E428">
        <v>0</v>
      </c>
      <c r="F428">
        <v>0</v>
      </c>
      <c r="G428">
        <v>19</v>
      </c>
      <c r="H428">
        <v>63</v>
      </c>
      <c r="I428">
        <v>0</v>
      </c>
      <c r="J428">
        <v>0</v>
      </c>
      <c r="K428">
        <v>17</v>
      </c>
    </row>
    <row r="429" spans="1:11" x14ac:dyDescent="0.3">
      <c r="A429" t="s">
        <v>320</v>
      </c>
      <c r="B429" t="s">
        <v>537</v>
      </c>
      <c r="D429" t="s">
        <v>302</v>
      </c>
      <c r="E429">
        <v>0</v>
      </c>
      <c r="F429">
        <v>0</v>
      </c>
      <c r="G429">
        <v>10</v>
      </c>
      <c r="H429">
        <v>32</v>
      </c>
      <c r="I429">
        <v>0</v>
      </c>
      <c r="J429">
        <v>0</v>
      </c>
      <c r="K429">
        <v>5</v>
      </c>
    </row>
    <row r="430" spans="1:11" x14ac:dyDescent="0.3">
      <c r="A430" t="s">
        <v>320</v>
      </c>
      <c r="B430" t="s">
        <v>537</v>
      </c>
      <c r="D430" t="s">
        <v>304</v>
      </c>
      <c r="E430">
        <v>0</v>
      </c>
      <c r="F430">
        <v>0</v>
      </c>
      <c r="G430">
        <v>36</v>
      </c>
      <c r="H430">
        <v>99</v>
      </c>
      <c r="I430">
        <v>0</v>
      </c>
      <c r="J430">
        <v>0</v>
      </c>
      <c r="K430">
        <v>20</v>
      </c>
    </row>
    <row r="431" spans="1:11" x14ac:dyDescent="0.3">
      <c r="A431" t="s">
        <v>320</v>
      </c>
      <c r="B431" t="s">
        <v>537</v>
      </c>
      <c r="D431" t="s">
        <v>307</v>
      </c>
      <c r="E431">
        <v>0</v>
      </c>
      <c r="F431">
        <v>0</v>
      </c>
      <c r="G431">
        <v>1</v>
      </c>
      <c r="H431">
        <v>0</v>
      </c>
      <c r="I431">
        <v>0</v>
      </c>
      <c r="J431">
        <v>0</v>
      </c>
      <c r="K431">
        <v>0</v>
      </c>
    </row>
    <row r="432" spans="1:11" x14ac:dyDescent="0.3">
      <c r="A432" t="s">
        <v>320</v>
      </c>
      <c r="B432" t="s">
        <v>537</v>
      </c>
      <c r="D432" t="s">
        <v>309</v>
      </c>
      <c r="E432">
        <v>0</v>
      </c>
      <c r="F432">
        <v>0</v>
      </c>
      <c r="G432">
        <v>11</v>
      </c>
      <c r="H432">
        <v>47</v>
      </c>
      <c r="I432">
        <v>0</v>
      </c>
      <c r="J432">
        <v>0</v>
      </c>
      <c r="K432">
        <v>11</v>
      </c>
    </row>
    <row r="433" spans="1:11" x14ac:dyDescent="0.3">
      <c r="A433" t="s">
        <v>320</v>
      </c>
      <c r="B433" t="s">
        <v>537</v>
      </c>
      <c r="C433" t="s">
        <v>237</v>
      </c>
      <c r="D433" t="s">
        <v>234</v>
      </c>
      <c r="E433">
        <v>0</v>
      </c>
      <c r="F433">
        <v>0</v>
      </c>
      <c r="G433">
        <v>58</v>
      </c>
      <c r="H433">
        <v>202</v>
      </c>
      <c r="I433">
        <v>0</v>
      </c>
      <c r="J433">
        <v>0</v>
      </c>
      <c r="K433">
        <v>35</v>
      </c>
    </row>
    <row r="434" spans="1:11" x14ac:dyDescent="0.3">
      <c r="A434" t="s">
        <v>320</v>
      </c>
      <c r="B434" t="s">
        <v>537</v>
      </c>
      <c r="C434" t="s">
        <v>237</v>
      </c>
      <c r="D434" t="s">
        <v>240</v>
      </c>
      <c r="E434">
        <v>0</v>
      </c>
      <c r="F434">
        <v>0</v>
      </c>
      <c r="G434">
        <v>4</v>
      </c>
      <c r="H434">
        <v>15</v>
      </c>
      <c r="I434">
        <v>0</v>
      </c>
      <c r="J434">
        <v>0</v>
      </c>
      <c r="K434">
        <v>5</v>
      </c>
    </row>
    <row r="435" spans="1:11" x14ac:dyDescent="0.3">
      <c r="A435" t="s">
        <v>320</v>
      </c>
      <c r="B435" t="s">
        <v>537</v>
      </c>
      <c r="C435" t="s">
        <v>237</v>
      </c>
      <c r="D435" t="s">
        <v>255</v>
      </c>
      <c r="E435">
        <v>0</v>
      </c>
      <c r="F435">
        <v>0</v>
      </c>
      <c r="G435">
        <v>4</v>
      </c>
      <c r="H435">
        <v>14</v>
      </c>
      <c r="I435">
        <v>0</v>
      </c>
      <c r="J435">
        <v>0</v>
      </c>
      <c r="K435">
        <v>6</v>
      </c>
    </row>
    <row r="436" spans="1:11" x14ac:dyDescent="0.3">
      <c r="A436" t="s">
        <v>320</v>
      </c>
      <c r="B436" t="s">
        <v>537</v>
      </c>
      <c r="C436" t="s">
        <v>237</v>
      </c>
      <c r="D436" t="s">
        <v>263</v>
      </c>
      <c r="E436">
        <v>0</v>
      </c>
      <c r="F436">
        <v>0</v>
      </c>
      <c r="G436">
        <v>19</v>
      </c>
      <c r="H436">
        <v>53</v>
      </c>
      <c r="I436">
        <v>0</v>
      </c>
      <c r="J436">
        <v>0</v>
      </c>
      <c r="K436">
        <v>15</v>
      </c>
    </row>
    <row r="437" spans="1:11" x14ac:dyDescent="0.3">
      <c r="A437" t="s">
        <v>320</v>
      </c>
      <c r="B437" t="s">
        <v>537</v>
      </c>
      <c r="C437" t="s">
        <v>237</v>
      </c>
      <c r="D437" t="s">
        <v>267</v>
      </c>
      <c r="E437">
        <v>0</v>
      </c>
      <c r="F437">
        <v>0</v>
      </c>
      <c r="G437">
        <v>50</v>
      </c>
      <c r="H437">
        <v>179</v>
      </c>
      <c r="I437">
        <v>0</v>
      </c>
      <c r="J437">
        <v>0</v>
      </c>
      <c r="K437">
        <v>25</v>
      </c>
    </row>
    <row r="438" spans="1:11" x14ac:dyDescent="0.3">
      <c r="A438" t="s">
        <v>320</v>
      </c>
      <c r="B438" t="s">
        <v>537</v>
      </c>
      <c r="C438" t="s">
        <v>237</v>
      </c>
      <c r="D438" t="s">
        <v>279</v>
      </c>
      <c r="E438">
        <v>0</v>
      </c>
      <c r="F438">
        <v>0</v>
      </c>
      <c r="G438">
        <v>4</v>
      </c>
      <c r="H438">
        <v>17</v>
      </c>
      <c r="I438">
        <v>0</v>
      </c>
      <c r="J438">
        <v>0</v>
      </c>
      <c r="K438">
        <v>5</v>
      </c>
    </row>
    <row r="439" spans="1:11" x14ac:dyDescent="0.3">
      <c r="A439" t="s">
        <v>320</v>
      </c>
      <c r="B439" t="s">
        <v>537</v>
      </c>
      <c r="C439" t="s">
        <v>237</v>
      </c>
      <c r="D439" t="s">
        <v>298</v>
      </c>
      <c r="E439">
        <v>0</v>
      </c>
      <c r="F439">
        <v>0</v>
      </c>
      <c r="G439">
        <v>10</v>
      </c>
      <c r="H439">
        <v>33</v>
      </c>
      <c r="I439">
        <v>0</v>
      </c>
      <c r="J439">
        <v>0</v>
      </c>
      <c r="K439">
        <v>10</v>
      </c>
    </row>
    <row r="440" spans="1:11" x14ac:dyDescent="0.3">
      <c r="A440" t="s">
        <v>320</v>
      </c>
      <c r="B440" t="s">
        <v>537</v>
      </c>
      <c r="C440" t="s">
        <v>237</v>
      </c>
      <c r="D440" t="s">
        <v>307</v>
      </c>
      <c r="E440">
        <v>0</v>
      </c>
      <c r="F440">
        <v>0</v>
      </c>
      <c r="G440">
        <v>10</v>
      </c>
      <c r="H440">
        <v>33</v>
      </c>
      <c r="I440">
        <v>0</v>
      </c>
      <c r="J440">
        <v>0</v>
      </c>
      <c r="K440">
        <v>5</v>
      </c>
    </row>
    <row r="441" spans="1:11" x14ac:dyDescent="0.3">
      <c r="A441" t="s">
        <v>320</v>
      </c>
      <c r="B441" t="s">
        <v>537</v>
      </c>
      <c r="C441" t="s">
        <v>237</v>
      </c>
      <c r="D441" t="s">
        <v>311</v>
      </c>
      <c r="E441">
        <v>0</v>
      </c>
      <c r="F441">
        <v>0</v>
      </c>
      <c r="G441">
        <v>10</v>
      </c>
      <c r="H441">
        <v>38</v>
      </c>
      <c r="I441">
        <v>0</v>
      </c>
      <c r="J441">
        <v>0</v>
      </c>
      <c r="K441">
        <v>10</v>
      </c>
    </row>
    <row r="442" spans="1:11" x14ac:dyDescent="0.3">
      <c r="A442" t="s">
        <v>320</v>
      </c>
      <c r="B442" t="s">
        <v>540</v>
      </c>
      <c r="D442" t="s">
        <v>322</v>
      </c>
      <c r="E442">
        <v>1</v>
      </c>
      <c r="F442">
        <v>0</v>
      </c>
      <c r="G442">
        <v>5</v>
      </c>
      <c r="H442">
        <v>2</v>
      </c>
      <c r="I442">
        <v>4</v>
      </c>
      <c r="J442">
        <v>12</v>
      </c>
      <c r="K442">
        <v>12</v>
      </c>
    </row>
    <row r="443" spans="1:11" x14ac:dyDescent="0.3">
      <c r="A443" t="s">
        <v>320</v>
      </c>
      <c r="B443" t="s">
        <v>540</v>
      </c>
      <c r="D443" t="s">
        <v>230</v>
      </c>
      <c r="E443">
        <v>1</v>
      </c>
      <c r="F443">
        <v>0</v>
      </c>
      <c r="G443">
        <v>6</v>
      </c>
      <c r="H443">
        <v>2</v>
      </c>
      <c r="I443">
        <v>4</v>
      </c>
      <c r="J443">
        <v>8</v>
      </c>
      <c r="K443">
        <v>7</v>
      </c>
    </row>
    <row r="444" spans="1:11" x14ac:dyDescent="0.3">
      <c r="A444" t="s">
        <v>320</v>
      </c>
      <c r="B444" t="s">
        <v>540</v>
      </c>
      <c r="D444" t="s">
        <v>244</v>
      </c>
      <c r="E444">
        <v>1</v>
      </c>
      <c r="F444">
        <v>0</v>
      </c>
      <c r="G444">
        <v>4</v>
      </c>
      <c r="H444">
        <v>2</v>
      </c>
      <c r="I444">
        <v>2</v>
      </c>
      <c r="J444">
        <v>6</v>
      </c>
      <c r="K444">
        <v>7</v>
      </c>
    </row>
    <row r="445" spans="1:11" x14ac:dyDescent="0.3">
      <c r="A445" t="s">
        <v>320</v>
      </c>
      <c r="B445" t="s">
        <v>540</v>
      </c>
      <c r="D445" t="s">
        <v>226</v>
      </c>
      <c r="E445">
        <v>1</v>
      </c>
      <c r="F445">
        <v>0</v>
      </c>
      <c r="G445">
        <v>5</v>
      </c>
      <c r="H445">
        <v>2</v>
      </c>
      <c r="I445">
        <v>4</v>
      </c>
      <c r="J445">
        <v>8</v>
      </c>
      <c r="K445">
        <v>11</v>
      </c>
    </row>
    <row r="446" spans="1:11" x14ac:dyDescent="0.3">
      <c r="A446" t="s">
        <v>320</v>
      </c>
      <c r="B446" t="s">
        <v>540</v>
      </c>
      <c r="D446" t="s">
        <v>251</v>
      </c>
      <c r="E446">
        <v>1</v>
      </c>
      <c r="F446">
        <v>0</v>
      </c>
      <c r="G446">
        <v>3</v>
      </c>
      <c r="H446">
        <v>1</v>
      </c>
      <c r="I446">
        <v>3</v>
      </c>
      <c r="J446">
        <v>11</v>
      </c>
      <c r="K446">
        <v>8</v>
      </c>
    </row>
    <row r="447" spans="1:11" x14ac:dyDescent="0.3">
      <c r="A447" t="s">
        <v>320</v>
      </c>
      <c r="B447" t="s">
        <v>540</v>
      </c>
      <c r="D447" t="s">
        <v>257</v>
      </c>
      <c r="E447">
        <v>1</v>
      </c>
      <c r="F447">
        <v>0</v>
      </c>
      <c r="G447">
        <v>6</v>
      </c>
      <c r="H447">
        <v>4</v>
      </c>
      <c r="I447">
        <v>3</v>
      </c>
      <c r="J447">
        <v>7</v>
      </c>
      <c r="K447">
        <v>8</v>
      </c>
    </row>
    <row r="448" spans="1:11" x14ac:dyDescent="0.3">
      <c r="A448" t="s">
        <v>320</v>
      </c>
      <c r="B448" t="s">
        <v>540</v>
      </c>
      <c r="D448" t="s">
        <v>261</v>
      </c>
      <c r="E448">
        <v>1</v>
      </c>
      <c r="F448">
        <v>0</v>
      </c>
      <c r="G448">
        <v>3</v>
      </c>
      <c r="H448">
        <v>1</v>
      </c>
      <c r="I448">
        <v>3</v>
      </c>
      <c r="J448">
        <v>6</v>
      </c>
      <c r="K448">
        <v>5</v>
      </c>
    </row>
    <row r="449" spans="1:11" x14ac:dyDescent="0.3">
      <c r="A449" t="s">
        <v>320</v>
      </c>
      <c r="B449" t="s">
        <v>540</v>
      </c>
      <c r="D449" t="s">
        <v>236</v>
      </c>
      <c r="E449">
        <v>1</v>
      </c>
      <c r="F449">
        <v>0</v>
      </c>
      <c r="G449">
        <v>3</v>
      </c>
      <c r="H449">
        <v>4</v>
      </c>
      <c r="I449">
        <v>3</v>
      </c>
      <c r="J449">
        <v>7</v>
      </c>
      <c r="K449">
        <v>9</v>
      </c>
    </row>
    <row r="450" spans="1:11" x14ac:dyDescent="0.3">
      <c r="A450" t="s">
        <v>320</v>
      </c>
      <c r="B450" t="s">
        <v>540</v>
      </c>
      <c r="D450" t="s">
        <v>265</v>
      </c>
      <c r="E450">
        <v>1</v>
      </c>
      <c r="F450">
        <v>0</v>
      </c>
      <c r="G450">
        <v>3</v>
      </c>
      <c r="H450">
        <v>2</v>
      </c>
      <c r="I450">
        <v>2</v>
      </c>
      <c r="J450">
        <v>4</v>
      </c>
      <c r="K450">
        <v>6</v>
      </c>
    </row>
    <row r="451" spans="1:11" x14ac:dyDescent="0.3">
      <c r="A451" t="s">
        <v>320</v>
      </c>
      <c r="B451" t="s">
        <v>540</v>
      </c>
      <c r="D451" t="s">
        <v>270</v>
      </c>
      <c r="E451">
        <v>1</v>
      </c>
      <c r="F451">
        <v>0</v>
      </c>
      <c r="G451">
        <v>1</v>
      </c>
      <c r="H451">
        <v>1</v>
      </c>
      <c r="I451">
        <v>4</v>
      </c>
      <c r="J451">
        <v>9</v>
      </c>
      <c r="K451">
        <v>7</v>
      </c>
    </row>
    <row r="452" spans="1:11" x14ac:dyDescent="0.3">
      <c r="A452" t="s">
        <v>320</v>
      </c>
      <c r="B452" t="s">
        <v>540</v>
      </c>
      <c r="D452" t="s">
        <v>275</v>
      </c>
      <c r="E452">
        <v>1</v>
      </c>
      <c r="F452">
        <v>0</v>
      </c>
      <c r="G452">
        <v>6</v>
      </c>
      <c r="H452">
        <v>2</v>
      </c>
      <c r="I452">
        <v>4</v>
      </c>
      <c r="J452">
        <v>10</v>
      </c>
      <c r="K452">
        <v>10</v>
      </c>
    </row>
    <row r="453" spans="1:11" x14ac:dyDescent="0.3">
      <c r="A453" t="s">
        <v>320</v>
      </c>
      <c r="B453" t="s">
        <v>540</v>
      </c>
      <c r="D453" t="s">
        <v>324</v>
      </c>
      <c r="E453">
        <v>1</v>
      </c>
      <c r="F453">
        <v>0</v>
      </c>
      <c r="G453">
        <v>4</v>
      </c>
      <c r="H453">
        <v>1</v>
      </c>
      <c r="I453">
        <v>3</v>
      </c>
      <c r="J453">
        <v>11</v>
      </c>
      <c r="K453">
        <v>10</v>
      </c>
    </row>
    <row r="454" spans="1:11" x14ac:dyDescent="0.3">
      <c r="A454" t="s">
        <v>320</v>
      </c>
      <c r="B454" t="s">
        <v>540</v>
      </c>
      <c r="D454" t="s">
        <v>313</v>
      </c>
      <c r="E454">
        <v>1</v>
      </c>
      <c r="F454">
        <v>0</v>
      </c>
      <c r="G454">
        <v>7</v>
      </c>
      <c r="H454">
        <v>3</v>
      </c>
      <c r="I454">
        <v>4</v>
      </c>
      <c r="J454">
        <v>13</v>
      </c>
      <c r="K454">
        <v>10</v>
      </c>
    </row>
    <row r="455" spans="1:11" x14ac:dyDescent="0.3">
      <c r="A455" t="s">
        <v>320</v>
      </c>
      <c r="B455" t="s">
        <v>540</v>
      </c>
      <c r="D455" t="s">
        <v>285</v>
      </c>
      <c r="E455">
        <v>1</v>
      </c>
      <c r="F455">
        <v>0</v>
      </c>
      <c r="G455">
        <v>0</v>
      </c>
      <c r="H455">
        <v>0</v>
      </c>
      <c r="I455">
        <v>4</v>
      </c>
      <c r="J455">
        <v>7</v>
      </c>
      <c r="K455">
        <v>5</v>
      </c>
    </row>
    <row r="456" spans="1:11" x14ac:dyDescent="0.3">
      <c r="A456" t="s">
        <v>320</v>
      </c>
      <c r="B456" t="s">
        <v>542</v>
      </c>
      <c r="D456" t="s">
        <v>218</v>
      </c>
      <c r="E456">
        <v>2</v>
      </c>
      <c r="F456">
        <v>0</v>
      </c>
      <c r="G456">
        <v>10</v>
      </c>
      <c r="H456">
        <v>10</v>
      </c>
      <c r="I456">
        <v>2</v>
      </c>
      <c r="J456">
        <v>7</v>
      </c>
      <c r="K456">
        <v>17</v>
      </c>
    </row>
    <row r="457" spans="1:11" x14ac:dyDescent="0.3">
      <c r="A457" t="s">
        <v>320</v>
      </c>
      <c r="B457" t="s">
        <v>542</v>
      </c>
      <c r="D457" t="s">
        <v>232</v>
      </c>
      <c r="E457">
        <v>2</v>
      </c>
      <c r="F457">
        <v>0</v>
      </c>
      <c r="G457">
        <v>16</v>
      </c>
      <c r="H457">
        <v>34</v>
      </c>
      <c r="I457">
        <v>5</v>
      </c>
      <c r="J457">
        <v>7</v>
      </c>
      <c r="K457">
        <v>43</v>
      </c>
    </row>
    <row r="458" spans="1:11" x14ac:dyDescent="0.3">
      <c r="A458" t="s">
        <v>320</v>
      </c>
      <c r="B458" t="s">
        <v>542</v>
      </c>
      <c r="C458" t="s">
        <v>237</v>
      </c>
      <c r="D458" t="s">
        <v>238</v>
      </c>
      <c r="E458">
        <v>1</v>
      </c>
      <c r="F458">
        <v>0</v>
      </c>
      <c r="G458">
        <v>6</v>
      </c>
      <c r="H458">
        <v>21</v>
      </c>
      <c r="I458">
        <v>2</v>
      </c>
      <c r="J458">
        <v>5</v>
      </c>
      <c r="K458">
        <v>31</v>
      </c>
    </row>
    <row r="459" spans="1:11" x14ac:dyDescent="0.3">
      <c r="A459" t="s">
        <v>320</v>
      </c>
      <c r="B459" t="s">
        <v>544</v>
      </c>
      <c r="C459" t="s">
        <v>549</v>
      </c>
      <c r="D459" t="s">
        <v>545</v>
      </c>
      <c r="E459">
        <v>16</v>
      </c>
      <c r="F459">
        <v>5</v>
      </c>
      <c r="G459">
        <v>0</v>
      </c>
      <c r="H459">
        <v>0</v>
      </c>
      <c r="I459">
        <v>20</v>
      </c>
      <c r="J459">
        <v>19</v>
      </c>
      <c r="K459">
        <v>28</v>
      </c>
    </row>
    <row r="460" spans="1:11" x14ac:dyDescent="0.3">
      <c r="A460" t="s">
        <v>325</v>
      </c>
      <c r="B460" t="s">
        <v>537</v>
      </c>
      <c r="D460" t="s">
        <v>215</v>
      </c>
      <c r="E460">
        <v>0</v>
      </c>
      <c r="F460">
        <v>0</v>
      </c>
      <c r="G460">
        <v>32</v>
      </c>
      <c r="H460">
        <v>103</v>
      </c>
      <c r="I460">
        <v>0</v>
      </c>
      <c r="J460">
        <v>0</v>
      </c>
      <c r="K460">
        <v>20</v>
      </c>
    </row>
    <row r="461" spans="1:11" x14ac:dyDescent="0.3">
      <c r="A461" t="s">
        <v>325</v>
      </c>
      <c r="B461" t="s">
        <v>537</v>
      </c>
      <c r="D461" t="s">
        <v>220</v>
      </c>
      <c r="E461">
        <v>0</v>
      </c>
      <c r="F461">
        <v>0</v>
      </c>
      <c r="G461">
        <v>5</v>
      </c>
      <c r="H461">
        <v>18</v>
      </c>
      <c r="I461">
        <v>0</v>
      </c>
      <c r="J461">
        <v>0</v>
      </c>
      <c r="K461">
        <v>5</v>
      </c>
    </row>
    <row r="462" spans="1:11" x14ac:dyDescent="0.3">
      <c r="A462" t="s">
        <v>325</v>
      </c>
      <c r="B462" t="s">
        <v>537</v>
      </c>
      <c r="D462" t="s">
        <v>224</v>
      </c>
      <c r="E462">
        <v>0</v>
      </c>
      <c r="F462">
        <v>0</v>
      </c>
      <c r="G462">
        <v>5</v>
      </c>
      <c r="H462">
        <v>14</v>
      </c>
      <c r="I462">
        <v>0</v>
      </c>
      <c r="J462">
        <v>0</v>
      </c>
      <c r="K462">
        <v>5</v>
      </c>
    </row>
    <row r="463" spans="1:11" x14ac:dyDescent="0.3">
      <c r="A463" t="s">
        <v>325</v>
      </c>
      <c r="B463" t="s">
        <v>537</v>
      </c>
      <c r="D463" t="s">
        <v>228</v>
      </c>
      <c r="E463">
        <v>0</v>
      </c>
      <c r="F463">
        <v>0</v>
      </c>
      <c r="G463">
        <v>11</v>
      </c>
      <c r="H463">
        <v>29</v>
      </c>
      <c r="I463">
        <v>0</v>
      </c>
      <c r="J463">
        <v>0</v>
      </c>
      <c r="K463">
        <v>10</v>
      </c>
    </row>
    <row r="464" spans="1:11" x14ac:dyDescent="0.3">
      <c r="A464" t="s">
        <v>325</v>
      </c>
      <c r="B464" t="s">
        <v>537</v>
      </c>
      <c r="D464" t="s">
        <v>244</v>
      </c>
      <c r="E464">
        <v>0</v>
      </c>
      <c r="F464">
        <v>0</v>
      </c>
      <c r="G464">
        <v>9</v>
      </c>
      <c r="H464">
        <v>37</v>
      </c>
      <c r="I464">
        <v>0</v>
      </c>
      <c r="J464">
        <v>0</v>
      </c>
      <c r="K464">
        <v>5</v>
      </c>
    </row>
    <row r="465" spans="1:11" x14ac:dyDescent="0.3">
      <c r="A465" t="s">
        <v>325</v>
      </c>
      <c r="B465" t="s">
        <v>537</v>
      </c>
      <c r="D465" t="s">
        <v>247</v>
      </c>
      <c r="E465">
        <v>0</v>
      </c>
      <c r="F465">
        <v>0</v>
      </c>
      <c r="G465">
        <v>37</v>
      </c>
      <c r="H465">
        <v>112</v>
      </c>
      <c r="I465">
        <v>0</v>
      </c>
      <c r="J465">
        <v>0</v>
      </c>
      <c r="K465">
        <v>20</v>
      </c>
    </row>
    <row r="466" spans="1:11" x14ac:dyDescent="0.3">
      <c r="A466" t="s">
        <v>325</v>
      </c>
      <c r="B466" t="s">
        <v>537</v>
      </c>
      <c r="D466" t="s">
        <v>249</v>
      </c>
      <c r="E466">
        <v>0</v>
      </c>
      <c r="F466">
        <v>0</v>
      </c>
      <c r="G466">
        <v>8</v>
      </c>
      <c r="H466">
        <v>34</v>
      </c>
      <c r="I466">
        <v>0</v>
      </c>
      <c r="J466">
        <v>0</v>
      </c>
      <c r="K466">
        <v>5</v>
      </c>
    </row>
    <row r="467" spans="1:11" x14ac:dyDescent="0.3">
      <c r="A467" t="s">
        <v>325</v>
      </c>
      <c r="B467" t="s">
        <v>537</v>
      </c>
      <c r="D467" t="s">
        <v>253</v>
      </c>
      <c r="E467">
        <v>0</v>
      </c>
      <c r="F467">
        <v>0</v>
      </c>
      <c r="G467">
        <v>12</v>
      </c>
      <c r="H467">
        <v>44</v>
      </c>
      <c r="I467">
        <v>0</v>
      </c>
      <c r="J467">
        <v>0</v>
      </c>
      <c r="K467">
        <v>15</v>
      </c>
    </row>
    <row r="468" spans="1:11" x14ac:dyDescent="0.3">
      <c r="A468" t="s">
        <v>325</v>
      </c>
      <c r="B468" t="s">
        <v>537</v>
      </c>
      <c r="D468" t="s">
        <v>259</v>
      </c>
      <c r="E468">
        <v>0</v>
      </c>
      <c r="F468">
        <v>0</v>
      </c>
      <c r="G468">
        <v>10</v>
      </c>
      <c r="H468">
        <v>27</v>
      </c>
      <c r="I468">
        <v>0</v>
      </c>
      <c r="J468">
        <v>0</v>
      </c>
      <c r="K468">
        <v>10</v>
      </c>
    </row>
    <row r="469" spans="1:11" x14ac:dyDescent="0.3">
      <c r="A469" t="s">
        <v>325</v>
      </c>
      <c r="B469" t="s">
        <v>537</v>
      </c>
      <c r="D469" t="s">
        <v>270</v>
      </c>
      <c r="E469">
        <v>0</v>
      </c>
      <c r="F469">
        <v>0</v>
      </c>
      <c r="G469">
        <v>108</v>
      </c>
      <c r="H469">
        <v>317</v>
      </c>
      <c r="I469">
        <v>0</v>
      </c>
      <c r="J469">
        <v>0</v>
      </c>
      <c r="K469">
        <v>66</v>
      </c>
    </row>
    <row r="470" spans="1:11" x14ac:dyDescent="0.3">
      <c r="A470" t="s">
        <v>325</v>
      </c>
      <c r="B470" t="s">
        <v>537</v>
      </c>
      <c r="D470" t="s">
        <v>273</v>
      </c>
      <c r="E470">
        <v>0</v>
      </c>
      <c r="F470">
        <v>0</v>
      </c>
      <c r="G470">
        <v>7</v>
      </c>
      <c r="H470">
        <v>0</v>
      </c>
      <c r="I470">
        <v>0</v>
      </c>
      <c r="J470">
        <v>0</v>
      </c>
      <c r="K470">
        <v>4</v>
      </c>
    </row>
    <row r="471" spans="1:11" x14ac:dyDescent="0.3">
      <c r="A471" t="s">
        <v>325</v>
      </c>
      <c r="B471" t="s">
        <v>537</v>
      </c>
      <c r="D471" t="s">
        <v>273</v>
      </c>
      <c r="E471">
        <v>0</v>
      </c>
      <c r="F471">
        <v>0</v>
      </c>
      <c r="G471">
        <v>16</v>
      </c>
      <c r="H471">
        <v>51</v>
      </c>
      <c r="I471">
        <v>0</v>
      </c>
      <c r="J471">
        <v>0</v>
      </c>
      <c r="K471">
        <v>6</v>
      </c>
    </row>
    <row r="472" spans="1:11" x14ac:dyDescent="0.3">
      <c r="A472" t="s">
        <v>325</v>
      </c>
      <c r="B472" t="s">
        <v>537</v>
      </c>
      <c r="D472" t="s">
        <v>277</v>
      </c>
      <c r="E472">
        <v>0</v>
      </c>
      <c r="F472">
        <v>0</v>
      </c>
      <c r="G472">
        <v>14</v>
      </c>
      <c r="H472">
        <v>43</v>
      </c>
      <c r="I472">
        <v>0</v>
      </c>
      <c r="J472">
        <v>0</v>
      </c>
      <c r="K472">
        <v>10</v>
      </c>
    </row>
    <row r="473" spans="1:11" x14ac:dyDescent="0.3">
      <c r="A473" t="s">
        <v>325</v>
      </c>
      <c r="B473" t="s">
        <v>537</v>
      </c>
      <c r="D473" t="s">
        <v>281</v>
      </c>
      <c r="E473">
        <v>0</v>
      </c>
      <c r="F473">
        <v>0</v>
      </c>
      <c r="G473">
        <v>4</v>
      </c>
      <c r="H473">
        <v>20</v>
      </c>
      <c r="I473">
        <v>0</v>
      </c>
      <c r="J473">
        <v>0</v>
      </c>
      <c r="K473">
        <v>5</v>
      </c>
    </row>
    <row r="474" spans="1:11" x14ac:dyDescent="0.3">
      <c r="A474" t="s">
        <v>325</v>
      </c>
      <c r="B474" t="s">
        <v>537</v>
      </c>
      <c r="D474" t="s">
        <v>283</v>
      </c>
      <c r="E474">
        <v>0</v>
      </c>
      <c r="F474">
        <v>0</v>
      </c>
      <c r="G474">
        <v>0</v>
      </c>
      <c r="H474">
        <v>0</v>
      </c>
      <c r="I474">
        <v>0</v>
      </c>
      <c r="J474">
        <v>0</v>
      </c>
      <c r="K474">
        <v>3</v>
      </c>
    </row>
    <row r="475" spans="1:11" x14ac:dyDescent="0.3">
      <c r="A475" t="s">
        <v>325</v>
      </c>
      <c r="B475" t="s">
        <v>537</v>
      </c>
      <c r="D475" t="s">
        <v>287</v>
      </c>
      <c r="E475">
        <v>0</v>
      </c>
      <c r="F475">
        <v>0</v>
      </c>
      <c r="G475">
        <v>16</v>
      </c>
      <c r="H475">
        <v>44</v>
      </c>
      <c r="I475">
        <v>0</v>
      </c>
      <c r="J475">
        <v>0</v>
      </c>
      <c r="K475">
        <v>15</v>
      </c>
    </row>
    <row r="476" spans="1:11" x14ac:dyDescent="0.3">
      <c r="A476" t="s">
        <v>325</v>
      </c>
      <c r="B476" t="s">
        <v>537</v>
      </c>
      <c r="D476" t="s">
        <v>289</v>
      </c>
      <c r="E476">
        <v>0</v>
      </c>
      <c r="F476">
        <v>0</v>
      </c>
      <c r="G476">
        <v>36</v>
      </c>
      <c r="H476">
        <v>102</v>
      </c>
      <c r="I476">
        <v>0</v>
      </c>
      <c r="J476">
        <v>0</v>
      </c>
      <c r="K476">
        <v>21</v>
      </c>
    </row>
    <row r="477" spans="1:11" x14ac:dyDescent="0.3">
      <c r="A477" t="s">
        <v>325</v>
      </c>
      <c r="B477" t="s">
        <v>537</v>
      </c>
      <c r="D477" t="s">
        <v>292</v>
      </c>
      <c r="E477">
        <v>0</v>
      </c>
      <c r="F477">
        <v>0</v>
      </c>
      <c r="G477">
        <v>0</v>
      </c>
      <c r="H477">
        <v>0</v>
      </c>
      <c r="I477">
        <v>0</v>
      </c>
      <c r="J477">
        <v>0</v>
      </c>
      <c r="K477">
        <v>1</v>
      </c>
    </row>
    <row r="478" spans="1:11" x14ac:dyDescent="0.3">
      <c r="A478" t="s">
        <v>325</v>
      </c>
      <c r="B478" t="s">
        <v>537</v>
      </c>
      <c r="D478" t="s">
        <v>294</v>
      </c>
      <c r="E478">
        <v>0</v>
      </c>
      <c r="F478">
        <v>0</v>
      </c>
      <c r="G478">
        <v>11</v>
      </c>
      <c r="H478">
        <v>53</v>
      </c>
      <c r="I478">
        <v>0</v>
      </c>
      <c r="J478">
        <v>0</v>
      </c>
      <c r="K478">
        <v>5</v>
      </c>
    </row>
    <row r="479" spans="1:11" x14ac:dyDescent="0.3">
      <c r="A479" t="s">
        <v>325</v>
      </c>
      <c r="B479" t="s">
        <v>537</v>
      </c>
      <c r="D479" t="s">
        <v>296</v>
      </c>
      <c r="E479">
        <v>0</v>
      </c>
      <c r="F479">
        <v>0</v>
      </c>
      <c r="G479">
        <v>20</v>
      </c>
      <c r="H479">
        <v>60</v>
      </c>
      <c r="I479">
        <v>0</v>
      </c>
      <c r="J479">
        <v>0</v>
      </c>
      <c r="K479">
        <v>15</v>
      </c>
    </row>
    <row r="480" spans="1:11" x14ac:dyDescent="0.3">
      <c r="A480" t="s">
        <v>325</v>
      </c>
      <c r="B480" t="s">
        <v>537</v>
      </c>
      <c r="D480" t="s">
        <v>300</v>
      </c>
      <c r="E480">
        <v>0</v>
      </c>
      <c r="F480">
        <v>0</v>
      </c>
      <c r="G480">
        <v>0</v>
      </c>
      <c r="H480">
        <v>0</v>
      </c>
      <c r="I480">
        <v>0</v>
      </c>
      <c r="J480">
        <v>0</v>
      </c>
      <c r="K480">
        <v>1</v>
      </c>
    </row>
    <row r="481" spans="1:11" x14ac:dyDescent="0.3">
      <c r="A481" t="s">
        <v>325</v>
      </c>
      <c r="B481" t="s">
        <v>537</v>
      </c>
      <c r="D481" t="s">
        <v>302</v>
      </c>
      <c r="E481">
        <v>0</v>
      </c>
      <c r="F481">
        <v>0</v>
      </c>
      <c r="G481">
        <v>9</v>
      </c>
      <c r="H481">
        <v>34</v>
      </c>
      <c r="I481">
        <v>0</v>
      </c>
      <c r="J481">
        <v>0</v>
      </c>
      <c r="K481">
        <v>5</v>
      </c>
    </row>
    <row r="482" spans="1:11" x14ac:dyDescent="0.3">
      <c r="A482" t="s">
        <v>325</v>
      </c>
      <c r="B482" t="s">
        <v>537</v>
      </c>
      <c r="D482" t="s">
        <v>304</v>
      </c>
      <c r="E482">
        <v>0</v>
      </c>
      <c r="F482">
        <v>0</v>
      </c>
      <c r="G482">
        <v>35</v>
      </c>
      <c r="H482">
        <v>109</v>
      </c>
      <c r="I482">
        <v>0</v>
      </c>
      <c r="J482">
        <v>0</v>
      </c>
      <c r="K482">
        <v>20</v>
      </c>
    </row>
    <row r="483" spans="1:11" x14ac:dyDescent="0.3">
      <c r="A483" t="s">
        <v>325</v>
      </c>
      <c r="B483" t="s">
        <v>537</v>
      </c>
      <c r="D483" t="s">
        <v>309</v>
      </c>
      <c r="E483">
        <v>0</v>
      </c>
      <c r="F483">
        <v>0</v>
      </c>
      <c r="G483">
        <v>15</v>
      </c>
      <c r="H483">
        <v>43</v>
      </c>
      <c r="I483">
        <v>0</v>
      </c>
      <c r="J483">
        <v>0</v>
      </c>
      <c r="K483">
        <v>10</v>
      </c>
    </row>
    <row r="484" spans="1:11" x14ac:dyDescent="0.3">
      <c r="A484" t="s">
        <v>325</v>
      </c>
      <c r="B484" t="s">
        <v>537</v>
      </c>
      <c r="D484" t="s">
        <v>311</v>
      </c>
      <c r="E484">
        <v>0</v>
      </c>
      <c r="F484">
        <v>0</v>
      </c>
      <c r="G484">
        <v>0</v>
      </c>
      <c r="H484">
        <v>0</v>
      </c>
      <c r="I484">
        <v>0</v>
      </c>
      <c r="J484">
        <v>0</v>
      </c>
      <c r="K484">
        <v>2</v>
      </c>
    </row>
    <row r="485" spans="1:11" x14ac:dyDescent="0.3">
      <c r="A485" t="s">
        <v>325</v>
      </c>
      <c r="B485" t="s">
        <v>537</v>
      </c>
      <c r="C485" t="s">
        <v>237</v>
      </c>
      <c r="D485" t="s">
        <v>234</v>
      </c>
      <c r="E485">
        <v>0</v>
      </c>
      <c r="F485">
        <v>0</v>
      </c>
      <c r="G485">
        <v>53</v>
      </c>
      <c r="H485">
        <v>192</v>
      </c>
      <c r="I485">
        <v>0</v>
      </c>
      <c r="J485">
        <v>0</v>
      </c>
      <c r="K485">
        <v>38</v>
      </c>
    </row>
    <row r="486" spans="1:11" x14ac:dyDescent="0.3">
      <c r="A486" t="s">
        <v>325</v>
      </c>
      <c r="B486" t="s">
        <v>537</v>
      </c>
      <c r="C486" t="s">
        <v>237</v>
      </c>
      <c r="D486" t="s">
        <v>240</v>
      </c>
      <c r="E486">
        <v>0</v>
      </c>
      <c r="F486">
        <v>0</v>
      </c>
      <c r="G486">
        <v>6</v>
      </c>
      <c r="H486">
        <v>14</v>
      </c>
      <c r="I486">
        <v>0</v>
      </c>
      <c r="J486">
        <v>0</v>
      </c>
      <c r="K486">
        <v>5</v>
      </c>
    </row>
    <row r="487" spans="1:11" x14ac:dyDescent="0.3">
      <c r="A487" t="s">
        <v>325</v>
      </c>
      <c r="B487" t="s">
        <v>537</v>
      </c>
      <c r="C487" t="s">
        <v>237</v>
      </c>
      <c r="D487" t="s">
        <v>255</v>
      </c>
      <c r="E487">
        <v>0</v>
      </c>
      <c r="F487">
        <v>0</v>
      </c>
      <c r="G487">
        <v>4</v>
      </c>
      <c r="H487">
        <v>15</v>
      </c>
      <c r="I487">
        <v>0</v>
      </c>
      <c r="J487">
        <v>0</v>
      </c>
      <c r="K487">
        <v>5</v>
      </c>
    </row>
    <row r="488" spans="1:11" x14ac:dyDescent="0.3">
      <c r="A488" t="s">
        <v>325</v>
      </c>
      <c r="B488" t="s">
        <v>537</v>
      </c>
      <c r="C488" t="s">
        <v>237</v>
      </c>
      <c r="D488" t="s">
        <v>263</v>
      </c>
      <c r="E488">
        <v>0</v>
      </c>
      <c r="F488">
        <v>0</v>
      </c>
      <c r="G488">
        <v>19</v>
      </c>
      <c r="H488">
        <v>50</v>
      </c>
      <c r="I488">
        <v>0</v>
      </c>
      <c r="J488">
        <v>0</v>
      </c>
      <c r="K488">
        <v>15</v>
      </c>
    </row>
    <row r="489" spans="1:11" x14ac:dyDescent="0.3">
      <c r="A489" t="s">
        <v>325</v>
      </c>
      <c r="B489" t="s">
        <v>537</v>
      </c>
      <c r="C489" t="s">
        <v>237</v>
      </c>
      <c r="D489" t="s">
        <v>267</v>
      </c>
      <c r="E489">
        <v>0</v>
      </c>
      <c r="F489">
        <v>0</v>
      </c>
      <c r="G489">
        <v>51</v>
      </c>
      <c r="H489">
        <v>163</v>
      </c>
      <c r="I489">
        <v>0</v>
      </c>
      <c r="J489">
        <v>0</v>
      </c>
      <c r="K489">
        <v>25</v>
      </c>
    </row>
    <row r="490" spans="1:11" x14ac:dyDescent="0.3">
      <c r="A490" t="s">
        <v>325</v>
      </c>
      <c r="B490" t="s">
        <v>537</v>
      </c>
      <c r="C490" t="s">
        <v>237</v>
      </c>
      <c r="D490" t="s">
        <v>279</v>
      </c>
      <c r="E490">
        <v>0</v>
      </c>
      <c r="F490">
        <v>0</v>
      </c>
      <c r="G490">
        <v>4</v>
      </c>
      <c r="H490">
        <v>15</v>
      </c>
      <c r="I490">
        <v>0</v>
      </c>
      <c r="J490">
        <v>0</v>
      </c>
      <c r="K490">
        <v>6</v>
      </c>
    </row>
    <row r="491" spans="1:11" x14ac:dyDescent="0.3">
      <c r="A491" t="s">
        <v>325</v>
      </c>
      <c r="B491" t="s">
        <v>537</v>
      </c>
      <c r="C491" t="s">
        <v>237</v>
      </c>
      <c r="D491" t="s">
        <v>298</v>
      </c>
      <c r="E491">
        <v>0</v>
      </c>
      <c r="F491">
        <v>0</v>
      </c>
      <c r="G491">
        <v>9</v>
      </c>
      <c r="H491">
        <v>37</v>
      </c>
      <c r="I491">
        <v>0</v>
      </c>
      <c r="J491">
        <v>0</v>
      </c>
      <c r="K491">
        <v>10</v>
      </c>
    </row>
    <row r="492" spans="1:11" x14ac:dyDescent="0.3">
      <c r="A492" t="s">
        <v>325</v>
      </c>
      <c r="B492" t="s">
        <v>537</v>
      </c>
      <c r="C492" t="s">
        <v>237</v>
      </c>
      <c r="D492" t="s">
        <v>307</v>
      </c>
      <c r="E492">
        <v>0</v>
      </c>
      <c r="F492">
        <v>0</v>
      </c>
      <c r="G492">
        <v>9</v>
      </c>
      <c r="H492">
        <v>32</v>
      </c>
      <c r="I492">
        <v>0</v>
      </c>
      <c r="J492">
        <v>0</v>
      </c>
      <c r="K492">
        <v>5</v>
      </c>
    </row>
    <row r="493" spans="1:11" x14ac:dyDescent="0.3">
      <c r="A493" t="s">
        <v>325</v>
      </c>
      <c r="B493" t="s">
        <v>537</v>
      </c>
      <c r="C493" t="s">
        <v>237</v>
      </c>
      <c r="D493" t="s">
        <v>311</v>
      </c>
      <c r="E493">
        <v>0</v>
      </c>
      <c r="F493">
        <v>0</v>
      </c>
      <c r="G493">
        <v>10</v>
      </c>
      <c r="H493">
        <v>37</v>
      </c>
      <c r="I493">
        <v>0</v>
      </c>
      <c r="J493">
        <v>0</v>
      </c>
      <c r="K493">
        <v>10</v>
      </c>
    </row>
    <row r="494" spans="1:11" x14ac:dyDescent="0.3">
      <c r="A494" t="s">
        <v>325</v>
      </c>
      <c r="B494" t="s">
        <v>540</v>
      </c>
      <c r="D494" t="s">
        <v>322</v>
      </c>
      <c r="E494">
        <v>1</v>
      </c>
      <c r="F494">
        <v>0</v>
      </c>
      <c r="G494">
        <v>0</v>
      </c>
      <c r="H494">
        <v>0</v>
      </c>
      <c r="I494">
        <v>4</v>
      </c>
      <c r="J494">
        <v>10</v>
      </c>
      <c r="K494">
        <v>9</v>
      </c>
    </row>
    <row r="495" spans="1:11" x14ac:dyDescent="0.3">
      <c r="A495" t="s">
        <v>325</v>
      </c>
      <c r="B495" t="s">
        <v>540</v>
      </c>
      <c r="D495" t="s">
        <v>230</v>
      </c>
      <c r="E495">
        <v>1</v>
      </c>
      <c r="F495">
        <v>0</v>
      </c>
      <c r="G495">
        <v>6</v>
      </c>
      <c r="H495">
        <v>2</v>
      </c>
      <c r="I495">
        <v>4</v>
      </c>
      <c r="J495">
        <v>10</v>
      </c>
      <c r="K495">
        <v>7</v>
      </c>
    </row>
    <row r="496" spans="1:11" x14ac:dyDescent="0.3">
      <c r="A496" t="s">
        <v>325</v>
      </c>
      <c r="B496" t="s">
        <v>540</v>
      </c>
      <c r="D496" t="s">
        <v>244</v>
      </c>
      <c r="E496">
        <v>1</v>
      </c>
      <c r="F496">
        <v>0</v>
      </c>
      <c r="G496">
        <v>4</v>
      </c>
      <c r="H496">
        <v>2</v>
      </c>
      <c r="I496">
        <v>2</v>
      </c>
      <c r="J496">
        <v>6</v>
      </c>
      <c r="K496">
        <v>3</v>
      </c>
    </row>
    <row r="497" spans="1:11" x14ac:dyDescent="0.3">
      <c r="A497" t="s">
        <v>325</v>
      </c>
      <c r="B497" t="s">
        <v>540</v>
      </c>
      <c r="D497" t="s">
        <v>226</v>
      </c>
      <c r="E497">
        <v>1</v>
      </c>
      <c r="F497">
        <v>0</v>
      </c>
      <c r="G497">
        <v>0</v>
      </c>
      <c r="H497">
        <v>2</v>
      </c>
      <c r="I497">
        <v>4</v>
      </c>
      <c r="J497">
        <v>7</v>
      </c>
      <c r="K497">
        <v>9</v>
      </c>
    </row>
    <row r="498" spans="1:11" x14ac:dyDescent="0.3">
      <c r="A498" t="s">
        <v>325</v>
      </c>
      <c r="B498" t="s">
        <v>540</v>
      </c>
      <c r="D498" t="s">
        <v>251</v>
      </c>
      <c r="E498">
        <v>1</v>
      </c>
      <c r="F498">
        <v>0</v>
      </c>
      <c r="G498">
        <v>4</v>
      </c>
      <c r="H498">
        <v>0</v>
      </c>
      <c r="I498">
        <v>4</v>
      </c>
      <c r="J498">
        <v>10</v>
      </c>
      <c r="K498">
        <v>7</v>
      </c>
    </row>
    <row r="499" spans="1:11" x14ac:dyDescent="0.3">
      <c r="A499" t="s">
        <v>325</v>
      </c>
      <c r="B499" t="s">
        <v>540</v>
      </c>
      <c r="D499" t="s">
        <v>257</v>
      </c>
      <c r="E499">
        <v>1</v>
      </c>
      <c r="F499">
        <v>0</v>
      </c>
      <c r="G499">
        <v>6</v>
      </c>
      <c r="H499">
        <v>4</v>
      </c>
      <c r="I499">
        <v>4</v>
      </c>
      <c r="J499">
        <v>6</v>
      </c>
      <c r="K499">
        <v>11</v>
      </c>
    </row>
    <row r="500" spans="1:11" x14ac:dyDescent="0.3">
      <c r="A500" t="s">
        <v>325</v>
      </c>
      <c r="B500" t="s">
        <v>540</v>
      </c>
      <c r="D500" t="s">
        <v>261</v>
      </c>
      <c r="E500">
        <v>1</v>
      </c>
      <c r="F500">
        <v>0</v>
      </c>
      <c r="G500">
        <v>4</v>
      </c>
      <c r="H500">
        <v>1</v>
      </c>
      <c r="I500">
        <v>3</v>
      </c>
      <c r="J500">
        <v>6</v>
      </c>
      <c r="K500">
        <v>4</v>
      </c>
    </row>
    <row r="501" spans="1:11" x14ac:dyDescent="0.3">
      <c r="A501" t="s">
        <v>325</v>
      </c>
      <c r="B501" t="s">
        <v>540</v>
      </c>
      <c r="D501" t="s">
        <v>236</v>
      </c>
      <c r="E501">
        <v>1</v>
      </c>
      <c r="F501">
        <v>0</v>
      </c>
      <c r="G501">
        <v>3</v>
      </c>
      <c r="H501">
        <v>3</v>
      </c>
      <c r="I501">
        <v>3</v>
      </c>
      <c r="J501">
        <v>8</v>
      </c>
      <c r="K501">
        <v>8</v>
      </c>
    </row>
    <row r="502" spans="1:11" x14ac:dyDescent="0.3">
      <c r="A502" t="s">
        <v>325</v>
      </c>
      <c r="B502" t="s">
        <v>540</v>
      </c>
      <c r="D502" t="s">
        <v>265</v>
      </c>
      <c r="E502">
        <v>1</v>
      </c>
      <c r="F502">
        <v>0</v>
      </c>
      <c r="G502">
        <v>4</v>
      </c>
      <c r="H502">
        <v>1</v>
      </c>
      <c r="I502">
        <v>1</v>
      </c>
      <c r="J502">
        <v>6</v>
      </c>
      <c r="K502">
        <v>6</v>
      </c>
    </row>
    <row r="503" spans="1:11" x14ac:dyDescent="0.3">
      <c r="A503" t="s">
        <v>325</v>
      </c>
      <c r="B503" t="s">
        <v>540</v>
      </c>
      <c r="D503" t="s">
        <v>270</v>
      </c>
      <c r="E503">
        <v>1</v>
      </c>
      <c r="F503">
        <v>0</v>
      </c>
      <c r="G503">
        <v>2</v>
      </c>
      <c r="H503">
        <v>1</v>
      </c>
      <c r="I503">
        <v>4</v>
      </c>
      <c r="J503">
        <v>9</v>
      </c>
      <c r="K503">
        <v>6</v>
      </c>
    </row>
    <row r="504" spans="1:11" x14ac:dyDescent="0.3">
      <c r="A504" t="s">
        <v>325</v>
      </c>
      <c r="B504" t="s">
        <v>540</v>
      </c>
      <c r="D504" t="s">
        <v>275</v>
      </c>
      <c r="E504">
        <v>1</v>
      </c>
      <c r="F504">
        <v>0</v>
      </c>
      <c r="G504">
        <v>0</v>
      </c>
      <c r="H504">
        <v>1</v>
      </c>
      <c r="I504">
        <v>4</v>
      </c>
      <c r="J504">
        <v>10</v>
      </c>
      <c r="K504">
        <v>4</v>
      </c>
    </row>
    <row r="505" spans="1:11" x14ac:dyDescent="0.3">
      <c r="A505" t="s">
        <v>325</v>
      </c>
      <c r="B505" t="s">
        <v>540</v>
      </c>
      <c r="D505" t="s">
        <v>324</v>
      </c>
      <c r="E505">
        <v>1</v>
      </c>
      <c r="F505">
        <v>0</v>
      </c>
      <c r="G505">
        <v>4</v>
      </c>
      <c r="H505">
        <v>1</v>
      </c>
      <c r="I505">
        <v>3</v>
      </c>
      <c r="J505">
        <v>8</v>
      </c>
      <c r="K505">
        <v>10</v>
      </c>
    </row>
    <row r="506" spans="1:11" x14ac:dyDescent="0.3">
      <c r="A506" t="s">
        <v>325</v>
      </c>
      <c r="B506" t="s">
        <v>540</v>
      </c>
      <c r="D506" t="s">
        <v>313</v>
      </c>
      <c r="E506">
        <v>1</v>
      </c>
      <c r="F506">
        <v>0</v>
      </c>
      <c r="G506">
        <v>6</v>
      </c>
      <c r="H506">
        <v>2</v>
      </c>
      <c r="I506">
        <v>4</v>
      </c>
      <c r="J506">
        <v>10</v>
      </c>
      <c r="K506">
        <v>8</v>
      </c>
    </row>
    <row r="507" spans="1:11" x14ac:dyDescent="0.3">
      <c r="A507" t="s">
        <v>325</v>
      </c>
      <c r="B507" t="s">
        <v>540</v>
      </c>
      <c r="D507" t="s">
        <v>285</v>
      </c>
      <c r="E507">
        <v>0</v>
      </c>
      <c r="F507">
        <v>0</v>
      </c>
      <c r="G507">
        <v>0</v>
      </c>
      <c r="H507">
        <v>0</v>
      </c>
      <c r="I507">
        <v>1</v>
      </c>
      <c r="J507">
        <v>0</v>
      </c>
      <c r="K507">
        <v>0</v>
      </c>
    </row>
    <row r="508" spans="1:11" x14ac:dyDescent="0.3">
      <c r="A508" t="s">
        <v>325</v>
      </c>
      <c r="B508" t="s">
        <v>540</v>
      </c>
      <c r="D508" t="s">
        <v>285</v>
      </c>
      <c r="E508">
        <v>1</v>
      </c>
      <c r="F508">
        <v>0</v>
      </c>
      <c r="G508">
        <v>0</v>
      </c>
      <c r="H508">
        <v>0</v>
      </c>
      <c r="I508">
        <v>3</v>
      </c>
      <c r="J508">
        <v>5</v>
      </c>
      <c r="K508">
        <v>0</v>
      </c>
    </row>
    <row r="509" spans="1:11" x14ac:dyDescent="0.3">
      <c r="A509" t="s">
        <v>325</v>
      </c>
      <c r="B509" t="s">
        <v>542</v>
      </c>
      <c r="D509" t="s">
        <v>218</v>
      </c>
      <c r="E509">
        <v>2</v>
      </c>
      <c r="F509">
        <v>0</v>
      </c>
      <c r="G509">
        <v>12</v>
      </c>
      <c r="H509">
        <v>25</v>
      </c>
      <c r="I509">
        <v>3</v>
      </c>
      <c r="J509">
        <v>6</v>
      </c>
      <c r="K509">
        <v>22</v>
      </c>
    </row>
    <row r="510" spans="1:11" x14ac:dyDescent="0.3">
      <c r="A510" t="s">
        <v>325</v>
      </c>
      <c r="B510" t="s">
        <v>542</v>
      </c>
      <c r="D510" t="s">
        <v>232</v>
      </c>
      <c r="E510">
        <v>2</v>
      </c>
      <c r="F510">
        <v>0</v>
      </c>
      <c r="G510">
        <v>10</v>
      </c>
      <c r="H510">
        <v>48</v>
      </c>
      <c r="I510">
        <v>5</v>
      </c>
      <c r="J510">
        <v>11</v>
      </c>
      <c r="K510">
        <v>43</v>
      </c>
    </row>
    <row r="511" spans="1:11" x14ac:dyDescent="0.3">
      <c r="A511" t="s">
        <v>325</v>
      </c>
      <c r="B511" t="s">
        <v>542</v>
      </c>
      <c r="C511" t="s">
        <v>237</v>
      </c>
      <c r="D511" t="s">
        <v>238</v>
      </c>
      <c r="E511">
        <v>1</v>
      </c>
      <c r="F511">
        <v>0</v>
      </c>
      <c r="G511">
        <v>4</v>
      </c>
      <c r="H511">
        <v>30</v>
      </c>
      <c r="I511">
        <v>3</v>
      </c>
      <c r="J511">
        <v>4</v>
      </c>
      <c r="K511">
        <v>25</v>
      </c>
    </row>
    <row r="512" spans="1:11" x14ac:dyDescent="0.3">
      <c r="A512" t="s">
        <v>325</v>
      </c>
      <c r="B512" t="s">
        <v>544</v>
      </c>
      <c r="C512" t="s">
        <v>549</v>
      </c>
      <c r="D512" t="s">
        <v>545</v>
      </c>
      <c r="E512">
        <v>12</v>
      </c>
      <c r="F512">
        <v>5</v>
      </c>
      <c r="G512">
        <v>1</v>
      </c>
      <c r="H512">
        <v>0</v>
      </c>
      <c r="I512">
        <v>19</v>
      </c>
      <c r="J512">
        <v>16</v>
      </c>
      <c r="K512">
        <v>16</v>
      </c>
    </row>
    <row r="513" spans="1:11" x14ac:dyDescent="0.3">
      <c r="A513" t="s">
        <v>326</v>
      </c>
      <c r="B513" t="s">
        <v>537</v>
      </c>
      <c r="D513" t="s">
        <v>215</v>
      </c>
      <c r="E513">
        <v>0</v>
      </c>
      <c r="F513">
        <v>0</v>
      </c>
      <c r="G513">
        <v>34</v>
      </c>
      <c r="H513">
        <v>106</v>
      </c>
      <c r="I513">
        <v>0</v>
      </c>
      <c r="J513">
        <v>0</v>
      </c>
      <c r="K513">
        <v>22</v>
      </c>
    </row>
    <row r="514" spans="1:11" x14ac:dyDescent="0.3">
      <c r="A514" t="s">
        <v>326</v>
      </c>
      <c r="B514" t="s">
        <v>537</v>
      </c>
      <c r="D514" t="s">
        <v>220</v>
      </c>
      <c r="E514">
        <v>0</v>
      </c>
      <c r="F514">
        <v>0</v>
      </c>
      <c r="G514">
        <v>6</v>
      </c>
      <c r="H514">
        <v>17</v>
      </c>
      <c r="I514">
        <v>0</v>
      </c>
      <c r="J514">
        <v>0</v>
      </c>
      <c r="K514">
        <v>5</v>
      </c>
    </row>
    <row r="515" spans="1:11" x14ac:dyDescent="0.3">
      <c r="A515" t="s">
        <v>326</v>
      </c>
      <c r="B515" t="s">
        <v>537</v>
      </c>
      <c r="D515" t="s">
        <v>224</v>
      </c>
      <c r="E515">
        <v>0</v>
      </c>
      <c r="F515">
        <v>0</v>
      </c>
      <c r="G515">
        <v>5</v>
      </c>
      <c r="H515">
        <v>17</v>
      </c>
      <c r="I515">
        <v>0</v>
      </c>
      <c r="J515">
        <v>0</v>
      </c>
      <c r="K515">
        <v>5</v>
      </c>
    </row>
    <row r="516" spans="1:11" x14ac:dyDescent="0.3">
      <c r="A516" t="s">
        <v>326</v>
      </c>
      <c r="B516" t="s">
        <v>537</v>
      </c>
      <c r="D516" t="s">
        <v>228</v>
      </c>
      <c r="E516">
        <v>0</v>
      </c>
      <c r="F516">
        <v>0</v>
      </c>
      <c r="G516">
        <v>10</v>
      </c>
      <c r="H516">
        <v>34</v>
      </c>
      <c r="I516">
        <v>0</v>
      </c>
      <c r="J516">
        <v>0</v>
      </c>
      <c r="K516">
        <v>11</v>
      </c>
    </row>
    <row r="517" spans="1:11" x14ac:dyDescent="0.3">
      <c r="A517" t="s">
        <v>326</v>
      </c>
      <c r="B517" t="s">
        <v>537</v>
      </c>
      <c r="D517" t="s">
        <v>244</v>
      </c>
      <c r="E517">
        <v>0</v>
      </c>
      <c r="F517">
        <v>0</v>
      </c>
      <c r="G517">
        <v>10</v>
      </c>
      <c r="H517">
        <v>38</v>
      </c>
      <c r="I517">
        <v>0</v>
      </c>
      <c r="J517">
        <v>0</v>
      </c>
      <c r="K517">
        <v>5</v>
      </c>
    </row>
    <row r="518" spans="1:11" x14ac:dyDescent="0.3">
      <c r="A518" t="s">
        <v>326</v>
      </c>
      <c r="B518" t="s">
        <v>537</v>
      </c>
      <c r="D518" t="s">
        <v>247</v>
      </c>
      <c r="E518">
        <v>0</v>
      </c>
      <c r="F518">
        <v>0</v>
      </c>
      <c r="G518">
        <v>30</v>
      </c>
      <c r="H518">
        <v>118</v>
      </c>
      <c r="I518">
        <v>0</v>
      </c>
      <c r="J518">
        <v>0</v>
      </c>
      <c r="K518">
        <v>20</v>
      </c>
    </row>
    <row r="519" spans="1:11" x14ac:dyDescent="0.3">
      <c r="A519" t="s">
        <v>326</v>
      </c>
      <c r="B519" t="s">
        <v>537</v>
      </c>
      <c r="D519" t="s">
        <v>249</v>
      </c>
      <c r="E519">
        <v>0</v>
      </c>
      <c r="F519">
        <v>0</v>
      </c>
      <c r="G519">
        <v>10</v>
      </c>
      <c r="H519">
        <v>32</v>
      </c>
      <c r="I519">
        <v>0</v>
      </c>
      <c r="J519">
        <v>0</v>
      </c>
      <c r="K519">
        <v>6</v>
      </c>
    </row>
    <row r="520" spans="1:11" x14ac:dyDescent="0.3">
      <c r="A520" t="s">
        <v>326</v>
      </c>
      <c r="B520" t="s">
        <v>537</v>
      </c>
      <c r="D520" t="s">
        <v>253</v>
      </c>
      <c r="E520">
        <v>0</v>
      </c>
      <c r="F520">
        <v>0</v>
      </c>
      <c r="G520">
        <v>15</v>
      </c>
      <c r="H520">
        <v>46</v>
      </c>
      <c r="I520">
        <v>0</v>
      </c>
      <c r="J520">
        <v>0</v>
      </c>
      <c r="K520">
        <v>15</v>
      </c>
    </row>
    <row r="521" spans="1:11" x14ac:dyDescent="0.3">
      <c r="A521" t="s">
        <v>326</v>
      </c>
      <c r="B521" t="s">
        <v>537</v>
      </c>
      <c r="D521" t="s">
        <v>259</v>
      </c>
      <c r="E521">
        <v>0</v>
      </c>
      <c r="F521">
        <v>0</v>
      </c>
      <c r="G521">
        <v>10</v>
      </c>
      <c r="H521">
        <v>33</v>
      </c>
      <c r="I521">
        <v>0</v>
      </c>
      <c r="J521">
        <v>0</v>
      </c>
      <c r="K521">
        <v>10</v>
      </c>
    </row>
    <row r="522" spans="1:11" x14ac:dyDescent="0.3">
      <c r="A522" t="s">
        <v>326</v>
      </c>
      <c r="B522" t="s">
        <v>537</v>
      </c>
      <c r="D522" t="s">
        <v>270</v>
      </c>
      <c r="E522">
        <v>0</v>
      </c>
      <c r="F522">
        <v>0</v>
      </c>
      <c r="G522">
        <v>94</v>
      </c>
      <c r="H522">
        <v>302</v>
      </c>
      <c r="I522">
        <v>0</v>
      </c>
      <c r="J522">
        <v>0</v>
      </c>
      <c r="K522">
        <v>67</v>
      </c>
    </row>
    <row r="523" spans="1:11" x14ac:dyDescent="0.3">
      <c r="A523" t="s">
        <v>326</v>
      </c>
      <c r="B523" t="s">
        <v>537</v>
      </c>
      <c r="D523" t="s">
        <v>273</v>
      </c>
      <c r="E523">
        <v>0</v>
      </c>
      <c r="F523">
        <v>0</v>
      </c>
      <c r="G523">
        <v>20</v>
      </c>
      <c r="H523">
        <v>52</v>
      </c>
      <c r="I523">
        <v>0</v>
      </c>
      <c r="J523">
        <v>0</v>
      </c>
      <c r="K523">
        <v>8</v>
      </c>
    </row>
    <row r="524" spans="1:11" x14ac:dyDescent="0.3">
      <c r="A524" t="s">
        <v>326</v>
      </c>
      <c r="B524" t="s">
        <v>537</v>
      </c>
      <c r="D524" t="s">
        <v>277</v>
      </c>
      <c r="E524">
        <v>0</v>
      </c>
      <c r="F524">
        <v>0</v>
      </c>
      <c r="G524">
        <v>14</v>
      </c>
      <c r="H524">
        <v>39</v>
      </c>
      <c r="I524">
        <v>0</v>
      </c>
      <c r="J524">
        <v>0</v>
      </c>
      <c r="K524">
        <v>10</v>
      </c>
    </row>
    <row r="525" spans="1:11" x14ac:dyDescent="0.3">
      <c r="A525" t="s">
        <v>326</v>
      </c>
      <c r="B525" t="s">
        <v>537</v>
      </c>
      <c r="D525" t="s">
        <v>281</v>
      </c>
      <c r="E525">
        <v>0</v>
      </c>
      <c r="F525">
        <v>0</v>
      </c>
      <c r="G525">
        <v>4</v>
      </c>
      <c r="H525">
        <v>21</v>
      </c>
      <c r="I525">
        <v>0</v>
      </c>
      <c r="J525">
        <v>0</v>
      </c>
      <c r="K525">
        <v>5</v>
      </c>
    </row>
    <row r="526" spans="1:11" x14ac:dyDescent="0.3">
      <c r="A526" t="s">
        <v>326</v>
      </c>
      <c r="B526" t="s">
        <v>537</v>
      </c>
      <c r="D526" t="s">
        <v>283</v>
      </c>
      <c r="E526">
        <v>0</v>
      </c>
      <c r="F526">
        <v>0</v>
      </c>
      <c r="G526">
        <v>0</v>
      </c>
      <c r="H526">
        <v>0</v>
      </c>
      <c r="I526">
        <v>0</v>
      </c>
      <c r="J526">
        <v>0</v>
      </c>
      <c r="K526">
        <v>3</v>
      </c>
    </row>
    <row r="527" spans="1:11" x14ac:dyDescent="0.3">
      <c r="A527" t="s">
        <v>326</v>
      </c>
      <c r="B527" t="s">
        <v>537</v>
      </c>
      <c r="D527" t="s">
        <v>287</v>
      </c>
      <c r="E527">
        <v>0</v>
      </c>
      <c r="F527">
        <v>0</v>
      </c>
      <c r="G527">
        <v>16</v>
      </c>
      <c r="H527">
        <v>54</v>
      </c>
      <c r="I527">
        <v>0</v>
      </c>
      <c r="J527">
        <v>0</v>
      </c>
      <c r="K527">
        <v>15</v>
      </c>
    </row>
    <row r="528" spans="1:11" x14ac:dyDescent="0.3">
      <c r="A528" t="s">
        <v>326</v>
      </c>
      <c r="B528" t="s">
        <v>537</v>
      </c>
      <c r="D528" t="s">
        <v>289</v>
      </c>
      <c r="E528">
        <v>0</v>
      </c>
      <c r="F528">
        <v>0</v>
      </c>
      <c r="G528">
        <v>36</v>
      </c>
      <c r="H528">
        <v>112</v>
      </c>
      <c r="I528">
        <v>0</v>
      </c>
      <c r="J528">
        <v>0</v>
      </c>
      <c r="K528">
        <v>21</v>
      </c>
    </row>
    <row r="529" spans="1:11" x14ac:dyDescent="0.3">
      <c r="A529" t="s">
        <v>326</v>
      </c>
      <c r="B529" t="s">
        <v>537</v>
      </c>
      <c r="D529" t="s">
        <v>294</v>
      </c>
      <c r="E529">
        <v>0</v>
      </c>
      <c r="F529">
        <v>0</v>
      </c>
      <c r="G529">
        <v>12</v>
      </c>
      <c r="H529">
        <v>49</v>
      </c>
      <c r="I529">
        <v>0</v>
      </c>
      <c r="J529">
        <v>0</v>
      </c>
      <c r="K529">
        <v>5</v>
      </c>
    </row>
    <row r="530" spans="1:11" x14ac:dyDescent="0.3">
      <c r="A530" t="s">
        <v>326</v>
      </c>
      <c r="B530" t="s">
        <v>537</v>
      </c>
      <c r="D530" t="s">
        <v>296</v>
      </c>
      <c r="E530">
        <v>0</v>
      </c>
      <c r="F530">
        <v>0</v>
      </c>
      <c r="G530">
        <v>21</v>
      </c>
      <c r="H530">
        <v>66</v>
      </c>
      <c r="I530">
        <v>0</v>
      </c>
      <c r="J530">
        <v>0</v>
      </c>
      <c r="K530">
        <v>15</v>
      </c>
    </row>
    <row r="531" spans="1:11" x14ac:dyDescent="0.3">
      <c r="A531" t="s">
        <v>326</v>
      </c>
      <c r="B531" t="s">
        <v>537</v>
      </c>
      <c r="D531" t="s">
        <v>300</v>
      </c>
      <c r="E531">
        <v>0</v>
      </c>
      <c r="F531">
        <v>0</v>
      </c>
      <c r="G531">
        <v>0</v>
      </c>
      <c r="H531">
        <v>0</v>
      </c>
      <c r="I531">
        <v>0</v>
      </c>
      <c r="J531">
        <v>0</v>
      </c>
      <c r="K531">
        <v>1</v>
      </c>
    </row>
    <row r="532" spans="1:11" x14ac:dyDescent="0.3">
      <c r="A532" t="s">
        <v>326</v>
      </c>
      <c r="B532" t="s">
        <v>537</v>
      </c>
      <c r="D532" t="s">
        <v>302</v>
      </c>
      <c r="E532">
        <v>0</v>
      </c>
      <c r="F532">
        <v>0</v>
      </c>
      <c r="G532">
        <v>10</v>
      </c>
      <c r="H532">
        <v>36</v>
      </c>
      <c r="I532">
        <v>0</v>
      </c>
      <c r="J532">
        <v>0</v>
      </c>
      <c r="K532">
        <v>6</v>
      </c>
    </row>
    <row r="533" spans="1:11" x14ac:dyDescent="0.3">
      <c r="A533" t="s">
        <v>326</v>
      </c>
      <c r="B533" t="s">
        <v>537</v>
      </c>
      <c r="D533" t="s">
        <v>304</v>
      </c>
      <c r="E533">
        <v>0</v>
      </c>
      <c r="F533">
        <v>0</v>
      </c>
      <c r="G533">
        <v>30</v>
      </c>
      <c r="H533">
        <v>111</v>
      </c>
      <c r="I533">
        <v>0</v>
      </c>
      <c r="J533">
        <v>0</v>
      </c>
      <c r="K533">
        <v>20</v>
      </c>
    </row>
    <row r="534" spans="1:11" x14ac:dyDescent="0.3">
      <c r="A534" t="s">
        <v>326</v>
      </c>
      <c r="B534" t="s">
        <v>537</v>
      </c>
      <c r="D534" t="s">
        <v>309</v>
      </c>
      <c r="E534">
        <v>0</v>
      </c>
      <c r="F534">
        <v>0</v>
      </c>
      <c r="G534">
        <v>13</v>
      </c>
      <c r="H534">
        <v>51</v>
      </c>
      <c r="I534">
        <v>0</v>
      </c>
      <c r="J534">
        <v>0</v>
      </c>
      <c r="K534">
        <v>11</v>
      </c>
    </row>
    <row r="535" spans="1:11" x14ac:dyDescent="0.3">
      <c r="A535" t="s">
        <v>326</v>
      </c>
      <c r="B535" t="s">
        <v>537</v>
      </c>
      <c r="C535" t="s">
        <v>237</v>
      </c>
      <c r="D535" t="s">
        <v>234</v>
      </c>
      <c r="E535">
        <v>0</v>
      </c>
      <c r="F535">
        <v>0</v>
      </c>
      <c r="G535">
        <v>59</v>
      </c>
      <c r="H535">
        <v>199</v>
      </c>
      <c r="I535">
        <v>0</v>
      </c>
      <c r="J535">
        <v>0</v>
      </c>
      <c r="K535">
        <v>35</v>
      </c>
    </row>
    <row r="536" spans="1:11" x14ac:dyDescent="0.3">
      <c r="A536" t="s">
        <v>326</v>
      </c>
      <c r="B536" t="s">
        <v>537</v>
      </c>
      <c r="C536" t="s">
        <v>237</v>
      </c>
      <c r="D536" t="s">
        <v>240</v>
      </c>
      <c r="E536">
        <v>0</v>
      </c>
      <c r="F536">
        <v>0</v>
      </c>
      <c r="G536">
        <v>5</v>
      </c>
      <c r="H536">
        <v>16</v>
      </c>
      <c r="I536">
        <v>0</v>
      </c>
      <c r="J536">
        <v>0</v>
      </c>
      <c r="K536">
        <v>6</v>
      </c>
    </row>
    <row r="537" spans="1:11" x14ac:dyDescent="0.3">
      <c r="A537" t="s">
        <v>326</v>
      </c>
      <c r="B537" t="s">
        <v>537</v>
      </c>
      <c r="C537" t="s">
        <v>237</v>
      </c>
      <c r="D537" t="s">
        <v>255</v>
      </c>
      <c r="E537">
        <v>0</v>
      </c>
      <c r="F537">
        <v>0</v>
      </c>
      <c r="G537">
        <v>5</v>
      </c>
      <c r="H537">
        <v>15</v>
      </c>
      <c r="I537">
        <v>0</v>
      </c>
      <c r="J537">
        <v>0</v>
      </c>
      <c r="K537">
        <v>5</v>
      </c>
    </row>
    <row r="538" spans="1:11" x14ac:dyDescent="0.3">
      <c r="A538" t="s">
        <v>326</v>
      </c>
      <c r="B538" t="s">
        <v>537</v>
      </c>
      <c r="C538" t="s">
        <v>237</v>
      </c>
      <c r="D538" t="s">
        <v>263</v>
      </c>
      <c r="E538">
        <v>0</v>
      </c>
      <c r="F538">
        <v>0</v>
      </c>
      <c r="G538">
        <v>20</v>
      </c>
      <c r="H538">
        <v>56</v>
      </c>
      <c r="I538">
        <v>0</v>
      </c>
      <c r="J538">
        <v>0</v>
      </c>
      <c r="K538">
        <v>15</v>
      </c>
    </row>
    <row r="539" spans="1:11" x14ac:dyDescent="0.3">
      <c r="A539" t="s">
        <v>326</v>
      </c>
      <c r="B539" t="s">
        <v>537</v>
      </c>
      <c r="C539" t="s">
        <v>237</v>
      </c>
      <c r="D539" t="s">
        <v>267</v>
      </c>
      <c r="E539">
        <v>0</v>
      </c>
      <c r="F539">
        <v>0</v>
      </c>
      <c r="G539">
        <v>43</v>
      </c>
      <c r="H539">
        <v>146</v>
      </c>
      <c r="I539">
        <v>0</v>
      </c>
      <c r="J539">
        <v>0</v>
      </c>
      <c r="K539">
        <v>27</v>
      </c>
    </row>
    <row r="540" spans="1:11" x14ac:dyDescent="0.3">
      <c r="A540" t="s">
        <v>326</v>
      </c>
      <c r="B540" t="s">
        <v>537</v>
      </c>
      <c r="C540" t="s">
        <v>237</v>
      </c>
      <c r="D540" t="s">
        <v>279</v>
      </c>
      <c r="E540">
        <v>0</v>
      </c>
      <c r="F540">
        <v>0</v>
      </c>
      <c r="G540">
        <v>7</v>
      </c>
      <c r="H540">
        <v>16</v>
      </c>
      <c r="I540">
        <v>0</v>
      </c>
      <c r="J540">
        <v>0</v>
      </c>
      <c r="K540">
        <v>6</v>
      </c>
    </row>
    <row r="541" spans="1:11" x14ac:dyDescent="0.3">
      <c r="A541" t="s">
        <v>326</v>
      </c>
      <c r="B541" t="s">
        <v>537</v>
      </c>
      <c r="C541" t="s">
        <v>237</v>
      </c>
      <c r="D541" t="s">
        <v>298</v>
      </c>
      <c r="E541">
        <v>0</v>
      </c>
      <c r="F541">
        <v>0</v>
      </c>
      <c r="G541">
        <v>9</v>
      </c>
      <c r="H541">
        <v>38</v>
      </c>
      <c r="I541">
        <v>0</v>
      </c>
      <c r="J541">
        <v>0</v>
      </c>
      <c r="K541">
        <v>10</v>
      </c>
    </row>
    <row r="542" spans="1:11" x14ac:dyDescent="0.3">
      <c r="A542" t="s">
        <v>326</v>
      </c>
      <c r="B542" t="s">
        <v>537</v>
      </c>
      <c r="C542" t="s">
        <v>237</v>
      </c>
      <c r="D542" t="s">
        <v>307</v>
      </c>
      <c r="E542">
        <v>0</v>
      </c>
      <c r="F542">
        <v>0</v>
      </c>
      <c r="G542">
        <v>10</v>
      </c>
      <c r="H542">
        <v>34</v>
      </c>
      <c r="I542">
        <v>0</v>
      </c>
      <c r="J542">
        <v>0</v>
      </c>
      <c r="K542">
        <v>5</v>
      </c>
    </row>
    <row r="543" spans="1:11" x14ac:dyDescent="0.3">
      <c r="A543" t="s">
        <v>326</v>
      </c>
      <c r="B543" t="s">
        <v>537</v>
      </c>
      <c r="C543" t="s">
        <v>237</v>
      </c>
      <c r="D543" t="s">
        <v>311</v>
      </c>
      <c r="E543">
        <v>0</v>
      </c>
      <c r="F543">
        <v>0</v>
      </c>
      <c r="G543">
        <v>11</v>
      </c>
      <c r="H543">
        <v>39</v>
      </c>
      <c r="I543">
        <v>0</v>
      </c>
      <c r="J543">
        <v>0</v>
      </c>
      <c r="K543">
        <v>13</v>
      </c>
    </row>
    <row r="544" spans="1:11" x14ac:dyDescent="0.3">
      <c r="A544" t="s">
        <v>326</v>
      </c>
      <c r="B544" t="s">
        <v>540</v>
      </c>
      <c r="D544" t="s">
        <v>322</v>
      </c>
      <c r="E544">
        <v>1</v>
      </c>
      <c r="F544">
        <v>0</v>
      </c>
      <c r="G544">
        <v>0</v>
      </c>
      <c r="H544">
        <v>0</v>
      </c>
      <c r="I544">
        <v>4</v>
      </c>
      <c r="J544">
        <v>11</v>
      </c>
      <c r="K544">
        <v>6</v>
      </c>
    </row>
    <row r="545" spans="1:11" x14ac:dyDescent="0.3">
      <c r="A545" t="s">
        <v>326</v>
      </c>
      <c r="B545" t="s">
        <v>540</v>
      </c>
      <c r="D545" t="s">
        <v>230</v>
      </c>
      <c r="E545">
        <v>1</v>
      </c>
      <c r="F545">
        <v>0</v>
      </c>
      <c r="G545">
        <v>6</v>
      </c>
      <c r="H545">
        <v>2</v>
      </c>
      <c r="I545">
        <v>4</v>
      </c>
      <c r="J545">
        <v>9</v>
      </c>
      <c r="K545">
        <v>6</v>
      </c>
    </row>
    <row r="546" spans="1:11" x14ac:dyDescent="0.3">
      <c r="A546" t="s">
        <v>326</v>
      </c>
      <c r="B546" t="s">
        <v>540</v>
      </c>
      <c r="D546" t="s">
        <v>244</v>
      </c>
      <c r="E546">
        <v>1</v>
      </c>
      <c r="F546">
        <v>0</v>
      </c>
      <c r="G546">
        <v>5</v>
      </c>
      <c r="H546">
        <v>2</v>
      </c>
      <c r="I546">
        <v>2</v>
      </c>
      <c r="J546">
        <v>5</v>
      </c>
      <c r="K546">
        <v>7</v>
      </c>
    </row>
    <row r="547" spans="1:11" x14ac:dyDescent="0.3">
      <c r="A547" t="s">
        <v>326</v>
      </c>
      <c r="B547" t="s">
        <v>540</v>
      </c>
      <c r="D547" t="s">
        <v>226</v>
      </c>
      <c r="E547">
        <v>2</v>
      </c>
      <c r="F547">
        <v>0</v>
      </c>
      <c r="G547">
        <v>0</v>
      </c>
      <c r="H547">
        <v>0</v>
      </c>
      <c r="I547">
        <v>4</v>
      </c>
      <c r="J547">
        <v>8</v>
      </c>
      <c r="K547">
        <v>9</v>
      </c>
    </row>
    <row r="548" spans="1:11" x14ac:dyDescent="0.3">
      <c r="A548" t="s">
        <v>326</v>
      </c>
      <c r="B548" t="s">
        <v>540</v>
      </c>
      <c r="D548" t="s">
        <v>251</v>
      </c>
      <c r="E548">
        <v>1</v>
      </c>
      <c r="F548">
        <v>0</v>
      </c>
      <c r="G548">
        <v>5</v>
      </c>
      <c r="H548">
        <v>0</v>
      </c>
      <c r="I548">
        <v>3</v>
      </c>
      <c r="J548">
        <v>9</v>
      </c>
      <c r="K548">
        <v>7</v>
      </c>
    </row>
    <row r="549" spans="1:11" x14ac:dyDescent="0.3">
      <c r="A549" t="s">
        <v>326</v>
      </c>
      <c r="B549" t="s">
        <v>540</v>
      </c>
      <c r="D549" t="s">
        <v>257</v>
      </c>
      <c r="E549">
        <v>1</v>
      </c>
      <c r="F549">
        <v>0</v>
      </c>
      <c r="G549">
        <v>3</v>
      </c>
      <c r="H549">
        <v>4</v>
      </c>
      <c r="I549">
        <v>3</v>
      </c>
      <c r="J549">
        <v>6</v>
      </c>
      <c r="K549">
        <v>9</v>
      </c>
    </row>
    <row r="550" spans="1:11" x14ac:dyDescent="0.3">
      <c r="A550" t="s">
        <v>326</v>
      </c>
      <c r="B550" t="s">
        <v>540</v>
      </c>
      <c r="D550" t="s">
        <v>261</v>
      </c>
      <c r="E550">
        <v>1</v>
      </c>
      <c r="F550">
        <v>0</v>
      </c>
      <c r="G550">
        <v>3</v>
      </c>
      <c r="H550">
        <v>1</v>
      </c>
      <c r="I550">
        <v>3</v>
      </c>
      <c r="J550">
        <v>6</v>
      </c>
      <c r="K550">
        <v>4</v>
      </c>
    </row>
    <row r="551" spans="1:11" x14ac:dyDescent="0.3">
      <c r="A551" t="s">
        <v>326</v>
      </c>
      <c r="B551" t="s">
        <v>540</v>
      </c>
      <c r="D551" t="s">
        <v>236</v>
      </c>
      <c r="E551">
        <v>1</v>
      </c>
      <c r="F551">
        <v>0</v>
      </c>
      <c r="G551">
        <v>4</v>
      </c>
      <c r="H551">
        <v>3</v>
      </c>
      <c r="I551">
        <v>3</v>
      </c>
      <c r="J551">
        <v>7</v>
      </c>
      <c r="K551">
        <v>9</v>
      </c>
    </row>
    <row r="552" spans="1:11" x14ac:dyDescent="0.3">
      <c r="A552" t="s">
        <v>326</v>
      </c>
      <c r="B552" t="s">
        <v>540</v>
      </c>
      <c r="D552" t="s">
        <v>265</v>
      </c>
      <c r="E552">
        <v>1</v>
      </c>
      <c r="F552">
        <v>0</v>
      </c>
      <c r="G552">
        <v>3</v>
      </c>
      <c r="H552">
        <v>1</v>
      </c>
      <c r="I552">
        <v>2</v>
      </c>
      <c r="J552">
        <v>6</v>
      </c>
      <c r="K552">
        <v>6</v>
      </c>
    </row>
    <row r="553" spans="1:11" x14ac:dyDescent="0.3">
      <c r="A553" t="s">
        <v>326</v>
      </c>
      <c r="B553" t="s">
        <v>540</v>
      </c>
      <c r="D553" t="s">
        <v>270</v>
      </c>
      <c r="E553">
        <v>1</v>
      </c>
      <c r="F553">
        <v>0</v>
      </c>
      <c r="G553">
        <v>2</v>
      </c>
      <c r="H553">
        <v>1</v>
      </c>
      <c r="I553">
        <v>4</v>
      </c>
      <c r="J553">
        <v>8</v>
      </c>
      <c r="K553">
        <v>7</v>
      </c>
    </row>
    <row r="554" spans="1:11" x14ac:dyDescent="0.3">
      <c r="A554" t="s">
        <v>326</v>
      </c>
      <c r="B554" t="s">
        <v>540</v>
      </c>
      <c r="D554" t="s">
        <v>275</v>
      </c>
      <c r="E554">
        <v>1</v>
      </c>
      <c r="F554">
        <v>0</v>
      </c>
      <c r="G554">
        <v>1</v>
      </c>
      <c r="H554">
        <v>1</v>
      </c>
      <c r="I554">
        <v>4</v>
      </c>
      <c r="J554">
        <v>12</v>
      </c>
      <c r="K554">
        <v>4</v>
      </c>
    </row>
    <row r="555" spans="1:11" x14ac:dyDescent="0.3">
      <c r="A555" t="s">
        <v>326</v>
      </c>
      <c r="B555" t="s">
        <v>540</v>
      </c>
      <c r="D555" t="s">
        <v>324</v>
      </c>
      <c r="E555">
        <v>1</v>
      </c>
      <c r="F555">
        <v>0</v>
      </c>
      <c r="G555">
        <v>3</v>
      </c>
      <c r="H555">
        <v>1</v>
      </c>
      <c r="I555">
        <v>3</v>
      </c>
      <c r="J555">
        <v>10</v>
      </c>
      <c r="K555">
        <v>9</v>
      </c>
    </row>
    <row r="556" spans="1:11" x14ac:dyDescent="0.3">
      <c r="A556" t="s">
        <v>326</v>
      </c>
      <c r="B556" t="s">
        <v>540</v>
      </c>
      <c r="D556" t="s">
        <v>313</v>
      </c>
      <c r="E556">
        <v>1</v>
      </c>
      <c r="F556">
        <v>0</v>
      </c>
      <c r="G556">
        <v>7</v>
      </c>
      <c r="H556">
        <v>2</v>
      </c>
      <c r="I556">
        <v>4</v>
      </c>
      <c r="J556">
        <v>9</v>
      </c>
      <c r="K556">
        <v>10</v>
      </c>
    </row>
    <row r="557" spans="1:11" x14ac:dyDescent="0.3">
      <c r="A557" t="s">
        <v>326</v>
      </c>
      <c r="B557" t="s">
        <v>540</v>
      </c>
      <c r="D557" t="s">
        <v>285</v>
      </c>
      <c r="E557">
        <v>0</v>
      </c>
      <c r="F557">
        <v>0</v>
      </c>
      <c r="G557">
        <v>0</v>
      </c>
      <c r="H557">
        <v>0</v>
      </c>
      <c r="I557">
        <v>1</v>
      </c>
      <c r="J557">
        <v>0</v>
      </c>
      <c r="K557">
        <v>0</v>
      </c>
    </row>
    <row r="558" spans="1:11" x14ac:dyDescent="0.3">
      <c r="A558" t="s">
        <v>326</v>
      </c>
      <c r="B558" t="s">
        <v>540</v>
      </c>
      <c r="D558" t="s">
        <v>285</v>
      </c>
      <c r="E558">
        <v>1</v>
      </c>
      <c r="F558">
        <v>0</v>
      </c>
      <c r="G558">
        <v>0</v>
      </c>
      <c r="H558">
        <v>0</v>
      </c>
      <c r="I558">
        <v>3</v>
      </c>
      <c r="J558">
        <v>6</v>
      </c>
      <c r="K558">
        <v>0</v>
      </c>
    </row>
    <row r="559" spans="1:11" x14ac:dyDescent="0.3">
      <c r="A559" t="s">
        <v>326</v>
      </c>
      <c r="B559" t="s">
        <v>542</v>
      </c>
      <c r="D559" t="s">
        <v>218</v>
      </c>
      <c r="E559">
        <v>2</v>
      </c>
      <c r="F559">
        <v>0</v>
      </c>
      <c r="G559">
        <v>17</v>
      </c>
      <c r="H559">
        <v>0</v>
      </c>
      <c r="I559">
        <v>2</v>
      </c>
      <c r="J559">
        <v>8</v>
      </c>
      <c r="K559">
        <v>23</v>
      </c>
    </row>
    <row r="560" spans="1:11" x14ac:dyDescent="0.3">
      <c r="A560" t="s">
        <v>326</v>
      </c>
      <c r="B560" t="s">
        <v>542</v>
      </c>
      <c r="D560" t="s">
        <v>232</v>
      </c>
      <c r="E560">
        <v>2</v>
      </c>
      <c r="F560">
        <v>0</v>
      </c>
      <c r="G560">
        <v>8</v>
      </c>
      <c r="H560">
        <v>1</v>
      </c>
      <c r="I560">
        <v>4</v>
      </c>
      <c r="J560">
        <v>7</v>
      </c>
      <c r="K560">
        <v>38</v>
      </c>
    </row>
    <row r="561" spans="1:11" x14ac:dyDescent="0.3">
      <c r="A561" t="s">
        <v>326</v>
      </c>
      <c r="B561" t="s">
        <v>542</v>
      </c>
      <c r="C561" t="s">
        <v>237</v>
      </c>
      <c r="D561" t="s">
        <v>238</v>
      </c>
      <c r="E561">
        <v>1</v>
      </c>
      <c r="F561">
        <v>0</v>
      </c>
      <c r="G561">
        <v>3</v>
      </c>
      <c r="H561">
        <v>0</v>
      </c>
      <c r="I561">
        <v>2</v>
      </c>
      <c r="J561">
        <v>5</v>
      </c>
      <c r="K561">
        <v>18</v>
      </c>
    </row>
    <row r="562" spans="1:11" x14ac:dyDescent="0.3">
      <c r="A562" t="s">
        <v>326</v>
      </c>
      <c r="B562" t="s">
        <v>544</v>
      </c>
      <c r="C562" t="s">
        <v>549</v>
      </c>
      <c r="D562" t="s">
        <v>545</v>
      </c>
      <c r="E562">
        <v>11</v>
      </c>
      <c r="F562">
        <v>5</v>
      </c>
      <c r="G562">
        <v>1</v>
      </c>
      <c r="H562">
        <v>0</v>
      </c>
      <c r="I562">
        <v>16</v>
      </c>
      <c r="J562">
        <v>24</v>
      </c>
      <c r="K562">
        <v>27</v>
      </c>
    </row>
    <row r="563" spans="1:11" x14ac:dyDescent="0.3">
      <c r="A563" t="s">
        <v>328</v>
      </c>
      <c r="B563" t="s">
        <v>537</v>
      </c>
      <c r="D563" t="s">
        <v>215</v>
      </c>
      <c r="E563">
        <v>0</v>
      </c>
      <c r="F563">
        <v>0</v>
      </c>
      <c r="G563">
        <v>35</v>
      </c>
      <c r="H563">
        <v>102</v>
      </c>
      <c r="I563">
        <v>0</v>
      </c>
      <c r="J563">
        <v>0</v>
      </c>
      <c r="K563">
        <v>20</v>
      </c>
    </row>
    <row r="564" spans="1:11" x14ac:dyDescent="0.3">
      <c r="A564" t="s">
        <v>328</v>
      </c>
      <c r="B564" t="s">
        <v>537</v>
      </c>
      <c r="D564" t="s">
        <v>220</v>
      </c>
      <c r="E564">
        <v>0</v>
      </c>
      <c r="F564">
        <v>0</v>
      </c>
      <c r="G564">
        <v>6</v>
      </c>
      <c r="H564">
        <v>20</v>
      </c>
      <c r="I564">
        <v>0</v>
      </c>
      <c r="J564">
        <v>0</v>
      </c>
      <c r="K564">
        <v>5</v>
      </c>
    </row>
    <row r="565" spans="1:11" x14ac:dyDescent="0.3">
      <c r="A565" t="s">
        <v>328</v>
      </c>
      <c r="B565" t="s">
        <v>537</v>
      </c>
      <c r="D565" t="s">
        <v>224</v>
      </c>
      <c r="E565">
        <v>0</v>
      </c>
      <c r="F565">
        <v>0</v>
      </c>
      <c r="G565">
        <v>5</v>
      </c>
      <c r="H565">
        <v>15</v>
      </c>
      <c r="I565">
        <v>0</v>
      </c>
      <c r="J565">
        <v>0</v>
      </c>
      <c r="K565">
        <v>6</v>
      </c>
    </row>
    <row r="566" spans="1:11" x14ac:dyDescent="0.3">
      <c r="A566" t="s">
        <v>328</v>
      </c>
      <c r="B566" t="s">
        <v>537</v>
      </c>
      <c r="D566" t="s">
        <v>228</v>
      </c>
      <c r="E566">
        <v>0</v>
      </c>
      <c r="F566">
        <v>0</v>
      </c>
      <c r="G566">
        <v>10</v>
      </c>
      <c r="H566">
        <v>32</v>
      </c>
      <c r="I566">
        <v>0</v>
      </c>
      <c r="J566">
        <v>0</v>
      </c>
      <c r="K566">
        <v>11</v>
      </c>
    </row>
    <row r="567" spans="1:11" x14ac:dyDescent="0.3">
      <c r="A567" t="s">
        <v>328</v>
      </c>
      <c r="B567" t="s">
        <v>537</v>
      </c>
      <c r="D567" t="s">
        <v>244</v>
      </c>
      <c r="E567">
        <v>0</v>
      </c>
      <c r="F567">
        <v>0</v>
      </c>
      <c r="G567">
        <v>9</v>
      </c>
      <c r="H567">
        <v>37</v>
      </c>
      <c r="I567">
        <v>0</v>
      </c>
      <c r="J567">
        <v>0</v>
      </c>
      <c r="K567">
        <v>6</v>
      </c>
    </row>
    <row r="568" spans="1:11" x14ac:dyDescent="0.3">
      <c r="A568" t="s">
        <v>328</v>
      </c>
      <c r="B568" t="s">
        <v>537</v>
      </c>
      <c r="D568" t="s">
        <v>247</v>
      </c>
      <c r="E568">
        <v>0</v>
      </c>
      <c r="F568">
        <v>0</v>
      </c>
      <c r="G568">
        <v>29</v>
      </c>
      <c r="H568">
        <v>112</v>
      </c>
      <c r="I568">
        <v>0</v>
      </c>
      <c r="J568">
        <v>0</v>
      </c>
      <c r="K568">
        <v>21</v>
      </c>
    </row>
    <row r="569" spans="1:11" x14ac:dyDescent="0.3">
      <c r="A569" t="s">
        <v>328</v>
      </c>
      <c r="B569" t="s">
        <v>537</v>
      </c>
      <c r="D569" t="s">
        <v>249</v>
      </c>
      <c r="E569">
        <v>0</v>
      </c>
      <c r="F569">
        <v>0</v>
      </c>
      <c r="G569">
        <v>10</v>
      </c>
      <c r="H569">
        <v>39</v>
      </c>
      <c r="I569">
        <v>0</v>
      </c>
      <c r="J569">
        <v>0</v>
      </c>
      <c r="K569">
        <v>6</v>
      </c>
    </row>
    <row r="570" spans="1:11" x14ac:dyDescent="0.3">
      <c r="A570" t="s">
        <v>328</v>
      </c>
      <c r="B570" t="s">
        <v>537</v>
      </c>
      <c r="D570" t="s">
        <v>253</v>
      </c>
      <c r="E570">
        <v>0</v>
      </c>
      <c r="F570">
        <v>0</v>
      </c>
      <c r="G570">
        <v>14</v>
      </c>
      <c r="H570">
        <v>46</v>
      </c>
      <c r="I570">
        <v>0</v>
      </c>
      <c r="J570">
        <v>0</v>
      </c>
      <c r="K570">
        <v>15</v>
      </c>
    </row>
    <row r="571" spans="1:11" x14ac:dyDescent="0.3">
      <c r="A571" t="s">
        <v>328</v>
      </c>
      <c r="B571" t="s">
        <v>537</v>
      </c>
      <c r="D571" t="s">
        <v>259</v>
      </c>
      <c r="E571">
        <v>0</v>
      </c>
      <c r="F571">
        <v>0</v>
      </c>
      <c r="G571">
        <v>10</v>
      </c>
      <c r="H571">
        <v>32</v>
      </c>
      <c r="I571">
        <v>0</v>
      </c>
      <c r="J571">
        <v>0</v>
      </c>
      <c r="K571">
        <v>10</v>
      </c>
    </row>
    <row r="572" spans="1:11" x14ac:dyDescent="0.3">
      <c r="A572" t="s">
        <v>328</v>
      </c>
      <c r="B572" t="s">
        <v>537</v>
      </c>
      <c r="D572" t="s">
        <v>270</v>
      </c>
      <c r="E572">
        <v>0</v>
      </c>
      <c r="F572">
        <v>0</v>
      </c>
      <c r="G572">
        <v>91</v>
      </c>
      <c r="H572">
        <v>290</v>
      </c>
      <c r="I572">
        <v>0</v>
      </c>
      <c r="J572">
        <v>0</v>
      </c>
      <c r="K572">
        <v>67</v>
      </c>
    </row>
    <row r="573" spans="1:11" x14ac:dyDescent="0.3">
      <c r="A573" t="s">
        <v>328</v>
      </c>
      <c r="B573" t="s">
        <v>537</v>
      </c>
      <c r="D573" t="s">
        <v>273</v>
      </c>
      <c r="E573">
        <v>0</v>
      </c>
      <c r="F573">
        <v>0</v>
      </c>
      <c r="G573">
        <v>17</v>
      </c>
      <c r="H573">
        <v>51</v>
      </c>
      <c r="I573">
        <v>0</v>
      </c>
      <c r="J573">
        <v>0</v>
      </c>
      <c r="K573">
        <v>5</v>
      </c>
    </row>
    <row r="574" spans="1:11" x14ac:dyDescent="0.3">
      <c r="A574" t="s">
        <v>328</v>
      </c>
      <c r="B574" t="s">
        <v>537</v>
      </c>
      <c r="D574" t="s">
        <v>277</v>
      </c>
      <c r="E574">
        <v>0</v>
      </c>
      <c r="F574">
        <v>0</v>
      </c>
      <c r="G574">
        <v>15</v>
      </c>
      <c r="H574">
        <v>39</v>
      </c>
      <c r="I574">
        <v>0</v>
      </c>
      <c r="J574">
        <v>0</v>
      </c>
      <c r="K574">
        <v>10</v>
      </c>
    </row>
    <row r="575" spans="1:11" x14ac:dyDescent="0.3">
      <c r="A575" t="s">
        <v>328</v>
      </c>
      <c r="B575" t="s">
        <v>537</v>
      </c>
      <c r="D575" t="s">
        <v>279</v>
      </c>
      <c r="E575">
        <v>0</v>
      </c>
      <c r="F575">
        <v>0</v>
      </c>
      <c r="G575">
        <v>0</v>
      </c>
      <c r="H575">
        <v>1</v>
      </c>
      <c r="I575">
        <v>0</v>
      </c>
      <c r="J575">
        <v>0</v>
      </c>
      <c r="K575">
        <v>0</v>
      </c>
    </row>
    <row r="576" spans="1:11" x14ac:dyDescent="0.3">
      <c r="A576" t="s">
        <v>328</v>
      </c>
      <c r="B576" t="s">
        <v>537</v>
      </c>
      <c r="D576" t="s">
        <v>281</v>
      </c>
      <c r="E576">
        <v>0</v>
      </c>
      <c r="F576">
        <v>0</v>
      </c>
      <c r="G576">
        <v>5</v>
      </c>
      <c r="H576">
        <v>20</v>
      </c>
      <c r="I576">
        <v>0</v>
      </c>
      <c r="J576">
        <v>0</v>
      </c>
      <c r="K576">
        <v>5</v>
      </c>
    </row>
    <row r="577" spans="1:11" x14ac:dyDescent="0.3">
      <c r="A577" t="s">
        <v>328</v>
      </c>
      <c r="B577" t="s">
        <v>537</v>
      </c>
      <c r="D577" t="s">
        <v>283</v>
      </c>
      <c r="E577">
        <v>0</v>
      </c>
      <c r="F577">
        <v>0</v>
      </c>
      <c r="G577">
        <v>0</v>
      </c>
      <c r="H577">
        <v>0</v>
      </c>
      <c r="I577">
        <v>0</v>
      </c>
      <c r="J577">
        <v>0</v>
      </c>
      <c r="K577">
        <v>3</v>
      </c>
    </row>
    <row r="578" spans="1:11" x14ac:dyDescent="0.3">
      <c r="A578" t="s">
        <v>328</v>
      </c>
      <c r="B578" t="s">
        <v>537</v>
      </c>
      <c r="D578" t="s">
        <v>287</v>
      </c>
      <c r="E578">
        <v>0</v>
      </c>
      <c r="F578">
        <v>0</v>
      </c>
      <c r="G578">
        <v>15</v>
      </c>
      <c r="H578">
        <v>42</v>
      </c>
      <c r="I578">
        <v>0</v>
      </c>
      <c r="J578">
        <v>0</v>
      </c>
      <c r="K578">
        <v>15</v>
      </c>
    </row>
    <row r="579" spans="1:11" x14ac:dyDescent="0.3">
      <c r="A579" t="s">
        <v>328</v>
      </c>
      <c r="B579" t="s">
        <v>537</v>
      </c>
      <c r="D579" t="s">
        <v>289</v>
      </c>
      <c r="E579">
        <v>0</v>
      </c>
      <c r="F579">
        <v>0</v>
      </c>
      <c r="G579">
        <v>31</v>
      </c>
      <c r="H579">
        <v>112</v>
      </c>
      <c r="I579">
        <v>0</v>
      </c>
      <c r="J579">
        <v>0</v>
      </c>
      <c r="K579">
        <v>20</v>
      </c>
    </row>
    <row r="580" spans="1:11" x14ac:dyDescent="0.3">
      <c r="A580" t="s">
        <v>328</v>
      </c>
      <c r="B580" t="s">
        <v>537</v>
      </c>
      <c r="D580" t="s">
        <v>294</v>
      </c>
      <c r="E580">
        <v>0</v>
      </c>
      <c r="F580">
        <v>0</v>
      </c>
      <c r="G580">
        <v>11</v>
      </c>
      <c r="H580">
        <v>43</v>
      </c>
      <c r="I580">
        <v>0</v>
      </c>
      <c r="J580">
        <v>0</v>
      </c>
      <c r="K580">
        <v>5</v>
      </c>
    </row>
    <row r="581" spans="1:11" x14ac:dyDescent="0.3">
      <c r="A581" t="s">
        <v>328</v>
      </c>
      <c r="B581" t="s">
        <v>537</v>
      </c>
      <c r="D581" t="s">
        <v>296</v>
      </c>
      <c r="E581">
        <v>0</v>
      </c>
      <c r="F581">
        <v>0</v>
      </c>
      <c r="G581">
        <v>21</v>
      </c>
      <c r="H581">
        <v>66</v>
      </c>
      <c r="I581">
        <v>0</v>
      </c>
      <c r="J581">
        <v>0</v>
      </c>
      <c r="K581">
        <v>15</v>
      </c>
    </row>
    <row r="582" spans="1:11" x14ac:dyDescent="0.3">
      <c r="A582" t="s">
        <v>328</v>
      </c>
      <c r="B582" t="s">
        <v>537</v>
      </c>
      <c r="D582" t="s">
        <v>302</v>
      </c>
      <c r="E582">
        <v>0</v>
      </c>
      <c r="F582">
        <v>0</v>
      </c>
      <c r="G582">
        <v>11</v>
      </c>
      <c r="H582">
        <v>36</v>
      </c>
      <c r="I582">
        <v>0</v>
      </c>
      <c r="J582">
        <v>0</v>
      </c>
      <c r="K582">
        <v>6</v>
      </c>
    </row>
    <row r="583" spans="1:11" x14ac:dyDescent="0.3">
      <c r="A583" t="s">
        <v>328</v>
      </c>
      <c r="B583" t="s">
        <v>537</v>
      </c>
      <c r="D583" t="s">
        <v>304</v>
      </c>
      <c r="E583">
        <v>0</v>
      </c>
      <c r="F583">
        <v>0</v>
      </c>
      <c r="G583">
        <v>28</v>
      </c>
      <c r="H583">
        <v>108</v>
      </c>
      <c r="I583">
        <v>0</v>
      </c>
      <c r="J583">
        <v>0</v>
      </c>
      <c r="K583">
        <v>19</v>
      </c>
    </row>
    <row r="584" spans="1:11" x14ac:dyDescent="0.3">
      <c r="A584" t="s">
        <v>328</v>
      </c>
      <c r="B584" t="s">
        <v>537</v>
      </c>
      <c r="D584" t="s">
        <v>309</v>
      </c>
      <c r="E584">
        <v>0</v>
      </c>
      <c r="F584">
        <v>0</v>
      </c>
      <c r="G584">
        <v>15</v>
      </c>
      <c r="H584">
        <v>50</v>
      </c>
      <c r="I584">
        <v>0</v>
      </c>
      <c r="J584">
        <v>0</v>
      </c>
      <c r="K584">
        <v>10</v>
      </c>
    </row>
    <row r="585" spans="1:11" x14ac:dyDescent="0.3">
      <c r="A585" t="s">
        <v>328</v>
      </c>
      <c r="B585" t="s">
        <v>537</v>
      </c>
      <c r="C585" t="s">
        <v>237</v>
      </c>
      <c r="D585" t="s">
        <v>234</v>
      </c>
      <c r="E585">
        <v>0</v>
      </c>
      <c r="F585">
        <v>0</v>
      </c>
      <c r="G585">
        <v>56</v>
      </c>
      <c r="H585">
        <v>198</v>
      </c>
      <c r="I585">
        <v>0</v>
      </c>
      <c r="J585">
        <v>0</v>
      </c>
      <c r="K585">
        <v>34</v>
      </c>
    </row>
    <row r="586" spans="1:11" x14ac:dyDescent="0.3">
      <c r="A586" t="s">
        <v>328</v>
      </c>
      <c r="B586" t="s">
        <v>537</v>
      </c>
      <c r="C586" t="s">
        <v>237</v>
      </c>
      <c r="D586" t="s">
        <v>240</v>
      </c>
      <c r="E586">
        <v>0</v>
      </c>
      <c r="F586">
        <v>0</v>
      </c>
      <c r="G586">
        <v>5</v>
      </c>
      <c r="H586">
        <v>16</v>
      </c>
      <c r="I586">
        <v>0</v>
      </c>
      <c r="J586">
        <v>0</v>
      </c>
      <c r="K586">
        <v>5</v>
      </c>
    </row>
    <row r="587" spans="1:11" x14ac:dyDescent="0.3">
      <c r="A587" t="s">
        <v>328</v>
      </c>
      <c r="B587" t="s">
        <v>537</v>
      </c>
      <c r="C587" t="s">
        <v>237</v>
      </c>
      <c r="D587" t="s">
        <v>255</v>
      </c>
      <c r="E587">
        <v>0</v>
      </c>
      <c r="F587">
        <v>0</v>
      </c>
      <c r="G587">
        <v>5</v>
      </c>
      <c r="H587">
        <v>16</v>
      </c>
      <c r="I587">
        <v>0</v>
      </c>
      <c r="J587">
        <v>0</v>
      </c>
      <c r="K587">
        <v>5</v>
      </c>
    </row>
    <row r="588" spans="1:11" x14ac:dyDescent="0.3">
      <c r="A588" t="s">
        <v>328</v>
      </c>
      <c r="B588" t="s">
        <v>537</v>
      </c>
      <c r="C588" t="s">
        <v>237</v>
      </c>
      <c r="D588" t="s">
        <v>263</v>
      </c>
      <c r="E588">
        <v>0</v>
      </c>
      <c r="F588">
        <v>0</v>
      </c>
      <c r="G588">
        <v>19</v>
      </c>
      <c r="H588">
        <v>50</v>
      </c>
      <c r="I588">
        <v>0</v>
      </c>
      <c r="J588">
        <v>0</v>
      </c>
      <c r="K588">
        <v>14</v>
      </c>
    </row>
    <row r="589" spans="1:11" x14ac:dyDescent="0.3">
      <c r="A589" t="s">
        <v>328</v>
      </c>
      <c r="B589" t="s">
        <v>537</v>
      </c>
      <c r="C589" t="s">
        <v>237</v>
      </c>
      <c r="D589" t="s">
        <v>267</v>
      </c>
      <c r="E589">
        <v>0</v>
      </c>
      <c r="F589">
        <v>0</v>
      </c>
      <c r="G589">
        <v>43</v>
      </c>
      <c r="H589">
        <v>143</v>
      </c>
      <c r="I589">
        <v>0</v>
      </c>
      <c r="J589">
        <v>0</v>
      </c>
      <c r="K589">
        <v>25</v>
      </c>
    </row>
    <row r="590" spans="1:11" x14ac:dyDescent="0.3">
      <c r="A590" t="s">
        <v>328</v>
      </c>
      <c r="B590" t="s">
        <v>537</v>
      </c>
      <c r="C590" t="s">
        <v>237</v>
      </c>
      <c r="D590" t="s">
        <v>279</v>
      </c>
      <c r="E590">
        <v>0</v>
      </c>
      <c r="F590">
        <v>0</v>
      </c>
      <c r="G590">
        <v>4</v>
      </c>
      <c r="H590">
        <v>20</v>
      </c>
      <c r="I590">
        <v>0</v>
      </c>
      <c r="J590">
        <v>0</v>
      </c>
      <c r="K590">
        <v>4</v>
      </c>
    </row>
    <row r="591" spans="1:11" x14ac:dyDescent="0.3">
      <c r="A591" t="s">
        <v>328</v>
      </c>
      <c r="B591" t="s">
        <v>537</v>
      </c>
      <c r="C591" t="s">
        <v>237</v>
      </c>
      <c r="D591" t="s">
        <v>298</v>
      </c>
      <c r="E591">
        <v>0</v>
      </c>
      <c r="F591">
        <v>0</v>
      </c>
      <c r="G591">
        <v>10</v>
      </c>
      <c r="H591">
        <v>38</v>
      </c>
      <c r="I591">
        <v>0</v>
      </c>
      <c r="J591">
        <v>0</v>
      </c>
      <c r="K591">
        <v>10</v>
      </c>
    </row>
    <row r="592" spans="1:11" x14ac:dyDescent="0.3">
      <c r="A592" t="s">
        <v>328</v>
      </c>
      <c r="B592" t="s">
        <v>537</v>
      </c>
      <c r="C592" t="s">
        <v>237</v>
      </c>
      <c r="D592" t="s">
        <v>307</v>
      </c>
      <c r="E592">
        <v>0</v>
      </c>
      <c r="F592">
        <v>0</v>
      </c>
      <c r="G592">
        <v>10</v>
      </c>
      <c r="H592">
        <v>32</v>
      </c>
      <c r="I592">
        <v>0</v>
      </c>
      <c r="J592">
        <v>0</v>
      </c>
      <c r="K592">
        <v>5</v>
      </c>
    </row>
    <row r="593" spans="1:11" x14ac:dyDescent="0.3">
      <c r="A593" t="s">
        <v>328</v>
      </c>
      <c r="B593" t="s">
        <v>537</v>
      </c>
      <c r="C593" t="s">
        <v>237</v>
      </c>
      <c r="D593" t="s">
        <v>311</v>
      </c>
      <c r="E593">
        <v>0</v>
      </c>
      <c r="F593">
        <v>0</v>
      </c>
      <c r="G593">
        <v>11</v>
      </c>
      <c r="H593">
        <v>39</v>
      </c>
      <c r="I593">
        <v>0</v>
      </c>
      <c r="J593">
        <v>0</v>
      </c>
      <c r="K593">
        <v>14</v>
      </c>
    </row>
    <row r="594" spans="1:11" x14ac:dyDescent="0.3">
      <c r="A594" t="s">
        <v>328</v>
      </c>
      <c r="B594" t="s">
        <v>540</v>
      </c>
      <c r="D594" t="s">
        <v>322</v>
      </c>
      <c r="E594">
        <v>1</v>
      </c>
      <c r="F594">
        <v>0</v>
      </c>
      <c r="G594">
        <v>0</v>
      </c>
      <c r="H594">
        <v>0</v>
      </c>
      <c r="I594">
        <v>4</v>
      </c>
      <c r="J594">
        <v>10</v>
      </c>
      <c r="K594">
        <v>5</v>
      </c>
    </row>
    <row r="595" spans="1:11" x14ac:dyDescent="0.3">
      <c r="A595" t="s">
        <v>328</v>
      </c>
      <c r="B595" t="s">
        <v>540</v>
      </c>
      <c r="D595" t="s">
        <v>230</v>
      </c>
      <c r="E595">
        <v>1</v>
      </c>
      <c r="F595">
        <v>0</v>
      </c>
      <c r="G595">
        <v>0</v>
      </c>
      <c r="H595">
        <v>2</v>
      </c>
      <c r="I595">
        <v>4</v>
      </c>
      <c r="J595">
        <v>9</v>
      </c>
      <c r="K595">
        <v>4</v>
      </c>
    </row>
    <row r="596" spans="1:11" x14ac:dyDescent="0.3">
      <c r="A596" t="s">
        <v>328</v>
      </c>
      <c r="B596" t="s">
        <v>540</v>
      </c>
      <c r="D596" t="s">
        <v>244</v>
      </c>
      <c r="E596">
        <v>0</v>
      </c>
      <c r="F596">
        <v>0</v>
      </c>
      <c r="G596">
        <v>0</v>
      </c>
      <c r="H596">
        <v>0</v>
      </c>
      <c r="I596">
        <v>0</v>
      </c>
      <c r="J596">
        <v>1</v>
      </c>
      <c r="K596">
        <v>0</v>
      </c>
    </row>
    <row r="597" spans="1:11" x14ac:dyDescent="0.3">
      <c r="A597" t="s">
        <v>328</v>
      </c>
      <c r="B597" t="s">
        <v>540</v>
      </c>
      <c r="D597" t="s">
        <v>244</v>
      </c>
      <c r="E597">
        <v>1</v>
      </c>
      <c r="F597">
        <v>0</v>
      </c>
      <c r="G597">
        <v>0</v>
      </c>
      <c r="H597">
        <v>2</v>
      </c>
      <c r="I597">
        <v>2</v>
      </c>
      <c r="J597">
        <v>5</v>
      </c>
      <c r="K597">
        <v>5</v>
      </c>
    </row>
    <row r="598" spans="1:11" x14ac:dyDescent="0.3">
      <c r="A598" t="s">
        <v>328</v>
      </c>
      <c r="B598" t="s">
        <v>540</v>
      </c>
      <c r="D598" t="s">
        <v>226</v>
      </c>
      <c r="E598">
        <v>1</v>
      </c>
      <c r="F598">
        <v>0</v>
      </c>
      <c r="G598">
        <v>0</v>
      </c>
      <c r="H598">
        <v>4</v>
      </c>
      <c r="I598">
        <v>4</v>
      </c>
      <c r="J598">
        <v>8</v>
      </c>
      <c r="K598">
        <v>8</v>
      </c>
    </row>
    <row r="599" spans="1:11" x14ac:dyDescent="0.3">
      <c r="A599" t="s">
        <v>328</v>
      </c>
      <c r="B599" t="s">
        <v>540</v>
      </c>
      <c r="D599" t="s">
        <v>251</v>
      </c>
      <c r="E599">
        <v>1</v>
      </c>
      <c r="F599">
        <v>0</v>
      </c>
      <c r="G599">
        <v>0</v>
      </c>
      <c r="H599">
        <v>0</v>
      </c>
      <c r="I599">
        <v>3</v>
      </c>
      <c r="J599">
        <v>9</v>
      </c>
      <c r="K599">
        <v>5</v>
      </c>
    </row>
    <row r="600" spans="1:11" x14ac:dyDescent="0.3">
      <c r="A600" t="s">
        <v>328</v>
      </c>
      <c r="B600" t="s">
        <v>540</v>
      </c>
      <c r="D600" t="s">
        <v>257</v>
      </c>
      <c r="E600">
        <v>1</v>
      </c>
      <c r="F600">
        <v>0</v>
      </c>
      <c r="G600">
        <v>0</v>
      </c>
      <c r="H600">
        <v>4</v>
      </c>
      <c r="I600">
        <v>3</v>
      </c>
      <c r="J600">
        <v>6</v>
      </c>
      <c r="K600">
        <v>6</v>
      </c>
    </row>
    <row r="601" spans="1:11" x14ac:dyDescent="0.3">
      <c r="A601" t="s">
        <v>328</v>
      </c>
      <c r="B601" t="s">
        <v>540</v>
      </c>
      <c r="D601" t="s">
        <v>261</v>
      </c>
      <c r="E601">
        <v>1</v>
      </c>
      <c r="F601">
        <v>0</v>
      </c>
      <c r="G601">
        <v>2</v>
      </c>
      <c r="H601">
        <v>1</v>
      </c>
      <c r="I601">
        <v>3</v>
      </c>
      <c r="J601">
        <v>5</v>
      </c>
      <c r="K601">
        <v>3</v>
      </c>
    </row>
    <row r="602" spans="1:11" x14ac:dyDescent="0.3">
      <c r="A602" t="s">
        <v>328</v>
      </c>
      <c r="B602" t="s">
        <v>540</v>
      </c>
      <c r="D602" t="s">
        <v>236</v>
      </c>
      <c r="E602">
        <v>1</v>
      </c>
      <c r="F602">
        <v>0</v>
      </c>
      <c r="G602">
        <v>2</v>
      </c>
      <c r="H602">
        <v>3</v>
      </c>
      <c r="I602">
        <v>3</v>
      </c>
      <c r="J602">
        <v>6</v>
      </c>
      <c r="K602">
        <v>10</v>
      </c>
    </row>
    <row r="603" spans="1:11" x14ac:dyDescent="0.3">
      <c r="A603" t="s">
        <v>328</v>
      </c>
      <c r="B603" t="s">
        <v>540</v>
      </c>
      <c r="D603" t="s">
        <v>265</v>
      </c>
      <c r="E603">
        <v>1</v>
      </c>
      <c r="F603">
        <v>0</v>
      </c>
      <c r="G603">
        <v>1</v>
      </c>
      <c r="H603">
        <v>0</v>
      </c>
      <c r="I603">
        <v>2</v>
      </c>
      <c r="J603">
        <v>6</v>
      </c>
      <c r="K603">
        <v>5</v>
      </c>
    </row>
    <row r="604" spans="1:11" x14ac:dyDescent="0.3">
      <c r="A604" t="s">
        <v>328</v>
      </c>
      <c r="B604" t="s">
        <v>540</v>
      </c>
      <c r="D604" t="s">
        <v>270</v>
      </c>
      <c r="E604">
        <v>1</v>
      </c>
      <c r="F604">
        <v>0</v>
      </c>
      <c r="G604">
        <v>0</v>
      </c>
      <c r="H604">
        <v>1</v>
      </c>
      <c r="I604">
        <v>4</v>
      </c>
      <c r="J604">
        <v>8</v>
      </c>
      <c r="K604">
        <v>6</v>
      </c>
    </row>
    <row r="605" spans="1:11" x14ac:dyDescent="0.3">
      <c r="A605" t="s">
        <v>328</v>
      </c>
      <c r="B605" t="s">
        <v>540</v>
      </c>
      <c r="D605" t="s">
        <v>275</v>
      </c>
      <c r="E605">
        <v>1</v>
      </c>
      <c r="F605">
        <v>0</v>
      </c>
      <c r="G605">
        <v>1</v>
      </c>
      <c r="H605">
        <v>0</v>
      </c>
      <c r="I605">
        <v>4</v>
      </c>
      <c r="J605">
        <v>14</v>
      </c>
      <c r="K605">
        <v>5</v>
      </c>
    </row>
    <row r="606" spans="1:11" x14ac:dyDescent="0.3">
      <c r="A606" t="s">
        <v>328</v>
      </c>
      <c r="B606" t="s">
        <v>540</v>
      </c>
      <c r="D606" t="s">
        <v>324</v>
      </c>
      <c r="E606">
        <v>1</v>
      </c>
      <c r="F606">
        <v>0</v>
      </c>
      <c r="G606">
        <v>1</v>
      </c>
      <c r="H606">
        <v>2</v>
      </c>
      <c r="I606">
        <v>3</v>
      </c>
      <c r="J606">
        <v>9</v>
      </c>
      <c r="K606">
        <v>7</v>
      </c>
    </row>
    <row r="607" spans="1:11" x14ac:dyDescent="0.3">
      <c r="A607" t="s">
        <v>328</v>
      </c>
      <c r="B607" t="s">
        <v>540</v>
      </c>
      <c r="D607" t="s">
        <v>313</v>
      </c>
      <c r="E607">
        <v>1</v>
      </c>
      <c r="F607">
        <v>0</v>
      </c>
      <c r="G607">
        <v>1</v>
      </c>
      <c r="H607">
        <v>2</v>
      </c>
      <c r="I607">
        <v>4</v>
      </c>
      <c r="J607">
        <v>10</v>
      </c>
      <c r="K607">
        <v>8</v>
      </c>
    </row>
    <row r="608" spans="1:11" x14ac:dyDescent="0.3">
      <c r="A608" t="s">
        <v>328</v>
      </c>
      <c r="B608" t="s">
        <v>540</v>
      </c>
      <c r="D608" t="s">
        <v>285</v>
      </c>
      <c r="E608">
        <v>1</v>
      </c>
      <c r="F608">
        <v>0</v>
      </c>
      <c r="G608">
        <v>0</v>
      </c>
      <c r="H608">
        <v>0</v>
      </c>
      <c r="I608">
        <v>4</v>
      </c>
      <c r="J608">
        <v>6</v>
      </c>
      <c r="K608">
        <v>0</v>
      </c>
    </row>
    <row r="609" spans="1:11" x14ac:dyDescent="0.3">
      <c r="A609" t="s">
        <v>328</v>
      </c>
      <c r="B609" t="s">
        <v>542</v>
      </c>
      <c r="D609" t="s">
        <v>218</v>
      </c>
      <c r="E609">
        <v>2</v>
      </c>
      <c r="F609">
        <v>0</v>
      </c>
      <c r="G609">
        <v>18</v>
      </c>
      <c r="H609">
        <v>6</v>
      </c>
      <c r="I609">
        <v>3</v>
      </c>
      <c r="J609">
        <v>9</v>
      </c>
      <c r="K609">
        <v>26</v>
      </c>
    </row>
    <row r="610" spans="1:11" x14ac:dyDescent="0.3">
      <c r="A610" t="s">
        <v>328</v>
      </c>
      <c r="B610" t="s">
        <v>542</v>
      </c>
      <c r="D610" t="s">
        <v>232</v>
      </c>
      <c r="E610">
        <v>1</v>
      </c>
      <c r="F610">
        <v>0</v>
      </c>
      <c r="G610">
        <v>26</v>
      </c>
      <c r="H610">
        <v>47</v>
      </c>
      <c r="I610">
        <v>4</v>
      </c>
      <c r="J610">
        <v>7</v>
      </c>
      <c r="K610">
        <v>47</v>
      </c>
    </row>
    <row r="611" spans="1:11" x14ac:dyDescent="0.3">
      <c r="A611" t="s">
        <v>328</v>
      </c>
      <c r="B611" t="s">
        <v>542</v>
      </c>
      <c r="C611" t="s">
        <v>237</v>
      </c>
      <c r="D611" t="s">
        <v>238</v>
      </c>
      <c r="E611">
        <v>1</v>
      </c>
      <c r="F611">
        <v>0</v>
      </c>
      <c r="G611">
        <v>18</v>
      </c>
      <c r="H611">
        <v>16</v>
      </c>
      <c r="I611">
        <v>2</v>
      </c>
      <c r="J611">
        <v>8</v>
      </c>
      <c r="K611">
        <v>28</v>
      </c>
    </row>
    <row r="612" spans="1:11" x14ac:dyDescent="0.3">
      <c r="A612" t="s">
        <v>328</v>
      </c>
      <c r="B612" t="s">
        <v>544</v>
      </c>
      <c r="C612" t="s">
        <v>549</v>
      </c>
      <c r="D612" t="s">
        <v>545</v>
      </c>
      <c r="E612">
        <v>12</v>
      </c>
      <c r="F612">
        <v>5</v>
      </c>
      <c r="G612">
        <v>1</v>
      </c>
      <c r="H612">
        <v>1</v>
      </c>
      <c r="I612">
        <v>16</v>
      </c>
      <c r="J612">
        <v>24</v>
      </c>
      <c r="K612">
        <v>31</v>
      </c>
    </row>
    <row r="613" spans="1:11" x14ac:dyDescent="0.3">
      <c r="A613" t="s">
        <v>412</v>
      </c>
      <c r="B613" t="s">
        <v>537</v>
      </c>
      <c r="D613" t="s">
        <v>215</v>
      </c>
      <c r="E613">
        <v>0</v>
      </c>
      <c r="F613">
        <v>0</v>
      </c>
      <c r="G613">
        <v>25</v>
      </c>
      <c r="H613">
        <v>69</v>
      </c>
      <c r="I613">
        <v>0</v>
      </c>
      <c r="J613">
        <v>0</v>
      </c>
      <c r="K613">
        <v>15</v>
      </c>
    </row>
    <row r="614" spans="1:11" x14ac:dyDescent="0.3">
      <c r="A614" t="s">
        <v>412</v>
      </c>
      <c r="B614" t="s">
        <v>537</v>
      </c>
      <c r="D614" t="s">
        <v>220</v>
      </c>
      <c r="E614">
        <v>0</v>
      </c>
      <c r="F614">
        <v>0</v>
      </c>
      <c r="G614">
        <v>11</v>
      </c>
      <c r="H614">
        <v>16</v>
      </c>
      <c r="I614">
        <v>0</v>
      </c>
      <c r="J614">
        <v>0</v>
      </c>
      <c r="K614">
        <v>15</v>
      </c>
    </row>
    <row r="615" spans="1:11" x14ac:dyDescent="0.3">
      <c r="A615" t="s">
        <v>412</v>
      </c>
      <c r="B615" t="s">
        <v>537</v>
      </c>
      <c r="D615" t="s">
        <v>224</v>
      </c>
      <c r="E615">
        <v>0</v>
      </c>
      <c r="F615">
        <v>0</v>
      </c>
      <c r="G615">
        <v>5</v>
      </c>
      <c r="H615">
        <v>15</v>
      </c>
      <c r="I615">
        <v>0</v>
      </c>
      <c r="J615">
        <v>1</v>
      </c>
      <c r="K615">
        <v>5</v>
      </c>
    </row>
    <row r="616" spans="1:11" x14ac:dyDescent="0.3">
      <c r="A616" t="s">
        <v>412</v>
      </c>
      <c r="B616" t="s">
        <v>537</v>
      </c>
      <c r="D616" t="s">
        <v>228</v>
      </c>
      <c r="E616">
        <v>0</v>
      </c>
      <c r="F616">
        <v>0</v>
      </c>
      <c r="G616">
        <v>10</v>
      </c>
      <c r="H616">
        <v>31</v>
      </c>
      <c r="I616">
        <v>0</v>
      </c>
      <c r="J616">
        <v>0</v>
      </c>
      <c r="K616">
        <v>11</v>
      </c>
    </row>
    <row r="617" spans="1:11" x14ac:dyDescent="0.3">
      <c r="A617" t="s">
        <v>412</v>
      </c>
      <c r="B617" t="s">
        <v>537</v>
      </c>
      <c r="D617" t="s">
        <v>234</v>
      </c>
      <c r="E617">
        <v>0</v>
      </c>
      <c r="F617">
        <v>0</v>
      </c>
      <c r="G617">
        <v>3</v>
      </c>
      <c r="H617">
        <v>0</v>
      </c>
      <c r="I617">
        <v>0</v>
      </c>
      <c r="J617">
        <v>0</v>
      </c>
      <c r="K617">
        <v>15</v>
      </c>
    </row>
    <row r="618" spans="1:11" x14ac:dyDescent="0.3">
      <c r="A618" t="s">
        <v>412</v>
      </c>
      <c r="B618" t="s">
        <v>537</v>
      </c>
      <c r="D618" t="s">
        <v>244</v>
      </c>
      <c r="E618">
        <v>0</v>
      </c>
      <c r="F618">
        <v>0</v>
      </c>
      <c r="G618">
        <v>15</v>
      </c>
      <c r="H618">
        <v>36</v>
      </c>
      <c r="I618">
        <v>0</v>
      </c>
      <c r="J618">
        <v>0</v>
      </c>
      <c r="K618">
        <v>13</v>
      </c>
    </row>
    <row r="619" spans="1:11" x14ac:dyDescent="0.3">
      <c r="A619" t="s">
        <v>412</v>
      </c>
      <c r="B619" t="s">
        <v>537</v>
      </c>
      <c r="D619" t="s">
        <v>247</v>
      </c>
      <c r="E619">
        <v>0</v>
      </c>
      <c r="F619">
        <v>0</v>
      </c>
      <c r="G619">
        <v>31</v>
      </c>
      <c r="H619">
        <v>106</v>
      </c>
      <c r="I619">
        <v>1</v>
      </c>
      <c r="J619">
        <v>0</v>
      </c>
      <c r="K619">
        <v>20</v>
      </c>
    </row>
    <row r="620" spans="1:11" x14ac:dyDescent="0.3">
      <c r="A620" t="s">
        <v>412</v>
      </c>
      <c r="B620" t="s">
        <v>537</v>
      </c>
      <c r="D620" t="s">
        <v>249</v>
      </c>
      <c r="E620">
        <v>0</v>
      </c>
      <c r="F620">
        <v>0</v>
      </c>
      <c r="G620">
        <v>11</v>
      </c>
      <c r="H620">
        <v>37</v>
      </c>
      <c r="I620">
        <v>0</v>
      </c>
      <c r="J620">
        <v>0</v>
      </c>
      <c r="K620">
        <v>5</v>
      </c>
    </row>
    <row r="621" spans="1:11" x14ac:dyDescent="0.3">
      <c r="A621" t="s">
        <v>412</v>
      </c>
      <c r="B621" t="s">
        <v>537</v>
      </c>
      <c r="D621" t="s">
        <v>253</v>
      </c>
      <c r="E621">
        <v>0</v>
      </c>
      <c r="F621">
        <v>0</v>
      </c>
      <c r="G621">
        <v>17</v>
      </c>
      <c r="H621">
        <v>49</v>
      </c>
      <c r="I621">
        <v>0</v>
      </c>
      <c r="J621">
        <v>0</v>
      </c>
      <c r="K621">
        <v>15</v>
      </c>
    </row>
    <row r="622" spans="1:11" x14ac:dyDescent="0.3">
      <c r="A622" t="s">
        <v>412</v>
      </c>
      <c r="B622" t="s">
        <v>537</v>
      </c>
      <c r="D622" t="s">
        <v>259</v>
      </c>
      <c r="E622">
        <v>0</v>
      </c>
      <c r="F622">
        <v>0</v>
      </c>
      <c r="G622">
        <v>10</v>
      </c>
      <c r="H622">
        <v>30</v>
      </c>
      <c r="I622">
        <v>0</v>
      </c>
      <c r="J622">
        <v>0</v>
      </c>
      <c r="K622">
        <v>10</v>
      </c>
    </row>
    <row r="623" spans="1:11" x14ac:dyDescent="0.3">
      <c r="A623" t="s">
        <v>412</v>
      </c>
      <c r="B623" t="s">
        <v>537</v>
      </c>
      <c r="D623" t="s">
        <v>270</v>
      </c>
      <c r="E623">
        <v>0</v>
      </c>
      <c r="F623">
        <v>0</v>
      </c>
      <c r="G623">
        <v>94</v>
      </c>
      <c r="H623">
        <v>291</v>
      </c>
      <c r="I623">
        <v>0</v>
      </c>
      <c r="J623">
        <v>0</v>
      </c>
      <c r="K623">
        <v>67</v>
      </c>
    </row>
    <row r="624" spans="1:11" x14ac:dyDescent="0.3">
      <c r="A624" t="s">
        <v>412</v>
      </c>
      <c r="B624" t="s">
        <v>537</v>
      </c>
      <c r="D624" t="s">
        <v>273</v>
      </c>
      <c r="E624">
        <v>0</v>
      </c>
      <c r="F624">
        <v>0</v>
      </c>
      <c r="G624">
        <v>5</v>
      </c>
      <c r="H624">
        <v>0</v>
      </c>
      <c r="I624">
        <v>0</v>
      </c>
      <c r="J624">
        <v>0</v>
      </c>
      <c r="K624">
        <v>6</v>
      </c>
    </row>
    <row r="625" spans="1:11" x14ac:dyDescent="0.3">
      <c r="A625" t="s">
        <v>412</v>
      </c>
      <c r="B625" t="s">
        <v>537</v>
      </c>
      <c r="D625" t="s">
        <v>273</v>
      </c>
      <c r="E625">
        <v>0</v>
      </c>
      <c r="F625">
        <v>0</v>
      </c>
      <c r="G625">
        <v>16</v>
      </c>
      <c r="H625">
        <v>50</v>
      </c>
      <c r="I625">
        <v>0</v>
      </c>
      <c r="J625">
        <v>0</v>
      </c>
      <c r="K625">
        <v>6</v>
      </c>
    </row>
    <row r="626" spans="1:11" x14ac:dyDescent="0.3">
      <c r="A626" t="s">
        <v>412</v>
      </c>
      <c r="B626" t="s">
        <v>537</v>
      </c>
      <c r="D626" t="s">
        <v>277</v>
      </c>
      <c r="E626">
        <v>0</v>
      </c>
      <c r="F626">
        <v>0</v>
      </c>
      <c r="G626">
        <v>15</v>
      </c>
      <c r="H626">
        <v>41</v>
      </c>
      <c r="I626">
        <v>0</v>
      </c>
      <c r="J626">
        <v>0</v>
      </c>
      <c r="K626">
        <v>10</v>
      </c>
    </row>
    <row r="627" spans="1:11" x14ac:dyDescent="0.3">
      <c r="A627" t="s">
        <v>412</v>
      </c>
      <c r="B627" t="s">
        <v>537</v>
      </c>
      <c r="D627" t="s">
        <v>281</v>
      </c>
      <c r="E627">
        <v>0</v>
      </c>
      <c r="F627">
        <v>0</v>
      </c>
      <c r="G627">
        <v>5</v>
      </c>
      <c r="H627">
        <v>19</v>
      </c>
      <c r="I627">
        <v>0</v>
      </c>
      <c r="J627">
        <v>0</v>
      </c>
      <c r="K627">
        <v>5</v>
      </c>
    </row>
    <row r="628" spans="1:11" x14ac:dyDescent="0.3">
      <c r="A628" t="s">
        <v>412</v>
      </c>
      <c r="B628" t="s">
        <v>537</v>
      </c>
      <c r="D628" t="s">
        <v>283</v>
      </c>
      <c r="E628">
        <v>0</v>
      </c>
      <c r="F628">
        <v>0</v>
      </c>
      <c r="G628">
        <v>0</v>
      </c>
      <c r="H628">
        <v>0</v>
      </c>
      <c r="I628">
        <v>0</v>
      </c>
      <c r="J628">
        <v>0</v>
      </c>
      <c r="K628">
        <v>3</v>
      </c>
    </row>
    <row r="629" spans="1:11" x14ac:dyDescent="0.3">
      <c r="A629" t="s">
        <v>412</v>
      </c>
      <c r="B629" t="s">
        <v>537</v>
      </c>
      <c r="D629" t="s">
        <v>287</v>
      </c>
      <c r="E629">
        <v>0</v>
      </c>
      <c r="F629">
        <v>0</v>
      </c>
      <c r="G629">
        <v>15</v>
      </c>
      <c r="H629">
        <v>45</v>
      </c>
      <c r="I629">
        <v>0</v>
      </c>
      <c r="J629">
        <v>0</v>
      </c>
      <c r="K629">
        <v>16</v>
      </c>
    </row>
    <row r="630" spans="1:11" x14ac:dyDescent="0.3">
      <c r="A630" t="s">
        <v>412</v>
      </c>
      <c r="B630" t="s">
        <v>537</v>
      </c>
      <c r="D630" t="s">
        <v>289</v>
      </c>
      <c r="E630">
        <v>0</v>
      </c>
      <c r="F630">
        <v>0</v>
      </c>
      <c r="G630">
        <v>35</v>
      </c>
      <c r="H630">
        <v>114</v>
      </c>
      <c r="I630">
        <v>0</v>
      </c>
      <c r="J630">
        <v>0</v>
      </c>
      <c r="K630">
        <v>21</v>
      </c>
    </row>
    <row r="631" spans="1:11" x14ac:dyDescent="0.3">
      <c r="A631" t="s">
        <v>412</v>
      </c>
      <c r="B631" t="s">
        <v>537</v>
      </c>
      <c r="D631" t="s">
        <v>292</v>
      </c>
      <c r="E631">
        <v>0</v>
      </c>
      <c r="F631">
        <v>0</v>
      </c>
      <c r="G631">
        <v>0</v>
      </c>
      <c r="H631">
        <v>0</v>
      </c>
      <c r="I631">
        <v>0</v>
      </c>
      <c r="J631">
        <v>0</v>
      </c>
      <c r="K631">
        <v>1</v>
      </c>
    </row>
    <row r="632" spans="1:11" x14ac:dyDescent="0.3">
      <c r="A632" t="s">
        <v>412</v>
      </c>
      <c r="B632" t="s">
        <v>537</v>
      </c>
      <c r="D632" t="s">
        <v>294</v>
      </c>
      <c r="E632">
        <v>0</v>
      </c>
      <c r="F632">
        <v>0</v>
      </c>
      <c r="G632">
        <v>15</v>
      </c>
      <c r="H632">
        <v>41</v>
      </c>
      <c r="I632">
        <v>0</v>
      </c>
      <c r="J632">
        <v>1</v>
      </c>
      <c r="K632">
        <v>13</v>
      </c>
    </row>
    <row r="633" spans="1:11" x14ac:dyDescent="0.3">
      <c r="A633" t="s">
        <v>412</v>
      </c>
      <c r="B633" t="s">
        <v>537</v>
      </c>
      <c r="D633" t="s">
        <v>296</v>
      </c>
      <c r="E633">
        <v>0</v>
      </c>
      <c r="F633">
        <v>0</v>
      </c>
      <c r="G633">
        <v>20</v>
      </c>
      <c r="H633">
        <v>66</v>
      </c>
      <c r="I633">
        <v>0</v>
      </c>
      <c r="J633">
        <v>0</v>
      </c>
      <c r="K633">
        <v>15</v>
      </c>
    </row>
    <row r="634" spans="1:11" x14ac:dyDescent="0.3">
      <c r="A634" t="s">
        <v>412</v>
      </c>
      <c r="B634" t="s">
        <v>537</v>
      </c>
      <c r="D634" t="s">
        <v>302</v>
      </c>
      <c r="E634">
        <v>0</v>
      </c>
      <c r="F634">
        <v>0</v>
      </c>
      <c r="G634">
        <v>10</v>
      </c>
      <c r="H634">
        <v>35</v>
      </c>
      <c r="I634">
        <v>0</v>
      </c>
      <c r="J634">
        <v>0</v>
      </c>
      <c r="K634">
        <v>6</v>
      </c>
    </row>
    <row r="635" spans="1:11" x14ac:dyDescent="0.3">
      <c r="A635" t="s">
        <v>412</v>
      </c>
      <c r="B635" t="s">
        <v>537</v>
      </c>
      <c r="D635" t="s">
        <v>304</v>
      </c>
      <c r="E635">
        <v>0</v>
      </c>
      <c r="F635">
        <v>0</v>
      </c>
      <c r="G635">
        <v>29</v>
      </c>
      <c r="H635">
        <v>100</v>
      </c>
      <c r="I635">
        <v>1</v>
      </c>
      <c r="J635">
        <v>0</v>
      </c>
      <c r="K635">
        <v>20</v>
      </c>
    </row>
    <row r="636" spans="1:11" x14ac:dyDescent="0.3">
      <c r="A636" t="s">
        <v>412</v>
      </c>
      <c r="B636" t="s">
        <v>537</v>
      </c>
      <c r="D636" t="s">
        <v>309</v>
      </c>
      <c r="E636">
        <v>0</v>
      </c>
      <c r="F636">
        <v>0</v>
      </c>
      <c r="G636">
        <v>15</v>
      </c>
      <c r="H636">
        <v>51</v>
      </c>
      <c r="I636">
        <v>0</v>
      </c>
      <c r="J636">
        <v>0</v>
      </c>
      <c r="K636">
        <v>11</v>
      </c>
    </row>
    <row r="637" spans="1:11" x14ac:dyDescent="0.3">
      <c r="A637" t="s">
        <v>412</v>
      </c>
      <c r="B637" t="s">
        <v>537</v>
      </c>
      <c r="C637" t="s">
        <v>237</v>
      </c>
      <c r="D637" t="s">
        <v>234</v>
      </c>
      <c r="E637">
        <v>0</v>
      </c>
      <c r="F637">
        <v>0</v>
      </c>
      <c r="G637">
        <v>57</v>
      </c>
      <c r="H637">
        <v>192</v>
      </c>
      <c r="I637">
        <v>0</v>
      </c>
      <c r="J637">
        <v>0</v>
      </c>
      <c r="K637">
        <v>36</v>
      </c>
    </row>
    <row r="638" spans="1:11" x14ac:dyDescent="0.3">
      <c r="A638" t="s">
        <v>412</v>
      </c>
      <c r="B638" t="s">
        <v>537</v>
      </c>
      <c r="C638" t="s">
        <v>237</v>
      </c>
      <c r="D638" t="s">
        <v>240</v>
      </c>
      <c r="E638">
        <v>0</v>
      </c>
      <c r="F638">
        <v>0</v>
      </c>
      <c r="G638">
        <v>5</v>
      </c>
      <c r="H638">
        <v>17</v>
      </c>
      <c r="I638">
        <v>0</v>
      </c>
      <c r="J638">
        <v>0</v>
      </c>
      <c r="K638">
        <v>5</v>
      </c>
    </row>
    <row r="639" spans="1:11" x14ac:dyDescent="0.3">
      <c r="A639" t="s">
        <v>412</v>
      </c>
      <c r="B639" t="s">
        <v>537</v>
      </c>
      <c r="C639" t="s">
        <v>237</v>
      </c>
      <c r="D639" t="s">
        <v>255</v>
      </c>
      <c r="E639">
        <v>0</v>
      </c>
      <c r="F639">
        <v>0</v>
      </c>
      <c r="G639">
        <v>5</v>
      </c>
      <c r="H639">
        <v>15</v>
      </c>
      <c r="I639">
        <v>0</v>
      </c>
      <c r="J639">
        <v>0</v>
      </c>
      <c r="K639">
        <v>5</v>
      </c>
    </row>
    <row r="640" spans="1:11" x14ac:dyDescent="0.3">
      <c r="A640" t="s">
        <v>412</v>
      </c>
      <c r="B640" t="s">
        <v>537</v>
      </c>
      <c r="C640" t="s">
        <v>237</v>
      </c>
      <c r="D640" t="s">
        <v>263</v>
      </c>
      <c r="E640">
        <v>0</v>
      </c>
      <c r="F640">
        <v>0</v>
      </c>
      <c r="G640">
        <v>20</v>
      </c>
      <c r="H640">
        <v>49</v>
      </c>
      <c r="I640">
        <v>0</v>
      </c>
      <c r="J640">
        <v>0</v>
      </c>
      <c r="K640">
        <v>15</v>
      </c>
    </row>
    <row r="641" spans="1:11" x14ac:dyDescent="0.3">
      <c r="A641" t="s">
        <v>412</v>
      </c>
      <c r="B641" t="s">
        <v>537</v>
      </c>
      <c r="C641" t="s">
        <v>237</v>
      </c>
      <c r="D641" t="s">
        <v>267</v>
      </c>
      <c r="E641">
        <v>0</v>
      </c>
      <c r="F641">
        <v>0</v>
      </c>
      <c r="G641">
        <v>42</v>
      </c>
      <c r="H641">
        <v>137</v>
      </c>
      <c r="I641">
        <v>0</v>
      </c>
      <c r="J641">
        <v>0</v>
      </c>
      <c r="K641">
        <v>25</v>
      </c>
    </row>
    <row r="642" spans="1:11" x14ac:dyDescent="0.3">
      <c r="A642" t="s">
        <v>412</v>
      </c>
      <c r="B642" t="s">
        <v>537</v>
      </c>
      <c r="C642" t="s">
        <v>237</v>
      </c>
      <c r="D642" t="s">
        <v>279</v>
      </c>
      <c r="E642">
        <v>0</v>
      </c>
      <c r="F642">
        <v>0</v>
      </c>
      <c r="G642">
        <v>6</v>
      </c>
      <c r="H642">
        <v>18</v>
      </c>
      <c r="I642">
        <v>0</v>
      </c>
      <c r="J642">
        <v>0</v>
      </c>
      <c r="K642">
        <v>7</v>
      </c>
    </row>
    <row r="643" spans="1:11" x14ac:dyDescent="0.3">
      <c r="A643" t="s">
        <v>412</v>
      </c>
      <c r="B643" t="s">
        <v>537</v>
      </c>
      <c r="C643" t="s">
        <v>237</v>
      </c>
      <c r="D643" t="s">
        <v>298</v>
      </c>
      <c r="E643">
        <v>0</v>
      </c>
      <c r="F643">
        <v>0</v>
      </c>
      <c r="G643">
        <v>10</v>
      </c>
      <c r="H643">
        <v>36</v>
      </c>
      <c r="I643">
        <v>0</v>
      </c>
      <c r="J643">
        <v>0</v>
      </c>
      <c r="K643">
        <v>12</v>
      </c>
    </row>
    <row r="644" spans="1:11" x14ac:dyDescent="0.3">
      <c r="A644" t="s">
        <v>412</v>
      </c>
      <c r="B644" t="s">
        <v>537</v>
      </c>
      <c r="C644" t="s">
        <v>237</v>
      </c>
      <c r="D644" t="s">
        <v>307</v>
      </c>
      <c r="E644">
        <v>0</v>
      </c>
      <c r="F644">
        <v>0</v>
      </c>
      <c r="G644">
        <v>11</v>
      </c>
      <c r="H644">
        <v>33</v>
      </c>
      <c r="I644">
        <v>0</v>
      </c>
      <c r="J644">
        <v>0</v>
      </c>
      <c r="K644">
        <v>5</v>
      </c>
    </row>
    <row r="645" spans="1:11" x14ac:dyDescent="0.3">
      <c r="A645" t="s">
        <v>412</v>
      </c>
      <c r="B645" t="s">
        <v>537</v>
      </c>
      <c r="C645" t="s">
        <v>237</v>
      </c>
      <c r="D645" t="s">
        <v>311</v>
      </c>
      <c r="E645">
        <v>0</v>
      </c>
      <c r="F645">
        <v>0</v>
      </c>
      <c r="G645">
        <v>11</v>
      </c>
      <c r="H645">
        <v>40</v>
      </c>
      <c r="I645">
        <v>0</v>
      </c>
      <c r="J645">
        <v>0</v>
      </c>
      <c r="K645">
        <v>14</v>
      </c>
    </row>
    <row r="646" spans="1:11" x14ac:dyDescent="0.3">
      <c r="A646" t="s">
        <v>412</v>
      </c>
      <c r="B646" t="s">
        <v>540</v>
      </c>
      <c r="D646" t="s">
        <v>322</v>
      </c>
      <c r="E646">
        <v>1</v>
      </c>
      <c r="F646">
        <v>0</v>
      </c>
      <c r="G646">
        <v>12</v>
      </c>
      <c r="H646">
        <v>32</v>
      </c>
      <c r="I646">
        <v>5</v>
      </c>
      <c r="J646">
        <v>10</v>
      </c>
      <c r="K646">
        <v>13</v>
      </c>
    </row>
    <row r="647" spans="1:11" x14ac:dyDescent="0.3">
      <c r="A647" t="s">
        <v>412</v>
      </c>
      <c r="B647" t="s">
        <v>540</v>
      </c>
      <c r="D647" t="s">
        <v>230</v>
      </c>
      <c r="E647">
        <v>1</v>
      </c>
      <c r="F647">
        <v>0</v>
      </c>
      <c r="G647">
        <v>4</v>
      </c>
      <c r="H647">
        <v>0</v>
      </c>
      <c r="I647">
        <v>4</v>
      </c>
      <c r="J647">
        <v>9</v>
      </c>
      <c r="K647">
        <v>6</v>
      </c>
    </row>
    <row r="648" spans="1:11" x14ac:dyDescent="0.3">
      <c r="A648" t="s">
        <v>412</v>
      </c>
      <c r="B648" t="s">
        <v>540</v>
      </c>
      <c r="D648" t="s">
        <v>244</v>
      </c>
      <c r="E648">
        <v>1</v>
      </c>
      <c r="F648">
        <v>0</v>
      </c>
      <c r="G648">
        <v>0</v>
      </c>
      <c r="H648">
        <v>0</v>
      </c>
      <c r="I648">
        <v>3</v>
      </c>
      <c r="J648">
        <v>6</v>
      </c>
      <c r="K648">
        <v>1</v>
      </c>
    </row>
    <row r="649" spans="1:11" x14ac:dyDescent="0.3">
      <c r="A649" t="s">
        <v>412</v>
      </c>
      <c r="B649" t="s">
        <v>540</v>
      </c>
      <c r="D649" t="s">
        <v>226</v>
      </c>
      <c r="E649">
        <v>1</v>
      </c>
      <c r="F649">
        <v>0</v>
      </c>
      <c r="G649">
        <v>1</v>
      </c>
      <c r="H649">
        <v>1</v>
      </c>
      <c r="I649">
        <v>4</v>
      </c>
      <c r="J649">
        <v>6</v>
      </c>
      <c r="K649">
        <v>9</v>
      </c>
    </row>
    <row r="650" spans="1:11" x14ac:dyDescent="0.3">
      <c r="A650" t="s">
        <v>412</v>
      </c>
      <c r="B650" t="s">
        <v>540</v>
      </c>
      <c r="D650" t="s">
        <v>251</v>
      </c>
      <c r="E650">
        <v>1</v>
      </c>
      <c r="F650">
        <v>0</v>
      </c>
      <c r="G650">
        <v>3</v>
      </c>
      <c r="H650">
        <v>0</v>
      </c>
      <c r="I650">
        <v>3</v>
      </c>
      <c r="J650">
        <v>9</v>
      </c>
      <c r="K650">
        <v>9</v>
      </c>
    </row>
    <row r="651" spans="1:11" x14ac:dyDescent="0.3">
      <c r="A651" t="s">
        <v>412</v>
      </c>
      <c r="B651" t="s">
        <v>540</v>
      </c>
      <c r="D651" t="s">
        <v>257</v>
      </c>
      <c r="E651">
        <v>1</v>
      </c>
      <c r="F651">
        <v>0</v>
      </c>
      <c r="G651">
        <v>4</v>
      </c>
      <c r="H651">
        <v>4</v>
      </c>
      <c r="I651">
        <v>3</v>
      </c>
      <c r="J651">
        <v>6</v>
      </c>
      <c r="K651">
        <v>8</v>
      </c>
    </row>
    <row r="652" spans="1:11" x14ac:dyDescent="0.3">
      <c r="A652" t="s">
        <v>412</v>
      </c>
      <c r="B652" t="s">
        <v>540</v>
      </c>
      <c r="D652" t="s">
        <v>261</v>
      </c>
      <c r="E652">
        <v>1</v>
      </c>
      <c r="F652">
        <v>0</v>
      </c>
      <c r="G652">
        <v>3</v>
      </c>
      <c r="H652">
        <v>1</v>
      </c>
      <c r="I652">
        <v>3</v>
      </c>
      <c r="J652">
        <v>5</v>
      </c>
      <c r="K652">
        <v>5</v>
      </c>
    </row>
    <row r="653" spans="1:11" x14ac:dyDescent="0.3">
      <c r="A653" t="s">
        <v>412</v>
      </c>
      <c r="B653" t="s">
        <v>540</v>
      </c>
      <c r="D653" t="s">
        <v>236</v>
      </c>
      <c r="E653">
        <v>2</v>
      </c>
      <c r="F653">
        <v>0</v>
      </c>
      <c r="G653">
        <v>3</v>
      </c>
      <c r="H653">
        <v>3</v>
      </c>
      <c r="I653">
        <v>5</v>
      </c>
      <c r="J653">
        <v>9</v>
      </c>
      <c r="K653">
        <v>9</v>
      </c>
    </row>
    <row r="654" spans="1:11" x14ac:dyDescent="0.3">
      <c r="A654" t="s">
        <v>412</v>
      </c>
      <c r="B654" t="s">
        <v>540</v>
      </c>
      <c r="D654" t="s">
        <v>265</v>
      </c>
      <c r="E654">
        <v>1</v>
      </c>
      <c r="F654">
        <v>0</v>
      </c>
      <c r="G654">
        <v>3</v>
      </c>
      <c r="H654">
        <v>1</v>
      </c>
      <c r="I654">
        <v>2</v>
      </c>
      <c r="J654">
        <v>6</v>
      </c>
      <c r="K654">
        <v>6</v>
      </c>
    </row>
    <row r="655" spans="1:11" x14ac:dyDescent="0.3">
      <c r="A655" t="s">
        <v>412</v>
      </c>
      <c r="B655" t="s">
        <v>540</v>
      </c>
      <c r="D655" t="s">
        <v>270</v>
      </c>
      <c r="E655">
        <v>2</v>
      </c>
      <c r="F655">
        <v>0</v>
      </c>
      <c r="G655">
        <v>5</v>
      </c>
      <c r="H655">
        <v>2</v>
      </c>
      <c r="I655">
        <v>4</v>
      </c>
      <c r="J655">
        <v>8</v>
      </c>
      <c r="K655">
        <v>9</v>
      </c>
    </row>
    <row r="656" spans="1:11" x14ac:dyDescent="0.3">
      <c r="A656" t="s">
        <v>412</v>
      </c>
      <c r="B656" t="s">
        <v>540</v>
      </c>
      <c r="D656" t="s">
        <v>275</v>
      </c>
      <c r="E656">
        <v>1</v>
      </c>
      <c r="F656">
        <v>0</v>
      </c>
      <c r="G656">
        <v>1</v>
      </c>
      <c r="H656">
        <v>0</v>
      </c>
      <c r="I656">
        <v>4</v>
      </c>
      <c r="J656">
        <v>13</v>
      </c>
      <c r="K656">
        <v>5</v>
      </c>
    </row>
    <row r="657" spans="1:11" x14ac:dyDescent="0.3">
      <c r="A657" t="s">
        <v>412</v>
      </c>
      <c r="B657" t="s">
        <v>540</v>
      </c>
      <c r="D657" t="s">
        <v>324</v>
      </c>
      <c r="E657">
        <v>1</v>
      </c>
      <c r="F657">
        <v>0</v>
      </c>
      <c r="G657">
        <v>1</v>
      </c>
      <c r="H657">
        <v>1</v>
      </c>
      <c r="I657">
        <v>1</v>
      </c>
      <c r="J657">
        <v>9</v>
      </c>
      <c r="K657">
        <v>7</v>
      </c>
    </row>
    <row r="658" spans="1:11" x14ac:dyDescent="0.3">
      <c r="A658" t="s">
        <v>412</v>
      </c>
      <c r="B658" t="s">
        <v>540</v>
      </c>
      <c r="D658" t="s">
        <v>313</v>
      </c>
      <c r="E658">
        <v>1</v>
      </c>
      <c r="F658">
        <v>0</v>
      </c>
      <c r="G658">
        <v>6</v>
      </c>
      <c r="H658">
        <v>2</v>
      </c>
      <c r="I658">
        <v>3</v>
      </c>
      <c r="J658">
        <v>10</v>
      </c>
      <c r="K658">
        <v>10</v>
      </c>
    </row>
    <row r="659" spans="1:11" x14ac:dyDescent="0.3">
      <c r="A659" t="s">
        <v>412</v>
      </c>
      <c r="B659" t="s">
        <v>540</v>
      </c>
      <c r="D659" t="s">
        <v>285</v>
      </c>
      <c r="E659">
        <v>1</v>
      </c>
      <c r="F659">
        <v>0</v>
      </c>
      <c r="G659">
        <v>0</v>
      </c>
      <c r="H659">
        <v>0</v>
      </c>
      <c r="I659">
        <v>3</v>
      </c>
      <c r="J659">
        <v>6</v>
      </c>
      <c r="K659">
        <v>0</v>
      </c>
    </row>
    <row r="660" spans="1:11" x14ac:dyDescent="0.3">
      <c r="A660" t="s">
        <v>412</v>
      </c>
      <c r="B660" t="s">
        <v>542</v>
      </c>
      <c r="D660" t="s">
        <v>218</v>
      </c>
      <c r="E660">
        <v>1</v>
      </c>
      <c r="F660">
        <v>0</v>
      </c>
      <c r="G660">
        <v>2</v>
      </c>
      <c r="H660">
        <v>12</v>
      </c>
      <c r="I660">
        <v>2</v>
      </c>
      <c r="J660">
        <v>6</v>
      </c>
      <c r="K660">
        <v>4</v>
      </c>
    </row>
    <row r="661" spans="1:11" x14ac:dyDescent="0.3">
      <c r="A661" t="s">
        <v>412</v>
      </c>
      <c r="B661" t="s">
        <v>542</v>
      </c>
      <c r="D661" t="s">
        <v>232</v>
      </c>
      <c r="E661">
        <v>1</v>
      </c>
      <c r="F661">
        <v>0</v>
      </c>
      <c r="G661">
        <v>12</v>
      </c>
      <c r="H661">
        <v>36</v>
      </c>
      <c r="I661">
        <v>4</v>
      </c>
      <c r="J661">
        <v>6</v>
      </c>
      <c r="K661">
        <v>35</v>
      </c>
    </row>
    <row r="662" spans="1:11" x14ac:dyDescent="0.3">
      <c r="A662" t="s">
        <v>412</v>
      </c>
      <c r="B662" t="s">
        <v>542</v>
      </c>
      <c r="C662" t="s">
        <v>237</v>
      </c>
      <c r="D662" t="s">
        <v>238</v>
      </c>
      <c r="E662">
        <v>0</v>
      </c>
      <c r="F662">
        <v>0</v>
      </c>
      <c r="G662">
        <v>1</v>
      </c>
      <c r="H662">
        <v>24</v>
      </c>
      <c r="I662">
        <v>2</v>
      </c>
      <c r="J662">
        <v>8</v>
      </c>
      <c r="K662">
        <v>5</v>
      </c>
    </row>
    <row r="663" spans="1:11" x14ac:dyDescent="0.3">
      <c r="A663" t="s">
        <v>412</v>
      </c>
      <c r="B663" t="s">
        <v>544</v>
      </c>
      <c r="C663" t="s">
        <v>549</v>
      </c>
      <c r="D663" t="s">
        <v>545</v>
      </c>
      <c r="E663">
        <v>9</v>
      </c>
      <c r="F663">
        <v>5</v>
      </c>
      <c r="G663">
        <v>1</v>
      </c>
      <c r="H663">
        <v>1</v>
      </c>
      <c r="I663">
        <v>15</v>
      </c>
      <c r="J663">
        <v>26</v>
      </c>
      <c r="K663">
        <v>36</v>
      </c>
    </row>
  </sheetData>
  <pageMargins left="0.7" right="0.7" top="0.75" bottom="0.75" header="0.3" footer="0.3"/>
  <tableParts count="1">
    <tablePart r:id="rId1"/>
  </tableParts>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Sheet7">
    <tabColor theme="9" tint="0.39997558519241921"/>
    <pageSetUpPr fitToPage="1"/>
  </sheetPr>
  <dimension ref="A1:L78"/>
  <sheetViews>
    <sheetView showGridLines="0" zoomScaleNormal="100" workbookViewId="0">
      <pane ySplit="2" topLeftCell="A3" activePane="bottomLeft" state="frozen"/>
      <selection pane="bottomLeft" sqref="A1:H1"/>
    </sheetView>
  </sheetViews>
  <sheetFormatPr defaultRowHeight="14.4" x14ac:dyDescent="0.3"/>
  <cols>
    <col min="1" max="1" width="17.109375" customWidth="1"/>
    <col min="2" max="2" width="60.6640625" customWidth="1"/>
    <col min="3" max="3" width="13.33203125" customWidth="1"/>
    <col min="4" max="4" width="14" customWidth="1"/>
    <col min="5" max="6" width="12.88671875" customWidth="1"/>
    <col min="7" max="7" width="14.33203125" customWidth="1"/>
    <col min="8" max="8" width="12.88671875" customWidth="1"/>
    <col min="9" max="9" width="12.109375" customWidth="1"/>
    <col min="10" max="10" width="13.33203125" customWidth="1"/>
  </cols>
  <sheetData>
    <row r="1" spans="1:10" ht="27.6" customHeight="1" x14ac:dyDescent="0.3">
      <c r="A1" s="1030" t="s">
        <v>515</v>
      </c>
      <c r="B1" s="1030"/>
      <c r="C1" s="1030"/>
      <c r="D1" s="1030"/>
      <c r="E1" s="1030"/>
      <c r="F1" s="1030"/>
      <c r="G1" s="1030"/>
      <c r="H1" s="1030"/>
      <c r="I1" s="25"/>
      <c r="J1" s="25"/>
    </row>
    <row r="2" spans="1:10" ht="15" customHeight="1" x14ac:dyDescent="0.3">
      <c r="A2" s="498" t="s">
        <v>202</v>
      </c>
      <c r="C2" s="440"/>
      <c r="D2" s="440"/>
      <c r="E2" s="440"/>
      <c r="F2" s="440"/>
      <c r="G2" s="440"/>
      <c r="H2" s="440"/>
      <c r="I2" s="25"/>
      <c r="J2" s="25"/>
    </row>
    <row r="3" spans="1:10" ht="15" customHeight="1" x14ac:dyDescent="0.3">
      <c r="C3" s="440"/>
      <c r="D3" s="440"/>
      <c r="E3" s="440"/>
      <c r="F3" s="440"/>
      <c r="G3" s="440"/>
      <c r="H3" s="440"/>
      <c r="I3" s="25"/>
      <c r="J3" s="25"/>
    </row>
    <row r="4" spans="1:10" ht="30" customHeight="1" x14ac:dyDescent="0.3">
      <c r="A4" s="1041" t="s">
        <v>1304</v>
      </c>
      <c r="B4" s="1041"/>
      <c r="C4" s="1041"/>
      <c r="D4" s="1041"/>
      <c r="E4" s="1041"/>
      <c r="F4" s="1041"/>
      <c r="G4" s="1041"/>
      <c r="H4" s="1041"/>
      <c r="I4" s="1041"/>
      <c r="J4" s="1041"/>
    </row>
    <row r="5" spans="1:10" ht="15" customHeight="1" x14ac:dyDescent="0.3">
      <c r="A5" t="s">
        <v>203</v>
      </c>
      <c r="B5" t="s">
        <v>74</v>
      </c>
      <c r="C5" s="231"/>
      <c r="D5" s="231"/>
      <c r="E5" s="231"/>
      <c r="F5" s="231"/>
      <c r="G5" s="231"/>
      <c r="H5" s="231"/>
      <c r="I5" s="231"/>
      <c r="J5" s="231"/>
    </row>
    <row r="6" spans="1:10" ht="15.75" customHeight="1" x14ac:dyDescent="0.3">
      <c r="A6" t="s">
        <v>204</v>
      </c>
      <c r="B6" t="s">
        <v>205</v>
      </c>
      <c r="C6" s="231"/>
      <c r="D6" s="231"/>
      <c r="E6" s="231"/>
      <c r="F6" s="231"/>
      <c r="G6" s="231"/>
      <c r="H6" s="231"/>
      <c r="I6" s="231"/>
      <c r="J6" s="231"/>
    </row>
    <row r="7" spans="1:10" ht="15.75" customHeight="1" x14ac:dyDescent="0.3">
      <c r="A7" t="s">
        <v>206</v>
      </c>
      <c r="B7" t="s">
        <v>207</v>
      </c>
      <c r="C7" s="231"/>
      <c r="D7" s="231"/>
      <c r="E7" s="231"/>
      <c r="F7" s="231"/>
      <c r="G7" s="231"/>
      <c r="H7" s="231"/>
      <c r="I7" s="231"/>
      <c r="J7" s="231"/>
    </row>
    <row r="8" spans="1:10" ht="42.9" customHeight="1" x14ac:dyDescent="0.3">
      <c r="A8" s="36" t="s">
        <v>208</v>
      </c>
      <c r="B8" s="36" t="s">
        <v>550</v>
      </c>
      <c r="C8" s="40" t="s">
        <v>638</v>
      </c>
      <c r="D8" s="40" t="s">
        <v>639</v>
      </c>
      <c r="E8" s="40" t="s">
        <v>640</v>
      </c>
      <c r="F8" s="40" t="s">
        <v>641</v>
      </c>
      <c r="G8" s="40" t="s">
        <v>642</v>
      </c>
      <c r="H8" s="40" t="s">
        <v>643</v>
      </c>
      <c r="I8" s="40" t="s">
        <v>627</v>
      </c>
      <c r="J8" s="437" t="s">
        <v>551</v>
      </c>
    </row>
    <row r="9" spans="1:10" ht="15" thickBot="1" x14ac:dyDescent="0.35">
      <c r="A9" s="38" t="str">
        <f>wtroleareapivot!B1</f>
        <v>2025-26</v>
      </c>
      <c r="B9" s="38" t="s">
        <v>551</v>
      </c>
      <c r="C9" s="64">
        <f>C44+C64+C70+C72</f>
        <v>5</v>
      </c>
      <c r="D9" s="64">
        <f>D44+D64+D70+D72</f>
        <v>27</v>
      </c>
      <c r="E9" s="64">
        <f t="shared" ref="E9:J9" si="0">E44+E64+E70+E72</f>
        <v>72</v>
      </c>
      <c r="F9" s="64">
        <f t="shared" si="0"/>
        <v>160</v>
      </c>
      <c r="G9" s="64">
        <f t="shared" si="0"/>
        <v>625</v>
      </c>
      <c r="H9" s="64">
        <f t="shared" si="0"/>
        <v>641</v>
      </c>
      <c r="I9" s="64">
        <f t="shared" si="0"/>
        <v>1899</v>
      </c>
      <c r="J9" s="64">
        <f t="shared" si="0"/>
        <v>3429</v>
      </c>
    </row>
    <row r="10" spans="1:10" x14ac:dyDescent="0.3">
      <c r="B10" s="39"/>
      <c r="C10" s="44"/>
      <c r="D10" s="44"/>
      <c r="E10" s="44"/>
      <c r="F10" s="44"/>
      <c r="G10" s="44"/>
      <c r="H10" s="44"/>
      <c r="I10" s="44"/>
      <c r="J10" s="65"/>
    </row>
    <row r="11" spans="1:10" x14ac:dyDescent="0.3">
      <c r="A11" s="42" t="s">
        <v>209</v>
      </c>
      <c r="B11" s="42" t="s">
        <v>347</v>
      </c>
      <c r="C11" s="15"/>
      <c r="D11" s="20"/>
      <c r="E11" s="20"/>
      <c r="F11" s="20"/>
      <c r="G11" s="20"/>
      <c r="H11" s="20"/>
      <c r="I11" s="20"/>
      <c r="J11" s="20"/>
    </row>
    <row r="12" spans="1:10" ht="19.5" customHeight="1" x14ac:dyDescent="0.3">
      <c r="A12" s="390" t="s">
        <v>214</v>
      </c>
      <c r="B12" s="45" t="s">
        <v>215</v>
      </c>
      <c r="C12" s="434">
        <f>GETPIVOTDATA("Sum of Brigade Manager",wtroleareapivot!$A$3,"ReportingLevel","1:LA","lvl","Aberdeen City")</f>
        <v>0</v>
      </c>
      <c r="D12" s="434">
        <f>GETPIVOTDATA("Sum of Area Manager",wtroleareapivot!$A$3,"ReportingLevel","1:LA","lvl","Aberdeen City")</f>
        <v>0</v>
      </c>
      <c r="E12" s="434">
        <f>GETPIVOTDATA("Sum of Group Manager",wtroleareapivot!$A$3,"ReportingLevel","1:LA","lvl","Aberdeen City")</f>
        <v>0</v>
      </c>
      <c r="F12" s="434">
        <f>GETPIVOTDATA("Sum of Station Manager",wtroleareapivot!$A$3,"ReportingLevel","1:LA","lvl","Aberdeen City")</f>
        <v>0</v>
      </c>
      <c r="G12" s="298">
        <f>GETPIVOTDATA("Sum of Watch Manager",wtroleareapivot!$A$3,"ReportingLevel","1:LA","lvl","Aberdeen City")</f>
        <v>15</v>
      </c>
      <c r="H12" s="298">
        <f>GETPIVOTDATA("Sum of Crew Manager",wtroleareapivot!$A$3,"ReportingLevel","1:LA","lvl","Aberdeen City")</f>
        <v>25</v>
      </c>
      <c r="I12" s="298">
        <f>GETPIVOTDATA("Sum of Firefighter",wtroleareapivot!$A$3,"ReportingLevel","1:LA","lvl","Aberdeen City")</f>
        <v>69</v>
      </c>
      <c r="J12" s="66">
        <f>SUM(C12:I12)</f>
        <v>109</v>
      </c>
    </row>
    <row r="13" spans="1:10" x14ac:dyDescent="0.3">
      <c r="A13" s="89" t="s">
        <v>219</v>
      </c>
      <c r="B13" s="48" t="s">
        <v>220</v>
      </c>
      <c r="C13" s="675">
        <f>GETPIVOTDATA("Sum of Brigade Manager",wtroleareapivot!$A$3,"ReportingLevel","1:LA","lvl","Aberdeenshire")</f>
        <v>0</v>
      </c>
      <c r="D13" s="675">
        <f>GETPIVOTDATA("Sum of Area Manager",wtroleareapivot!$A$3,"ReportingLevel","1:LA","lvl","Aberdeenshire")</f>
        <v>0</v>
      </c>
      <c r="E13" s="675">
        <f>GETPIVOTDATA("Sum of Group Manager",wtroleareapivot!$A$3,"ReportingLevel","1:LA","lvl","Aberdeenshire")</f>
        <v>0</v>
      </c>
      <c r="F13" s="675">
        <f>GETPIVOTDATA("Sum of Station Manager",wtroleareapivot!$A$3,"ReportingLevel","1:LA","lvl","Aberdeenshire")</f>
        <v>0</v>
      </c>
      <c r="G13" s="667">
        <f>GETPIVOTDATA("Sum of Watch Manager",wtroleareapivot!$A$3,"ReportingLevel","1:LA","lvl","Aberdeenshire")</f>
        <v>15</v>
      </c>
      <c r="H13" s="667">
        <f>GETPIVOTDATA("Sum of Crew Manager",wtroleareapivot!$A$3,"ReportingLevel","1:LA","lvl","Aberdeenshire")</f>
        <v>11</v>
      </c>
      <c r="I13" s="667">
        <f>GETPIVOTDATA("Sum of Firefighter",wtroleareapivot!$A$3,"ReportingLevel","1:LA","lvl","Aberdeenshire")</f>
        <v>16</v>
      </c>
      <c r="J13" s="66">
        <f t="shared" ref="J13:J43" si="1">SUM(C13:I13)</f>
        <v>42</v>
      </c>
    </row>
    <row r="14" spans="1:10" x14ac:dyDescent="0.3">
      <c r="A14" s="89" t="s">
        <v>223</v>
      </c>
      <c r="B14" s="48" t="s">
        <v>224</v>
      </c>
      <c r="C14" s="675">
        <f>GETPIVOTDATA("Sum of Brigade Manager",wtroleareapivot!$A$3,"ReportingLevel","1:LA","lvl","Angus")</f>
        <v>0</v>
      </c>
      <c r="D14" s="675">
        <f>GETPIVOTDATA("Sum of Area Manager",wtroleareapivot!$A$3,"ReportingLevel","1:LA","lvl","Angus")</f>
        <v>0</v>
      </c>
      <c r="E14" s="675">
        <f>GETPIVOTDATA("Sum of Group Manager",wtroleareapivot!$A$3,"ReportingLevel","1:LA","lvl","Angus")</f>
        <v>0</v>
      </c>
      <c r="F14" s="675">
        <f>GETPIVOTDATA("Sum of Station Manager",wtroleareapivot!$A$3,"ReportingLevel","1:LA","lvl","Angus")</f>
        <v>1</v>
      </c>
      <c r="G14" s="667">
        <f>GETPIVOTDATA("Sum of Watch Manager",wtroleareapivot!$A$3,"ReportingLevel","1:LA","lvl","Angus")</f>
        <v>5</v>
      </c>
      <c r="H14" s="667">
        <f>GETPIVOTDATA("Sum of Crew Manager",wtroleareapivot!$A$3,"ReportingLevel","1:LA","lvl","Angus")</f>
        <v>5</v>
      </c>
      <c r="I14" s="667">
        <f>GETPIVOTDATA("Sum of Firefighter",wtroleareapivot!$A$3,"ReportingLevel","1:LA","lvl","Angus")</f>
        <v>15</v>
      </c>
      <c r="J14" s="66">
        <f t="shared" si="1"/>
        <v>26</v>
      </c>
    </row>
    <row r="15" spans="1:10" x14ac:dyDescent="0.3">
      <c r="A15" s="89" t="s">
        <v>227</v>
      </c>
      <c r="B15" s="48" t="s">
        <v>228</v>
      </c>
      <c r="C15" s="675">
        <f>GETPIVOTDATA("Sum of Brigade Manager",wtroleareapivot!$A$3,"ReportingLevel","1:LA","lvl","Argyll and Bute")</f>
        <v>0</v>
      </c>
      <c r="D15" s="675">
        <f>GETPIVOTDATA("Sum of Area Manager",wtroleareapivot!$A$3,"ReportingLevel","1:LA","lvl","Argyll and Bute")</f>
        <v>0</v>
      </c>
      <c r="E15" s="675">
        <f>GETPIVOTDATA("Sum of Group Manager",wtroleareapivot!$A$3,"ReportingLevel","1:LA","lvl","Argyll and Bute")</f>
        <v>0</v>
      </c>
      <c r="F15" s="675">
        <f>GETPIVOTDATA("Sum of Station Manager",wtroleareapivot!$A$3,"ReportingLevel","1:LA","lvl","Argyll and Bute")</f>
        <v>0</v>
      </c>
      <c r="G15" s="667">
        <f>GETPIVOTDATA("Sum of Watch Manager",wtroleareapivot!$A$3,"ReportingLevel","1:LA","lvl","Argyll and Bute")</f>
        <v>11</v>
      </c>
      <c r="H15" s="667">
        <f>GETPIVOTDATA("Sum of Crew Manager",wtroleareapivot!$A$3,"ReportingLevel","1:LA","lvl","Argyll and Bute")</f>
        <v>10</v>
      </c>
      <c r="I15" s="667">
        <f>GETPIVOTDATA("Sum of Firefighter",wtroleareapivot!$A$3,"ReportingLevel","1:LA","lvl","Argyll and Bute")</f>
        <v>31</v>
      </c>
      <c r="J15" s="66">
        <f t="shared" si="1"/>
        <v>52</v>
      </c>
    </row>
    <row r="16" spans="1:10" x14ac:dyDescent="0.3">
      <c r="A16" s="89" t="s">
        <v>233</v>
      </c>
      <c r="B16" s="48" t="s">
        <v>234</v>
      </c>
      <c r="C16" s="675">
        <f>GETPIVOTDATA("Sum of Brigade Manager",wtroleareapivot!$A$3,"ReportingLevel","1:LA","lvl","City of Edinburgh")</f>
        <v>0</v>
      </c>
      <c r="D16" s="675">
        <f>GETPIVOTDATA("Sum of Area Manager",wtroleareapivot!$A$3,"ReportingLevel","1:LA","lvl","City of Edinburgh")</f>
        <v>0</v>
      </c>
      <c r="E16" s="675">
        <f>GETPIVOTDATA("Sum of Group Manager",wtroleareapivot!$A$3,"ReportingLevel","1:LA","lvl","City of Edinburgh")</f>
        <v>0</v>
      </c>
      <c r="F16" s="675">
        <f>GETPIVOTDATA("Sum of Station Manager",wtroleareapivot!$A$3,"ReportingLevel","1:LA","lvl","City of Edinburgh")</f>
        <v>0</v>
      </c>
      <c r="G16" s="667">
        <f>GETPIVOTDATA("Sum of Watch Manager",wtroleareapivot!$A$3,"ReportingLevel","1:LA","lvl","City of Edinburgh")</f>
        <v>51</v>
      </c>
      <c r="H16" s="667">
        <f>GETPIVOTDATA("Sum of Crew Manager",wtroleareapivot!$A$3,"ReportingLevel","1:LA","lvl","City of Edinburgh")</f>
        <v>60</v>
      </c>
      <c r="I16" s="667">
        <f>GETPIVOTDATA("Sum of Firefighter",wtroleareapivot!$A$3,"ReportingLevel","1:LA","lvl","City of Edinburgh")</f>
        <v>192</v>
      </c>
      <c r="J16" s="66">
        <f t="shared" si="1"/>
        <v>303</v>
      </c>
    </row>
    <row r="17" spans="1:10" x14ac:dyDescent="0.3">
      <c r="A17" s="89" t="s">
        <v>239</v>
      </c>
      <c r="B17" s="48" t="s">
        <v>240</v>
      </c>
      <c r="C17" s="675">
        <f>GETPIVOTDATA("Sum of Brigade Manager",wtroleareapivot!$A$3,"ReportingLevel","1:LA","lvl","Clackmannanshire")</f>
        <v>0</v>
      </c>
      <c r="D17" s="675">
        <f>GETPIVOTDATA("Sum of Area Manager",wtroleareapivot!$A$3,"ReportingLevel","1:LA","lvl","Clackmannanshire")</f>
        <v>0</v>
      </c>
      <c r="E17" s="675">
        <f>GETPIVOTDATA("Sum of Group Manager",wtroleareapivot!$A$3,"ReportingLevel","1:LA","lvl","Clackmannanshire")</f>
        <v>0</v>
      </c>
      <c r="F17" s="675">
        <f>GETPIVOTDATA("Sum of Station Manager",wtroleareapivot!$A$3,"ReportingLevel","1:LA","lvl","Clackmannanshire")</f>
        <v>0</v>
      </c>
      <c r="G17" s="667">
        <f>GETPIVOTDATA("Sum of Watch Manager",wtroleareapivot!$A$3,"ReportingLevel","1:LA","lvl","Clackmannanshire")</f>
        <v>5</v>
      </c>
      <c r="H17" s="667">
        <f>GETPIVOTDATA("Sum of Crew Manager",wtroleareapivot!$A$3,"ReportingLevel","1:LA","lvl","Clackmannanshire")</f>
        <v>5</v>
      </c>
      <c r="I17" s="667">
        <f>GETPIVOTDATA("Sum of Firefighter",wtroleareapivot!$A$3,"ReportingLevel","1:LA","lvl","Clackmannanshire")</f>
        <v>17</v>
      </c>
      <c r="J17" s="66">
        <f t="shared" si="1"/>
        <v>27</v>
      </c>
    </row>
    <row r="18" spans="1:10" x14ac:dyDescent="0.3">
      <c r="A18" s="89" t="s">
        <v>243</v>
      </c>
      <c r="B18" s="48" t="s">
        <v>244</v>
      </c>
      <c r="C18" s="675">
        <f>GETPIVOTDATA("Sum of Brigade Manager",wtroleareapivot!$A$3,"ReportingLevel","1:LA","lvl","Dumfries and Galloway")</f>
        <v>0</v>
      </c>
      <c r="D18" s="675">
        <f>GETPIVOTDATA("Sum of Area Manager",wtroleareapivot!$A$3,"ReportingLevel","1:LA","lvl","Dumfries and Galloway")</f>
        <v>0</v>
      </c>
      <c r="E18" s="675">
        <f>GETPIVOTDATA("Sum of Group Manager",wtroleareapivot!$A$3,"ReportingLevel","1:LA","lvl","Dumfries and Galloway")</f>
        <v>0</v>
      </c>
      <c r="F18" s="675">
        <f>GETPIVOTDATA("Sum of Station Manager",wtroleareapivot!$A$3,"ReportingLevel","1:LA","lvl","Dumfries and Galloway")</f>
        <v>0</v>
      </c>
      <c r="G18" s="667">
        <f>GETPIVOTDATA("Sum of Watch Manager",wtroleareapivot!$A$3,"ReportingLevel","1:LA","lvl","Dumfries and Galloway")</f>
        <v>13</v>
      </c>
      <c r="H18" s="667">
        <f>GETPIVOTDATA("Sum of Crew Manager",wtroleareapivot!$A$3,"ReportingLevel","1:LA","lvl","Dumfries and Galloway")</f>
        <v>15</v>
      </c>
      <c r="I18" s="667">
        <f>GETPIVOTDATA("Sum of Firefighter",wtroleareapivot!$A$3,"ReportingLevel","1:LA","lvl","Dumfries and Galloway")</f>
        <v>36</v>
      </c>
      <c r="J18" s="66">
        <f t="shared" si="1"/>
        <v>64</v>
      </c>
    </row>
    <row r="19" spans="1:10" x14ac:dyDescent="0.3">
      <c r="A19" s="89" t="s">
        <v>246</v>
      </c>
      <c r="B19" s="48" t="s">
        <v>247</v>
      </c>
      <c r="C19" s="675">
        <f>GETPIVOTDATA("Sum of Brigade Manager",wtroleareapivot!$A$3,"ReportingLevel","1:LA","lvl","Dundee City")</f>
        <v>0</v>
      </c>
      <c r="D19" s="675">
        <f>GETPIVOTDATA("Sum of Area Manager",wtroleareapivot!$A$3,"ReportingLevel","1:LA","lvl","Dundee City")</f>
        <v>0</v>
      </c>
      <c r="E19" s="675">
        <f>GETPIVOTDATA("Sum of Group Manager",wtroleareapivot!$A$3,"ReportingLevel","1:LA","lvl","Dundee City")</f>
        <v>1</v>
      </c>
      <c r="F19" s="675">
        <f>GETPIVOTDATA("Sum of Station Manager",wtroleareapivot!$A$3,"ReportingLevel","1:LA","lvl","Dundee City")</f>
        <v>0</v>
      </c>
      <c r="G19" s="667">
        <f>GETPIVOTDATA("Sum of Watch Manager",wtroleareapivot!$A$3,"ReportingLevel","1:LA","lvl","Dundee City")</f>
        <v>20</v>
      </c>
      <c r="H19" s="667">
        <f>GETPIVOTDATA("Sum of Crew Manager",wtroleareapivot!$A$3,"ReportingLevel","1:LA","lvl","Dundee City")</f>
        <v>31</v>
      </c>
      <c r="I19" s="667">
        <f>GETPIVOTDATA("Sum of Firefighter",wtroleareapivot!$A$3,"ReportingLevel","1:LA","lvl","Dundee City")</f>
        <v>106</v>
      </c>
      <c r="J19" s="66">
        <f t="shared" si="1"/>
        <v>158</v>
      </c>
    </row>
    <row r="20" spans="1:10" x14ac:dyDescent="0.3">
      <c r="A20" s="89" t="s">
        <v>248</v>
      </c>
      <c r="B20" s="48" t="s">
        <v>249</v>
      </c>
      <c r="C20" s="675">
        <f>GETPIVOTDATA("Sum of Brigade Manager",wtroleareapivot!$A$3,"ReportingLevel","1:LA","lvl","East Ayrshire")</f>
        <v>0</v>
      </c>
      <c r="D20" s="675">
        <f>GETPIVOTDATA("Sum of Area Manager",wtroleareapivot!$A$3,"ReportingLevel","1:LA","lvl","East Ayrshire")</f>
        <v>0</v>
      </c>
      <c r="E20" s="675">
        <f>GETPIVOTDATA("Sum of Group Manager",wtroleareapivot!$A$3,"ReportingLevel","1:LA","lvl","East Ayrshire")</f>
        <v>0</v>
      </c>
      <c r="F20" s="675">
        <f>GETPIVOTDATA("Sum of Station Manager",wtroleareapivot!$A$3,"ReportingLevel","1:LA","lvl","East Ayrshire")</f>
        <v>0</v>
      </c>
      <c r="G20" s="667">
        <f>GETPIVOTDATA("Sum of Watch Manager",wtroleareapivot!$A$3,"ReportingLevel","1:LA","lvl","East Ayrshire")</f>
        <v>5</v>
      </c>
      <c r="H20" s="667">
        <f>GETPIVOTDATA("Sum of Crew Manager",wtroleareapivot!$A$3,"ReportingLevel","1:LA","lvl","East Ayrshire")</f>
        <v>11</v>
      </c>
      <c r="I20" s="667">
        <f>GETPIVOTDATA("Sum of Firefighter",wtroleareapivot!$A$3,"ReportingLevel","1:LA","lvl","East Ayrshire")</f>
        <v>37</v>
      </c>
      <c r="J20" s="66">
        <f t="shared" si="1"/>
        <v>53</v>
      </c>
    </row>
    <row r="21" spans="1:10" x14ac:dyDescent="0.3">
      <c r="A21" s="89" t="s">
        <v>252</v>
      </c>
      <c r="B21" s="48" t="s">
        <v>253</v>
      </c>
      <c r="C21" s="675">
        <f>GETPIVOTDATA("Sum of Brigade Manager",wtroleareapivot!$A$3,"ReportingLevel","1:LA","lvl","East Dunbartonshire")</f>
        <v>0</v>
      </c>
      <c r="D21" s="675">
        <f>GETPIVOTDATA("Sum of Area Manager",wtroleareapivot!$A$3,"ReportingLevel","1:LA","lvl","East Dunbartonshire")</f>
        <v>0</v>
      </c>
      <c r="E21" s="675">
        <f>GETPIVOTDATA("Sum of Group Manager",wtroleareapivot!$A$3,"ReportingLevel","1:LA","lvl","East Dunbartonshire")</f>
        <v>0</v>
      </c>
      <c r="F21" s="675">
        <f>GETPIVOTDATA("Sum of Station Manager",wtroleareapivot!$A$3,"ReportingLevel","1:LA","lvl","East Dunbartonshire")</f>
        <v>0</v>
      </c>
      <c r="G21" s="667">
        <f>GETPIVOTDATA("Sum of Watch Manager",wtroleareapivot!$A$3,"ReportingLevel","1:LA","lvl","East Dunbartonshire")</f>
        <v>15</v>
      </c>
      <c r="H21" s="667">
        <f>GETPIVOTDATA("Sum of Crew Manager",wtroleareapivot!$A$3,"ReportingLevel","1:LA","lvl","East Dunbartonshire")</f>
        <v>17</v>
      </c>
      <c r="I21" s="667">
        <f>GETPIVOTDATA("Sum of Firefighter",wtroleareapivot!$A$3,"ReportingLevel","1:LA","lvl","East Dunbartonshire")</f>
        <v>49</v>
      </c>
      <c r="J21" s="66">
        <f t="shared" si="1"/>
        <v>81</v>
      </c>
    </row>
    <row r="22" spans="1:10" x14ac:dyDescent="0.3">
      <c r="A22" s="89" t="s">
        <v>254</v>
      </c>
      <c r="B22" s="48" t="s">
        <v>255</v>
      </c>
      <c r="C22" s="675">
        <f>GETPIVOTDATA("Sum of Brigade Manager",wtroleareapivot!$A$3,"ReportingLevel","1:LA","lvl","East Lothian")</f>
        <v>0</v>
      </c>
      <c r="D22" s="675">
        <f>GETPIVOTDATA("Sum of Area Manager",wtroleareapivot!$A$3,"ReportingLevel","1:LA","lvl","East Lothian")</f>
        <v>0</v>
      </c>
      <c r="E22" s="675">
        <f>GETPIVOTDATA("Sum of Group Manager",wtroleareapivot!$A$3,"ReportingLevel","1:LA","lvl","East Lothian")</f>
        <v>0</v>
      </c>
      <c r="F22" s="675">
        <f>GETPIVOTDATA("Sum of Station Manager",wtroleareapivot!$A$3,"ReportingLevel","1:LA","lvl","East Lothian")</f>
        <v>0</v>
      </c>
      <c r="G22" s="667">
        <f>GETPIVOTDATA("Sum of Watch Manager",wtroleareapivot!$A$3,"ReportingLevel","1:LA","lvl","East Lothian")</f>
        <v>5</v>
      </c>
      <c r="H22" s="667">
        <f>GETPIVOTDATA("Sum of Crew Manager",wtroleareapivot!$A$3,"ReportingLevel","1:LA","lvl","East Lothian")</f>
        <v>5</v>
      </c>
      <c r="I22" s="667">
        <f>GETPIVOTDATA("Sum of Firefighter",wtroleareapivot!$A$3,"ReportingLevel","1:LA","lvl","East Lothian")</f>
        <v>15</v>
      </c>
      <c r="J22" s="66">
        <f t="shared" si="1"/>
        <v>25</v>
      </c>
    </row>
    <row r="23" spans="1:10" x14ac:dyDescent="0.3">
      <c r="A23" s="89" t="s">
        <v>258</v>
      </c>
      <c r="B23" s="48" t="s">
        <v>259</v>
      </c>
      <c r="C23" s="675">
        <f>GETPIVOTDATA("Sum of Brigade Manager",wtroleareapivot!$A$3,"ReportingLevel","1:LA","lvl","East Renfrewshire")</f>
        <v>0</v>
      </c>
      <c r="D23" s="675">
        <f>GETPIVOTDATA("Sum of Area Manager",wtroleareapivot!$A$3,"ReportingLevel","1:LA","lvl","East Renfrewshire")</f>
        <v>0</v>
      </c>
      <c r="E23" s="675">
        <f>GETPIVOTDATA("Sum of Group Manager",wtroleareapivot!$A$3,"ReportingLevel","1:LA","lvl","East Renfrewshire")</f>
        <v>0</v>
      </c>
      <c r="F23" s="675">
        <f>GETPIVOTDATA("Sum of Station Manager",wtroleareapivot!$A$3,"ReportingLevel","1:LA","lvl","East Renfrewshire")</f>
        <v>0</v>
      </c>
      <c r="G23" s="667">
        <f>GETPIVOTDATA("Sum of Watch Manager",wtroleareapivot!$A$3,"ReportingLevel","1:LA","lvl","East Renfrewshire")</f>
        <v>10</v>
      </c>
      <c r="H23" s="667">
        <f>GETPIVOTDATA("Sum of Crew Manager",wtroleareapivot!$A$3,"ReportingLevel","1:LA","lvl","East Renfrewshire")</f>
        <v>10</v>
      </c>
      <c r="I23" s="667">
        <f>GETPIVOTDATA("Sum of Firefighter",wtroleareapivot!$A$3,"ReportingLevel","1:LA","lvl","East Renfrewshire")</f>
        <v>30</v>
      </c>
      <c r="J23" s="66">
        <f t="shared" si="1"/>
        <v>50</v>
      </c>
    </row>
    <row r="24" spans="1:10" x14ac:dyDescent="0.3">
      <c r="A24" s="89" t="s">
        <v>262</v>
      </c>
      <c r="B24" s="48" t="s">
        <v>263</v>
      </c>
      <c r="C24" s="675">
        <f>GETPIVOTDATA("Sum of Brigade Manager",wtroleareapivot!$A$3,"ReportingLevel","1:LA","lvl","Falkirk")</f>
        <v>0</v>
      </c>
      <c r="D24" s="675">
        <f>GETPIVOTDATA("Sum of Area Manager",wtroleareapivot!$A$3,"ReportingLevel","1:LA","lvl","Falkirk")</f>
        <v>0</v>
      </c>
      <c r="E24" s="675">
        <f>GETPIVOTDATA("Sum of Group Manager",wtroleareapivot!$A$3,"ReportingLevel","1:LA","lvl","Falkirk")</f>
        <v>0</v>
      </c>
      <c r="F24" s="675">
        <f>GETPIVOTDATA("Sum of Station Manager",wtroleareapivot!$A$3,"ReportingLevel","1:LA","lvl","Falkirk")</f>
        <v>0</v>
      </c>
      <c r="G24" s="667">
        <f>GETPIVOTDATA("Sum of Watch Manager",wtroleareapivot!$A$3,"ReportingLevel","1:LA","lvl","Falkirk")</f>
        <v>15</v>
      </c>
      <c r="H24" s="667">
        <f>GETPIVOTDATA("Sum of Crew Manager",wtroleareapivot!$A$3,"ReportingLevel","1:LA","lvl","Falkirk")</f>
        <v>20</v>
      </c>
      <c r="I24" s="667">
        <f>GETPIVOTDATA("Sum of Firefighter",wtroleareapivot!$A$3,"ReportingLevel","1:LA","lvl","Falkirk")</f>
        <v>49</v>
      </c>
      <c r="J24" s="66">
        <f t="shared" si="1"/>
        <v>84</v>
      </c>
    </row>
    <row r="25" spans="1:10" x14ac:dyDescent="0.3">
      <c r="A25" s="89" t="s">
        <v>266</v>
      </c>
      <c r="B25" s="48" t="s">
        <v>267</v>
      </c>
      <c r="C25" s="675">
        <f>GETPIVOTDATA("Sum of Brigade Manager",wtroleareapivot!$A$3,"ReportingLevel","1:LA","lvl","Fife")</f>
        <v>0</v>
      </c>
      <c r="D25" s="675">
        <f>GETPIVOTDATA("Sum of Area Manager",wtroleareapivot!$A$3,"ReportingLevel","1:LA","lvl","Fife")</f>
        <v>0</v>
      </c>
      <c r="E25" s="675">
        <f>GETPIVOTDATA("Sum of Group Manager",wtroleareapivot!$A$3,"ReportingLevel","1:LA","lvl","Fife")</f>
        <v>0</v>
      </c>
      <c r="F25" s="675">
        <f>GETPIVOTDATA("Sum of Station Manager",wtroleareapivot!$A$3,"ReportingLevel","1:LA","lvl","Fife")</f>
        <v>0</v>
      </c>
      <c r="G25" s="667">
        <f>GETPIVOTDATA("Sum of Watch Manager",wtroleareapivot!$A$3,"ReportingLevel","1:LA","lvl","Fife")</f>
        <v>25</v>
      </c>
      <c r="H25" s="667">
        <f>GETPIVOTDATA("Sum of Crew Manager",wtroleareapivot!$A$3,"ReportingLevel","1:LA","lvl","Fife")</f>
        <v>42</v>
      </c>
      <c r="I25" s="667">
        <f>GETPIVOTDATA("Sum of Firefighter",wtroleareapivot!$A$3,"ReportingLevel","1:LA","lvl","Fife")</f>
        <v>137</v>
      </c>
      <c r="J25" s="66">
        <f t="shared" si="1"/>
        <v>204</v>
      </c>
    </row>
    <row r="26" spans="1:10" x14ac:dyDescent="0.3">
      <c r="A26" s="89" t="str">
        <f>IF(OR(A9 = "2018-19", A9 = "2017-18", A9 = "2016-17", A9 = "2015-16", A9 = "2014-15", A9 = "2013-14"),"S12000049","S12000046")</f>
        <v>S12000046</v>
      </c>
      <c r="B26" s="48" t="s">
        <v>270</v>
      </c>
      <c r="C26" s="675">
        <f>GETPIVOTDATA("Sum of Brigade Manager",wtroleareapivot!$A$3,"ReportingLevel","1:LA","lvl","Glasgow City")</f>
        <v>0</v>
      </c>
      <c r="D26" s="675">
        <f>GETPIVOTDATA("Sum of Area Manager",wtroleareapivot!$A$3,"ReportingLevel","1:LA","lvl","Glasgow City")</f>
        <v>0</v>
      </c>
      <c r="E26" s="675">
        <f>GETPIVOTDATA("Sum of Group Manager",wtroleareapivot!$A$3,"ReportingLevel","1:LA","lvl","Glasgow City")</f>
        <v>0</v>
      </c>
      <c r="F26" s="675">
        <f>GETPIVOTDATA("Sum of Station Manager",wtroleareapivot!$A$3,"ReportingLevel","1:LA","lvl","Glasgow City")</f>
        <v>0</v>
      </c>
      <c r="G26" s="667">
        <f>GETPIVOTDATA("Sum of Watch Manager",wtroleareapivot!$A$3,"ReportingLevel","1:LA","lvl","Glasgow City")</f>
        <v>67</v>
      </c>
      <c r="H26" s="667">
        <f>GETPIVOTDATA("Sum of Crew Manager",wtroleareapivot!$A$3,"ReportingLevel","1:LA","lvl","Glasgow City")</f>
        <v>94</v>
      </c>
      <c r="I26" s="667">
        <f>GETPIVOTDATA("Sum of Firefighter",wtroleareapivot!$A$3,"ReportingLevel","1:LA","lvl","Glasgow City")</f>
        <v>291</v>
      </c>
      <c r="J26" s="66">
        <f t="shared" si="1"/>
        <v>452</v>
      </c>
    </row>
    <row r="27" spans="1:10" x14ac:dyDescent="0.3">
      <c r="A27" s="89" t="s">
        <v>272</v>
      </c>
      <c r="B27" s="48" t="s">
        <v>273</v>
      </c>
      <c r="C27" s="675">
        <f>GETPIVOTDATA("Sum of Brigade Manager",wtroleareapivot!$A$3,"ReportingLevel","1:LA","lvl","Highland")</f>
        <v>0</v>
      </c>
      <c r="D27" s="675">
        <f>GETPIVOTDATA("Sum of Area Manager",wtroleareapivot!$A$3,"ReportingLevel","1:LA","lvl","Highland")</f>
        <v>0</v>
      </c>
      <c r="E27" s="675">
        <f>GETPIVOTDATA("Sum of Group Manager",wtroleareapivot!$A$3,"ReportingLevel","1:LA","lvl","Highland")</f>
        <v>0</v>
      </c>
      <c r="F27" s="675">
        <f>GETPIVOTDATA("Sum of Station Manager",wtroleareapivot!$A$3,"ReportingLevel","1:LA","lvl","Highland")</f>
        <v>0</v>
      </c>
      <c r="G27" s="667">
        <f>GETPIVOTDATA("Sum of Watch Manager",wtroleareapivot!$A$3,"ReportingLevel","1:LA","lvl","Highland")</f>
        <v>12</v>
      </c>
      <c r="H27" s="667">
        <f>GETPIVOTDATA("Sum of Crew Manager",wtroleareapivot!$A$3,"ReportingLevel","1:LA","lvl","Highland")</f>
        <v>21</v>
      </c>
      <c r="I27" s="667">
        <f>GETPIVOTDATA("Sum of Firefighter",wtroleareapivot!$A$3,"ReportingLevel","1:LA","lvl","Highland")</f>
        <v>50</v>
      </c>
      <c r="J27" s="66">
        <f t="shared" si="1"/>
        <v>83</v>
      </c>
    </row>
    <row r="28" spans="1:10" x14ac:dyDescent="0.3">
      <c r="A28" s="89" t="s">
        <v>276</v>
      </c>
      <c r="B28" s="48" t="s">
        <v>277</v>
      </c>
      <c r="C28" s="675">
        <f>GETPIVOTDATA("Sum of Brigade Manager",wtroleareapivot!$A$3,"ReportingLevel","1:LA","lvl","Inverclyde")</f>
        <v>0</v>
      </c>
      <c r="D28" s="675">
        <f>GETPIVOTDATA("Sum of Area Manager",wtroleareapivot!$A$3,"ReportingLevel","1:LA","lvl","Inverclyde")</f>
        <v>0</v>
      </c>
      <c r="E28" s="675">
        <f>GETPIVOTDATA("Sum of Group Manager",wtroleareapivot!$A$3,"ReportingLevel","1:LA","lvl","Inverclyde")</f>
        <v>0</v>
      </c>
      <c r="F28" s="675">
        <f>GETPIVOTDATA("Sum of Station Manager",wtroleareapivot!$A$3,"ReportingLevel","1:LA","lvl","Inverclyde")</f>
        <v>0</v>
      </c>
      <c r="G28" s="667">
        <f>GETPIVOTDATA("Sum of Watch Manager",wtroleareapivot!$A$3,"ReportingLevel","1:LA","lvl","Inverclyde")</f>
        <v>10</v>
      </c>
      <c r="H28" s="667">
        <f>GETPIVOTDATA("Sum of Crew Manager",wtroleareapivot!$A$3,"ReportingLevel","1:LA","lvl","Inverclyde")</f>
        <v>15</v>
      </c>
      <c r="I28" s="667">
        <f>GETPIVOTDATA("Sum of Firefighter",wtroleareapivot!$A$3,"ReportingLevel","1:LA","lvl","Inverclyde")</f>
        <v>41</v>
      </c>
      <c r="J28" s="66">
        <f t="shared" si="1"/>
        <v>66</v>
      </c>
    </row>
    <row r="29" spans="1:10" x14ac:dyDescent="0.3">
      <c r="A29" s="89" t="s">
        <v>278</v>
      </c>
      <c r="B29" s="48" t="s">
        <v>279</v>
      </c>
      <c r="C29" s="675">
        <f>GETPIVOTDATA("Sum of Brigade Manager",wtroleareapivot!$A$3,"ReportingLevel","1:LA","lvl","Midlothian")</f>
        <v>0</v>
      </c>
      <c r="D29" s="675">
        <f>GETPIVOTDATA("Sum of Area Manager",wtroleareapivot!$A$3,"ReportingLevel","1:LA","lvl","Midlothian")</f>
        <v>0</v>
      </c>
      <c r="E29" s="675">
        <f>GETPIVOTDATA("Sum of Group Manager",wtroleareapivot!$A$3,"ReportingLevel","1:LA","lvl","Midlothian")</f>
        <v>0</v>
      </c>
      <c r="F29" s="675">
        <f>GETPIVOTDATA("Sum of Station Manager",wtroleareapivot!$A$3,"ReportingLevel","1:LA","lvl","Midlothian")</f>
        <v>0</v>
      </c>
      <c r="G29" s="667">
        <f>GETPIVOTDATA("Sum of Watch Manager",wtroleareapivot!$A$3,"ReportingLevel","1:LA","lvl","Midlothian")</f>
        <v>7</v>
      </c>
      <c r="H29" s="667">
        <f>GETPIVOTDATA("Sum of Crew Manager",wtroleareapivot!$A$3,"ReportingLevel","1:LA","lvl","Midlothian")</f>
        <v>6</v>
      </c>
      <c r="I29" s="667">
        <f>GETPIVOTDATA("Sum of Firefighter",wtroleareapivot!$A$3,"ReportingLevel","1:LA","lvl","Midlothian")</f>
        <v>18</v>
      </c>
      <c r="J29" s="66">
        <f t="shared" si="1"/>
        <v>31</v>
      </c>
    </row>
    <row r="30" spans="1:10" x14ac:dyDescent="0.3">
      <c r="A30" s="89" t="s">
        <v>280</v>
      </c>
      <c r="B30" s="48" t="s">
        <v>281</v>
      </c>
      <c r="C30" s="675">
        <f>GETPIVOTDATA("Sum of Brigade Manager",wtroleareapivot!$A$3,"ReportingLevel","1:LA","lvl","Moray")</f>
        <v>0</v>
      </c>
      <c r="D30" s="675">
        <f>GETPIVOTDATA("Sum of Area Manager",wtroleareapivot!$A$3,"ReportingLevel","1:LA","lvl","Moray")</f>
        <v>0</v>
      </c>
      <c r="E30" s="675">
        <f>GETPIVOTDATA("Sum of Group Manager",wtroleareapivot!$A$3,"ReportingLevel","1:LA","lvl","Moray")</f>
        <v>0</v>
      </c>
      <c r="F30" s="675">
        <f>GETPIVOTDATA("Sum of Station Manager",wtroleareapivot!$A$3,"ReportingLevel","1:LA","lvl","Moray")</f>
        <v>0</v>
      </c>
      <c r="G30" s="667">
        <f>GETPIVOTDATA("Sum of Watch Manager",wtroleareapivot!$A$3,"ReportingLevel","1:LA","lvl","Moray")</f>
        <v>5</v>
      </c>
      <c r="H30" s="667">
        <f>GETPIVOTDATA("Sum of Crew Manager",wtroleareapivot!$A$3,"ReportingLevel","1:LA","lvl","Moray")</f>
        <v>5</v>
      </c>
      <c r="I30" s="667">
        <f>GETPIVOTDATA("Sum of Firefighter",wtroleareapivot!$A$3,"ReportingLevel","1:LA","lvl","Moray")</f>
        <v>19</v>
      </c>
      <c r="J30" s="66">
        <f t="shared" si="1"/>
        <v>29</v>
      </c>
    </row>
    <row r="31" spans="1:10" x14ac:dyDescent="0.3">
      <c r="A31" s="89" t="s">
        <v>282</v>
      </c>
      <c r="B31" s="48" t="s">
        <v>283</v>
      </c>
      <c r="C31" s="675">
        <f>IFERROR(GETPIVOTDATA("Sum of Brigade Manager",wtroleareapivot!$A$3,"ReportingLevel","1:LA","lvl","Na h-Eileanan Siar"), "-")</f>
        <v>0</v>
      </c>
      <c r="D31" s="675">
        <f>IFERROR(GETPIVOTDATA("Sum of Area Manager",wtroleareapivot!$A$3,"ReportingLevel","1:LA","lvl","Na h-Eileanan Siar"), "-")</f>
        <v>0</v>
      </c>
      <c r="E31" s="675">
        <f>IFERROR(GETPIVOTDATA("Sum of Group Manager",wtroleareapivot!$A$3,"ReportingLevel","1:LA","lvl","Na h-Eileanan Siar"), "-")</f>
        <v>0</v>
      </c>
      <c r="F31" s="675">
        <f>IFERROR(GETPIVOTDATA("Sum of Station Manager",wtroleareapivot!$A$3,"ReportingLevel","1:LA","lvl","Na h-Eileanan Siar"), "-")</f>
        <v>0</v>
      </c>
      <c r="G31" s="667">
        <f>IFERROR(GETPIVOTDATA("Sum of Watch Manager",wtroleareapivot!$A$3,"ReportingLevel","1:LA","lvl","Na h-Eileanan Siar"), "-")</f>
        <v>3</v>
      </c>
      <c r="H31" s="667">
        <f>IFERROR(GETPIVOTDATA("Sum of Crew Manager",wtroleareapivot!$A$3,"ReportingLevel","1:LA","lvl","Na h-Eileanan Siar"), "-")</f>
        <v>0</v>
      </c>
      <c r="I31" s="667">
        <f>IFERROR(GETPIVOTDATA("Sum of Firefighter",wtroleareapivot!$A$3,"ReportingLevel","1:LA","lvl","Na h-Eileanan Siar"), "-")</f>
        <v>0</v>
      </c>
      <c r="J31" s="66">
        <f t="shared" si="1"/>
        <v>3</v>
      </c>
    </row>
    <row r="32" spans="1:10" x14ac:dyDescent="0.3">
      <c r="A32" s="89" t="s">
        <v>286</v>
      </c>
      <c r="B32" s="48" t="s">
        <v>287</v>
      </c>
      <c r="C32" s="675">
        <f>GETPIVOTDATA("Sum of Brigade Manager",wtroleareapivot!$A$3,"ReportingLevel","1:LA","lvl","North Ayrshire")</f>
        <v>0</v>
      </c>
      <c r="D32" s="675">
        <f>GETPIVOTDATA("Sum of Area Manager",wtroleareapivot!$A$3,"ReportingLevel","1:LA","lvl","North Ayrshire")</f>
        <v>0</v>
      </c>
      <c r="E32" s="675">
        <f>GETPIVOTDATA("Sum of Group Manager",wtroleareapivot!$A$3,"ReportingLevel","1:LA","lvl","North Ayrshire")</f>
        <v>0</v>
      </c>
      <c r="F32" s="675">
        <f>GETPIVOTDATA("Sum of Station Manager",wtroleareapivot!$A$3,"ReportingLevel","1:LA","lvl","North Ayrshire")</f>
        <v>0</v>
      </c>
      <c r="G32" s="667">
        <f>GETPIVOTDATA("Sum of Watch Manager",wtroleareapivot!$A$3,"ReportingLevel","1:LA","lvl","North Ayrshire")</f>
        <v>16</v>
      </c>
      <c r="H32" s="667">
        <f>GETPIVOTDATA("Sum of Crew Manager",wtroleareapivot!$A$3,"ReportingLevel","1:LA","lvl","North Ayrshire")</f>
        <v>15</v>
      </c>
      <c r="I32" s="667">
        <f>GETPIVOTDATA("Sum of Firefighter",wtroleareapivot!$A$3,"ReportingLevel","1:LA","lvl","North Ayrshire")</f>
        <v>45</v>
      </c>
      <c r="J32" s="66">
        <f t="shared" si="1"/>
        <v>76</v>
      </c>
    </row>
    <row r="33" spans="1:10" x14ac:dyDescent="0.3">
      <c r="A33" s="89" t="str">
        <f>IF(OR(A9 = "2018-19", A9 = "2017-18", A9 = "2016-17", A9 = "2015-16", A9 = "2014-15", A9 = "2013-14"),"S12000050","S12000044")</f>
        <v>S12000044</v>
      </c>
      <c r="B33" s="48" t="s">
        <v>289</v>
      </c>
      <c r="C33" s="675">
        <f>GETPIVOTDATA("Sum of Brigade Manager",wtroleareapivot!$A$3,"ReportingLevel","1:LA","lvl","North Lanarkshire")</f>
        <v>0</v>
      </c>
      <c r="D33" s="675">
        <f>GETPIVOTDATA("Sum of Area Manager",wtroleareapivot!$A$3,"ReportingLevel","1:LA","lvl","North Lanarkshire")</f>
        <v>0</v>
      </c>
      <c r="E33" s="675">
        <f>GETPIVOTDATA("Sum of Group Manager",wtroleareapivot!$A$3,"ReportingLevel","1:LA","lvl","North Lanarkshire")</f>
        <v>0</v>
      </c>
      <c r="F33" s="675">
        <f>GETPIVOTDATA("Sum of Station Manager",wtroleareapivot!$A$3,"ReportingLevel","1:LA","lvl","North Lanarkshire")</f>
        <v>0</v>
      </c>
      <c r="G33" s="667">
        <f>GETPIVOTDATA("Sum of Watch Manager",wtroleareapivot!$A$3,"ReportingLevel","1:LA","lvl","North Lanarkshire")</f>
        <v>21</v>
      </c>
      <c r="H33" s="667">
        <f>GETPIVOTDATA("Sum of Crew Manager",wtroleareapivot!$A$3,"ReportingLevel","1:LA","lvl","North Lanarkshire")</f>
        <v>35</v>
      </c>
      <c r="I33" s="667">
        <f>GETPIVOTDATA("Sum of Firefighter",wtroleareapivot!$A$3,"ReportingLevel","1:LA","lvl","North Lanarkshire")</f>
        <v>114</v>
      </c>
      <c r="J33" s="66">
        <f t="shared" si="1"/>
        <v>170</v>
      </c>
    </row>
    <row r="34" spans="1:10" x14ac:dyDescent="0.3">
      <c r="A34" s="89" t="s">
        <v>291</v>
      </c>
      <c r="B34" s="48" t="s">
        <v>292</v>
      </c>
      <c r="C34" s="675">
        <f>IFERROR(GETPIVOTDATA("Sum of Brigade Manager",wtroleareapivot!$A$3,"ReportingLevel","1:LA","lvl","Orkney Islands"),"-")</f>
        <v>0</v>
      </c>
      <c r="D34" s="675">
        <f>IFERROR(GETPIVOTDATA("Sum of Area Manager",wtroleareapivot!$A$3,"ReportingLevel","1:LA","lvl","Orkney Islands"),"-")</f>
        <v>0</v>
      </c>
      <c r="E34" s="675">
        <f>IFERROR(GETPIVOTDATA("Sum of Group Manager",wtroleareapivot!$A$3,"ReportingLevel","1:LA","lvl","Orkney Islands"),"-")</f>
        <v>0</v>
      </c>
      <c r="F34" s="675">
        <f>IFERROR(GETPIVOTDATA("Sum of Station Manager",wtroleareapivot!$A$3,"ReportingLevel","1:LA","lvl","Orkney Islands"),"-")</f>
        <v>0</v>
      </c>
      <c r="G34" s="667">
        <f>IFERROR(GETPIVOTDATA("Sum of Watch Manager",wtroleareapivot!$A$3,"ReportingLevel","1:LA","lvl","Orkney Islands"),"-")</f>
        <v>1</v>
      </c>
      <c r="H34" s="667">
        <f>IFERROR(GETPIVOTDATA("Sum of Crew Manager",wtroleareapivot!$A$3,"ReportingLevel","1:LA","lvl","Orkney Islands"),"-")</f>
        <v>0</v>
      </c>
      <c r="I34" s="667">
        <f>IFERROR(GETPIVOTDATA("Sum of Firefighter",wtroleareapivot!$A$3,"ReportingLevel","1:LA","lvl","Orkney Islands"),"-")</f>
        <v>0</v>
      </c>
      <c r="J34" s="66">
        <f t="shared" si="1"/>
        <v>1</v>
      </c>
    </row>
    <row r="35" spans="1:10" x14ac:dyDescent="0.3">
      <c r="A35" s="89" t="s">
        <v>293</v>
      </c>
      <c r="B35" s="48" t="s">
        <v>294</v>
      </c>
      <c r="C35" s="675">
        <f>GETPIVOTDATA("Sum of Brigade Manager",wtroleareapivot!$A$3,"ReportingLevel","1:LA","lvl","Perth and Kinross")</f>
        <v>0</v>
      </c>
      <c r="D35" s="675">
        <f>GETPIVOTDATA("Sum of Area Manager",wtroleareapivot!$A$3,"ReportingLevel","1:LA","lvl","Perth and Kinross")</f>
        <v>0</v>
      </c>
      <c r="E35" s="675">
        <f>GETPIVOTDATA("Sum of Group Manager",wtroleareapivot!$A$3,"ReportingLevel","1:LA","lvl","Perth and Kinross")</f>
        <v>0</v>
      </c>
      <c r="F35" s="675">
        <f>GETPIVOTDATA("Sum of Station Manager",wtroleareapivot!$A$3,"ReportingLevel","1:LA","lvl","Perth and Kinross")</f>
        <v>1</v>
      </c>
      <c r="G35" s="667">
        <f>GETPIVOTDATA("Sum of Watch Manager",wtroleareapivot!$A$3,"ReportingLevel","1:LA","lvl","Perth and Kinross")</f>
        <v>13</v>
      </c>
      <c r="H35" s="667">
        <f>GETPIVOTDATA("Sum of Crew Manager",wtroleareapivot!$A$3,"ReportingLevel","1:LA","lvl","Perth and Kinross")</f>
        <v>15</v>
      </c>
      <c r="I35" s="667">
        <f>GETPIVOTDATA("Sum of Firefighter",wtroleareapivot!$A$3,"ReportingLevel","1:LA","lvl","Perth and Kinross")</f>
        <v>41</v>
      </c>
      <c r="J35" s="66">
        <f t="shared" si="1"/>
        <v>70</v>
      </c>
    </row>
    <row r="36" spans="1:10" x14ac:dyDescent="0.3">
      <c r="A36" s="89" t="s">
        <v>295</v>
      </c>
      <c r="B36" s="48" t="s">
        <v>296</v>
      </c>
      <c r="C36" s="675">
        <f>GETPIVOTDATA("Sum of Brigade Manager",wtroleareapivot!$A$3,"ReportingLevel","1:LA","lvl","Renfrewshire")</f>
        <v>0</v>
      </c>
      <c r="D36" s="675">
        <f>GETPIVOTDATA("Sum of Area Manager",wtroleareapivot!$A$3,"ReportingLevel","1:LA","lvl","Renfrewshire")</f>
        <v>0</v>
      </c>
      <c r="E36" s="675">
        <f>GETPIVOTDATA("Sum of Group Manager",wtroleareapivot!$A$3,"ReportingLevel","1:LA","lvl","Renfrewshire")</f>
        <v>0</v>
      </c>
      <c r="F36" s="675">
        <f>GETPIVOTDATA("Sum of Station Manager",wtroleareapivot!$A$3,"ReportingLevel","1:LA","lvl","Renfrewshire")</f>
        <v>0</v>
      </c>
      <c r="G36" s="667">
        <f>GETPIVOTDATA("Sum of Watch Manager",wtroleareapivot!$A$3,"ReportingLevel","1:LA","lvl","Renfrewshire")</f>
        <v>15</v>
      </c>
      <c r="H36" s="667">
        <f>GETPIVOTDATA("Sum of Crew Manager",wtroleareapivot!$A$3,"ReportingLevel","1:LA","lvl","Renfrewshire")</f>
        <v>20</v>
      </c>
      <c r="I36" s="667">
        <f>GETPIVOTDATA("Sum of Firefighter",wtroleareapivot!$A$3,"ReportingLevel","1:LA","lvl","Renfrewshire")</f>
        <v>66</v>
      </c>
      <c r="J36" s="66">
        <f t="shared" si="1"/>
        <v>101</v>
      </c>
    </row>
    <row r="37" spans="1:10" x14ac:dyDescent="0.3">
      <c r="A37" s="89" t="s">
        <v>297</v>
      </c>
      <c r="B37" s="48" t="s">
        <v>298</v>
      </c>
      <c r="C37" s="675">
        <f>GETPIVOTDATA("Sum of Brigade Manager",wtroleareapivot!$A$3,"ReportingLevel","1:LA","lvl","Scottish Borders")</f>
        <v>0</v>
      </c>
      <c r="D37" s="675">
        <f>GETPIVOTDATA("Sum of Area Manager",wtroleareapivot!$A$3,"ReportingLevel","1:LA","lvl","Scottish Borders")</f>
        <v>0</v>
      </c>
      <c r="E37" s="675">
        <f>GETPIVOTDATA("Sum of Group Manager",wtroleareapivot!$A$3,"ReportingLevel","1:LA","lvl","Scottish Borders")</f>
        <v>0</v>
      </c>
      <c r="F37" s="675">
        <f>GETPIVOTDATA("Sum of Station Manager",wtroleareapivot!$A$3,"ReportingLevel","1:LA","lvl","Scottish Borders")</f>
        <v>0</v>
      </c>
      <c r="G37" s="667">
        <f>GETPIVOTDATA("Sum of Watch Manager",wtroleareapivot!$A$3,"ReportingLevel","1:LA","lvl","Scottish Borders")</f>
        <v>12</v>
      </c>
      <c r="H37" s="667">
        <f>GETPIVOTDATA("Sum of Crew Manager",wtroleareapivot!$A$3,"ReportingLevel","1:LA","lvl","Scottish Borders")</f>
        <v>10</v>
      </c>
      <c r="I37" s="667">
        <f>GETPIVOTDATA("Sum of Firefighter",wtroleareapivot!$A$3,"ReportingLevel","1:LA","lvl","Scottish Borders")</f>
        <v>36</v>
      </c>
      <c r="J37" s="66">
        <f t="shared" si="1"/>
        <v>58</v>
      </c>
    </row>
    <row r="38" spans="1:10" x14ac:dyDescent="0.3">
      <c r="A38" s="89" t="s">
        <v>299</v>
      </c>
      <c r="B38" s="48" t="s">
        <v>300</v>
      </c>
      <c r="C38" s="675" t="str">
        <f>IFERROR(GETPIVOTDATA("Sum of Brigade Manager",wtroleareapivot!$A$3,"ReportingLevel","1:LA","lvl","Shetland Islands"),"-")</f>
        <v>-</v>
      </c>
      <c r="D38" s="675" t="str">
        <f>IFERROR(GETPIVOTDATA("Sum of Area Manager",wtroleareapivot!$A$3,"ReportingLevel","1:LA","lvl","Shetland Islands"),"-")</f>
        <v>-</v>
      </c>
      <c r="E38" s="675" t="str">
        <f>IFERROR(GETPIVOTDATA("Sum of Group Manager",wtroleareapivot!$A$3,"ReportingLevel","1:LA","lvl","Shetland Islands"),"-")</f>
        <v>-</v>
      </c>
      <c r="F38" s="675" t="str">
        <f>IFERROR(GETPIVOTDATA("Sum of Station Manager",wtroleareapivot!$A$3,"ReportingLevel","1:LA","lvl","Shetland Islands"),"-")</f>
        <v>-</v>
      </c>
      <c r="G38" s="667" t="str">
        <f>IFERROR(GETPIVOTDATA("Sum of Watch Manager",wtroleareapivot!$A$3,"ReportingLevel","1:LA","lvl","Shetland Islands"),"-")</f>
        <v>-</v>
      </c>
      <c r="H38" s="667" t="str">
        <f>IFERROR(GETPIVOTDATA("Sum of Crew Manager",wtroleareapivot!$A$3,"ReportingLevel","1:LA","lvl","Shetland Islands"),"-")</f>
        <v>-</v>
      </c>
      <c r="I38" s="667" t="str">
        <f>IFERROR(GETPIVOTDATA("Sum of Firefighter",wtroleareapivot!$A$3,"ReportingLevel","1:LA","lvl","Shetland Islands"),"-")</f>
        <v>-</v>
      </c>
      <c r="J38" s="66">
        <f t="shared" si="1"/>
        <v>0</v>
      </c>
    </row>
    <row r="39" spans="1:10" x14ac:dyDescent="0.3">
      <c r="A39" s="89" t="s">
        <v>301</v>
      </c>
      <c r="B39" s="48" t="s">
        <v>302</v>
      </c>
      <c r="C39" s="675">
        <f>GETPIVOTDATA("Sum of Brigade Manager",wtroleareapivot!$A$3,"ReportingLevel","1:LA","lvl","South Ayrshire")</f>
        <v>0</v>
      </c>
      <c r="D39" s="675">
        <f>GETPIVOTDATA("Sum of Area Manager",wtroleareapivot!$A$3,"ReportingLevel","1:LA","lvl","South Ayrshire")</f>
        <v>0</v>
      </c>
      <c r="E39" s="675">
        <f>GETPIVOTDATA("Sum of Group Manager",wtroleareapivot!$A$3,"ReportingLevel","1:LA","lvl","South Ayrshire")</f>
        <v>0</v>
      </c>
      <c r="F39" s="675">
        <f>GETPIVOTDATA("Sum of Station Manager",wtroleareapivot!$A$3,"ReportingLevel","1:LA","lvl","South Ayrshire")</f>
        <v>0</v>
      </c>
      <c r="G39" s="667">
        <f>GETPIVOTDATA("Sum of Watch Manager",wtroleareapivot!$A$3,"ReportingLevel","1:LA","lvl","South Ayrshire")</f>
        <v>6</v>
      </c>
      <c r="H39" s="667">
        <f>GETPIVOTDATA("Sum of Crew Manager",wtroleareapivot!$A$3,"ReportingLevel","1:LA","lvl","South Ayrshire")</f>
        <v>10</v>
      </c>
      <c r="I39" s="667">
        <f>GETPIVOTDATA("Sum of Firefighter",wtroleareapivot!$A$3,"ReportingLevel","1:LA","lvl","South Ayrshire")</f>
        <v>35</v>
      </c>
      <c r="J39" s="66">
        <f t="shared" si="1"/>
        <v>51</v>
      </c>
    </row>
    <row r="40" spans="1:10" x14ac:dyDescent="0.3">
      <c r="A40" s="89" t="s">
        <v>303</v>
      </c>
      <c r="B40" s="48" t="s">
        <v>304</v>
      </c>
      <c r="C40" s="675">
        <f>GETPIVOTDATA("Sum of Brigade Manager",wtroleareapivot!$A$3,"ReportingLevel","1:LA","lvl","South Lanarkshire")</f>
        <v>0</v>
      </c>
      <c r="D40" s="675">
        <f>GETPIVOTDATA("Sum of Area Manager",wtroleareapivot!$A$3,"ReportingLevel","1:LA","lvl","South Lanarkshire")</f>
        <v>0</v>
      </c>
      <c r="E40" s="675">
        <f>GETPIVOTDATA("Sum of Group Manager",wtroleareapivot!$A$3,"ReportingLevel","1:LA","lvl","South Lanarkshire")</f>
        <v>1</v>
      </c>
      <c r="F40" s="675">
        <f>GETPIVOTDATA("Sum of Station Manager",wtroleareapivot!$A$3,"ReportingLevel","1:LA","lvl","South Lanarkshire")</f>
        <v>0</v>
      </c>
      <c r="G40" s="667">
        <f>GETPIVOTDATA("Sum of Watch Manager",wtroleareapivot!$A$3,"ReportingLevel","1:LA","lvl","South Lanarkshire")</f>
        <v>20</v>
      </c>
      <c r="H40" s="667">
        <f>GETPIVOTDATA("Sum of Crew Manager",wtroleareapivot!$A$3,"ReportingLevel","1:LA","lvl","South Lanarkshire")</f>
        <v>29</v>
      </c>
      <c r="I40" s="667">
        <f>GETPIVOTDATA("Sum of Firefighter",wtroleareapivot!$A$3,"ReportingLevel","1:LA","lvl","South Lanarkshire")</f>
        <v>100</v>
      </c>
      <c r="J40" s="66">
        <f t="shared" si="1"/>
        <v>150</v>
      </c>
    </row>
    <row r="41" spans="1:10" x14ac:dyDescent="0.3">
      <c r="A41" s="89" t="s">
        <v>306</v>
      </c>
      <c r="B41" s="48" t="s">
        <v>307</v>
      </c>
      <c r="C41" s="675">
        <f>GETPIVOTDATA("Sum of Brigade Manager",wtroleareapivot!$A$3,"ReportingLevel","1:LA","lvl","Stirling")</f>
        <v>0</v>
      </c>
      <c r="D41" s="675">
        <f>GETPIVOTDATA("Sum of Area Manager",wtroleareapivot!$A$3,"ReportingLevel","1:LA","lvl","Stirling")</f>
        <v>0</v>
      </c>
      <c r="E41" s="675">
        <f>GETPIVOTDATA("Sum of Group Manager",wtroleareapivot!$A$3,"ReportingLevel","1:LA","lvl","Stirling")</f>
        <v>0</v>
      </c>
      <c r="F41" s="675">
        <f>GETPIVOTDATA("Sum of Station Manager",wtroleareapivot!$A$3,"ReportingLevel","1:LA","lvl","Stirling")</f>
        <v>0</v>
      </c>
      <c r="G41" s="667">
        <f>GETPIVOTDATA("Sum of Watch Manager",wtroleareapivot!$A$3,"ReportingLevel","1:LA","lvl","Stirling")</f>
        <v>5</v>
      </c>
      <c r="H41" s="667">
        <f>GETPIVOTDATA("Sum of Crew Manager",wtroleareapivot!$A$3,"ReportingLevel","1:LA","lvl","Stirling")</f>
        <v>11</v>
      </c>
      <c r="I41" s="667">
        <f>GETPIVOTDATA("Sum of Firefighter",wtroleareapivot!$A$3,"ReportingLevel","1:LA","lvl","Stirling")</f>
        <v>33</v>
      </c>
      <c r="J41" s="66">
        <f t="shared" si="1"/>
        <v>49</v>
      </c>
    </row>
    <row r="42" spans="1:10" x14ac:dyDescent="0.3">
      <c r="A42" s="89" t="s">
        <v>308</v>
      </c>
      <c r="B42" s="48" t="s">
        <v>309</v>
      </c>
      <c r="C42" s="675">
        <f>GETPIVOTDATA("Sum of Brigade Manager",wtroleareapivot!$A$3,"ReportingLevel","1:LA","lvl","West Dunbartonshire")</f>
        <v>0</v>
      </c>
      <c r="D42" s="675">
        <f>GETPIVOTDATA("Sum of Area Manager",wtroleareapivot!$A$3,"ReportingLevel","1:LA","lvl","West Dunbartonshire")</f>
        <v>0</v>
      </c>
      <c r="E42" s="675">
        <f>GETPIVOTDATA("Sum of Group Manager",wtroleareapivot!$A$3,"ReportingLevel","1:LA","lvl","West Dunbartonshire")</f>
        <v>0</v>
      </c>
      <c r="F42" s="675">
        <f>GETPIVOTDATA("Sum of Station Manager",wtroleareapivot!$A$3,"ReportingLevel","1:LA","lvl","West Dunbartonshire")</f>
        <v>0</v>
      </c>
      <c r="G42" s="667">
        <f>GETPIVOTDATA("Sum of Watch Manager",wtroleareapivot!$A$3,"ReportingLevel","1:LA","lvl","West Dunbartonshire")</f>
        <v>11</v>
      </c>
      <c r="H42" s="667">
        <f>GETPIVOTDATA("Sum of Crew Manager",wtroleareapivot!$A$3,"ReportingLevel","1:LA","lvl","West Dunbartonshire")</f>
        <v>15</v>
      </c>
      <c r="I42" s="667">
        <f>GETPIVOTDATA("Sum of Firefighter",wtroleareapivot!$A$3,"ReportingLevel","1:LA","lvl","West Dunbartonshire")</f>
        <v>51</v>
      </c>
      <c r="J42" s="66">
        <f t="shared" si="1"/>
        <v>77</v>
      </c>
    </row>
    <row r="43" spans="1:10" x14ac:dyDescent="0.3">
      <c r="A43" s="89" t="s">
        <v>310</v>
      </c>
      <c r="B43" s="48" t="s">
        <v>311</v>
      </c>
      <c r="C43" s="675">
        <f>GETPIVOTDATA("Sum of Brigade Manager",wtroleareapivot!$A$3,"ReportingLevel","1:LA","lvl","West Lothian")</f>
        <v>0</v>
      </c>
      <c r="D43" s="675">
        <f>GETPIVOTDATA("Sum of Area Manager",wtroleareapivot!$A$3,"ReportingLevel","1:LA","lvl","West Lothian")</f>
        <v>0</v>
      </c>
      <c r="E43" s="675">
        <f>GETPIVOTDATA("Sum of Group Manager",wtroleareapivot!$A$3,"ReportingLevel","1:LA","lvl","West Lothian")</f>
        <v>0</v>
      </c>
      <c r="F43" s="675">
        <f>GETPIVOTDATA("Sum of Station Manager",wtroleareapivot!$A$3,"ReportingLevel","1:LA","lvl","West Lothian")</f>
        <v>0</v>
      </c>
      <c r="G43" s="667">
        <f>GETPIVOTDATA("Sum of Watch Manager",wtroleareapivot!$A$3,"ReportingLevel","1:LA","lvl","West Lothian")</f>
        <v>14</v>
      </c>
      <c r="H43" s="667">
        <f>GETPIVOTDATA("Sum of Crew Manager",wtroleareapivot!$A$3,"ReportingLevel","1:LA","lvl","West Lothian")</f>
        <v>11</v>
      </c>
      <c r="I43" s="667">
        <f>GETPIVOTDATA("Sum of Firefighter",wtroleareapivot!$A$3,"ReportingLevel","1:LA","lvl","West Lothian")</f>
        <v>40</v>
      </c>
      <c r="J43" s="66">
        <f t="shared" si="1"/>
        <v>65</v>
      </c>
    </row>
    <row r="44" spans="1:10" ht="19.5" customHeight="1" thickBot="1" x14ac:dyDescent="0.35">
      <c r="A44" s="52"/>
      <c r="B44" s="52" t="s">
        <v>552</v>
      </c>
      <c r="C44" s="436">
        <f t="shared" ref="C44:J44" si="2">SUM(C12:C43)</f>
        <v>0</v>
      </c>
      <c r="D44" s="436">
        <f t="shared" si="2"/>
        <v>0</v>
      </c>
      <c r="E44" s="436">
        <f t="shared" si="2"/>
        <v>2</v>
      </c>
      <c r="F44" s="436">
        <f t="shared" si="2"/>
        <v>2</v>
      </c>
      <c r="G44" s="629">
        <f t="shared" si="2"/>
        <v>448</v>
      </c>
      <c r="H44" s="629">
        <f t="shared" si="2"/>
        <v>579</v>
      </c>
      <c r="I44" s="629">
        <f t="shared" si="2"/>
        <v>1779</v>
      </c>
      <c r="J44" s="629">
        <f t="shared" si="2"/>
        <v>2810</v>
      </c>
    </row>
    <row r="45" spans="1:10" x14ac:dyDescent="0.3">
      <c r="A45" s="48"/>
      <c r="B45" s="48"/>
      <c r="C45" s="71"/>
      <c r="D45" s="71"/>
      <c r="E45" s="71"/>
      <c r="F45" s="55"/>
      <c r="G45" s="55"/>
      <c r="H45" s="55"/>
      <c r="I45" s="55"/>
      <c r="J45" s="41"/>
    </row>
    <row r="46" spans="1:10" x14ac:dyDescent="0.3">
      <c r="A46" s="54" t="s">
        <v>210</v>
      </c>
      <c r="B46" s="54" t="s">
        <v>553</v>
      </c>
      <c r="C46" s="44"/>
      <c r="D46" s="44"/>
      <c r="E46" s="44"/>
      <c r="F46" s="44"/>
      <c r="G46" s="44"/>
      <c r="H46" s="44"/>
      <c r="I46" s="44"/>
      <c r="J46" s="72"/>
    </row>
    <row r="47" spans="1:10" ht="19.5" customHeight="1" x14ac:dyDescent="0.3">
      <c r="A47" s="391" t="str">
        <f>IF(OR(A9="2021-22", A9 = "2022-23", A9 = "2023-24"), "S39000023", "S39000001")</f>
        <v>S39000001</v>
      </c>
      <c r="B47" s="669" t="str">
        <f>IF(OR(A9="2021-22", A9 = "2022-23", A9 = "2023-24", A9 = "2024-25", A9 = "2025-26"), "Abderdeen City, Aberdeenshire and Moray", "Aberdeen City")</f>
        <v>Abderdeen City, Aberdeenshire and Moray</v>
      </c>
      <c r="C47" s="434">
        <f>IF(OR(A9="2021-22", A9 = "2022-23", A9 = "2023-24", A9 = "2024-25", A9 = "2025-26"),GETPIVOTDATA("Sum of Brigade Manager",wtroleareapivot!$A$3,"ReportingLevel","2:LSO","lvl","Aberdeen City, Aberdeenshire and Moray"), GETPIVOTDATA("Sum of Brigade Manager",wtroleareapivot!$A$3,"ReportingLevel","2:LSO","lvl","Aberdeen City"))</f>
        <v>0</v>
      </c>
      <c r="D47" s="298">
        <f>IF(OR(A9="2021-22", A9 = "2022-23", A9 = "2023-24", A9 = "2024-25", A9 = "2025-26"),GETPIVOTDATA("Sum of Area Manager",wtroleareapivot!$A$3,"ReportingLevel","2:LSO","lvl","Aberdeen City, Aberdeenshire and Moray"), GETPIVOTDATA("Sum of Area Manager",wtroleareapivot!$A$3,"ReportingLevel","2:LSO","lvl","Aberdeen City"))</f>
        <v>1</v>
      </c>
      <c r="E47" s="298">
        <f>IF(OR(A9="2021-22", A9 = "2022-23", A9 = "2023-24", A9 = "2024-25", A9 = "2025-26"),GETPIVOTDATA("Sum of Group Manager",wtroleareapivot!$A$3,"ReportingLevel","2:LSO","lvl","Aberdeen City, Aberdeenshire and Moray"), GETPIVOTDATA("Sum of Group Manager",wtroleareapivot!$A$3,"ReportingLevel","2:LSO","lvl","Aberdeen City"))</f>
        <v>5</v>
      </c>
      <c r="F47" s="298">
        <f>IF(OR(A9="2021-22", A9 = "2022-23", A9 = "2023-24", A9 = "2024-25", A9 = "2025-26"),GETPIVOTDATA("Sum of Station Manager",wtroleareapivot!$A$3,"ReportingLevel","2:LSO","lvl","Aberdeen City, Aberdeenshire and Moray"), GETPIVOTDATA("Sum of Station Manager",wtroleareapivot!$A$3,"ReportingLevel","2:LSO","lvl","Aberdeen City"))</f>
        <v>10</v>
      </c>
      <c r="G47" s="298">
        <f>IF(OR(A9="2021-22", A9 = "2022-23", A9 = "2023-24", A9 = "2024-25", A9 = "2025-26"),GETPIVOTDATA("Sum of Watch Manager",wtroleareapivot!$A$3,"ReportingLevel","2:LSO","lvl","Aberdeen City, Aberdeenshire and Moray"), GETPIVOTDATA("Sum of Watch Manager",wtroleareapivot!$A$3,"ReportingLevel","2:LSO","lvl","Aberdeen City"))</f>
        <v>13</v>
      </c>
      <c r="H47" s="298">
        <f>IF(OR(A9="2021-22", A9 = "2022-23", A9 = "2023-24", A9 = "2024-25", A9 = "2025-26"),GETPIVOTDATA("Sum of Crew Manager",wtroleareapivot!$A$3,"ReportingLevel","2:LSO","lvl","Aberdeen City, Aberdeenshire and Moray"), GETPIVOTDATA("Sum of Crew Manager",wtroleareapivot!$A$3,"ReportingLevel","2:LSO","lvl","Aberdeen City"))</f>
        <v>12</v>
      </c>
      <c r="I47" s="298">
        <f>IF(OR(A9="2021-22", A9 = "2022-23", A9 = "2023-24", A9 = "2024-25", A9 = "2025-26"),GETPIVOTDATA("Sum of Firefighter",wtroleareapivot!$A$3,"ReportingLevel","2:LSO","lvl","Aberdeen City, Aberdeenshire and Moray"), GETPIVOTDATA("Sum of Firefighter",wtroleareapivot!$A$3,"ReportingLevel","2:LSO","lvl","Aberdeen City"))</f>
        <v>32</v>
      </c>
      <c r="J47" s="67">
        <f t="shared" ref="J47:J63" si="3">SUM(C47:I47)</f>
        <v>73</v>
      </c>
    </row>
    <row r="48" spans="1:10" x14ac:dyDescent="0.3">
      <c r="A48" s="671" t="str">
        <f>IF(OR(A9="2021-22", A9 = "2022-23", A9 = "2023-24"), "", "S39000002")</f>
        <v>S39000002</v>
      </c>
      <c r="B48" s="666" t="str">
        <f>IF(OR(A9="2021-22", A9 = "2022-23", A9 = "2023-24", A9 = "2024-25", A9 = "2025-26"), "", "Aberdeenshire and Moray")</f>
        <v/>
      </c>
      <c r="C48" s="435" t="str">
        <f>IF(OR(A9="2021-22", A9 = "2022-23", A9 = "2023-24", A9 = "2024-25", A9 = "2025-26"),"", GETPIVOTDATA("Sum of Brigade Manager",wtroleareapivot!$A$3,"ReportingLevel","2:LSO","lvl","Aberdeenshire and Moray"))</f>
        <v/>
      </c>
      <c r="D48" s="66" t="str">
        <f>IF(OR(A9="2021-22", A9 = "2022-23", A9 = "2023-24", A9 = "2024-25", A9 = "2025-26"),"", GETPIVOTDATA("Sum of Area Manager",wtroleareapivot!$A$3,"ReportingLevel","2:LSO","lvl","Aberdeenshire and Moray"))</f>
        <v/>
      </c>
      <c r="E48" s="66" t="str">
        <f>IF(OR(A9="2021-22", A9 = "2022-23", A9 = "2023-24", A9 = "2024-25", A9 = "2025-26"),"", GETPIVOTDATA("Sum of Group Manager",wtroleareapivot!$A$3,"ReportingLevel","2:LSO","lvl","Aberdeenshire and Moray"))</f>
        <v/>
      </c>
      <c r="F48" s="66" t="str">
        <f>IF(OR(A9="2021-22", A9 = "2022-23", A9 = "2023-24", A9 = "2024-25", A9 = "2025-26"),"", GETPIVOTDATA("Sum of Station Manager",wtroleareapivot!$A$3,"ReportingLevel","2:LSO","lvl","Aberdeenshire and Moray"))</f>
        <v/>
      </c>
      <c r="G48" s="66" t="str">
        <f>IF(OR(A9="2021-22", A9 = "2022-23", A9 = "2023-24", A9 = "2024-25", A9 = "2025-26"),"", GETPIVOTDATA("Sum of Watch Manager",wtroleareapivot!$A$3,"ReportingLevel","2:LSO","lvl","Aberdeenshire and Moray"))</f>
        <v/>
      </c>
      <c r="H48" s="66" t="str">
        <f>IF(OR(A9="2021-22", A9 = "2022-23", A9 = "2023-24", A9 = "2024-25", A9 = "2025-26"),"", GETPIVOTDATA("Sum of Crew Manager",wtroleareapivot!$A$3,"ReportingLevel","2:LSO","lvl","Aberdeenshire and Moray"))</f>
        <v/>
      </c>
      <c r="I48" s="66" t="str">
        <f>IF(OR(A9="2021-22", A9 = "2022-23", A9 = "2023-24", A9 = "2024-25", A9 = "2025-26"),"", GETPIVOTDATA("Sum of Firefighter",wtroleareapivot!$A$3,"ReportingLevel","2:LSO","lvl","Aberdeenshire and Moray"))</f>
        <v/>
      </c>
      <c r="J48" s="67">
        <f t="shared" si="3"/>
        <v>0</v>
      </c>
    </row>
    <row r="49" spans="1:10" x14ac:dyDescent="0.3">
      <c r="A49" s="671" t="s">
        <v>229</v>
      </c>
      <c r="B49" s="666" t="s">
        <v>230</v>
      </c>
      <c r="C49" s="435">
        <f>GETPIVOTDATA("Sum of Brigade Manager",wtroleareapivot!$A$3,"ReportingLevel","2:LSO","lvl","Argyll and Bute, East Dunbartonshire and West Dunbartonshire")</f>
        <v>0</v>
      </c>
      <c r="D49" s="66">
        <f>GETPIVOTDATA("Sum of Area Manager",wtroleareapivot!$A$3,"ReportingLevel","2:LSO","lvl","Argyll and Bute, East Dunbartonshire and West Dunbartonshire")</f>
        <v>1</v>
      </c>
      <c r="E49" s="66">
        <f>GETPIVOTDATA("Sum of Group Manager",wtroleareapivot!$A$3,"ReportingLevel","2:LSO","lvl","Argyll and Bute, East Dunbartonshire and West Dunbartonshire")</f>
        <v>4</v>
      </c>
      <c r="F49" s="66">
        <f>GETPIVOTDATA("Sum of Station Manager",wtroleareapivot!$A$3,"ReportingLevel","2:LSO","lvl","Argyll and Bute, East Dunbartonshire and West Dunbartonshire")</f>
        <v>9</v>
      </c>
      <c r="G49" s="66">
        <f>GETPIVOTDATA("Sum of Watch Manager",wtroleareapivot!$A$3,"ReportingLevel","2:LSO","lvl","Argyll and Bute, East Dunbartonshire and West Dunbartonshire")</f>
        <v>6</v>
      </c>
      <c r="H49" s="66">
        <f>GETPIVOTDATA("Sum of Crew Manager",wtroleareapivot!$A$3,"ReportingLevel","2:LSO","lvl","Argyll and Bute, East Dunbartonshire and West Dunbartonshire")</f>
        <v>4</v>
      </c>
      <c r="I49" s="66">
        <f>GETPIVOTDATA("Sum of Firefighter",wtroleareapivot!$A$3,"ReportingLevel","2:LSO","lvl","Argyll and Bute, East Dunbartonshire and West Dunbartonshire")</f>
        <v>0</v>
      </c>
      <c r="J49" s="67">
        <f t="shared" si="3"/>
        <v>24</v>
      </c>
    </row>
    <row r="50" spans="1:10" x14ac:dyDescent="0.3">
      <c r="A50" s="392" t="s">
        <v>245</v>
      </c>
      <c r="B50" s="666" t="s">
        <v>244</v>
      </c>
      <c r="C50" s="435">
        <f>GETPIVOTDATA("Sum of Brigade Manager",wtroleareapivot!$A$3,"ReportingLevel","2:LSO","lvl","Dumfries and Galloway")</f>
        <v>0</v>
      </c>
      <c r="D50" s="66">
        <f>GETPIVOTDATA("Sum of Area Manager",wtroleareapivot!$A$3,"ReportingLevel","2:LSO","lvl","Dumfries and Galloway")</f>
        <v>1</v>
      </c>
      <c r="E50" s="66">
        <f>GETPIVOTDATA("Sum of Group Manager",wtroleareapivot!$A$3,"ReportingLevel","2:LSO","lvl","Dumfries and Galloway")</f>
        <v>3</v>
      </c>
      <c r="F50" s="66">
        <f>GETPIVOTDATA("Sum of Station Manager",wtroleareapivot!$A$3,"ReportingLevel","2:LSO","lvl","Dumfries and Galloway")</f>
        <v>6</v>
      </c>
      <c r="G50" s="66">
        <f>GETPIVOTDATA("Sum of Watch Manager",wtroleareapivot!$A$3,"ReportingLevel","2:LSO","lvl","Dumfries and Galloway")</f>
        <v>1</v>
      </c>
      <c r="H50" s="66">
        <f>GETPIVOTDATA("Sum of Crew Manager",wtroleareapivot!$A$3,"ReportingLevel","2:LSO","lvl","Dumfries and Galloway")</f>
        <v>0</v>
      </c>
      <c r="I50" s="66">
        <f>GETPIVOTDATA("Sum of Firefighter",wtroleareapivot!$A$3,"ReportingLevel","2:LSO","lvl","Dumfries and Galloway")</f>
        <v>0</v>
      </c>
      <c r="J50" s="67">
        <f t="shared" si="3"/>
        <v>11</v>
      </c>
    </row>
    <row r="51" spans="1:10" x14ac:dyDescent="0.3">
      <c r="A51" s="392" t="s">
        <v>225</v>
      </c>
      <c r="B51" s="666" t="s">
        <v>226</v>
      </c>
      <c r="C51" s="435">
        <f>GETPIVOTDATA("Sum of Brigade Manager",wtroleareapivot!$A$3,"ReportingLevel","2:LSO","lvl","Dundee, Angus, Perth and Kinross")</f>
        <v>0</v>
      </c>
      <c r="D51" s="66">
        <f>GETPIVOTDATA("Sum of Area Manager",wtroleareapivot!$A$3,"ReportingLevel","2:LSO","lvl","Dundee, Angus, Perth and Kinross")</f>
        <v>1</v>
      </c>
      <c r="E51" s="66">
        <f>GETPIVOTDATA("Sum of Group Manager",wtroleareapivot!$A$3,"ReportingLevel","2:LSO","lvl","Dundee, Angus, Perth and Kinross")</f>
        <v>4</v>
      </c>
      <c r="F51" s="66">
        <f>GETPIVOTDATA("Sum of Station Manager",wtroleareapivot!$A$3,"ReportingLevel","2:LSO","lvl","Dundee, Angus, Perth and Kinross")</f>
        <v>6</v>
      </c>
      <c r="G51" s="66">
        <f>GETPIVOTDATA("Sum of Watch Manager",wtroleareapivot!$A$3,"ReportingLevel","2:LSO","lvl","Dundee, Angus, Perth and Kinross")</f>
        <v>9</v>
      </c>
      <c r="H51" s="66">
        <f>GETPIVOTDATA("Sum of Crew Manager",wtroleareapivot!$A$3,"ReportingLevel","2:LSO","lvl","Dundee, Angus, Perth and Kinross")</f>
        <v>1</v>
      </c>
      <c r="I51" s="66">
        <f>GETPIVOTDATA("Sum of Firefighter",wtroleareapivot!$A$3,"ReportingLevel","2:LSO","lvl","Dundee, Angus, Perth and Kinross")</f>
        <v>1</v>
      </c>
      <c r="J51" s="67">
        <f t="shared" si="3"/>
        <v>22</v>
      </c>
    </row>
    <row r="52" spans="1:10" x14ac:dyDescent="0.3">
      <c r="A52" s="392" t="s">
        <v>250</v>
      </c>
      <c r="B52" s="666" t="s">
        <v>251</v>
      </c>
      <c r="C52" s="435">
        <f>GETPIVOTDATA("Sum of Brigade Manager",wtroleareapivot!$A$3,"ReportingLevel","2:LSO","lvl","East Ayrshire, North Ayrshire and South Ayrshire")</f>
        <v>0</v>
      </c>
      <c r="D52" s="66">
        <f>GETPIVOTDATA("Sum of Area Manager",wtroleareapivot!$A$3,"ReportingLevel","2:LSO","lvl","East Ayrshire, North Ayrshire and South Ayrshire")</f>
        <v>1</v>
      </c>
      <c r="E52" s="66">
        <f>GETPIVOTDATA("Sum of Group Manager",wtroleareapivot!$A$3,"ReportingLevel","2:LSO","lvl","East Ayrshire, North Ayrshire and South Ayrshire")</f>
        <v>3</v>
      </c>
      <c r="F52" s="66">
        <f>GETPIVOTDATA("Sum of Station Manager",wtroleareapivot!$A$3,"ReportingLevel","2:LSO","lvl","East Ayrshire, North Ayrshire and South Ayrshire")</f>
        <v>9</v>
      </c>
      <c r="G52" s="66">
        <f>GETPIVOTDATA("Sum of Watch Manager",wtroleareapivot!$A$3,"ReportingLevel","2:LSO","lvl","East Ayrshire, North Ayrshire and South Ayrshire")</f>
        <v>9</v>
      </c>
      <c r="H52" s="66">
        <f>GETPIVOTDATA("Sum of Crew Manager",wtroleareapivot!$A$3,"ReportingLevel","2:LSO","lvl","East Ayrshire, North Ayrshire and South Ayrshire")</f>
        <v>3</v>
      </c>
      <c r="I52" s="66">
        <f>GETPIVOTDATA("Sum of Firefighter",wtroleareapivot!$A$3,"ReportingLevel","2:LSO","lvl","East Ayrshire, North Ayrshire and South Ayrshire")</f>
        <v>0</v>
      </c>
      <c r="J52" s="67">
        <f t="shared" si="3"/>
        <v>25</v>
      </c>
    </row>
    <row r="53" spans="1:10" x14ac:dyDescent="0.3">
      <c r="A53" s="392" t="s">
        <v>256</v>
      </c>
      <c r="B53" s="666" t="s">
        <v>257</v>
      </c>
      <c r="C53" s="435">
        <f>GETPIVOTDATA("Sum of Brigade Manager",wtroleareapivot!$A$3,"ReportingLevel","2:LSO","lvl","East Lothian, Midlothian and the Scottish Borders")</f>
        <v>0</v>
      </c>
      <c r="D53" s="66">
        <f>GETPIVOTDATA("Sum of Area Manager",wtroleareapivot!$A$3,"ReportingLevel","2:LSO","lvl","East Lothian, Midlothian and the Scottish Borders")</f>
        <v>1</v>
      </c>
      <c r="E53" s="66">
        <f>GETPIVOTDATA("Sum of Group Manager",wtroleareapivot!$A$3,"ReportingLevel","2:LSO","lvl","East Lothian, Midlothian and the Scottish Borders")</f>
        <v>3</v>
      </c>
      <c r="F53" s="66">
        <f>GETPIVOTDATA("Sum of Station Manager",wtroleareapivot!$A$3,"ReportingLevel","2:LSO","lvl","East Lothian, Midlothian and the Scottish Borders")</f>
        <v>6</v>
      </c>
      <c r="G53" s="66">
        <f>GETPIVOTDATA("Sum of Watch Manager",wtroleareapivot!$A$3,"ReportingLevel","2:LSO","lvl","East Lothian, Midlothian and the Scottish Borders")</f>
        <v>8</v>
      </c>
      <c r="H53" s="66">
        <f>GETPIVOTDATA("Sum of Crew Manager",wtroleareapivot!$A$3,"ReportingLevel","2:LSO","lvl","East Lothian, Midlothian and the Scottish Borders")</f>
        <v>4</v>
      </c>
      <c r="I53" s="66">
        <f>GETPIVOTDATA("Sum of Firefighter",wtroleareapivot!$A$3,"ReportingLevel","2:LSO","lvl","East Lothian, Midlothian and the Scottish Borders")</f>
        <v>4</v>
      </c>
      <c r="J53" s="67">
        <f t="shared" si="3"/>
        <v>26</v>
      </c>
    </row>
    <row r="54" spans="1:10" x14ac:dyDescent="0.3">
      <c r="A54" s="338" t="s">
        <v>260</v>
      </c>
      <c r="B54" s="666" t="s">
        <v>261</v>
      </c>
      <c r="C54" s="435">
        <f>GETPIVOTDATA("Sum of Brigade Manager",wtroleareapivot!$A$3,"ReportingLevel","2:LSO","lvl","East Renfrewshire, Renfrewshire and Inverclyde")</f>
        <v>0</v>
      </c>
      <c r="D54" s="66">
        <f>GETPIVOTDATA("Sum of Area Manager",wtroleareapivot!$A$3,"ReportingLevel","2:LSO","lvl","East Renfrewshire, Renfrewshire and Inverclyde")</f>
        <v>1</v>
      </c>
      <c r="E54" s="66">
        <f>GETPIVOTDATA("Sum of Group Manager",wtroleareapivot!$A$3,"ReportingLevel","2:LSO","lvl","East Renfrewshire, Renfrewshire and Inverclyde")</f>
        <v>3</v>
      </c>
      <c r="F54" s="66">
        <f>GETPIVOTDATA("Sum of Station Manager",wtroleareapivot!$A$3,"ReportingLevel","2:LSO","lvl","East Renfrewshire, Renfrewshire and Inverclyde")</f>
        <v>5</v>
      </c>
      <c r="G54" s="66">
        <f>GETPIVOTDATA("Sum of Watch Manager",wtroleareapivot!$A$3,"ReportingLevel","2:LSO","lvl","East Renfrewshire, Renfrewshire and Inverclyde")</f>
        <v>5</v>
      </c>
      <c r="H54" s="66">
        <f>GETPIVOTDATA("Sum of Crew Manager",wtroleareapivot!$A$3,"ReportingLevel","2:LSO","lvl","East Renfrewshire, Renfrewshire and Inverclyde")</f>
        <v>3</v>
      </c>
      <c r="I54" s="66">
        <f>GETPIVOTDATA("Sum of Firefighter",wtroleareapivot!$A$3,"ReportingLevel","2:LSO","lvl","East Renfrewshire, Renfrewshire and Inverclyde")</f>
        <v>1</v>
      </c>
      <c r="J54" s="67">
        <f t="shared" si="3"/>
        <v>18</v>
      </c>
    </row>
    <row r="55" spans="1:10" x14ac:dyDescent="0.3">
      <c r="A55" s="392" t="s">
        <v>235</v>
      </c>
      <c r="B55" s="666" t="s">
        <v>236</v>
      </c>
      <c r="C55" s="435">
        <f>GETPIVOTDATA("Sum of Brigade Manager",wtroleareapivot!$A$3,"ReportingLevel","2:LSO","lvl","Edinburgh City")</f>
        <v>0</v>
      </c>
      <c r="D55" s="66">
        <f>GETPIVOTDATA("Sum of Area Manager",wtroleareapivot!$A$3,"ReportingLevel","2:LSO","lvl","Edinburgh City")</f>
        <v>2</v>
      </c>
      <c r="E55" s="66">
        <f>GETPIVOTDATA("Sum of Group Manager",wtroleareapivot!$A$3,"ReportingLevel","2:LSO","lvl","Edinburgh City")</f>
        <v>5</v>
      </c>
      <c r="F55" s="66">
        <f>GETPIVOTDATA("Sum of Station Manager",wtroleareapivot!$A$3,"ReportingLevel","2:LSO","lvl","Edinburgh City")</f>
        <v>9</v>
      </c>
      <c r="G55" s="66">
        <f>GETPIVOTDATA("Sum of Watch Manager",wtroleareapivot!$A$3,"ReportingLevel","2:LSO","lvl","Edinburgh City")</f>
        <v>9</v>
      </c>
      <c r="H55" s="66">
        <f>GETPIVOTDATA("Sum of Crew Manager",wtroleareapivot!$A$3,"ReportingLevel","2:LSO","lvl","Edinburgh City")</f>
        <v>3</v>
      </c>
      <c r="I55" s="66">
        <f>GETPIVOTDATA("Sum of Firefighter",wtroleareapivot!$A$3,"ReportingLevel","2:LSO","lvl","Edinburgh City")</f>
        <v>3</v>
      </c>
      <c r="J55" s="67">
        <f t="shared" si="3"/>
        <v>31</v>
      </c>
    </row>
    <row r="56" spans="1:10" x14ac:dyDescent="0.3">
      <c r="A56" s="392" t="s">
        <v>264</v>
      </c>
      <c r="B56" s="666" t="s">
        <v>265</v>
      </c>
      <c r="C56" s="435">
        <f>GETPIVOTDATA("Sum of Brigade Manager",wtroleareapivot!$A$3,"ReportingLevel","2:LSO","lvl","Falkirk and West Lothian")</f>
        <v>0</v>
      </c>
      <c r="D56" s="66">
        <f>GETPIVOTDATA("Sum of Area Manager",wtroleareapivot!$A$3,"ReportingLevel","2:LSO","lvl","Falkirk and West Lothian")</f>
        <v>1</v>
      </c>
      <c r="E56" s="66">
        <f>GETPIVOTDATA("Sum of Group Manager",wtroleareapivot!$A$3,"ReportingLevel","2:LSO","lvl","Falkirk and West Lothian")</f>
        <v>2</v>
      </c>
      <c r="F56" s="66">
        <f>GETPIVOTDATA("Sum of Station Manager",wtroleareapivot!$A$3,"ReportingLevel","2:LSO","lvl","Falkirk and West Lothian")</f>
        <v>6</v>
      </c>
      <c r="G56" s="66">
        <f>GETPIVOTDATA("Sum of Watch Manager",wtroleareapivot!$A$3,"ReportingLevel","2:LSO","lvl","Falkirk and West Lothian")</f>
        <v>6</v>
      </c>
      <c r="H56" s="66">
        <f>GETPIVOTDATA("Sum of Crew Manager",wtroleareapivot!$A$3,"ReportingLevel","2:LSO","lvl","Falkirk and West Lothian")</f>
        <v>3</v>
      </c>
      <c r="I56" s="66">
        <f>GETPIVOTDATA("Sum of Firefighter",wtroleareapivot!$A$3,"ReportingLevel","2:LSO","lvl","Falkirk and West Lothian")</f>
        <v>1</v>
      </c>
      <c r="J56" s="67">
        <f t="shared" si="3"/>
        <v>19</v>
      </c>
    </row>
    <row r="57" spans="1:10" x14ac:dyDescent="0.3">
      <c r="A57" s="392" t="str">
        <f>IF(OR(A9 = "2018-19", A9 = "2017-18", A9 = "2016-17", A9 = "2015-16", A9 = "2014-15", A9 = "2013-14"),"S39000019","")</f>
        <v/>
      </c>
      <c r="B57" s="312" t="str">
        <f>IF(OR(A9 = "2018-19", A9 = "2017-18", A9 = "2016-17", A9 = "2015-16", A9 = "2014-15", A9 = "2013-14"), "Fife", "")</f>
        <v/>
      </c>
      <c r="C57" s="435" t="str">
        <f>IF(OR(A9 = "2018-19", A9 = "2017-18", A9 = "2016-17", A9 = "2015-16", A9 = "2014-15", A9 = "2013-14"),GETPIVOTDATA("Sum of Brigade Manager",wtroleareapivot!$A$3,"ReportingLevel","2:LSO","lvl","Fife"), "")</f>
        <v/>
      </c>
      <c r="D57" s="66" t="str">
        <f>IF(OR(A9 = "2018-19", A9 = "2017-18", A9 = "2016-17", A9 = "2015-16", A9 = "2014-15", A9 = "2013-14"),GETPIVOTDATA("Sum of Area Manager",wtroleareapivot!$A$3,"ReportingLevel","2:LSO","lvl","Fife"), "")</f>
        <v/>
      </c>
      <c r="E57" s="66" t="str">
        <f>IF(OR(A9 = "2018-19", A9 = "2017-18", A9 = "2016-17", A9 = "2015-16", A9 = "2014-15", A9 = "2013-14"),GETPIVOTDATA("Sum of Group Manager",wtroleareapivot!$A$3,"ReportingLevel","2:LSO","lvl","Fife"), "")</f>
        <v/>
      </c>
      <c r="F57" s="66" t="str">
        <f>IF(OR(A9 = "2018-19", A9 = "2017-18", A9 = "2016-17", A9 = "2015-16", A9 = "2014-15", A9 = "2013-14"),GETPIVOTDATA("Sum of Station Manager",wtroleareapivot!$A$3,"ReportingLevel","2:LSO","lvl","Fife"), "")</f>
        <v/>
      </c>
      <c r="G57" s="66" t="str">
        <f>IF(OR(A9 = "2018-19", A9 = "2017-18", A9 = "2016-17", A9 = "2015-16", A9 = "2014-15", A9 = "2013-14"),GETPIVOTDATA("Sum of Watch Manager",wtroleareapivot!$A$3,"ReportingLevel","2:LSO","lvl","Fife"), "")</f>
        <v/>
      </c>
      <c r="H57" s="66" t="str">
        <f>IF(OR(A9 = "2018-19", A9 = "2017-18", A9 = "2016-17", A9 = "2015-16", A9 = "2014-15", A9 = "2013-14"),GETPIVOTDATA("Sum of Crew Manager",wtroleareapivot!$A$3,"ReportingLevel","2:LSO","lvl","Fife"), "")</f>
        <v/>
      </c>
      <c r="I57" s="66" t="str">
        <f>IF(OR(A9 = "2018-19", A9 = "2017-18", A9 = "2016-17", A9 = "2015-16", A9 = "2014-15", A9 = "2013-14"),GETPIVOTDATA("Sum of Firefighter",wtroleareapivot!$A$3,"ReportingLevel","2:LSO","lvl","Fife"), "")</f>
        <v/>
      </c>
      <c r="J57" s="67">
        <f t="shared" si="3"/>
        <v>0</v>
      </c>
    </row>
    <row r="58" spans="1:10" x14ac:dyDescent="0.3">
      <c r="A58" s="392" t="str">
        <f>IF(A9="2018-19","S39000012","S39000020")</f>
        <v>S39000020</v>
      </c>
      <c r="B58" s="666" t="s">
        <v>270</v>
      </c>
      <c r="C58" s="435">
        <f>GETPIVOTDATA("Sum of Brigade Manager",wtroleareapivot!$A$3,"ReportingLevel","2:LSO","lvl","Glasgow City")</f>
        <v>0</v>
      </c>
      <c r="D58" s="66">
        <f>GETPIVOTDATA("Sum of Area Manager",wtroleareapivot!$A$3,"ReportingLevel","2:LSO","lvl","Glasgow City")</f>
        <v>2</v>
      </c>
      <c r="E58" s="66">
        <f>GETPIVOTDATA("Sum of Group Manager",wtroleareapivot!$A$3,"ReportingLevel","2:LSO","lvl","Glasgow City")</f>
        <v>4</v>
      </c>
      <c r="F58" s="66">
        <f>GETPIVOTDATA("Sum of Station Manager",wtroleareapivot!$A$3,"ReportingLevel","2:LSO","lvl","Glasgow City")</f>
        <v>8</v>
      </c>
      <c r="G58" s="66">
        <f>GETPIVOTDATA("Sum of Watch Manager",wtroleareapivot!$A$3,"ReportingLevel","2:LSO","lvl","Glasgow City")</f>
        <v>9</v>
      </c>
      <c r="H58" s="66">
        <f>GETPIVOTDATA("Sum of Crew Manager",wtroleareapivot!$A$3,"ReportingLevel","2:LSO","lvl","Glasgow City")</f>
        <v>5</v>
      </c>
      <c r="I58" s="66">
        <f>GETPIVOTDATA("Sum of Firefighter",wtroleareapivot!$A$3,"ReportingLevel","2:LSO","lvl","Glasgow City")</f>
        <v>2</v>
      </c>
      <c r="J58" s="67">
        <f t="shared" si="3"/>
        <v>30</v>
      </c>
    </row>
    <row r="59" spans="1:10" x14ac:dyDescent="0.3">
      <c r="A59" s="392" t="s">
        <v>274</v>
      </c>
      <c r="B59" s="666" t="s">
        <v>275</v>
      </c>
      <c r="C59" s="435">
        <f>GETPIVOTDATA("Sum of Brigade Manager",wtroleareapivot!$A$3,"ReportingLevel","2:LSO","lvl","Highlands")</f>
        <v>0</v>
      </c>
      <c r="D59" s="66">
        <f>GETPIVOTDATA("Sum of Area Manager",wtroleareapivot!$A$3,"ReportingLevel","2:LSO","lvl","Highlands")</f>
        <v>1</v>
      </c>
      <c r="E59" s="66">
        <f>GETPIVOTDATA("Sum of Group Manager",wtroleareapivot!$A$3,"ReportingLevel","2:LSO","lvl","Highlands")</f>
        <v>4</v>
      </c>
      <c r="F59" s="66">
        <f>GETPIVOTDATA("Sum of Station Manager",wtroleareapivot!$A$3,"ReportingLevel","2:LSO","lvl","Highlands")</f>
        <v>13</v>
      </c>
      <c r="G59" s="66">
        <f>GETPIVOTDATA("Sum of Watch Manager",wtroleareapivot!$A$3,"ReportingLevel","2:LSO","lvl","Highlands")</f>
        <v>5</v>
      </c>
      <c r="H59" s="66">
        <f>GETPIVOTDATA("Sum of Crew Manager",wtroleareapivot!$A$3,"ReportingLevel","2:LSO","lvl","Highlands")</f>
        <v>1</v>
      </c>
      <c r="I59" s="66">
        <f>GETPIVOTDATA("Sum of Firefighter",wtroleareapivot!$A$3,"ReportingLevel","2:LSO","lvl","Highlands")</f>
        <v>0</v>
      </c>
      <c r="J59" s="67">
        <f t="shared" si="3"/>
        <v>24</v>
      </c>
    </row>
    <row r="60" spans="1:10" x14ac:dyDescent="0.3">
      <c r="A60" s="392" t="str">
        <f>IF(OR(A9="2021-22", A9 = "2022-23"),"S39000014","S39000021")</f>
        <v>S39000021</v>
      </c>
      <c r="B60" s="666" t="str">
        <f>IF(OR(A9="2021-22", A9 = "2022-23", A9 = "2023-24", A9 = "2024-25", A9 = "2025-26"), "Lanarkshire", "North Lanarkshire")</f>
        <v>Lanarkshire</v>
      </c>
      <c r="C60" s="435">
        <f>IF(OR(A9="2021-22", A9 = "2022-23", A9 = "2023-24", A9 = "2024-25", A9 = "2025-26"), GETPIVOTDATA("Sum of Brigade Manager",wtroleareapivot!$A$3,"ReportingLevel","2:LSO","lvl","Lanarkshire"), GETPIVOTDATA("Sum of Brigade Manager",wtroleareapivot!$A$3,"ReportingLevel","2:LSO","lvl","North Lanarkshire"))</f>
        <v>0</v>
      </c>
      <c r="D60" s="66">
        <f>IF(OR(A9="2021-22", A9 = "2022-23", A9 = "2023-24", A9 = "2024-25", A9 = "2025-26"), GETPIVOTDATA("Sum of Area Manager",wtroleareapivot!$A$3,"ReportingLevel","2:LSO","lvl","Lanarkshire"), GETPIVOTDATA("Sum of Area Manager",wtroleareapivot!$A$3,"ReportingLevel","2:LSO","lvl","North Lanarkshire"))</f>
        <v>1</v>
      </c>
      <c r="E60" s="66">
        <f>IF(OR(A9="2021-22", A9 = "2022-23", A9 = "2023-24", A9 = "2024-25", A9 = "2025-26"), GETPIVOTDATA("Sum of Group Manager",wtroleareapivot!$A$3,"ReportingLevel","2:LSO","lvl","Lanarkshire"), GETPIVOTDATA("Sum of Group Manager",wtroleareapivot!$A$3,"ReportingLevel","2:LSO","lvl","North Lanarkshire"))</f>
        <v>1</v>
      </c>
      <c r="F60" s="66">
        <f>IF(OR(A9="2021-22", A9 = "2022-23", A9 = "2023-24", A9 = "2024-25", A9 = "2025-26"), GETPIVOTDATA("Sum of Station Manager",wtroleareapivot!$A$3,"ReportingLevel","2:LSO","lvl","Lanarkshire"), GETPIVOTDATA("Sum of Station Manager",wtroleareapivot!$A$3,"ReportingLevel","2:LSO","lvl","North Lanarkshire"))</f>
        <v>9</v>
      </c>
      <c r="G60" s="66">
        <f>IF(OR(A9="2021-22", A9 = "2022-23", A9 = "2023-24", A9 = "2024-25", A9 = "2025-26"), GETPIVOTDATA("Sum of Watch Manager",wtroleareapivot!$A$3,"ReportingLevel","2:LSO","lvl","Lanarkshire"), GETPIVOTDATA("Sum of Watch Manager",wtroleareapivot!$A$3,"ReportingLevel","2:LSO","lvl","North Lanarkshire"))</f>
        <v>7</v>
      </c>
      <c r="H60" s="66">
        <f>IF(OR(A9="2021-22", A9 = "2022-23", A9 = "2023-24", A9 = "2024-25", A9 = "2025-26"), GETPIVOTDATA("Sum of Crew Manager",wtroleareapivot!$A$3,"ReportingLevel","2:LSO","lvl","Lanarkshire"), GETPIVOTDATA("Sum of Crew Manager",wtroleareapivot!$A$3,"ReportingLevel","2:LSO","lvl","North Lanarkshire"))</f>
        <v>1</v>
      </c>
      <c r="I60" s="66">
        <f>IF(OR(A9="2021-22", A9 = "2022-23", A9 = "2023-24", A9 = "2024-25", A9 = "2025-26"), GETPIVOTDATA("Sum of Firefighter",wtroleareapivot!$A$3,"ReportingLevel","2:LSO","lvl","Lanarkshire"), GETPIVOTDATA("Sum of Firefighter",wtroleareapivot!$A$3,"ReportingLevel","2:LSO","lvl","North Lanarkshire"))</f>
        <v>1</v>
      </c>
      <c r="J60" s="67">
        <f t="shared" si="3"/>
        <v>20</v>
      </c>
    </row>
    <row r="61" spans="1:10" x14ac:dyDescent="0.3">
      <c r="A61" s="392" t="str">
        <f>IF(OR(A9="2021-22", A9 = "2022-23", A9 = "2023-24", A9 = "2024-25"), "", "S39000015")</f>
        <v>S39000015</v>
      </c>
      <c r="B61" s="666" t="str">
        <f>IF(OR(A9="2021-22", A9 = "2022-23", A9 = "2023-24", A9 = "2024-25", A9 = "2025-26"),"","South Lanarkshire")</f>
        <v/>
      </c>
      <c r="C61" s="435" t="str">
        <f>IF(OR(A9="2021-22", A9 = "2022-23", A9 = "2023-24", A9 = "2024-25", A9 = "2025-26"), "",GETPIVOTDATA("Sum of Brigade Manager",wtroleareapivot!$A$3,"ReportingLevel","2:LSO","lvl","South Lanarkshire"))</f>
        <v/>
      </c>
      <c r="D61" s="66" t="str">
        <f>IF(OR(A9="2021-22", A9 = "2022-23", A9 = "2023-24", A9 = "2024-25", A9 = "2025-26"), "",GETPIVOTDATA("Sum of Area Manager",wtroleareapivot!$A$3,"ReportingLevel","2:LSO","lvl","South Lanarkshire"))</f>
        <v/>
      </c>
      <c r="E61" s="66" t="str">
        <f>IF(OR(A9="2021-22", A9 = "2022-23", A9 = "2023-24", A9 = "2024-25", A9 = "2025-26"), "",GETPIVOTDATA("Sum of Group Manager",wtroleareapivot!$A$3,"ReportingLevel","2:LSO","lvl","South Lanarkshire"))</f>
        <v/>
      </c>
      <c r="F61" s="66" t="str">
        <f>IF(OR(A9="2021-22", A9 = "2022-23", A9 = "2023-24", A9 = "2024-25", A9 = "2025-26"), "",GETPIVOTDATA("Sum of Station Manager",wtroleareapivot!$A$3,"ReportingLevel","2:LSO","lvl","South Lanarkshire"))</f>
        <v/>
      </c>
      <c r="G61" s="66" t="str">
        <f>IF(OR(A9="2021-22", A9 = "2022-23", A9 = "2023-24", A9 = "2024-25", A9 = "2025-26"), "",GETPIVOTDATA("Sum of Watch Manager",wtroleareapivot!$A$3,"ReportingLevel","2:LSO","lvl","South Lanarkshire"))</f>
        <v/>
      </c>
      <c r="H61" s="66" t="str">
        <f>IF(OR(A9="2021-22", A9 = "2022-23", A9 = "2023-24", A9 = "2024-25", A9 = "2025-26"), "",GETPIVOTDATA("Sum of Crew Manager",wtroleareapivot!$A$3,"ReportingLevel","2:LSO","lvl","South Lanarkshire"))</f>
        <v/>
      </c>
      <c r="I61" s="66" t="str">
        <f>IF(OR(A9="2021-22", A9 = "2022-23", A9 = "2023-24", A9 = "2024-25", A9 = "2025-26"), "",GETPIVOTDATA("Sum of Firefighter",wtroleareapivot!$A$3,"ReportingLevel","2:LSO","lvl","South Lanarkshire"))</f>
        <v/>
      </c>
      <c r="J61" s="67">
        <f t="shared" si="3"/>
        <v>0</v>
      </c>
    </row>
    <row r="62" spans="1:10" x14ac:dyDescent="0.3">
      <c r="A62" s="392" t="str">
        <f>IF(OR(A9 = "2018-19", A9 = "2017-18", A9 = "2016-17", A9 = "2015-16", A9 = "2014-15", A9 = "2013-14"),"S39000016","S39000022")</f>
        <v>S39000022</v>
      </c>
      <c r="B62" s="582" t="str">
        <f>IF(OR(A9 = "2018-19", A9 = "2017-18", A9 = "2016-17", A9 = "2015-16", A9 = "2014-15", A9 = "2013-14"), "Stirling and Clackmannanshire", "Stirling, Clackmannanshire and Fife")</f>
        <v>Stirling, Clackmannanshire and Fife</v>
      </c>
      <c r="C62" s="435">
        <f>IF(OR(A9 = "2018-19", A9 = "2017-18", A9 = "2016-17", A9 = "2015-16", A9 = "2014-15", A9 = "2013-14"),"", GETPIVOTDATA("Sum of Brigade Manager",wtroleareapivot!$A$3,"ReportingLevel","2:LSO","lvl","Stirling, Clackmannanshire and Fife"))</f>
        <v>0</v>
      </c>
      <c r="D62" s="66">
        <f>IF(OR(A9 = "2018-19", A9 = "2017-18", A9 = "2016-17", A9 = "2015-16", A9 = "2014-15", A9 = "2013-14"),GETPIVOTDATA("Sum of Area Manager",wtroleareapivot!$A$3,"ReportingLevel","2:LSO","lvl","Stirling and Clackmannanshire"), GETPIVOTDATA("Sum of Area Manager",wtroleareapivot!$A$3,"ReportingLevel","2:LSO","lvl","Stirling, Clackmannanshire and Fife"))</f>
        <v>1</v>
      </c>
      <c r="E62" s="66">
        <f>IF(OR(A9 = "2018-19", A9 = "2017-18", A9 = "2016-17", A9 = "2015-16", A9 = "2014-15", A9 = "2013-14"),GETPIVOTDATA("Sum of Group Manager",wtroleareapivot!$A$3,"ReportingLevel","2:LSO","lvl","Stirling and Clackmannanshire"), GETPIVOTDATA("Sum of Group Manager",wtroleareapivot!$A$3,"ReportingLevel","2:LSO","lvl","Stirling, Clackmannanshire and Fife"))</f>
        <v>3</v>
      </c>
      <c r="F62" s="66">
        <f>IF(OR(A9 = "2018-19", A9 = "2017-18", A9 = "2016-17", A9 = "2015-16", A9 = "2014-15", A9 = "2013-14"),GETPIVOTDATA("Sum of Station Manager",wtroleareapivot!$A$3,"ReportingLevel","2:LSO","lvl","Stirling and Clackmannanshire"), GETPIVOTDATA("Sum of Station Manager",wtroleareapivot!$A$3,"ReportingLevel","2:LSO","lvl","Stirling, Clackmannanshire and Fife"))</f>
        <v>10</v>
      </c>
      <c r="G62" s="66">
        <f>IF(OR(A9 = "2018-19", A9 = "2017-18", A9 = "2016-17", A9 = "2015-16", A9 = "2014-15", A9 = "2013-14"),GETPIVOTDATA("Sum of Watch Manager",wtroleareapivot!$A$3,"ReportingLevel","2:LSO","lvl","Stirling and Clackmannanshire"), GETPIVOTDATA("Sum of Watch Manager",wtroleareapivot!$A$3,"ReportingLevel","2:LSO","lvl","Stirling, Clackmannanshire and Fife"))</f>
        <v>10</v>
      </c>
      <c r="H62" s="66">
        <f>IF(OR(A9 = "2018-19", A9 = "2017-18", A9 = "2016-17", A9 = "2015-16", A9 = "2014-15", A9 = "2013-14"),GETPIVOTDATA("Sum of Crew Manager",wtroleareapivot!$A$3,"ReportingLevel","2:LSO","lvl","Stirling and Clackmannanshire"), GETPIVOTDATA("Sum of Crew Manager",wtroleareapivot!$A$3,"ReportingLevel","2:LSO","lvl","Stirling, Clackmannanshire and Fife"))</f>
        <v>6</v>
      </c>
      <c r="I62" s="66">
        <f>IF(OR(A9 = "2018-19", A9 = "2017-18", A9 = "2016-17", A9 = "2015-16", A9 = "2014-15", A9 = "2013-14"),GETPIVOTDATA("Sum of Firefighter",wtroleareapivot!$A$3,"ReportingLevel","2:LSO","lvl","Stirling and Clackmannanshire"), GETPIVOTDATA("Sum of Firefighter",wtroleareapivot!$A$3,"ReportingLevel","2:LSO","lvl","Stirling, Clackmannanshire and Fife"))</f>
        <v>2</v>
      </c>
      <c r="J62" s="67">
        <f t="shared" si="3"/>
        <v>32</v>
      </c>
    </row>
    <row r="63" spans="1:10" x14ac:dyDescent="0.3">
      <c r="A63" s="392" t="s">
        <v>284</v>
      </c>
      <c r="B63" s="666" t="s">
        <v>285</v>
      </c>
      <c r="C63" s="435">
        <f>GETPIVOTDATA("Sum of Brigade Manager",wtroleareapivot!$A$3,"ReportingLevel","2:LSO","lvl","Western Isles, Orkney and Shetland Islands")</f>
        <v>0</v>
      </c>
      <c r="D63" s="66">
        <f>GETPIVOTDATA("Sum of Area Manager",wtroleareapivot!$A$3,"ReportingLevel","2:LSO","lvl","Western Isles, Orkney and Shetland Islands")</f>
        <v>1</v>
      </c>
      <c r="E63" s="66">
        <f>GETPIVOTDATA("Sum of Group Manager",wtroleareapivot!$A$3,"ReportingLevel","2:LSO","lvl","Western Isles, Orkney and Shetland Islands")</f>
        <v>3</v>
      </c>
      <c r="F63" s="66">
        <f>GETPIVOTDATA("Sum of Station Manager",wtroleareapivot!$A$3,"ReportingLevel","2:LSO","lvl","Western Isles, Orkney and Shetland Islands")</f>
        <v>6</v>
      </c>
      <c r="G63" s="66">
        <f>GETPIVOTDATA("Sum of Watch Manager",wtroleareapivot!$A$3,"ReportingLevel","2:LSO","lvl","Western Isles, Orkney and Shetland Islands")</f>
        <v>0</v>
      </c>
      <c r="H63" s="66">
        <f>GETPIVOTDATA("Sum of Crew Manager",wtroleareapivot!$A$3,"ReportingLevel","2:LSO","lvl","Western Isles, Orkney and Shetland Islands")</f>
        <v>0</v>
      </c>
      <c r="I63" s="66">
        <f>GETPIVOTDATA("Sum of Firefighter",wtroleareapivot!$A$3,"ReportingLevel","2:LSO","lvl","Western Isles, Orkney and Shetland Islands")</f>
        <v>0</v>
      </c>
      <c r="J63" s="67">
        <f t="shared" si="3"/>
        <v>10</v>
      </c>
    </row>
    <row r="64" spans="1:10" ht="18" customHeight="1" thickBot="1" x14ac:dyDescent="0.35">
      <c r="A64" s="58"/>
      <c r="B64" s="58" t="s">
        <v>554</v>
      </c>
      <c r="C64" s="436">
        <f t="shared" ref="C64:J64" si="4">SUM(C47:C63)</f>
        <v>0</v>
      </c>
      <c r="D64" s="70">
        <f t="shared" si="4"/>
        <v>16</v>
      </c>
      <c r="E64" s="70">
        <f t="shared" si="4"/>
        <v>47</v>
      </c>
      <c r="F64" s="70">
        <f t="shared" si="4"/>
        <v>112</v>
      </c>
      <c r="G64" s="70">
        <f t="shared" si="4"/>
        <v>97</v>
      </c>
      <c r="H64" s="70">
        <f t="shared" si="4"/>
        <v>46</v>
      </c>
      <c r="I64" s="70">
        <f t="shared" si="4"/>
        <v>47</v>
      </c>
      <c r="J64" s="70">
        <f t="shared" si="4"/>
        <v>365</v>
      </c>
    </row>
    <row r="65" spans="1:12" x14ac:dyDescent="0.3">
      <c r="A65" s="48"/>
      <c r="B65" s="48"/>
      <c r="C65" s="74"/>
      <c r="D65" s="41"/>
      <c r="E65" s="41"/>
      <c r="F65" s="41"/>
      <c r="G65" s="41"/>
      <c r="H65" s="41"/>
      <c r="I65" s="41"/>
      <c r="J65" s="41"/>
    </row>
    <row r="66" spans="1:12" x14ac:dyDescent="0.3">
      <c r="A66" s="36" t="s">
        <v>211</v>
      </c>
      <c r="B66" s="36" t="s">
        <v>212</v>
      </c>
      <c r="C66" s="43"/>
      <c r="D66" s="43"/>
      <c r="E66" s="43"/>
      <c r="F66" s="43"/>
      <c r="G66" s="43"/>
      <c r="H66" s="43"/>
      <c r="I66" s="43"/>
      <c r="J66" s="75"/>
    </row>
    <row r="67" spans="1:12" ht="21" customHeight="1" x14ac:dyDescent="0.3">
      <c r="A67" s="481" t="s">
        <v>237</v>
      </c>
      <c r="B67" s="60" t="s">
        <v>238</v>
      </c>
      <c r="C67" s="435">
        <f>GETPIVOTDATA("Sum of Brigade Manager",wtroleareapivot!$A$3,"ReportingLevel","3:SDA","lvl","East")</f>
        <v>0</v>
      </c>
      <c r="D67" s="66">
        <f>GETPIVOTDATA("Sum of Area Manager",wtroleareapivot!$A$3,"ReportingLevel","3:SDA","lvl","East")</f>
        <v>0</v>
      </c>
      <c r="E67" s="66">
        <f>GETPIVOTDATA("Sum of Group Manager",wtroleareapivot!$A$3,"ReportingLevel","3:SDA","lvl","East")</f>
        <v>2</v>
      </c>
      <c r="F67" s="66">
        <f>GETPIVOTDATA("Sum of Station Manager",wtroleareapivot!$A$3,"ReportingLevel","3:SDA","lvl","East")</f>
        <v>8</v>
      </c>
      <c r="G67" s="66">
        <f>GETPIVOTDATA("Sum of Watch Manager",wtroleareapivot!$A$3,"ReportingLevel","3:SDA","lvl","East")</f>
        <v>5</v>
      </c>
      <c r="H67" s="66">
        <f>GETPIVOTDATA("Sum of Crew Manager",wtroleareapivot!$A$3,"ReportingLevel","3:SDA","lvl","East")</f>
        <v>1</v>
      </c>
      <c r="I67" s="66">
        <f>GETPIVOTDATA("Sum of Firefighter",wtroleareapivot!$A$3,"ReportingLevel","3:SDA","lvl","East")</f>
        <v>24</v>
      </c>
      <c r="J67" s="67">
        <f>SUM(C67:I67)</f>
        <v>40</v>
      </c>
    </row>
    <row r="68" spans="1:12" x14ac:dyDescent="0.3">
      <c r="A68" s="50" t="s">
        <v>217</v>
      </c>
      <c r="B68" s="48" t="s">
        <v>218</v>
      </c>
      <c r="C68" s="435">
        <f>GETPIVOTDATA("Sum of Brigade Manager",wtroleareapivot!$A$3,"ReportingLevel","3:SDA","lvl","North")</f>
        <v>0</v>
      </c>
      <c r="D68" s="66">
        <f>GETPIVOTDATA("Sum of Area Manager",wtroleareapivot!$A$3,"ReportingLevel","3:SDA","lvl","North")</f>
        <v>1</v>
      </c>
      <c r="E68" s="66">
        <f>GETPIVOTDATA("Sum of Group Manager",wtroleareapivot!$A$3,"ReportingLevel","3:SDA","lvl","North")</f>
        <v>2</v>
      </c>
      <c r="F68" s="66">
        <f>GETPIVOTDATA("Sum of Station Manager",wtroleareapivot!$A$3,"ReportingLevel","3:SDA","lvl","North")</f>
        <v>6</v>
      </c>
      <c r="G68" s="66">
        <f>GETPIVOTDATA("Sum of Watch Manager",wtroleareapivot!$A$3,"ReportingLevel","3:SDA","lvl","North")</f>
        <v>4</v>
      </c>
      <c r="H68" s="66">
        <f>GETPIVOTDATA("Sum of Crew Manager",wtroleareapivot!$A$3,"ReportingLevel","3:SDA","lvl","North")</f>
        <v>2</v>
      </c>
      <c r="I68" s="66">
        <f>GETPIVOTDATA("Sum of Firefighter",wtroleareapivot!$A$3,"ReportingLevel","3:SDA","lvl","North")</f>
        <v>12</v>
      </c>
      <c r="J68" s="67">
        <f>SUM(C68:I68)</f>
        <v>27</v>
      </c>
    </row>
    <row r="69" spans="1:12" x14ac:dyDescent="0.3">
      <c r="A69" s="453" t="s">
        <v>231</v>
      </c>
      <c r="B69" s="48" t="s">
        <v>232</v>
      </c>
      <c r="C69" s="435">
        <f>GETPIVOTDATA("Sum of Brigade Manager",wtroleareapivot!$A$3,"ReportingLevel","3:SDA","lvl","West")</f>
        <v>0</v>
      </c>
      <c r="D69" s="66">
        <f>GETPIVOTDATA("Sum of Area Manager",wtroleareapivot!$A$3,"ReportingLevel","3:SDA","lvl","West")</f>
        <v>1</v>
      </c>
      <c r="E69" s="66">
        <f>GETPIVOTDATA("Sum of Group Manager",wtroleareapivot!$A$3,"ReportingLevel","3:SDA","lvl","West")</f>
        <v>4</v>
      </c>
      <c r="F69" s="66">
        <f>GETPIVOTDATA("Sum of Station Manager",wtroleareapivot!$A$3,"ReportingLevel","3:SDA","lvl","West")</f>
        <v>6</v>
      </c>
      <c r="G69" s="66">
        <f>GETPIVOTDATA("Sum of Watch Manager",wtroleareapivot!$A$3,"ReportingLevel","3:SDA","lvl","West")</f>
        <v>35</v>
      </c>
      <c r="H69" s="66">
        <f>GETPIVOTDATA("Sum of Crew Manager",wtroleareapivot!$A$3,"ReportingLevel","3:SDA","lvl","West")</f>
        <v>12</v>
      </c>
      <c r="I69" s="66">
        <f>GETPIVOTDATA("Sum of Firefighter",wtroleareapivot!$A$3,"ReportingLevel","3:SDA","lvl","West")</f>
        <v>36</v>
      </c>
      <c r="J69" s="67">
        <f>SUM(C69:I69)</f>
        <v>94</v>
      </c>
    </row>
    <row r="70" spans="1:12" ht="18.75" customHeight="1" thickBot="1" x14ac:dyDescent="0.35">
      <c r="A70" s="52"/>
      <c r="B70" s="52" t="s">
        <v>555</v>
      </c>
      <c r="C70" s="436">
        <f>SUM(C67:C69)</f>
        <v>0</v>
      </c>
      <c r="D70" s="70">
        <f t="shared" ref="D70:J70" si="5">SUM(D67:D69)</f>
        <v>2</v>
      </c>
      <c r="E70" s="70">
        <f t="shared" si="5"/>
        <v>8</v>
      </c>
      <c r="F70" s="70">
        <f t="shared" si="5"/>
        <v>20</v>
      </c>
      <c r="G70" s="70">
        <f t="shared" si="5"/>
        <v>44</v>
      </c>
      <c r="H70" s="70">
        <f t="shared" si="5"/>
        <v>15</v>
      </c>
      <c r="I70" s="70">
        <f t="shared" si="5"/>
        <v>72</v>
      </c>
      <c r="J70" s="70">
        <f t="shared" si="5"/>
        <v>161</v>
      </c>
    </row>
    <row r="71" spans="1:12" x14ac:dyDescent="0.3">
      <c r="A71" s="36" t="s">
        <v>556</v>
      </c>
      <c r="B71" s="48"/>
      <c r="C71" s="44"/>
      <c r="D71" s="44"/>
      <c r="E71" s="44"/>
      <c r="F71" s="44"/>
      <c r="G71" s="44"/>
      <c r="H71" s="44"/>
      <c r="I71" s="44"/>
      <c r="J71" s="65"/>
    </row>
    <row r="72" spans="1:12" ht="15" thickBot="1" x14ac:dyDescent="0.35">
      <c r="A72" s="52" t="s">
        <v>549</v>
      </c>
      <c r="B72" s="76" t="s">
        <v>557</v>
      </c>
      <c r="C72" s="299">
        <f>GETPIVOTDATA("Sum of Brigade Manager",wtroleareapivot!$A$3,"ReportingLevel","4:National","lvl","Scotland")</f>
        <v>5</v>
      </c>
      <c r="D72" s="299">
        <f>GETPIVOTDATA("Sum of Area Manager",wtroleareapivot!$A$3,"ReportingLevel","4:National","lvl","Scotland")</f>
        <v>9</v>
      </c>
      <c r="E72" s="299">
        <f>GETPIVOTDATA("Sum of Group Manager",wtroleareapivot!$A$3,"ReportingLevel","4:National","lvl","Scotland")</f>
        <v>15</v>
      </c>
      <c r="F72" s="299">
        <f>GETPIVOTDATA("Sum of Station Manager",wtroleareapivot!$A$3,"ReportingLevel","4:National")</f>
        <v>26</v>
      </c>
      <c r="G72" s="299">
        <f>GETPIVOTDATA("Sum of Watch Manager",wtroleareapivot!$A$3,"ReportingLevel","4:National","lvl","Scotland")</f>
        <v>36</v>
      </c>
      <c r="H72" s="299">
        <f>GETPIVOTDATA("Sum of Crew Manager",wtroleareapivot!$A$3,"ReportingLevel","4:National","lvl","Scotland")</f>
        <v>1</v>
      </c>
      <c r="I72" s="299">
        <f>GETPIVOTDATA("Sum of Firefighter",wtroleareapivot!$A$3,"ReportingLevel","4:National","lvl","Scotland")</f>
        <v>1</v>
      </c>
      <c r="J72" s="70">
        <f>SUM(C72:I72)</f>
        <v>93</v>
      </c>
    </row>
    <row r="74" spans="1:12" x14ac:dyDescent="0.3">
      <c r="A74" s="348" t="s">
        <v>329</v>
      </c>
      <c r="B74" s="349"/>
      <c r="C74" s="349"/>
      <c r="D74" s="349"/>
      <c r="E74" s="349"/>
      <c r="F74" s="349"/>
      <c r="G74" s="349"/>
      <c r="H74" s="349"/>
      <c r="I74" s="349"/>
    </row>
    <row r="75" spans="1:12" x14ac:dyDescent="0.3">
      <c r="A75" s="345" t="s">
        <v>558</v>
      </c>
      <c r="B75" s="339"/>
      <c r="C75" s="346"/>
      <c r="D75" s="347"/>
      <c r="E75" s="347"/>
      <c r="F75" s="347"/>
      <c r="G75" s="347"/>
      <c r="H75" s="347"/>
      <c r="I75" s="347"/>
    </row>
    <row r="76" spans="1:12" ht="33.9" customHeight="1" x14ac:dyDescent="0.3">
      <c r="A76" s="1040" t="s">
        <v>654</v>
      </c>
      <c r="B76" s="1040"/>
      <c r="C76" s="1040"/>
      <c r="D76" s="1040"/>
      <c r="E76" s="1040"/>
      <c r="F76" s="1040"/>
      <c r="G76" s="1040"/>
      <c r="H76" s="1040"/>
      <c r="I76" s="1040"/>
    </row>
    <row r="77" spans="1:12" x14ac:dyDescent="0.3">
      <c r="A77" s="376" t="s">
        <v>666</v>
      </c>
      <c r="B77" s="421"/>
      <c r="C77" s="421"/>
      <c r="D77" s="421"/>
      <c r="E77" s="421"/>
      <c r="F77" s="421"/>
      <c r="G77" s="421"/>
      <c r="H77" s="421"/>
      <c r="I77" s="421"/>
      <c r="K77" s="371"/>
      <c r="L77" s="371"/>
    </row>
    <row r="78" spans="1:12" x14ac:dyDescent="0.3">
      <c r="A78" s="345" t="s">
        <v>667</v>
      </c>
    </row>
  </sheetData>
  <sheetProtection algorithmName="SHA-512" hashValue="+CljiO/1gXHjdn8rn/MqaSYfcYJrg5/cmWna2Lfm20GxDopPyaxHqVFatxKocKxb/nxSlR1E0SPC0ZWwv+EyIQ==" saltValue="OpuLRU+DAomrf1Z/vLlu6g==" spinCount="100000" sheet="1" scenarios="1" formatCells="0" sort="0" autoFilter="0" pivotTables="0"/>
  <mergeCells count="3">
    <mergeCell ref="A1:H1"/>
    <mergeCell ref="A4:J4"/>
    <mergeCell ref="A76:I76"/>
  </mergeCells>
  <hyperlinks>
    <hyperlink ref="A2" location="'Table of Contents'!A1" display="Back to Table of Contents" xr:uid="{00000000-0004-0000-3600-000000000000}"/>
  </hyperlinks>
  <pageMargins left="0.70866141732283472" right="0.70866141732283472" top="0.74803149606299213" bottom="0.74803149606299213" header="0.31496062992125984" footer="0.31496062992125984"/>
  <pageSetup scale="55" orientation="portrait" r:id="rId1"/>
  <drawing r:id="rId2"/>
  <extLst>
    <ext xmlns:x14="http://schemas.microsoft.com/office/spreadsheetml/2009/9/main" uri="{A8765BA9-456A-4dab-B4F3-ACF838C121DE}">
      <x14:slicerList>
        <x14:slicer r:id="rId3"/>
      </x14:slicerList>
    </ext>
  </extLst>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tabColor theme="9" tint="0.39997558519241921"/>
  </sheetPr>
  <dimension ref="A1:D33"/>
  <sheetViews>
    <sheetView workbookViewId="0">
      <selection activeCell="D20" sqref="D20"/>
    </sheetView>
  </sheetViews>
  <sheetFormatPr defaultRowHeight="14.4" x14ac:dyDescent="0.3"/>
  <cols>
    <col min="1" max="1" width="21.21875" bestFit="1" customWidth="1"/>
    <col min="2" max="2" width="21.33203125" bestFit="1" customWidth="1"/>
    <col min="3" max="3" width="20.109375" bestFit="1" customWidth="1"/>
    <col min="4" max="4" width="16.77734375" bestFit="1" customWidth="1"/>
  </cols>
  <sheetData>
    <row r="1" spans="1:4" x14ac:dyDescent="0.3">
      <c r="A1" s="386" t="s">
        <v>208</v>
      </c>
      <c r="B1" t="s">
        <v>412</v>
      </c>
    </row>
    <row r="3" spans="1:4" x14ac:dyDescent="0.3">
      <c r="A3" s="386" t="s">
        <v>350</v>
      </c>
      <c r="B3" t="s">
        <v>634</v>
      </c>
      <c r="C3" t="s">
        <v>635</v>
      </c>
      <c r="D3" t="s">
        <v>636</v>
      </c>
    </row>
    <row r="4" spans="1:4" x14ac:dyDescent="0.3">
      <c r="A4" s="387" t="s">
        <v>215</v>
      </c>
      <c r="B4">
        <v>1</v>
      </c>
      <c r="C4">
        <v>3</v>
      </c>
      <c r="D4">
        <v>5</v>
      </c>
    </row>
    <row r="5" spans="1:4" x14ac:dyDescent="0.3">
      <c r="A5" s="387" t="s">
        <v>220</v>
      </c>
      <c r="B5">
        <v>23</v>
      </c>
      <c r="C5">
        <v>68</v>
      </c>
      <c r="D5">
        <v>186</v>
      </c>
    </row>
    <row r="6" spans="1:4" x14ac:dyDescent="0.3">
      <c r="A6" s="387" t="s">
        <v>224</v>
      </c>
      <c r="B6">
        <v>6</v>
      </c>
      <c r="C6">
        <v>17</v>
      </c>
      <c r="D6">
        <v>72</v>
      </c>
    </row>
    <row r="7" spans="1:4" x14ac:dyDescent="0.3">
      <c r="A7" s="387" t="s">
        <v>228</v>
      </c>
      <c r="B7">
        <v>14</v>
      </c>
      <c r="C7">
        <v>26</v>
      </c>
      <c r="D7">
        <v>134</v>
      </c>
    </row>
    <row r="8" spans="1:4" x14ac:dyDescent="0.3">
      <c r="A8" s="387" t="s">
        <v>234</v>
      </c>
      <c r="B8">
        <v>2</v>
      </c>
      <c r="C8">
        <v>1</v>
      </c>
      <c r="D8">
        <v>7</v>
      </c>
    </row>
    <row r="9" spans="1:4" x14ac:dyDescent="0.3">
      <c r="A9" s="387" t="s">
        <v>240</v>
      </c>
      <c r="B9">
        <v>2</v>
      </c>
      <c r="C9">
        <v>4</v>
      </c>
      <c r="D9">
        <v>18</v>
      </c>
    </row>
    <row r="10" spans="1:4" x14ac:dyDescent="0.3">
      <c r="A10" s="387" t="s">
        <v>244</v>
      </c>
      <c r="B10">
        <v>18</v>
      </c>
      <c r="C10">
        <v>32</v>
      </c>
      <c r="D10">
        <v>141</v>
      </c>
    </row>
    <row r="11" spans="1:4" x14ac:dyDescent="0.3">
      <c r="A11" s="387" t="s">
        <v>247</v>
      </c>
      <c r="B11">
        <v>1</v>
      </c>
      <c r="C11">
        <v>2</v>
      </c>
      <c r="D11">
        <v>11</v>
      </c>
    </row>
    <row r="12" spans="1:4" x14ac:dyDescent="0.3">
      <c r="A12" s="387" t="s">
        <v>249</v>
      </c>
      <c r="B12">
        <v>6</v>
      </c>
      <c r="C12">
        <v>11</v>
      </c>
      <c r="D12">
        <v>57</v>
      </c>
    </row>
    <row r="13" spans="1:4" x14ac:dyDescent="0.3">
      <c r="A13" s="387" t="s">
        <v>255</v>
      </c>
      <c r="B13">
        <v>6</v>
      </c>
      <c r="C13">
        <v>13</v>
      </c>
      <c r="D13">
        <v>37</v>
      </c>
    </row>
    <row r="14" spans="1:4" x14ac:dyDescent="0.3">
      <c r="A14" s="387" t="s">
        <v>263</v>
      </c>
      <c r="B14">
        <v>6</v>
      </c>
      <c r="C14">
        <v>8</v>
      </c>
      <c r="D14">
        <v>46</v>
      </c>
    </row>
    <row r="15" spans="1:4" x14ac:dyDescent="0.3">
      <c r="A15" s="387" t="s">
        <v>267</v>
      </c>
      <c r="B15">
        <v>8</v>
      </c>
      <c r="C15">
        <v>22</v>
      </c>
      <c r="D15">
        <v>66</v>
      </c>
    </row>
    <row r="16" spans="1:4" x14ac:dyDescent="0.3">
      <c r="A16" s="387" t="s">
        <v>273</v>
      </c>
      <c r="B16">
        <v>48</v>
      </c>
      <c r="C16">
        <v>98</v>
      </c>
      <c r="D16">
        <v>311</v>
      </c>
    </row>
    <row r="17" spans="1:4" x14ac:dyDescent="0.3">
      <c r="A17" s="387" t="s">
        <v>277</v>
      </c>
      <c r="B17">
        <v>4</v>
      </c>
      <c r="C17">
        <v>7</v>
      </c>
      <c r="D17">
        <v>29</v>
      </c>
    </row>
    <row r="18" spans="1:4" x14ac:dyDescent="0.3">
      <c r="A18" s="387" t="s">
        <v>279</v>
      </c>
      <c r="B18">
        <v>1</v>
      </c>
      <c r="C18">
        <v>3</v>
      </c>
      <c r="D18">
        <v>9</v>
      </c>
    </row>
    <row r="19" spans="1:4" x14ac:dyDescent="0.3">
      <c r="A19" s="387" t="s">
        <v>281</v>
      </c>
      <c r="B19">
        <v>9</v>
      </c>
      <c r="C19">
        <v>26</v>
      </c>
      <c r="D19">
        <v>70</v>
      </c>
    </row>
    <row r="20" spans="1:4" x14ac:dyDescent="0.3">
      <c r="A20" s="387" t="s">
        <v>283</v>
      </c>
      <c r="B20">
        <v>14</v>
      </c>
      <c r="C20">
        <v>24</v>
      </c>
      <c r="D20">
        <v>94</v>
      </c>
    </row>
    <row r="21" spans="1:4" x14ac:dyDescent="0.3">
      <c r="A21" s="387" t="s">
        <v>287</v>
      </c>
      <c r="B21">
        <v>10</v>
      </c>
      <c r="C21">
        <v>14</v>
      </c>
      <c r="D21">
        <v>80</v>
      </c>
    </row>
    <row r="22" spans="1:4" x14ac:dyDescent="0.3">
      <c r="A22" s="387" t="s">
        <v>289</v>
      </c>
      <c r="B22">
        <v>3</v>
      </c>
      <c r="C22">
        <v>5</v>
      </c>
      <c r="D22">
        <v>23</v>
      </c>
    </row>
    <row r="23" spans="1:4" x14ac:dyDescent="0.3">
      <c r="A23" s="387" t="s">
        <v>292</v>
      </c>
      <c r="B23">
        <v>11</v>
      </c>
      <c r="C23">
        <v>18</v>
      </c>
      <c r="D23">
        <v>75</v>
      </c>
    </row>
    <row r="24" spans="1:4" x14ac:dyDescent="0.3">
      <c r="A24" s="387" t="s">
        <v>294</v>
      </c>
      <c r="B24">
        <v>9</v>
      </c>
      <c r="C24">
        <v>23</v>
      </c>
      <c r="D24">
        <v>82</v>
      </c>
    </row>
    <row r="25" spans="1:4" x14ac:dyDescent="0.3">
      <c r="A25" s="387" t="s">
        <v>296</v>
      </c>
      <c r="B25">
        <v>1</v>
      </c>
      <c r="C25">
        <v>2</v>
      </c>
      <c r="D25">
        <v>11</v>
      </c>
    </row>
    <row r="26" spans="1:4" x14ac:dyDescent="0.3">
      <c r="A26" s="387" t="s">
        <v>298</v>
      </c>
      <c r="B26">
        <v>14</v>
      </c>
      <c r="C26">
        <v>29</v>
      </c>
      <c r="D26">
        <v>110</v>
      </c>
    </row>
    <row r="27" spans="1:4" x14ac:dyDescent="0.3">
      <c r="A27" s="387" t="s">
        <v>300</v>
      </c>
      <c r="B27">
        <v>13</v>
      </c>
      <c r="C27">
        <v>23</v>
      </c>
      <c r="D27">
        <v>81</v>
      </c>
    </row>
    <row r="28" spans="1:4" x14ac:dyDescent="0.3">
      <c r="A28" s="387" t="s">
        <v>302</v>
      </c>
      <c r="B28">
        <v>5</v>
      </c>
      <c r="C28">
        <v>6</v>
      </c>
      <c r="D28">
        <v>36</v>
      </c>
    </row>
    <row r="29" spans="1:4" x14ac:dyDescent="0.3">
      <c r="A29" s="387" t="s">
        <v>304</v>
      </c>
      <c r="B29">
        <v>7</v>
      </c>
      <c r="C29">
        <v>14</v>
      </c>
      <c r="D29">
        <v>61</v>
      </c>
    </row>
    <row r="30" spans="1:4" x14ac:dyDescent="0.3">
      <c r="A30" s="387" t="s">
        <v>307</v>
      </c>
      <c r="B30">
        <v>7</v>
      </c>
      <c r="C30">
        <v>14</v>
      </c>
      <c r="D30">
        <v>53</v>
      </c>
    </row>
    <row r="31" spans="1:4" x14ac:dyDescent="0.3">
      <c r="A31" s="387" t="s">
        <v>309</v>
      </c>
      <c r="B31">
        <v>2</v>
      </c>
      <c r="C31">
        <v>3</v>
      </c>
      <c r="D31">
        <v>17</v>
      </c>
    </row>
    <row r="32" spans="1:4" x14ac:dyDescent="0.3">
      <c r="A32" s="387" t="s">
        <v>311</v>
      </c>
      <c r="B32">
        <v>6</v>
      </c>
      <c r="C32">
        <v>10</v>
      </c>
      <c r="D32">
        <v>42</v>
      </c>
    </row>
    <row r="33" spans="1:4" x14ac:dyDescent="0.3">
      <c r="A33" s="387" t="s">
        <v>357</v>
      </c>
      <c r="B33">
        <v>257</v>
      </c>
      <c r="C33">
        <v>526</v>
      </c>
      <c r="D33">
        <v>1964</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tabColor theme="9" tint="0.39997558519241921"/>
  </sheetPr>
  <dimension ref="A1:G397"/>
  <sheetViews>
    <sheetView topLeftCell="A365" workbookViewId="0">
      <selection activeCell="E391" sqref="E391"/>
    </sheetView>
  </sheetViews>
  <sheetFormatPr defaultRowHeight="14.4" x14ac:dyDescent="0.3"/>
  <cols>
    <col min="1" max="1" width="7.6640625" bestFit="1" customWidth="1"/>
    <col min="2" max="2" width="16.33203125" bestFit="1" customWidth="1"/>
    <col min="3" max="3" width="21.21875" bestFit="1" customWidth="1"/>
    <col min="4" max="4" width="11.33203125" bestFit="1" customWidth="1"/>
    <col min="5" max="5" width="16.88671875" bestFit="1" customWidth="1"/>
    <col min="6" max="6" width="15.77734375" bestFit="1" customWidth="1"/>
    <col min="7" max="7" width="12.33203125" bestFit="1" customWidth="1"/>
  </cols>
  <sheetData>
    <row r="1" spans="1:7" x14ac:dyDescent="0.3">
      <c r="A1" t="s">
        <v>208</v>
      </c>
      <c r="B1" t="s">
        <v>547</v>
      </c>
      <c r="C1" t="s">
        <v>550</v>
      </c>
      <c r="D1" t="s">
        <v>556</v>
      </c>
      <c r="E1" t="s">
        <v>625</v>
      </c>
      <c r="F1" t="s">
        <v>626</v>
      </c>
      <c r="G1" t="s">
        <v>627</v>
      </c>
    </row>
    <row r="2" spans="1:7" x14ac:dyDescent="0.3">
      <c r="A2" t="s">
        <v>364</v>
      </c>
      <c r="B2" t="s">
        <v>537</v>
      </c>
      <c r="C2" t="s">
        <v>215</v>
      </c>
      <c r="D2" t="s">
        <v>214</v>
      </c>
      <c r="E2">
        <v>2</v>
      </c>
      <c r="F2">
        <v>1</v>
      </c>
      <c r="G2">
        <v>5</v>
      </c>
    </row>
    <row r="3" spans="1:7" x14ac:dyDescent="0.3">
      <c r="A3" t="s">
        <v>364</v>
      </c>
      <c r="B3" t="s">
        <v>537</v>
      </c>
      <c r="C3" t="s">
        <v>220</v>
      </c>
      <c r="D3" t="s">
        <v>219</v>
      </c>
      <c r="E3">
        <v>65</v>
      </c>
      <c r="F3">
        <v>29</v>
      </c>
      <c r="G3">
        <v>203</v>
      </c>
    </row>
    <row r="4" spans="1:7" x14ac:dyDescent="0.3">
      <c r="A4" t="s">
        <v>364</v>
      </c>
      <c r="B4" t="s">
        <v>537</v>
      </c>
      <c r="C4" t="s">
        <v>224</v>
      </c>
      <c r="D4" t="s">
        <v>223</v>
      </c>
      <c r="E4">
        <v>19</v>
      </c>
      <c r="F4">
        <v>7</v>
      </c>
      <c r="G4">
        <v>73</v>
      </c>
    </row>
    <row r="5" spans="1:7" x14ac:dyDescent="0.3">
      <c r="A5" t="s">
        <v>364</v>
      </c>
      <c r="B5" t="s">
        <v>537</v>
      </c>
      <c r="C5" t="s">
        <v>228</v>
      </c>
      <c r="D5" t="s">
        <v>227</v>
      </c>
      <c r="E5">
        <v>24</v>
      </c>
      <c r="F5">
        <v>17</v>
      </c>
      <c r="G5">
        <v>146</v>
      </c>
    </row>
    <row r="6" spans="1:7" x14ac:dyDescent="0.3">
      <c r="A6" t="s">
        <v>364</v>
      </c>
      <c r="B6" t="s">
        <v>537</v>
      </c>
      <c r="C6" t="s">
        <v>234</v>
      </c>
      <c r="D6" t="s">
        <v>233</v>
      </c>
      <c r="E6">
        <v>2</v>
      </c>
      <c r="F6">
        <v>1</v>
      </c>
      <c r="G6">
        <v>9</v>
      </c>
    </row>
    <row r="7" spans="1:7" x14ac:dyDescent="0.3">
      <c r="A7" t="s">
        <v>364</v>
      </c>
      <c r="B7" t="s">
        <v>537</v>
      </c>
      <c r="C7" t="s">
        <v>240</v>
      </c>
      <c r="D7" t="s">
        <v>239</v>
      </c>
      <c r="E7">
        <v>4</v>
      </c>
      <c r="F7">
        <v>2</v>
      </c>
      <c r="G7">
        <v>15</v>
      </c>
    </row>
    <row r="8" spans="1:7" x14ac:dyDescent="0.3">
      <c r="A8" t="s">
        <v>364</v>
      </c>
      <c r="B8" t="s">
        <v>537</v>
      </c>
      <c r="C8" t="s">
        <v>244</v>
      </c>
      <c r="D8" t="s">
        <v>243</v>
      </c>
      <c r="E8">
        <v>34</v>
      </c>
      <c r="F8">
        <v>17</v>
      </c>
      <c r="G8">
        <v>147</v>
      </c>
    </row>
    <row r="9" spans="1:7" x14ac:dyDescent="0.3">
      <c r="A9" t="s">
        <v>364</v>
      </c>
      <c r="B9" t="s">
        <v>537</v>
      </c>
      <c r="C9" t="s">
        <v>247</v>
      </c>
      <c r="D9" t="s">
        <v>246</v>
      </c>
      <c r="E9">
        <v>3</v>
      </c>
      <c r="F9">
        <v>1</v>
      </c>
      <c r="G9">
        <v>10</v>
      </c>
    </row>
    <row r="10" spans="1:7" x14ac:dyDescent="0.3">
      <c r="A10" t="s">
        <v>364</v>
      </c>
      <c r="B10" t="s">
        <v>537</v>
      </c>
      <c r="C10" t="s">
        <v>249</v>
      </c>
      <c r="D10" t="s">
        <v>248</v>
      </c>
      <c r="E10">
        <v>10</v>
      </c>
      <c r="F10">
        <v>9</v>
      </c>
      <c r="G10">
        <v>58</v>
      </c>
    </row>
    <row r="11" spans="1:7" x14ac:dyDescent="0.3">
      <c r="A11" t="s">
        <v>364</v>
      </c>
      <c r="B11" t="s">
        <v>537</v>
      </c>
      <c r="C11" t="s">
        <v>253</v>
      </c>
      <c r="D11" t="s">
        <v>252</v>
      </c>
      <c r="E11">
        <v>0</v>
      </c>
      <c r="F11">
        <v>0</v>
      </c>
      <c r="G11">
        <v>0</v>
      </c>
    </row>
    <row r="12" spans="1:7" x14ac:dyDescent="0.3">
      <c r="A12" t="s">
        <v>364</v>
      </c>
      <c r="B12" t="s">
        <v>537</v>
      </c>
      <c r="C12" t="s">
        <v>255</v>
      </c>
      <c r="D12" t="s">
        <v>254</v>
      </c>
      <c r="E12">
        <v>9</v>
      </c>
      <c r="F12">
        <v>5</v>
      </c>
      <c r="G12">
        <v>38</v>
      </c>
    </row>
    <row r="13" spans="1:7" x14ac:dyDescent="0.3">
      <c r="A13" t="s">
        <v>364</v>
      </c>
      <c r="B13" t="s">
        <v>537</v>
      </c>
      <c r="C13" t="s">
        <v>259</v>
      </c>
      <c r="D13" t="s">
        <v>258</v>
      </c>
      <c r="E13">
        <v>0</v>
      </c>
      <c r="F13">
        <v>0</v>
      </c>
      <c r="G13">
        <v>0</v>
      </c>
    </row>
    <row r="14" spans="1:7" x14ac:dyDescent="0.3">
      <c r="A14" t="s">
        <v>364</v>
      </c>
      <c r="B14" t="s">
        <v>537</v>
      </c>
      <c r="C14" t="s">
        <v>263</v>
      </c>
      <c r="D14" t="s">
        <v>262</v>
      </c>
      <c r="E14">
        <v>10</v>
      </c>
      <c r="F14">
        <v>5</v>
      </c>
      <c r="G14">
        <v>50</v>
      </c>
    </row>
    <row r="15" spans="1:7" x14ac:dyDescent="0.3">
      <c r="A15" t="s">
        <v>364</v>
      </c>
      <c r="B15" t="s">
        <v>537</v>
      </c>
      <c r="C15" t="s">
        <v>267</v>
      </c>
      <c r="D15" t="s">
        <v>266</v>
      </c>
      <c r="E15">
        <v>19</v>
      </c>
      <c r="F15">
        <v>11</v>
      </c>
      <c r="G15">
        <v>81</v>
      </c>
    </row>
    <row r="16" spans="1:7" x14ac:dyDescent="0.3">
      <c r="A16" t="s">
        <v>364</v>
      </c>
      <c r="B16" t="s">
        <v>537</v>
      </c>
      <c r="C16" t="s">
        <v>270</v>
      </c>
      <c r="D16" t="s">
        <v>269</v>
      </c>
      <c r="E16">
        <v>1</v>
      </c>
      <c r="F16">
        <v>0</v>
      </c>
      <c r="G16">
        <v>1</v>
      </c>
    </row>
    <row r="17" spans="1:7" x14ac:dyDescent="0.3">
      <c r="A17" t="s">
        <v>364</v>
      </c>
      <c r="B17" t="s">
        <v>537</v>
      </c>
      <c r="C17" t="s">
        <v>273</v>
      </c>
      <c r="D17" t="s">
        <v>272</v>
      </c>
      <c r="E17">
        <v>115</v>
      </c>
      <c r="F17">
        <v>55</v>
      </c>
      <c r="G17">
        <v>394</v>
      </c>
    </row>
    <row r="18" spans="1:7" x14ac:dyDescent="0.3">
      <c r="A18" t="s">
        <v>364</v>
      </c>
      <c r="B18" t="s">
        <v>537</v>
      </c>
      <c r="C18" t="s">
        <v>277</v>
      </c>
      <c r="D18" t="s">
        <v>276</v>
      </c>
      <c r="E18">
        <v>4</v>
      </c>
      <c r="F18">
        <v>3</v>
      </c>
      <c r="G18">
        <v>35</v>
      </c>
    </row>
    <row r="19" spans="1:7" x14ac:dyDescent="0.3">
      <c r="A19" t="s">
        <v>364</v>
      </c>
      <c r="B19" t="s">
        <v>537</v>
      </c>
      <c r="C19" t="s">
        <v>279</v>
      </c>
      <c r="D19" t="s">
        <v>278</v>
      </c>
      <c r="E19">
        <v>2</v>
      </c>
      <c r="F19">
        <v>1</v>
      </c>
      <c r="G19">
        <v>7</v>
      </c>
    </row>
    <row r="20" spans="1:7" x14ac:dyDescent="0.3">
      <c r="A20" t="s">
        <v>364</v>
      </c>
      <c r="B20" t="s">
        <v>537</v>
      </c>
      <c r="C20" t="s">
        <v>281</v>
      </c>
      <c r="D20" t="s">
        <v>280</v>
      </c>
      <c r="E20">
        <v>22</v>
      </c>
      <c r="F20">
        <v>9</v>
      </c>
      <c r="G20">
        <v>73</v>
      </c>
    </row>
    <row r="21" spans="1:7" x14ac:dyDescent="0.3">
      <c r="A21" t="s">
        <v>364</v>
      </c>
      <c r="B21" t="s">
        <v>537</v>
      </c>
      <c r="C21" t="s">
        <v>283</v>
      </c>
      <c r="D21" t="s">
        <v>282</v>
      </c>
      <c r="E21">
        <v>25</v>
      </c>
      <c r="F21">
        <v>13</v>
      </c>
      <c r="G21">
        <v>94</v>
      </c>
    </row>
    <row r="22" spans="1:7" x14ac:dyDescent="0.3">
      <c r="A22" t="s">
        <v>364</v>
      </c>
      <c r="B22" t="s">
        <v>537</v>
      </c>
      <c r="C22" t="s">
        <v>287</v>
      </c>
      <c r="D22" t="s">
        <v>286</v>
      </c>
      <c r="E22">
        <v>15</v>
      </c>
      <c r="F22">
        <v>9</v>
      </c>
      <c r="G22">
        <v>70</v>
      </c>
    </row>
    <row r="23" spans="1:7" x14ac:dyDescent="0.3">
      <c r="A23" t="s">
        <v>364</v>
      </c>
      <c r="B23" t="s">
        <v>537</v>
      </c>
      <c r="C23" t="s">
        <v>289</v>
      </c>
      <c r="D23" t="s">
        <v>288</v>
      </c>
      <c r="E23">
        <v>3</v>
      </c>
      <c r="F23">
        <v>3</v>
      </c>
      <c r="G23">
        <v>22</v>
      </c>
    </row>
    <row r="24" spans="1:7" x14ac:dyDescent="0.3">
      <c r="A24" t="s">
        <v>364</v>
      </c>
      <c r="B24" t="s">
        <v>537</v>
      </c>
      <c r="C24" t="s">
        <v>292</v>
      </c>
      <c r="D24" t="s">
        <v>291</v>
      </c>
      <c r="E24">
        <v>22</v>
      </c>
      <c r="F24">
        <v>12</v>
      </c>
      <c r="G24">
        <v>79</v>
      </c>
    </row>
    <row r="25" spans="1:7" x14ac:dyDescent="0.3">
      <c r="A25" t="s">
        <v>364</v>
      </c>
      <c r="B25" t="s">
        <v>537</v>
      </c>
      <c r="C25" t="s">
        <v>294</v>
      </c>
      <c r="D25" t="s">
        <v>293</v>
      </c>
      <c r="E25">
        <v>25</v>
      </c>
      <c r="F25">
        <v>10</v>
      </c>
      <c r="G25">
        <v>105</v>
      </c>
    </row>
    <row r="26" spans="1:7" x14ac:dyDescent="0.3">
      <c r="A26" t="s">
        <v>364</v>
      </c>
      <c r="B26" t="s">
        <v>537</v>
      </c>
      <c r="C26" t="s">
        <v>296</v>
      </c>
      <c r="D26" t="s">
        <v>295</v>
      </c>
      <c r="E26">
        <v>2</v>
      </c>
      <c r="F26">
        <v>1</v>
      </c>
      <c r="G26">
        <v>11</v>
      </c>
    </row>
    <row r="27" spans="1:7" x14ac:dyDescent="0.3">
      <c r="A27" t="s">
        <v>364</v>
      </c>
      <c r="B27" t="s">
        <v>537</v>
      </c>
      <c r="C27" t="s">
        <v>298</v>
      </c>
      <c r="D27" t="s">
        <v>297</v>
      </c>
      <c r="E27">
        <v>25</v>
      </c>
      <c r="F27">
        <v>13</v>
      </c>
      <c r="G27">
        <v>96</v>
      </c>
    </row>
    <row r="28" spans="1:7" x14ac:dyDescent="0.3">
      <c r="A28" t="s">
        <v>364</v>
      </c>
      <c r="B28" t="s">
        <v>537</v>
      </c>
      <c r="C28" t="s">
        <v>300</v>
      </c>
      <c r="D28" t="s">
        <v>299</v>
      </c>
      <c r="E28">
        <v>29</v>
      </c>
      <c r="F28">
        <v>13</v>
      </c>
      <c r="G28">
        <v>92</v>
      </c>
    </row>
    <row r="29" spans="1:7" x14ac:dyDescent="0.3">
      <c r="A29" t="s">
        <v>364</v>
      </c>
      <c r="B29" t="s">
        <v>537</v>
      </c>
      <c r="C29" t="s">
        <v>302</v>
      </c>
      <c r="D29" t="s">
        <v>301</v>
      </c>
      <c r="E29">
        <v>9</v>
      </c>
      <c r="F29">
        <v>5</v>
      </c>
      <c r="G29">
        <v>40</v>
      </c>
    </row>
    <row r="30" spans="1:7" x14ac:dyDescent="0.3">
      <c r="A30" t="s">
        <v>364</v>
      </c>
      <c r="B30" t="s">
        <v>537</v>
      </c>
      <c r="C30" t="s">
        <v>304</v>
      </c>
      <c r="D30" t="s">
        <v>303</v>
      </c>
      <c r="E30">
        <v>8</v>
      </c>
      <c r="F30">
        <v>9</v>
      </c>
      <c r="G30">
        <v>67</v>
      </c>
    </row>
    <row r="31" spans="1:7" x14ac:dyDescent="0.3">
      <c r="A31" t="s">
        <v>364</v>
      </c>
      <c r="B31" t="s">
        <v>537</v>
      </c>
      <c r="C31" t="s">
        <v>307</v>
      </c>
      <c r="D31" t="s">
        <v>306</v>
      </c>
      <c r="E31">
        <v>15</v>
      </c>
      <c r="F31">
        <v>9</v>
      </c>
      <c r="G31">
        <v>50</v>
      </c>
    </row>
    <row r="32" spans="1:7" x14ac:dyDescent="0.3">
      <c r="A32" t="s">
        <v>364</v>
      </c>
      <c r="B32" t="s">
        <v>537</v>
      </c>
      <c r="C32" t="s">
        <v>309</v>
      </c>
      <c r="D32" t="s">
        <v>308</v>
      </c>
      <c r="E32">
        <v>1</v>
      </c>
      <c r="F32">
        <v>2</v>
      </c>
      <c r="G32">
        <v>15</v>
      </c>
    </row>
    <row r="33" spans="1:7" x14ac:dyDescent="0.3">
      <c r="A33" t="s">
        <v>364</v>
      </c>
      <c r="B33" t="s">
        <v>537</v>
      </c>
      <c r="C33" t="s">
        <v>311</v>
      </c>
      <c r="D33" t="s">
        <v>310</v>
      </c>
      <c r="E33">
        <v>11</v>
      </c>
      <c r="F33">
        <v>6</v>
      </c>
      <c r="G33">
        <v>41</v>
      </c>
    </row>
    <row r="34" spans="1:7" x14ac:dyDescent="0.3">
      <c r="A34" t="s">
        <v>365</v>
      </c>
      <c r="B34" t="s">
        <v>537</v>
      </c>
      <c r="C34" t="s">
        <v>215</v>
      </c>
      <c r="D34" t="s">
        <v>214</v>
      </c>
      <c r="E34">
        <v>2</v>
      </c>
      <c r="F34">
        <v>1</v>
      </c>
      <c r="G34">
        <v>5</v>
      </c>
    </row>
    <row r="35" spans="1:7" x14ac:dyDescent="0.3">
      <c r="A35" t="s">
        <v>365</v>
      </c>
      <c r="B35" t="s">
        <v>537</v>
      </c>
      <c r="C35" t="s">
        <v>220</v>
      </c>
      <c r="D35" t="s">
        <v>219</v>
      </c>
      <c r="E35">
        <v>63</v>
      </c>
      <c r="F35">
        <v>27</v>
      </c>
      <c r="G35">
        <v>190</v>
      </c>
    </row>
    <row r="36" spans="1:7" x14ac:dyDescent="0.3">
      <c r="A36" t="s">
        <v>365</v>
      </c>
      <c r="B36" t="s">
        <v>537</v>
      </c>
      <c r="C36" t="s">
        <v>224</v>
      </c>
      <c r="D36" t="s">
        <v>223</v>
      </c>
      <c r="E36">
        <v>20</v>
      </c>
      <c r="F36">
        <v>7</v>
      </c>
      <c r="G36">
        <v>68</v>
      </c>
    </row>
    <row r="37" spans="1:7" x14ac:dyDescent="0.3">
      <c r="A37" t="s">
        <v>365</v>
      </c>
      <c r="B37" t="s">
        <v>537</v>
      </c>
      <c r="C37" t="s">
        <v>228</v>
      </c>
      <c r="D37" t="s">
        <v>227</v>
      </c>
      <c r="E37">
        <v>24</v>
      </c>
      <c r="F37">
        <v>15</v>
      </c>
      <c r="G37">
        <v>136</v>
      </c>
    </row>
    <row r="38" spans="1:7" x14ac:dyDescent="0.3">
      <c r="A38" t="s">
        <v>365</v>
      </c>
      <c r="B38" t="s">
        <v>537</v>
      </c>
      <c r="C38" t="s">
        <v>234</v>
      </c>
      <c r="D38" t="s">
        <v>233</v>
      </c>
      <c r="E38">
        <v>2</v>
      </c>
      <c r="F38">
        <v>1</v>
      </c>
      <c r="G38">
        <v>10</v>
      </c>
    </row>
    <row r="39" spans="1:7" x14ac:dyDescent="0.3">
      <c r="A39" t="s">
        <v>365</v>
      </c>
      <c r="B39" t="s">
        <v>537</v>
      </c>
      <c r="C39" t="s">
        <v>240</v>
      </c>
      <c r="D39" t="s">
        <v>239</v>
      </c>
      <c r="E39">
        <v>5</v>
      </c>
      <c r="F39">
        <v>2</v>
      </c>
      <c r="G39">
        <v>16</v>
      </c>
    </row>
    <row r="40" spans="1:7" x14ac:dyDescent="0.3">
      <c r="A40" t="s">
        <v>365</v>
      </c>
      <c r="B40" t="s">
        <v>537</v>
      </c>
      <c r="C40" t="s">
        <v>244</v>
      </c>
      <c r="D40" t="s">
        <v>243</v>
      </c>
      <c r="E40">
        <v>36</v>
      </c>
      <c r="F40">
        <v>17</v>
      </c>
      <c r="G40">
        <v>153</v>
      </c>
    </row>
    <row r="41" spans="1:7" x14ac:dyDescent="0.3">
      <c r="A41" t="s">
        <v>365</v>
      </c>
      <c r="B41" t="s">
        <v>537</v>
      </c>
      <c r="C41" t="s">
        <v>247</v>
      </c>
      <c r="D41" t="s">
        <v>246</v>
      </c>
      <c r="E41">
        <v>3</v>
      </c>
      <c r="F41">
        <v>1</v>
      </c>
      <c r="G41">
        <v>10</v>
      </c>
    </row>
    <row r="42" spans="1:7" x14ac:dyDescent="0.3">
      <c r="A42" t="s">
        <v>365</v>
      </c>
      <c r="B42" t="s">
        <v>537</v>
      </c>
      <c r="C42" t="s">
        <v>249</v>
      </c>
      <c r="D42" t="s">
        <v>248</v>
      </c>
      <c r="E42">
        <v>9</v>
      </c>
      <c r="F42">
        <v>8</v>
      </c>
      <c r="G42">
        <v>63</v>
      </c>
    </row>
    <row r="43" spans="1:7" x14ac:dyDescent="0.3">
      <c r="A43" t="s">
        <v>365</v>
      </c>
      <c r="B43" t="s">
        <v>537</v>
      </c>
      <c r="C43" t="s">
        <v>253</v>
      </c>
      <c r="D43" t="s">
        <v>252</v>
      </c>
      <c r="E43">
        <v>0</v>
      </c>
      <c r="F43">
        <v>0</v>
      </c>
      <c r="G43">
        <v>0</v>
      </c>
    </row>
    <row r="44" spans="1:7" x14ac:dyDescent="0.3">
      <c r="A44" t="s">
        <v>365</v>
      </c>
      <c r="B44" t="s">
        <v>537</v>
      </c>
      <c r="C44" t="s">
        <v>255</v>
      </c>
      <c r="D44" t="s">
        <v>254</v>
      </c>
      <c r="E44">
        <v>12</v>
      </c>
      <c r="F44">
        <v>5</v>
      </c>
      <c r="G44">
        <v>43</v>
      </c>
    </row>
    <row r="45" spans="1:7" x14ac:dyDescent="0.3">
      <c r="A45" t="s">
        <v>365</v>
      </c>
      <c r="B45" t="s">
        <v>537</v>
      </c>
      <c r="C45" t="s">
        <v>259</v>
      </c>
      <c r="D45" t="s">
        <v>258</v>
      </c>
      <c r="E45">
        <v>0</v>
      </c>
      <c r="F45">
        <v>0</v>
      </c>
      <c r="G45">
        <v>0</v>
      </c>
    </row>
    <row r="46" spans="1:7" x14ac:dyDescent="0.3">
      <c r="A46" t="s">
        <v>365</v>
      </c>
      <c r="B46" t="s">
        <v>537</v>
      </c>
      <c r="C46" t="s">
        <v>263</v>
      </c>
      <c r="D46" t="s">
        <v>262</v>
      </c>
      <c r="E46">
        <v>9</v>
      </c>
      <c r="F46">
        <v>6</v>
      </c>
      <c r="G46">
        <v>53</v>
      </c>
    </row>
    <row r="47" spans="1:7" x14ac:dyDescent="0.3">
      <c r="A47" t="s">
        <v>365</v>
      </c>
      <c r="B47" t="s">
        <v>537</v>
      </c>
      <c r="C47" t="s">
        <v>267</v>
      </c>
      <c r="D47" t="s">
        <v>266</v>
      </c>
      <c r="E47">
        <v>23</v>
      </c>
      <c r="F47">
        <v>10</v>
      </c>
      <c r="G47">
        <v>79</v>
      </c>
    </row>
    <row r="48" spans="1:7" x14ac:dyDescent="0.3">
      <c r="A48" t="s">
        <v>365</v>
      </c>
      <c r="B48" t="s">
        <v>537</v>
      </c>
      <c r="C48" t="s">
        <v>270</v>
      </c>
      <c r="D48" t="s">
        <v>269</v>
      </c>
      <c r="E48">
        <v>0</v>
      </c>
      <c r="F48">
        <v>0</v>
      </c>
      <c r="G48">
        <v>0</v>
      </c>
    </row>
    <row r="49" spans="1:7" x14ac:dyDescent="0.3">
      <c r="A49" t="s">
        <v>365</v>
      </c>
      <c r="B49" t="s">
        <v>537</v>
      </c>
      <c r="C49" t="s">
        <v>273</v>
      </c>
      <c r="D49" t="s">
        <v>272</v>
      </c>
      <c r="E49">
        <v>106</v>
      </c>
      <c r="F49">
        <v>54</v>
      </c>
      <c r="G49">
        <v>388</v>
      </c>
    </row>
    <row r="50" spans="1:7" x14ac:dyDescent="0.3">
      <c r="A50" t="s">
        <v>365</v>
      </c>
      <c r="B50" t="s">
        <v>537</v>
      </c>
      <c r="C50" t="s">
        <v>277</v>
      </c>
      <c r="D50" t="s">
        <v>276</v>
      </c>
      <c r="E50">
        <v>4</v>
      </c>
      <c r="F50">
        <v>3</v>
      </c>
      <c r="G50">
        <v>33</v>
      </c>
    </row>
    <row r="51" spans="1:7" x14ac:dyDescent="0.3">
      <c r="A51" t="s">
        <v>365</v>
      </c>
      <c r="B51" t="s">
        <v>537</v>
      </c>
      <c r="C51" t="s">
        <v>279</v>
      </c>
      <c r="D51" t="s">
        <v>278</v>
      </c>
      <c r="E51">
        <v>2</v>
      </c>
      <c r="F51">
        <v>1</v>
      </c>
      <c r="G51">
        <v>11</v>
      </c>
    </row>
    <row r="52" spans="1:7" x14ac:dyDescent="0.3">
      <c r="A52" t="s">
        <v>365</v>
      </c>
      <c r="B52" t="s">
        <v>537</v>
      </c>
      <c r="C52" t="s">
        <v>281</v>
      </c>
      <c r="D52" t="s">
        <v>280</v>
      </c>
      <c r="E52">
        <v>26</v>
      </c>
      <c r="F52">
        <v>11</v>
      </c>
      <c r="G52">
        <v>84</v>
      </c>
    </row>
    <row r="53" spans="1:7" x14ac:dyDescent="0.3">
      <c r="A53" t="s">
        <v>365</v>
      </c>
      <c r="B53" t="s">
        <v>537</v>
      </c>
      <c r="C53" t="s">
        <v>283</v>
      </c>
      <c r="D53" t="s">
        <v>282</v>
      </c>
      <c r="E53">
        <v>27</v>
      </c>
      <c r="F53">
        <v>16</v>
      </c>
      <c r="G53">
        <v>104</v>
      </c>
    </row>
    <row r="54" spans="1:7" x14ac:dyDescent="0.3">
      <c r="A54" t="s">
        <v>365</v>
      </c>
      <c r="B54" t="s">
        <v>537</v>
      </c>
      <c r="C54" t="s">
        <v>287</v>
      </c>
      <c r="D54" t="s">
        <v>286</v>
      </c>
      <c r="E54">
        <v>17</v>
      </c>
      <c r="F54">
        <v>9</v>
      </c>
      <c r="G54">
        <v>64</v>
      </c>
    </row>
    <row r="55" spans="1:7" x14ac:dyDescent="0.3">
      <c r="A55" t="s">
        <v>365</v>
      </c>
      <c r="B55" t="s">
        <v>537</v>
      </c>
      <c r="C55" t="s">
        <v>289</v>
      </c>
      <c r="D55" t="s">
        <v>288</v>
      </c>
      <c r="E55">
        <v>3</v>
      </c>
      <c r="F55">
        <v>3</v>
      </c>
      <c r="G55">
        <v>24</v>
      </c>
    </row>
    <row r="56" spans="1:7" x14ac:dyDescent="0.3">
      <c r="A56" t="s">
        <v>365</v>
      </c>
      <c r="B56" t="s">
        <v>537</v>
      </c>
      <c r="C56" t="s">
        <v>292</v>
      </c>
      <c r="D56" t="s">
        <v>291</v>
      </c>
      <c r="E56">
        <v>26</v>
      </c>
      <c r="F56">
        <v>12</v>
      </c>
      <c r="G56">
        <v>71</v>
      </c>
    </row>
    <row r="57" spans="1:7" x14ac:dyDescent="0.3">
      <c r="A57" t="s">
        <v>365</v>
      </c>
      <c r="B57" t="s">
        <v>537</v>
      </c>
      <c r="C57" t="s">
        <v>294</v>
      </c>
      <c r="D57" t="s">
        <v>293</v>
      </c>
      <c r="E57">
        <v>26</v>
      </c>
      <c r="F57">
        <v>13</v>
      </c>
      <c r="G57">
        <v>89</v>
      </c>
    </row>
    <row r="58" spans="1:7" x14ac:dyDescent="0.3">
      <c r="A58" t="s">
        <v>365</v>
      </c>
      <c r="B58" t="s">
        <v>537</v>
      </c>
      <c r="C58" t="s">
        <v>296</v>
      </c>
      <c r="D58" t="s">
        <v>295</v>
      </c>
      <c r="E58">
        <v>2</v>
      </c>
      <c r="F58">
        <v>1</v>
      </c>
      <c r="G58">
        <v>11</v>
      </c>
    </row>
    <row r="59" spans="1:7" x14ac:dyDescent="0.3">
      <c r="A59" t="s">
        <v>365</v>
      </c>
      <c r="B59" t="s">
        <v>537</v>
      </c>
      <c r="C59" t="s">
        <v>298</v>
      </c>
      <c r="D59" t="s">
        <v>297</v>
      </c>
      <c r="E59">
        <v>26</v>
      </c>
      <c r="F59">
        <v>14</v>
      </c>
      <c r="G59">
        <v>111</v>
      </c>
    </row>
    <row r="60" spans="1:7" x14ac:dyDescent="0.3">
      <c r="A60" t="s">
        <v>365</v>
      </c>
      <c r="B60" t="s">
        <v>537</v>
      </c>
      <c r="C60" t="s">
        <v>300</v>
      </c>
      <c r="D60" t="s">
        <v>299</v>
      </c>
      <c r="E60">
        <v>29</v>
      </c>
      <c r="F60">
        <v>12</v>
      </c>
      <c r="G60">
        <v>86</v>
      </c>
    </row>
    <row r="61" spans="1:7" x14ac:dyDescent="0.3">
      <c r="A61" t="s">
        <v>365</v>
      </c>
      <c r="B61" t="s">
        <v>537</v>
      </c>
      <c r="C61" t="s">
        <v>302</v>
      </c>
      <c r="D61" t="s">
        <v>301</v>
      </c>
      <c r="E61">
        <v>9</v>
      </c>
      <c r="F61">
        <v>5</v>
      </c>
      <c r="G61">
        <v>40</v>
      </c>
    </row>
    <row r="62" spans="1:7" x14ac:dyDescent="0.3">
      <c r="A62" t="s">
        <v>365</v>
      </c>
      <c r="B62" t="s">
        <v>537</v>
      </c>
      <c r="C62" t="s">
        <v>304</v>
      </c>
      <c r="D62" t="s">
        <v>303</v>
      </c>
      <c r="E62">
        <v>8</v>
      </c>
      <c r="F62">
        <v>9</v>
      </c>
      <c r="G62">
        <v>65</v>
      </c>
    </row>
    <row r="63" spans="1:7" x14ac:dyDescent="0.3">
      <c r="A63" t="s">
        <v>365</v>
      </c>
      <c r="B63" t="s">
        <v>537</v>
      </c>
      <c r="C63" t="s">
        <v>307</v>
      </c>
      <c r="D63" t="s">
        <v>306</v>
      </c>
      <c r="E63">
        <v>14</v>
      </c>
      <c r="F63">
        <v>9</v>
      </c>
      <c r="G63">
        <v>52</v>
      </c>
    </row>
    <row r="64" spans="1:7" x14ac:dyDescent="0.3">
      <c r="A64" t="s">
        <v>365</v>
      </c>
      <c r="B64" t="s">
        <v>537</v>
      </c>
      <c r="C64" t="s">
        <v>309</v>
      </c>
      <c r="D64" t="s">
        <v>308</v>
      </c>
      <c r="E64">
        <v>1</v>
      </c>
      <c r="F64">
        <v>2</v>
      </c>
      <c r="G64">
        <v>18</v>
      </c>
    </row>
    <row r="65" spans="1:7" x14ac:dyDescent="0.3">
      <c r="A65" t="s">
        <v>365</v>
      </c>
      <c r="B65" t="s">
        <v>537</v>
      </c>
      <c r="C65" t="s">
        <v>311</v>
      </c>
      <c r="D65" t="s">
        <v>310</v>
      </c>
      <c r="E65">
        <v>12</v>
      </c>
      <c r="F65">
        <v>6</v>
      </c>
      <c r="G65">
        <v>47</v>
      </c>
    </row>
    <row r="66" spans="1:7" x14ac:dyDescent="0.3">
      <c r="A66" t="s">
        <v>366</v>
      </c>
      <c r="B66" t="s">
        <v>537</v>
      </c>
      <c r="C66" t="s">
        <v>215</v>
      </c>
      <c r="D66" t="s">
        <v>214</v>
      </c>
      <c r="E66">
        <v>8</v>
      </c>
      <c r="F66">
        <v>2</v>
      </c>
      <c r="G66">
        <v>13</v>
      </c>
    </row>
    <row r="67" spans="1:7" x14ac:dyDescent="0.3">
      <c r="A67" t="s">
        <v>366</v>
      </c>
      <c r="B67" t="s">
        <v>537</v>
      </c>
      <c r="C67" t="s">
        <v>220</v>
      </c>
      <c r="D67" t="s">
        <v>219</v>
      </c>
      <c r="E67">
        <v>66</v>
      </c>
      <c r="F67">
        <v>25</v>
      </c>
      <c r="G67">
        <v>180</v>
      </c>
    </row>
    <row r="68" spans="1:7" x14ac:dyDescent="0.3">
      <c r="A68" t="s">
        <v>366</v>
      </c>
      <c r="B68" t="s">
        <v>537</v>
      </c>
      <c r="C68" t="s">
        <v>224</v>
      </c>
      <c r="D68" t="s">
        <v>223</v>
      </c>
      <c r="E68">
        <v>16</v>
      </c>
      <c r="F68">
        <v>6</v>
      </c>
      <c r="G68">
        <v>76</v>
      </c>
    </row>
    <row r="69" spans="1:7" x14ac:dyDescent="0.3">
      <c r="A69" t="s">
        <v>366</v>
      </c>
      <c r="B69" t="s">
        <v>537</v>
      </c>
      <c r="C69" t="s">
        <v>228</v>
      </c>
      <c r="D69" t="s">
        <v>227</v>
      </c>
      <c r="E69">
        <v>26</v>
      </c>
      <c r="F69">
        <v>12</v>
      </c>
      <c r="G69">
        <v>144</v>
      </c>
    </row>
    <row r="70" spans="1:7" x14ac:dyDescent="0.3">
      <c r="A70" t="s">
        <v>366</v>
      </c>
      <c r="B70" t="s">
        <v>537</v>
      </c>
      <c r="C70" t="s">
        <v>234</v>
      </c>
      <c r="D70" t="s">
        <v>233</v>
      </c>
      <c r="E70">
        <v>2</v>
      </c>
      <c r="F70">
        <v>1</v>
      </c>
      <c r="G70">
        <v>9</v>
      </c>
    </row>
    <row r="71" spans="1:7" x14ac:dyDescent="0.3">
      <c r="A71" t="s">
        <v>366</v>
      </c>
      <c r="B71" t="s">
        <v>537</v>
      </c>
      <c r="C71" t="s">
        <v>240</v>
      </c>
      <c r="D71" t="s">
        <v>239</v>
      </c>
      <c r="E71">
        <v>4</v>
      </c>
      <c r="F71">
        <v>2</v>
      </c>
      <c r="G71">
        <v>15</v>
      </c>
    </row>
    <row r="72" spans="1:7" x14ac:dyDescent="0.3">
      <c r="A72" t="s">
        <v>366</v>
      </c>
      <c r="B72" t="s">
        <v>537</v>
      </c>
      <c r="C72" t="s">
        <v>244</v>
      </c>
      <c r="D72" t="s">
        <v>243</v>
      </c>
      <c r="E72">
        <v>34</v>
      </c>
      <c r="F72">
        <v>16</v>
      </c>
      <c r="G72">
        <v>140</v>
      </c>
    </row>
    <row r="73" spans="1:7" x14ac:dyDescent="0.3">
      <c r="A73" t="s">
        <v>366</v>
      </c>
      <c r="B73" t="s">
        <v>537</v>
      </c>
      <c r="C73" t="s">
        <v>247</v>
      </c>
      <c r="D73" t="s">
        <v>246</v>
      </c>
      <c r="E73">
        <v>3</v>
      </c>
      <c r="F73">
        <v>1</v>
      </c>
      <c r="G73">
        <v>7</v>
      </c>
    </row>
    <row r="74" spans="1:7" x14ac:dyDescent="0.3">
      <c r="A74" t="s">
        <v>366</v>
      </c>
      <c r="B74" t="s">
        <v>537</v>
      </c>
      <c r="C74" t="s">
        <v>249</v>
      </c>
      <c r="D74" t="s">
        <v>248</v>
      </c>
      <c r="E74">
        <v>11</v>
      </c>
      <c r="F74">
        <v>7</v>
      </c>
      <c r="G74">
        <v>65</v>
      </c>
    </row>
    <row r="75" spans="1:7" x14ac:dyDescent="0.3">
      <c r="A75" t="s">
        <v>366</v>
      </c>
      <c r="B75" t="s">
        <v>537</v>
      </c>
      <c r="C75" t="s">
        <v>253</v>
      </c>
      <c r="D75" t="s">
        <v>252</v>
      </c>
      <c r="E75">
        <v>0</v>
      </c>
      <c r="F75">
        <v>0</v>
      </c>
      <c r="G75">
        <v>1</v>
      </c>
    </row>
    <row r="76" spans="1:7" x14ac:dyDescent="0.3">
      <c r="A76" t="s">
        <v>366</v>
      </c>
      <c r="B76" t="s">
        <v>537</v>
      </c>
      <c r="C76" t="s">
        <v>255</v>
      </c>
      <c r="D76" t="s">
        <v>254</v>
      </c>
      <c r="E76">
        <v>11</v>
      </c>
      <c r="F76">
        <v>4</v>
      </c>
      <c r="G76">
        <v>40</v>
      </c>
    </row>
    <row r="77" spans="1:7" x14ac:dyDescent="0.3">
      <c r="A77" t="s">
        <v>366</v>
      </c>
      <c r="B77" t="s">
        <v>537</v>
      </c>
      <c r="C77" t="s">
        <v>259</v>
      </c>
      <c r="D77" t="s">
        <v>258</v>
      </c>
      <c r="E77">
        <v>0</v>
      </c>
      <c r="F77">
        <v>0</v>
      </c>
      <c r="G77">
        <v>2</v>
      </c>
    </row>
    <row r="78" spans="1:7" x14ac:dyDescent="0.3">
      <c r="A78" t="s">
        <v>366</v>
      </c>
      <c r="B78" t="s">
        <v>537</v>
      </c>
      <c r="C78" t="s">
        <v>263</v>
      </c>
      <c r="D78" t="s">
        <v>262</v>
      </c>
      <c r="E78">
        <v>9</v>
      </c>
      <c r="F78">
        <v>5</v>
      </c>
      <c r="G78">
        <v>39</v>
      </c>
    </row>
    <row r="79" spans="1:7" x14ac:dyDescent="0.3">
      <c r="A79" t="s">
        <v>366</v>
      </c>
      <c r="B79" t="s">
        <v>537</v>
      </c>
      <c r="C79" t="s">
        <v>267</v>
      </c>
      <c r="D79" t="s">
        <v>266</v>
      </c>
      <c r="E79">
        <v>23</v>
      </c>
      <c r="F79">
        <v>9</v>
      </c>
      <c r="G79">
        <v>80</v>
      </c>
    </row>
    <row r="80" spans="1:7" x14ac:dyDescent="0.3">
      <c r="A80" t="s">
        <v>366</v>
      </c>
      <c r="B80" t="s">
        <v>537</v>
      </c>
      <c r="C80" t="s">
        <v>270</v>
      </c>
      <c r="D80" t="s">
        <v>269</v>
      </c>
      <c r="E80">
        <v>0</v>
      </c>
      <c r="F80">
        <v>0</v>
      </c>
      <c r="G80">
        <v>6</v>
      </c>
    </row>
    <row r="81" spans="1:7" x14ac:dyDescent="0.3">
      <c r="A81" t="s">
        <v>366</v>
      </c>
      <c r="B81" t="s">
        <v>537</v>
      </c>
      <c r="C81" t="s">
        <v>273</v>
      </c>
      <c r="D81" t="s">
        <v>272</v>
      </c>
      <c r="E81">
        <v>107</v>
      </c>
      <c r="F81">
        <v>53</v>
      </c>
      <c r="G81">
        <v>365</v>
      </c>
    </row>
    <row r="82" spans="1:7" x14ac:dyDescent="0.3">
      <c r="A82" t="s">
        <v>366</v>
      </c>
      <c r="B82" t="s">
        <v>537</v>
      </c>
      <c r="C82" t="s">
        <v>277</v>
      </c>
      <c r="D82" t="s">
        <v>276</v>
      </c>
      <c r="E82">
        <v>6</v>
      </c>
      <c r="F82">
        <v>4</v>
      </c>
      <c r="G82">
        <v>31</v>
      </c>
    </row>
    <row r="83" spans="1:7" x14ac:dyDescent="0.3">
      <c r="A83" t="s">
        <v>366</v>
      </c>
      <c r="B83" t="s">
        <v>537</v>
      </c>
      <c r="C83" t="s">
        <v>279</v>
      </c>
      <c r="D83" t="s">
        <v>278</v>
      </c>
      <c r="E83">
        <v>2</v>
      </c>
      <c r="F83">
        <v>1</v>
      </c>
      <c r="G83">
        <v>8</v>
      </c>
    </row>
    <row r="84" spans="1:7" x14ac:dyDescent="0.3">
      <c r="A84" t="s">
        <v>366</v>
      </c>
      <c r="B84" t="s">
        <v>537</v>
      </c>
      <c r="C84" t="s">
        <v>281</v>
      </c>
      <c r="D84" t="s">
        <v>280</v>
      </c>
      <c r="E84">
        <v>26</v>
      </c>
      <c r="F84">
        <v>12</v>
      </c>
      <c r="G84">
        <v>72</v>
      </c>
    </row>
    <row r="85" spans="1:7" x14ac:dyDescent="0.3">
      <c r="A85" t="s">
        <v>366</v>
      </c>
      <c r="B85" t="s">
        <v>537</v>
      </c>
      <c r="C85" t="s">
        <v>283</v>
      </c>
      <c r="D85" t="s">
        <v>282</v>
      </c>
      <c r="E85">
        <v>34</v>
      </c>
      <c r="F85">
        <v>12</v>
      </c>
      <c r="G85">
        <v>94</v>
      </c>
    </row>
    <row r="86" spans="1:7" x14ac:dyDescent="0.3">
      <c r="A86" t="s">
        <v>366</v>
      </c>
      <c r="B86" t="s">
        <v>537</v>
      </c>
      <c r="C86" t="s">
        <v>287</v>
      </c>
      <c r="D86" t="s">
        <v>286</v>
      </c>
      <c r="E86">
        <v>12</v>
      </c>
      <c r="F86">
        <v>9</v>
      </c>
      <c r="G86">
        <v>87</v>
      </c>
    </row>
    <row r="87" spans="1:7" x14ac:dyDescent="0.3">
      <c r="A87" t="s">
        <v>366</v>
      </c>
      <c r="B87" t="s">
        <v>537</v>
      </c>
      <c r="C87" t="s">
        <v>289</v>
      </c>
      <c r="D87" t="s">
        <v>288</v>
      </c>
      <c r="E87">
        <v>3</v>
      </c>
      <c r="F87">
        <v>3</v>
      </c>
      <c r="G87">
        <v>28</v>
      </c>
    </row>
    <row r="88" spans="1:7" x14ac:dyDescent="0.3">
      <c r="A88" t="s">
        <v>366</v>
      </c>
      <c r="B88" t="s">
        <v>537</v>
      </c>
      <c r="C88" t="s">
        <v>292</v>
      </c>
      <c r="D88" t="s">
        <v>291</v>
      </c>
      <c r="E88">
        <v>19</v>
      </c>
      <c r="F88">
        <v>12</v>
      </c>
      <c r="G88">
        <v>67</v>
      </c>
    </row>
    <row r="89" spans="1:7" x14ac:dyDescent="0.3">
      <c r="A89" t="s">
        <v>366</v>
      </c>
      <c r="B89" t="s">
        <v>537</v>
      </c>
      <c r="C89" t="s">
        <v>294</v>
      </c>
      <c r="D89" t="s">
        <v>293</v>
      </c>
      <c r="E89">
        <v>24</v>
      </c>
      <c r="F89">
        <v>9</v>
      </c>
      <c r="G89">
        <v>93</v>
      </c>
    </row>
    <row r="90" spans="1:7" x14ac:dyDescent="0.3">
      <c r="A90" t="s">
        <v>366</v>
      </c>
      <c r="B90" t="s">
        <v>537</v>
      </c>
      <c r="C90" t="s">
        <v>296</v>
      </c>
      <c r="D90" t="s">
        <v>295</v>
      </c>
      <c r="E90">
        <v>1</v>
      </c>
      <c r="F90">
        <v>1</v>
      </c>
      <c r="G90">
        <v>11</v>
      </c>
    </row>
    <row r="91" spans="1:7" x14ac:dyDescent="0.3">
      <c r="A91" t="s">
        <v>366</v>
      </c>
      <c r="B91" t="s">
        <v>537</v>
      </c>
      <c r="C91" t="s">
        <v>298</v>
      </c>
      <c r="D91" t="s">
        <v>297</v>
      </c>
      <c r="E91">
        <v>26</v>
      </c>
      <c r="F91">
        <v>13</v>
      </c>
      <c r="G91">
        <v>108</v>
      </c>
    </row>
    <row r="92" spans="1:7" x14ac:dyDescent="0.3">
      <c r="A92" t="s">
        <v>366</v>
      </c>
      <c r="B92" t="s">
        <v>537</v>
      </c>
      <c r="C92" t="s">
        <v>300</v>
      </c>
      <c r="D92" t="s">
        <v>299</v>
      </c>
      <c r="E92">
        <v>25</v>
      </c>
      <c r="F92">
        <v>14</v>
      </c>
      <c r="G92">
        <v>87</v>
      </c>
    </row>
    <row r="93" spans="1:7" x14ac:dyDescent="0.3">
      <c r="A93" t="s">
        <v>366</v>
      </c>
      <c r="B93" t="s">
        <v>537</v>
      </c>
      <c r="C93" t="s">
        <v>302</v>
      </c>
      <c r="D93" t="s">
        <v>301</v>
      </c>
      <c r="E93">
        <v>7</v>
      </c>
      <c r="F93">
        <v>5</v>
      </c>
      <c r="G93">
        <v>41</v>
      </c>
    </row>
    <row r="94" spans="1:7" x14ac:dyDescent="0.3">
      <c r="A94" t="s">
        <v>366</v>
      </c>
      <c r="B94" t="s">
        <v>537</v>
      </c>
      <c r="C94" t="s">
        <v>304</v>
      </c>
      <c r="D94" t="s">
        <v>303</v>
      </c>
      <c r="E94">
        <v>9</v>
      </c>
      <c r="F94">
        <v>8</v>
      </c>
      <c r="G94">
        <v>54</v>
      </c>
    </row>
    <row r="95" spans="1:7" x14ac:dyDescent="0.3">
      <c r="A95" t="s">
        <v>366</v>
      </c>
      <c r="B95" t="s">
        <v>537</v>
      </c>
      <c r="C95" t="s">
        <v>307</v>
      </c>
      <c r="D95" t="s">
        <v>306</v>
      </c>
      <c r="E95">
        <v>17</v>
      </c>
      <c r="F95">
        <v>9</v>
      </c>
      <c r="G95">
        <v>47</v>
      </c>
    </row>
    <row r="96" spans="1:7" x14ac:dyDescent="0.3">
      <c r="A96" t="s">
        <v>366</v>
      </c>
      <c r="B96" t="s">
        <v>537</v>
      </c>
      <c r="C96" t="s">
        <v>309</v>
      </c>
      <c r="D96" t="s">
        <v>308</v>
      </c>
      <c r="E96">
        <v>2</v>
      </c>
      <c r="F96">
        <v>2</v>
      </c>
      <c r="G96">
        <v>15</v>
      </c>
    </row>
    <row r="97" spans="1:7" x14ac:dyDescent="0.3">
      <c r="A97" t="s">
        <v>366</v>
      </c>
      <c r="B97" t="s">
        <v>537</v>
      </c>
      <c r="C97" t="s">
        <v>311</v>
      </c>
      <c r="D97" t="s">
        <v>310</v>
      </c>
      <c r="E97">
        <v>10</v>
      </c>
      <c r="F97">
        <v>5</v>
      </c>
      <c r="G97">
        <v>40</v>
      </c>
    </row>
    <row r="98" spans="1:7" x14ac:dyDescent="0.3">
      <c r="A98" t="s">
        <v>341</v>
      </c>
      <c r="B98" t="s">
        <v>537</v>
      </c>
      <c r="C98" t="s">
        <v>215</v>
      </c>
      <c r="D98" t="s">
        <v>214</v>
      </c>
      <c r="E98">
        <v>2</v>
      </c>
      <c r="F98">
        <v>1</v>
      </c>
      <c r="G98">
        <v>5</v>
      </c>
    </row>
    <row r="99" spans="1:7" x14ac:dyDescent="0.3">
      <c r="A99" t="s">
        <v>341</v>
      </c>
      <c r="B99" t="s">
        <v>537</v>
      </c>
      <c r="C99" t="s">
        <v>220</v>
      </c>
      <c r="D99" t="s">
        <v>219</v>
      </c>
      <c r="E99">
        <v>68</v>
      </c>
      <c r="F99">
        <v>26</v>
      </c>
      <c r="G99">
        <v>188</v>
      </c>
    </row>
    <row r="100" spans="1:7" x14ac:dyDescent="0.3">
      <c r="A100" t="s">
        <v>341</v>
      </c>
      <c r="B100" t="s">
        <v>537</v>
      </c>
      <c r="C100" t="s">
        <v>224</v>
      </c>
      <c r="D100" t="s">
        <v>223</v>
      </c>
      <c r="E100">
        <v>17</v>
      </c>
      <c r="F100">
        <v>6</v>
      </c>
      <c r="G100">
        <v>71</v>
      </c>
    </row>
    <row r="101" spans="1:7" x14ac:dyDescent="0.3">
      <c r="A101" t="s">
        <v>341</v>
      </c>
      <c r="B101" t="s">
        <v>537</v>
      </c>
      <c r="C101" t="s">
        <v>228</v>
      </c>
      <c r="D101" t="s">
        <v>227</v>
      </c>
      <c r="E101">
        <v>27</v>
      </c>
      <c r="F101">
        <v>14</v>
      </c>
      <c r="G101">
        <v>144</v>
      </c>
    </row>
    <row r="102" spans="1:7" x14ac:dyDescent="0.3">
      <c r="A102" t="s">
        <v>341</v>
      </c>
      <c r="B102" t="s">
        <v>537</v>
      </c>
      <c r="C102" t="s">
        <v>234</v>
      </c>
      <c r="D102" t="s">
        <v>233</v>
      </c>
      <c r="E102">
        <v>1</v>
      </c>
      <c r="F102">
        <v>1</v>
      </c>
      <c r="G102">
        <v>10</v>
      </c>
    </row>
    <row r="103" spans="1:7" x14ac:dyDescent="0.3">
      <c r="A103" t="s">
        <v>341</v>
      </c>
      <c r="B103" t="s">
        <v>537</v>
      </c>
      <c r="C103" t="s">
        <v>240</v>
      </c>
      <c r="D103" t="s">
        <v>239</v>
      </c>
      <c r="E103">
        <v>4</v>
      </c>
      <c r="F103">
        <v>2</v>
      </c>
      <c r="G103">
        <v>18</v>
      </c>
    </row>
    <row r="104" spans="1:7" x14ac:dyDescent="0.3">
      <c r="A104" t="s">
        <v>341</v>
      </c>
      <c r="B104" t="s">
        <v>537</v>
      </c>
      <c r="C104" t="s">
        <v>244</v>
      </c>
      <c r="D104" t="s">
        <v>243</v>
      </c>
      <c r="E104">
        <v>37</v>
      </c>
      <c r="F104">
        <v>16</v>
      </c>
      <c r="G104">
        <v>149</v>
      </c>
    </row>
    <row r="105" spans="1:7" x14ac:dyDescent="0.3">
      <c r="A105" t="s">
        <v>341</v>
      </c>
      <c r="B105" t="s">
        <v>537</v>
      </c>
      <c r="C105" t="s">
        <v>247</v>
      </c>
      <c r="D105" t="s">
        <v>246</v>
      </c>
      <c r="E105">
        <v>3</v>
      </c>
      <c r="F105">
        <v>1</v>
      </c>
      <c r="G105">
        <v>9</v>
      </c>
    </row>
    <row r="106" spans="1:7" x14ac:dyDescent="0.3">
      <c r="A106" t="s">
        <v>341</v>
      </c>
      <c r="B106" t="s">
        <v>537</v>
      </c>
      <c r="C106" t="s">
        <v>249</v>
      </c>
      <c r="D106" t="s">
        <v>248</v>
      </c>
      <c r="E106">
        <v>11</v>
      </c>
      <c r="F106">
        <v>7</v>
      </c>
      <c r="G106">
        <v>63</v>
      </c>
    </row>
    <row r="107" spans="1:7" x14ac:dyDescent="0.3">
      <c r="A107" t="s">
        <v>341</v>
      </c>
      <c r="B107" t="s">
        <v>537</v>
      </c>
      <c r="C107" t="s">
        <v>253</v>
      </c>
      <c r="D107" t="s">
        <v>252</v>
      </c>
      <c r="E107">
        <v>0</v>
      </c>
      <c r="F107">
        <v>0</v>
      </c>
      <c r="G107">
        <v>0</v>
      </c>
    </row>
    <row r="108" spans="1:7" x14ac:dyDescent="0.3">
      <c r="A108" t="s">
        <v>341</v>
      </c>
      <c r="B108" t="s">
        <v>537</v>
      </c>
      <c r="C108" t="s">
        <v>255</v>
      </c>
      <c r="D108" t="s">
        <v>254</v>
      </c>
      <c r="E108">
        <v>12</v>
      </c>
      <c r="F108">
        <v>5</v>
      </c>
      <c r="G108">
        <v>38</v>
      </c>
    </row>
    <row r="109" spans="1:7" x14ac:dyDescent="0.3">
      <c r="A109" t="s">
        <v>341</v>
      </c>
      <c r="B109" t="s">
        <v>537</v>
      </c>
      <c r="C109" t="s">
        <v>259</v>
      </c>
      <c r="D109" t="s">
        <v>258</v>
      </c>
      <c r="E109">
        <v>0</v>
      </c>
      <c r="F109">
        <v>0</v>
      </c>
      <c r="G109">
        <v>0</v>
      </c>
    </row>
    <row r="110" spans="1:7" x14ac:dyDescent="0.3">
      <c r="A110" t="s">
        <v>341</v>
      </c>
      <c r="B110" t="s">
        <v>537</v>
      </c>
      <c r="C110" t="s">
        <v>263</v>
      </c>
      <c r="D110" t="s">
        <v>262</v>
      </c>
      <c r="E110">
        <v>10</v>
      </c>
      <c r="F110">
        <v>5</v>
      </c>
      <c r="G110">
        <v>41</v>
      </c>
    </row>
    <row r="111" spans="1:7" x14ac:dyDescent="0.3">
      <c r="A111" t="s">
        <v>341</v>
      </c>
      <c r="B111" t="s">
        <v>537</v>
      </c>
      <c r="C111" t="s">
        <v>267</v>
      </c>
      <c r="D111" t="s">
        <v>266</v>
      </c>
      <c r="E111">
        <v>22</v>
      </c>
      <c r="F111">
        <v>9</v>
      </c>
      <c r="G111">
        <v>78</v>
      </c>
    </row>
    <row r="112" spans="1:7" x14ac:dyDescent="0.3">
      <c r="A112" t="s">
        <v>341</v>
      </c>
      <c r="B112" t="s">
        <v>537</v>
      </c>
      <c r="C112" t="s">
        <v>270</v>
      </c>
      <c r="D112" t="s">
        <v>269</v>
      </c>
      <c r="E112">
        <v>0</v>
      </c>
      <c r="F112">
        <v>0</v>
      </c>
      <c r="G112">
        <v>0</v>
      </c>
    </row>
    <row r="113" spans="1:7" x14ac:dyDescent="0.3">
      <c r="A113" t="s">
        <v>341</v>
      </c>
      <c r="B113" t="s">
        <v>537</v>
      </c>
      <c r="C113" t="s">
        <v>273</v>
      </c>
      <c r="D113" t="s">
        <v>272</v>
      </c>
      <c r="E113">
        <v>102</v>
      </c>
      <c r="F113">
        <v>52</v>
      </c>
      <c r="G113">
        <v>371</v>
      </c>
    </row>
    <row r="114" spans="1:7" x14ac:dyDescent="0.3">
      <c r="A114" t="s">
        <v>341</v>
      </c>
      <c r="B114" t="s">
        <v>537</v>
      </c>
      <c r="C114" t="s">
        <v>277</v>
      </c>
      <c r="D114" t="s">
        <v>276</v>
      </c>
      <c r="E114">
        <v>6</v>
      </c>
      <c r="F114">
        <v>3</v>
      </c>
      <c r="G114">
        <v>30</v>
      </c>
    </row>
    <row r="115" spans="1:7" x14ac:dyDescent="0.3">
      <c r="A115" t="s">
        <v>341</v>
      </c>
      <c r="B115" t="s">
        <v>537</v>
      </c>
      <c r="C115" t="s">
        <v>279</v>
      </c>
      <c r="D115" t="s">
        <v>278</v>
      </c>
      <c r="E115">
        <v>2</v>
      </c>
      <c r="F115">
        <v>1</v>
      </c>
      <c r="G115">
        <v>8</v>
      </c>
    </row>
    <row r="116" spans="1:7" x14ac:dyDescent="0.3">
      <c r="A116" t="s">
        <v>341</v>
      </c>
      <c r="B116" t="s">
        <v>537</v>
      </c>
      <c r="C116" t="s">
        <v>281</v>
      </c>
      <c r="D116" t="s">
        <v>280</v>
      </c>
      <c r="E116">
        <v>26</v>
      </c>
      <c r="F116">
        <v>13</v>
      </c>
      <c r="G116">
        <v>86</v>
      </c>
    </row>
    <row r="117" spans="1:7" x14ac:dyDescent="0.3">
      <c r="A117" t="s">
        <v>341</v>
      </c>
      <c r="B117" t="s">
        <v>537</v>
      </c>
      <c r="C117" t="s">
        <v>283</v>
      </c>
      <c r="D117" t="s">
        <v>282</v>
      </c>
      <c r="E117">
        <v>33</v>
      </c>
      <c r="F117">
        <v>12</v>
      </c>
      <c r="G117">
        <v>92</v>
      </c>
    </row>
    <row r="118" spans="1:7" x14ac:dyDescent="0.3">
      <c r="A118" t="s">
        <v>341</v>
      </c>
      <c r="B118" t="s">
        <v>537</v>
      </c>
      <c r="C118" t="s">
        <v>287</v>
      </c>
      <c r="D118" t="s">
        <v>286</v>
      </c>
      <c r="E118">
        <v>12</v>
      </c>
      <c r="F118">
        <v>10</v>
      </c>
      <c r="G118">
        <v>84</v>
      </c>
    </row>
    <row r="119" spans="1:7" x14ac:dyDescent="0.3">
      <c r="A119" t="s">
        <v>341</v>
      </c>
      <c r="B119" t="s">
        <v>537</v>
      </c>
      <c r="C119" t="s">
        <v>289</v>
      </c>
      <c r="D119" t="s">
        <v>288</v>
      </c>
      <c r="E119">
        <v>6</v>
      </c>
      <c r="F119">
        <v>3</v>
      </c>
      <c r="G119">
        <v>26</v>
      </c>
    </row>
    <row r="120" spans="1:7" x14ac:dyDescent="0.3">
      <c r="A120" t="s">
        <v>341</v>
      </c>
      <c r="B120" t="s">
        <v>537</v>
      </c>
      <c r="C120" t="s">
        <v>292</v>
      </c>
      <c r="D120" t="s">
        <v>291</v>
      </c>
      <c r="E120">
        <v>21</v>
      </c>
      <c r="F120">
        <v>11</v>
      </c>
      <c r="G120">
        <v>63</v>
      </c>
    </row>
    <row r="121" spans="1:7" x14ac:dyDescent="0.3">
      <c r="A121" t="s">
        <v>341</v>
      </c>
      <c r="B121" t="s">
        <v>537</v>
      </c>
      <c r="C121" t="s">
        <v>294</v>
      </c>
      <c r="D121" t="s">
        <v>293</v>
      </c>
      <c r="E121">
        <v>23</v>
      </c>
      <c r="F121">
        <v>9</v>
      </c>
      <c r="G121">
        <v>90</v>
      </c>
    </row>
    <row r="122" spans="1:7" x14ac:dyDescent="0.3">
      <c r="A122" t="s">
        <v>341</v>
      </c>
      <c r="B122" t="s">
        <v>537</v>
      </c>
      <c r="C122" t="s">
        <v>296</v>
      </c>
      <c r="D122" t="s">
        <v>295</v>
      </c>
      <c r="E122">
        <v>2</v>
      </c>
      <c r="F122">
        <v>1</v>
      </c>
      <c r="G122">
        <v>10</v>
      </c>
    </row>
    <row r="123" spans="1:7" x14ac:dyDescent="0.3">
      <c r="A123" t="s">
        <v>341</v>
      </c>
      <c r="B123" t="s">
        <v>537</v>
      </c>
      <c r="C123" t="s">
        <v>298</v>
      </c>
      <c r="D123" t="s">
        <v>297</v>
      </c>
      <c r="E123">
        <v>27</v>
      </c>
      <c r="F123">
        <v>13</v>
      </c>
      <c r="G123">
        <v>103</v>
      </c>
    </row>
    <row r="124" spans="1:7" x14ac:dyDescent="0.3">
      <c r="A124" t="s">
        <v>341</v>
      </c>
      <c r="B124" t="s">
        <v>537</v>
      </c>
      <c r="C124" t="s">
        <v>300</v>
      </c>
      <c r="D124" t="s">
        <v>299</v>
      </c>
      <c r="E124">
        <v>27</v>
      </c>
      <c r="F124">
        <v>12</v>
      </c>
      <c r="G124">
        <v>83</v>
      </c>
    </row>
    <row r="125" spans="1:7" x14ac:dyDescent="0.3">
      <c r="A125" t="s">
        <v>341</v>
      </c>
      <c r="B125" t="s">
        <v>537</v>
      </c>
      <c r="C125" t="s">
        <v>302</v>
      </c>
      <c r="D125" t="s">
        <v>301</v>
      </c>
      <c r="E125">
        <v>8</v>
      </c>
      <c r="F125">
        <v>5</v>
      </c>
      <c r="G125">
        <v>35</v>
      </c>
    </row>
    <row r="126" spans="1:7" x14ac:dyDescent="0.3">
      <c r="A126" t="s">
        <v>341</v>
      </c>
      <c r="B126" t="s">
        <v>537</v>
      </c>
      <c r="C126" t="s">
        <v>304</v>
      </c>
      <c r="D126" t="s">
        <v>303</v>
      </c>
      <c r="E126">
        <v>9</v>
      </c>
      <c r="F126">
        <v>8</v>
      </c>
      <c r="G126">
        <v>57</v>
      </c>
    </row>
    <row r="127" spans="1:7" x14ac:dyDescent="0.3">
      <c r="A127" t="s">
        <v>341</v>
      </c>
      <c r="B127" t="s">
        <v>537</v>
      </c>
      <c r="C127" t="s">
        <v>307</v>
      </c>
      <c r="D127" t="s">
        <v>306</v>
      </c>
      <c r="E127">
        <v>17</v>
      </c>
      <c r="F127">
        <v>8</v>
      </c>
      <c r="G127">
        <v>48</v>
      </c>
    </row>
    <row r="128" spans="1:7" x14ac:dyDescent="0.3">
      <c r="A128" t="s">
        <v>341</v>
      </c>
      <c r="B128" t="s">
        <v>537</v>
      </c>
      <c r="C128" t="s">
        <v>309</v>
      </c>
      <c r="D128" t="s">
        <v>308</v>
      </c>
      <c r="E128">
        <v>2</v>
      </c>
      <c r="F128">
        <v>1</v>
      </c>
      <c r="G128">
        <v>14</v>
      </c>
    </row>
    <row r="129" spans="1:7" x14ac:dyDescent="0.3">
      <c r="A129" t="s">
        <v>341</v>
      </c>
      <c r="B129" t="s">
        <v>537</v>
      </c>
      <c r="C129" t="s">
        <v>311</v>
      </c>
      <c r="D129" t="s">
        <v>310</v>
      </c>
      <c r="E129">
        <v>12</v>
      </c>
      <c r="F129">
        <v>5</v>
      </c>
      <c r="G129">
        <v>47</v>
      </c>
    </row>
    <row r="130" spans="1:7" x14ac:dyDescent="0.3">
      <c r="A130" t="s">
        <v>342</v>
      </c>
      <c r="B130" t="s">
        <v>537</v>
      </c>
      <c r="C130" t="s">
        <v>215</v>
      </c>
      <c r="D130" t="s">
        <v>214</v>
      </c>
      <c r="E130">
        <v>1</v>
      </c>
      <c r="F130">
        <v>1</v>
      </c>
      <c r="G130">
        <v>6</v>
      </c>
    </row>
    <row r="131" spans="1:7" x14ac:dyDescent="0.3">
      <c r="A131" t="s">
        <v>342</v>
      </c>
      <c r="B131" t="s">
        <v>537</v>
      </c>
      <c r="C131" t="s">
        <v>220</v>
      </c>
      <c r="D131" t="s">
        <v>219</v>
      </c>
      <c r="E131">
        <v>69</v>
      </c>
      <c r="F131">
        <v>24</v>
      </c>
      <c r="G131">
        <v>182</v>
      </c>
    </row>
    <row r="132" spans="1:7" x14ac:dyDescent="0.3">
      <c r="A132" t="s">
        <v>342</v>
      </c>
      <c r="B132" t="s">
        <v>537</v>
      </c>
      <c r="C132" t="s">
        <v>224</v>
      </c>
      <c r="D132" t="s">
        <v>223</v>
      </c>
      <c r="E132">
        <v>16</v>
      </c>
      <c r="F132">
        <v>6</v>
      </c>
      <c r="G132">
        <v>71</v>
      </c>
    </row>
    <row r="133" spans="1:7" x14ac:dyDescent="0.3">
      <c r="A133" t="s">
        <v>342</v>
      </c>
      <c r="B133" t="s">
        <v>537</v>
      </c>
      <c r="C133" t="s">
        <v>228</v>
      </c>
      <c r="D133" t="s">
        <v>227</v>
      </c>
      <c r="E133">
        <v>26</v>
      </c>
      <c r="F133">
        <v>14</v>
      </c>
      <c r="G133">
        <v>137</v>
      </c>
    </row>
    <row r="134" spans="1:7" x14ac:dyDescent="0.3">
      <c r="A134" t="s">
        <v>342</v>
      </c>
      <c r="B134" t="s">
        <v>537</v>
      </c>
      <c r="C134" t="s">
        <v>234</v>
      </c>
      <c r="D134" t="s">
        <v>233</v>
      </c>
      <c r="E134">
        <v>1</v>
      </c>
      <c r="F134">
        <v>1</v>
      </c>
      <c r="G134">
        <v>9</v>
      </c>
    </row>
    <row r="135" spans="1:7" x14ac:dyDescent="0.3">
      <c r="A135" t="s">
        <v>342</v>
      </c>
      <c r="B135" t="s">
        <v>537</v>
      </c>
      <c r="C135" t="s">
        <v>240</v>
      </c>
      <c r="D135" t="s">
        <v>239</v>
      </c>
      <c r="E135">
        <v>3</v>
      </c>
      <c r="F135">
        <v>2</v>
      </c>
      <c r="G135">
        <v>17</v>
      </c>
    </row>
    <row r="136" spans="1:7" x14ac:dyDescent="0.3">
      <c r="A136" t="s">
        <v>342</v>
      </c>
      <c r="B136" t="s">
        <v>537</v>
      </c>
      <c r="C136" t="s">
        <v>244</v>
      </c>
      <c r="D136" t="s">
        <v>243</v>
      </c>
      <c r="E136">
        <v>34</v>
      </c>
      <c r="F136">
        <v>16</v>
      </c>
      <c r="G136">
        <v>139</v>
      </c>
    </row>
    <row r="137" spans="1:7" x14ac:dyDescent="0.3">
      <c r="A137" t="s">
        <v>342</v>
      </c>
      <c r="B137" t="s">
        <v>537</v>
      </c>
      <c r="C137" t="s">
        <v>247</v>
      </c>
      <c r="D137" t="s">
        <v>246</v>
      </c>
      <c r="E137">
        <v>2</v>
      </c>
      <c r="F137">
        <v>1</v>
      </c>
      <c r="G137">
        <v>10</v>
      </c>
    </row>
    <row r="138" spans="1:7" x14ac:dyDescent="0.3">
      <c r="A138" t="s">
        <v>342</v>
      </c>
      <c r="B138" t="s">
        <v>537</v>
      </c>
      <c r="C138" t="s">
        <v>249</v>
      </c>
      <c r="D138" t="s">
        <v>248</v>
      </c>
      <c r="E138">
        <v>9</v>
      </c>
      <c r="F138">
        <v>7</v>
      </c>
      <c r="G138">
        <v>66</v>
      </c>
    </row>
    <row r="139" spans="1:7" x14ac:dyDescent="0.3">
      <c r="A139" t="s">
        <v>342</v>
      </c>
      <c r="B139" t="s">
        <v>537</v>
      </c>
      <c r="C139" t="s">
        <v>255</v>
      </c>
      <c r="D139" t="s">
        <v>254</v>
      </c>
      <c r="E139">
        <v>10</v>
      </c>
      <c r="F139">
        <v>5</v>
      </c>
      <c r="G139">
        <v>41</v>
      </c>
    </row>
    <row r="140" spans="1:7" x14ac:dyDescent="0.3">
      <c r="A140" t="s">
        <v>342</v>
      </c>
      <c r="B140" t="s">
        <v>537</v>
      </c>
      <c r="C140" t="s">
        <v>263</v>
      </c>
      <c r="D140" t="s">
        <v>262</v>
      </c>
      <c r="E140">
        <v>11</v>
      </c>
      <c r="F140">
        <v>5</v>
      </c>
      <c r="G140">
        <v>38</v>
      </c>
    </row>
    <row r="141" spans="1:7" x14ac:dyDescent="0.3">
      <c r="A141" t="s">
        <v>342</v>
      </c>
      <c r="B141" t="s">
        <v>537</v>
      </c>
      <c r="C141" t="s">
        <v>267</v>
      </c>
      <c r="D141" t="s">
        <v>266</v>
      </c>
      <c r="E141">
        <v>21</v>
      </c>
      <c r="F141">
        <v>9</v>
      </c>
      <c r="G141">
        <v>85</v>
      </c>
    </row>
    <row r="142" spans="1:7" x14ac:dyDescent="0.3">
      <c r="A142" t="s">
        <v>342</v>
      </c>
      <c r="B142" t="s">
        <v>537</v>
      </c>
      <c r="C142" t="s">
        <v>273</v>
      </c>
      <c r="D142" t="s">
        <v>272</v>
      </c>
      <c r="E142">
        <v>106</v>
      </c>
      <c r="F142">
        <v>55</v>
      </c>
      <c r="G142">
        <v>377</v>
      </c>
    </row>
    <row r="143" spans="1:7" x14ac:dyDescent="0.3">
      <c r="A143" t="s">
        <v>342</v>
      </c>
      <c r="B143" t="s">
        <v>537</v>
      </c>
      <c r="C143" t="s">
        <v>277</v>
      </c>
      <c r="D143" t="s">
        <v>276</v>
      </c>
      <c r="E143">
        <v>6</v>
      </c>
      <c r="F143">
        <v>3</v>
      </c>
      <c r="G143">
        <v>33</v>
      </c>
    </row>
    <row r="144" spans="1:7" x14ac:dyDescent="0.3">
      <c r="A144" t="s">
        <v>342</v>
      </c>
      <c r="B144" t="s">
        <v>537</v>
      </c>
      <c r="C144" t="s">
        <v>279</v>
      </c>
      <c r="D144" t="s">
        <v>278</v>
      </c>
      <c r="E144">
        <v>2</v>
      </c>
      <c r="F144">
        <v>1</v>
      </c>
      <c r="G144">
        <v>9</v>
      </c>
    </row>
    <row r="145" spans="1:7" x14ac:dyDescent="0.3">
      <c r="A145" t="s">
        <v>342</v>
      </c>
      <c r="B145" t="s">
        <v>537</v>
      </c>
      <c r="C145" t="s">
        <v>281</v>
      </c>
      <c r="D145" t="s">
        <v>280</v>
      </c>
      <c r="E145">
        <v>27</v>
      </c>
      <c r="F145">
        <v>12</v>
      </c>
      <c r="G145">
        <v>81</v>
      </c>
    </row>
    <row r="146" spans="1:7" x14ac:dyDescent="0.3">
      <c r="A146" t="s">
        <v>342</v>
      </c>
      <c r="B146" t="s">
        <v>537</v>
      </c>
      <c r="C146" t="s">
        <v>283</v>
      </c>
      <c r="D146" t="s">
        <v>282</v>
      </c>
      <c r="E146">
        <v>25</v>
      </c>
      <c r="F146">
        <v>13</v>
      </c>
      <c r="G146">
        <v>93</v>
      </c>
    </row>
    <row r="147" spans="1:7" x14ac:dyDescent="0.3">
      <c r="A147" t="s">
        <v>342</v>
      </c>
      <c r="B147" t="s">
        <v>537</v>
      </c>
      <c r="C147" t="s">
        <v>287</v>
      </c>
      <c r="D147" t="s">
        <v>286</v>
      </c>
      <c r="E147">
        <v>10</v>
      </c>
      <c r="F147">
        <v>10</v>
      </c>
      <c r="G147">
        <v>86</v>
      </c>
    </row>
    <row r="148" spans="1:7" x14ac:dyDescent="0.3">
      <c r="A148" t="s">
        <v>342</v>
      </c>
      <c r="B148" t="s">
        <v>537</v>
      </c>
      <c r="C148" t="s">
        <v>289</v>
      </c>
      <c r="D148" t="s">
        <v>288</v>
      </c>
      <c r="E148">
        <v>6</v>
      </c>
      <c r="F148">
        <v>3</v>
      </c>
      <c r="G148">
        <v>28</v>
      </c>
    </row>
    <row r="149" spans="1:7" x14ac:dyDescent="0.3">
      <c r="A149" t="s">
        <v>342</v>
      </c>
      <c r="B149" t="s">
        <v>537</v>
      </c>
      <c r="C149" t="s">
        <v>292</v>
      </c>
      <c r="D149" t="s">
        <v>291</v>
      </c>
      <c r="E149">
        <v>22</v>
      </c>
      <c r="F149">
        <v>9</v>
      </c>
      <c r="G149">
        <v>69</v>
      </c>
    </row>
    <row r="150" spans="1:7" x14ac:dyDescent="0.3">
      <c r="A150" t="s">
        <v>342</v>
      </c>
      <c r="B150" t="s">
        <v>537</v>
      </c>
      <c r="C150" t="s">
        <v>294</v>
      </c>
      <c r="D150" t="s">
        <v>293</v>
      </c>
      <c r="E150">
        <v>23</v>
      </c>
      <c r="F150">
        <v>9</v>
      </c>
      <c r="G150">
        <v>94</v>
      </c>
    </row>
    <row r="151" spans="1:7" x14ac:dyDescent="0.3">
      <c r="A151" t="s">
        <v>342</v>
      </c>
      <c r="B151" t="s">
        <v>537</v>
      </c>
      <c r="C151" t="s">
        <v>296</v>
      </c>
      <c r="D151" t="s">
        <v>295</v>
      </c>
      <c r="E151">
        <v>2</v>
      </c>
      <c r="F151">
        <v>1</v>
      </c>
      <c r="G151">
        <v>13</v>
      </c>
    </row>
    <row r="152" spans="1:7" x14ac:dyDescent="0.3">
      <c r="A152" t="s">
        <v>342</v>
      </c>
      <c r="B152" t="s">
        <v>537</v>
      </c>
      <c r="C152" t="s">
        <v>298</v>
      </c>
      <c r="D152" t="s">
        <v>297</v>
      </c>
      <c r="E152">
        <v>27</v>
      </c>
      <c r="F152">
        <v>13</v>
      </c>
      <c r="G152">
        <v>103</v>
      </c>
    </row>
    <row r="153" spans="1:7" x14ac:dyDescent="0.3">
      <c r="A153" t="s">
        <v>342</v>
      </c>
      <c r="B153" t="s">
        <v>537</v>
      </c>
      <c r="C153" t="s">
        <v>300</v>
      </c>
      <c r="D153" t="s">
        <v>299</v>
      </c>
      <c r="E153">
        <v>24</v>
      </c>
      <c r="F153">
        <v>12</v>
      </c>
      <c r="G153">
        <v>82</v>
      </c>
    </row>
    <row r="154" spans="1:7" x14ac:dyDescent="0.3">
      <c r="A154" t="s">
        <v>342</v>
      </c>
      <c r="B154" t="s">
        <v>537</v>
      </c>
      <c r="C154" t="s">
        <v>302</v>
      </c>
      <c r="D154" t="s">
        <v>301</v>
      </c>
      <c r="E154">
        <v>6</v>
      </c>
      <c r="F154">
        <v>5</v>
      </c>
      <c r="G154">
        <v>38</v>
      </c>
    </row>
    <row r="155" spans="1:7" x14ac:dyDescent="0.3">
      <c r="A155" t="s">
        <v>342</v>
      </c>
      <c r="B155" t="s">
        <v>537</v>
      </c>
      <c r="C155" t="s">
        <v>304</v>
      </c>
      <c r="D155" t="s">
        <v>303</v>
      </c>
      <c r="E155">
        <v>8</v>
      </c>
      <c r="F155">
        <v>9</v>
      </c>
      <c r="G155">
        <v>56</v>
      </c>
    </row>
    <row r="156" spans="1:7" x14ac:dyDescent="0.3">
      <c r="A156" t="s">
        <v>342</v>
      </c>
      <c r="B156" t="s">
        <v>537</v>
      </c>
      <c r="C156" t="s">
        <v>307</v>
      </c>
      <c r="D156" t="s">
        <v>306</v>
      </c>
      <c r="E156">
        <v>15</v>
      </c>
      <c r="F156">
        <v>8</v>
      </c>
      <c r="G156">
        <v>51</v>
      </c>
    </row>
    <row r="157" spans="1:7" x14ac:dyDescent="0.3">
      <c r="A157" t="s">
        <v>342</v>
      </c>
      <c r="B157" t="s">
        <v>537</v>
      </c>
      <c r="C157" t="s">
        <v>309</v>
      </c>
      <c r="D157" t="s">
        <v>308</v>
      </c>
      <c r="E157">
        <v>2</v>
      </c>
      <c r="F157">
        <v>2</v>
      </c>
      <c r="G157">
        <v>14</v>
      </c>
    </row>
    <row r="158" spans="1:7" x14ac:dyDescent="0.3">
      <c r="A158" t="s">
        <v>342</v>
      </c>
      <c r="B158" t="s">
        <v>537</v>
      </c>
      <c r="C158" t="s">
        <v>311</v>
      </c>
      <c r="D158" t="s">
        <v>310</v>
      </c>
      <c r="E158">
        <v>11</v>
      </c>
      <c r="F158">
        <v>5</v>
      </c>
      <c r="G158">
        <v>49</v>
      </c>
    </row>
    <row r="159" spans="1:7" x14ac:dyDescent="0.3">
      <c r="A159" t="s">
        <v>213</v>
      </c>
      <c r="B159" t="s">
        <v>537</v>
      </c>
      <c r="C159" t="s">
        <v>215</v>
      </c>
      <c r="D159" t="s">
        <v>214</v>
      </c>
      <c r="E159">
        <v>1</v>
      </c>
      <c r="F159">
        <v>3</v>
      </c>
      <c r="G159">
        <v>5</v>
      </c>
    </row>
    <row r="160" spans="1:7" x14ac:dyDescent="0.3">
      <c r="A160" t="s">
        <v>213</v>
      </c>
      <c r="B160" t="s">
        <v>537</v>
      </c>
      <c r="C160" t="s">
        <v>220</v>
      </c>
      <c r="D160" t="s">
        <v>219</v>
      </c>
      <c r="E160">
        <v>24</v>
      </c>
      <c r="F160">
        <v>69</v>
      </c>
      <c r="G160">
        <v>191</v>
      </c>
    </row>
    <row r="161" spans="1:7" x14ac:dyDescent="0.3">
      <c r="A161" t="s">
        <v>213</v>
      </c>
      <c r="B161" t="s">
        <v>537</v>
      </c>
      <c r="C161" t="s">
        <v>224</v>
      </c>
      <c r="D161" t="s">
        <v>223</v>
      </c>
      <c r="E161">
        <v>6</v>
      </c>
      <c r="F161">
        <v>14</v>
      </c>
      <c r="G161">
        <v>78</v>
      </c>
    </row>
    <row r="162" spans="1:7" x14ac:dyDescent="0.3">
      <c r="A162" t="s">
        <v>213</v>
      </c>
      <c r="B162" t="s">
        <v>537</v>
      </c>
      <c r="C162" t="s">
        <v>228</v>
      </c>
      <c r="D162" t="s">
        <v>227</v>
      </c>
      <c r="E162">
        <v>14</v>
      </c>
      <c r="F162">
        <v>25</v>
      </c>
      <c r="G162">
        <v>137</v>
      </c>
    </row>
    <row r="163" spans="1:7" x14ac:dyDescent="0.3">
      <c r="A163" t="s">
        <v>213</v>
      </c>
      <c r="B163" t="s">
        <v>537</v>
      </c>
      <c r="C163" t="s">
        <v>234</v>
      </c>
      <c r="D163" t="s">
        <v>233</v>
      </c>
      <c r="E163">
        <v>0</v>
      </c>
      <c r="F163">
        <v>2</v>
      </c>
      <c r="G163">
        <v>7</v>
      </c>
    </row>
    <row r="164" spans="1:7" x14ac:dyDescent="0.3">
      <c r="A164" t="s">
        <v>213</v>
      </c>
      <c r="B164" t="s">
        <v>537</v>
      </c>
      <c r="C164" t="s">
        <v>240</v>
      </c>
      <c r="D164" t="s">
        <v>239</v>
      </c>
      <c r="E164">
        <v>2</v>
      </c>
      <c r="F164">
        <v>4</v>
      </c>
      <c r="G164">
        <v>14</v>
      </c>
    </row>
    <row r="165" spans="1:7" x14ac:dyDescent="0.3">
      <c r="A165" t="s">
        <v>213</v>
      </c>
      <c r="B165" t="s">
        <v>537</v>
      </c>
      <c r="C165" t="s">
        <v>244</v>
      </c>
      <c r="D165" t="s">
        <v>243</v>
      </c>
      <c r="E165">
        <v>17</v>
      </c>
      <c r="F165">
        <v>34</v>
      </c>
      <c r="G165">
        <v>147</v>
      </c>
    </row>
    <row r="166" spans="1:7" x14ac:dyDescent="0.3">
      <c r="A166" t="s">
        <v>213</v>
      </c>
      <c r="B166" t="s">
        <v>537</v>
      </c>
      <c r="C166" t="s">
        <v>247</v>
      </c>
      <c r="D166" t="s">
        <v>246</v>
      </c>
      <c r="E166">
        <v>1</v>
      </c>
      <c r="F166">
        <v>2</v>
      </c>
      <c r="G166">
        <v>9</v>
      </c>
    </row>
    <row r="167" spans="1:7" x14ac:dyDescent="0.3">
      <c r="A167" t="s">
        <v>213</v>
      </c>
      <c r="B167" t="s">
        <v>537</v>
      </c>
      <c r="C167" t="s">
        <v>249</v>
      </c>
      <c r="D167" t="s">
        <v>248</v>
      </c>
      <c r="E167">
        <v>5</v>
      </c>
      <c r="F167">
        <v>10</v>
      </c>
      <c r="G167">
        <v>62</v>
      </c>
    </row>
    <row r="168" spans="1:7" x14ac:dyDescent="0.3">
      <c r="A168" t="s">
        <v>213</v>
      </c>
      <c r="B168" t="s">
        <v>537</v>
      </c>
      <c r="C168" t="s">
        <v>255</v>
      </c>
      <c r="D168" t="s">
        <v>254</v>
      </c>
      <c r="E168">
        <v>5</v>
      </c>
      <c r="F168">
        <v>12</v>
      </c>
      <c r="G168">
        <v>45</v>
      </c>
    </row>
    <row r="169" spans="1:7" x14ac:dyDescent="0.3">
      <c r="A169" t="s">
        <v>213</v>
      </c>
      <c r="B169" t="s">
        <v>537</v>
      </c>
      <c r="C169" t="s">
        <v>263</v>
      </c>
      <c r="D169" t="s">
        <v>262</v>
      </c>
      <c r="E169">
        <v>5</v>
      </c>
      <c r="F169">
        <v>10</v>
      </c>
      <c r="G169">
        <v>40</v>
      </c>
    </row>
    <row r="170" spans="1:7" x14ac:dyDescent="0.3">
      <c r="A170" t="s">
        <v>213</v>
      </c>
      <c r="B170" t="s">
        <v>537</v>
      </c>
      <c r="C170" t="s">
        <v>267</v>
      </c>
      <c r="D170" t="s">
        <v>266</v>
      </c>
      <c r="E170">
        <v>9</v>
      </c>
      <c r="F170">
        <v>21</v>
      </c>
      <c r="G170">
        <v>86</v>
      </c>
    </row>
    <row r="171" spans="1:7" x14ac:dyDescent="0.3">
      <c r="A171" t="s">
        <v>213</v>
      </c>
      <c r="B171" t="s">
        <v>537</v>
      </c>
      <c r="C171" t="s">
        <v>273</v>
      </c>
      <c r="D171" t="s">
        <v>272</v>
      </c>
      <c r="E171">
        <v>56</v>
      </c>
      <c r="F171">
        <v>103</v>
      </c>
      <c r="G171">
        <v>393</v>
      </c>
    </row>
    <row r="172" spans="1:7" x14ac:dyDescent="0.3">
      <c r="A172" t="s">
        <v>213</v>
      </c>
      <c r="B172" t="s">
        <v>537</v>
      </c>
      <c r="C172" t="s">
        <v>277</v>
      </c>
      <c r="D172" t="s">
        <v>276</v>
      </c>
      <c r="E172">
        <v>3</v>
      </c>
      <c r="F172">
        <v>6</v>
      </c>
      <c r="G172">
        <v>35</v>
      </c>
    </row>
    <row r="173" spans="1:7" x14ac:dyDescent="0.3">
      <c r="A173" t="s">
        <v>213</v>
      </c>
      <c r="B173" t="s">
        <v>537</v>
      </c>
      <c r="C173" t="s">
        <v>279</v>
      </c>
      <c r="D173" t="s">
        <v>278</v>
      </c>
      <c r="E173">
        <v>1</v>
      </c>
      <c r="F173">
        <v>3</v>
      </c>
      <c r="G173">
        <v>9</v>
      </c>
    </row>
    <row r="174" spans="1:7" x14ac:dyDescent="0.3">
      <c r="A174" t="s">
        <v>213</v>
      </c>
      <c r="B174" t="s">
        <v>537</v>
      </c>
      <c r="C174" t="s">
        <v>281</v>
      </c>
      <c r="D174" t="s">
        <v>280</v>
      </c>
      <c r="E174">
        <v>11</v>
      </c>
      <c r="F174">
        <v>28</v>
      </c>
      <c r="G174">
        <v>81</v>
      </c>
    </row>
    <row r="175" spans="1:7" x14ac:dyDescent="0.3">
      <c r="A175" t="s">
        <v>213</v>
      </c>
      <c r="B175" t="s">
        <v>537</v>
      </c>
      <c r="C175" t="s">
        <v>283</v>
      </c>
      <c r="D175" t="s">
        <v>282</v>
      </c>
      <c r="E175">
        <v>13</v>
      </c>
      <c r="F175">
        <v>25</v>
      </c>
      <c r="G175">
        <v>94</v>
      </c>
    </row>
    <row r="176" spans="1:7" x14ac:dyDescent="0.3">
      <c r="A176" t="s">
        <v>213</v>
      </c>
      <c r="B176" t="s">
        <v>537</v>
      </c>
      <c r="C176" t="s">
        <v>287</v>
      </c>
      <c r="D176" t="s">
        <v>286</v>
      </c>
      <c r="E176">
        <v>11</v>
      </c>
      <c r="F176">
        <v>11</v>
      </c>
      <c r="G176">
        <v>85</v>
      </c>
    </row>
    <row r="177" spans="1:7" x14ac:dyDescent="0.3">
      <c r="A177" t="s">
        <v>213</v>
      </c>
      <c r="B177" t="s">
        <v>537</v>
      </c>
      <c r="C177" t="s">
        <v>289</v>
      </c>
      <c r="D177" t="s">
        <v>288</v>
      </c>
      <c r="E177">
        <v>3</v>
      </c>
      <c r="F177">
        <v>6</v>
      </c>
      <c r="G177">
        <v>26</v>
      </c>
    </row>
    <row r="178" spans="1:7" x14ac:dyDescent="0.3">
      <c r="A178" t="s">
        <v>213</v>
      </c>
      <c r="B178" t="s">
        <v>537</v>
      </c>
      <c r="C178" t="s">
        <v>292</v>
      </c>
      <c r="D178" t="s">
        <v>291</v>
      </c>
      <c r="E178">
        <v>9</v>
      </c>
      <c r="F178">
        <v>23</v>
      </c>
      <c r="G178">
        <v>77</v>
      </c>
    </row>
    <row r="179" spans="1:7" x14ac:dyDescent="0.3">
      <c r="A179" t="s">
        <v>213</v>
      </c>
      <c r="B179" t="s">
        <v>537</v>
      </c>
      <c r="C179" t="s">
        <v>294</v>
      </c>
      <c r="D179" t="s">
        <v>496</v>
      </c>
      <c r="E179">
        <v>10</v>
      </c>
      <c r="F179">
        <v>23</v>
      </c>
      <c r="G179">
        <v>98</v>
      </c>
    </row>
    <row r="180" spans="1:7" x14ac:dyDescent="0.3">
      <c r="A180" t="s">
        <v>213</v>
      </c>
      <c r="B180" t="s">
        <v>537</v>
      </c>
      <c r="C180" t="s">
        <v>296</v>
      </c>
      <c r="D180" t="s">
        <v>295</v>
      </c>
      <c r="E180">
        <v>1</v>
      </c>
      <c r="F180">
        <v>2</v>
      </c>
      <c r="G180">
        <v>14</v>
      </c>
    </row>
    <row r="181" spans="1:7" x14ac:dyDescent="0.3">
      <c r="A181" t="s">
        <v>213</v>
      </c>
      <c r="B181" t="s">
        <v>537</v>
      </c>
      <c r="C181" t="s">
        <v>298</v>
      </c>
      <c r="D181" t="s">
        <v>297</v>
      </c>
      <c r="E181">
        <v>13</v>
      </c>
      <c r="F181">
        <v>28</v>
      </c>
      <c r="G181">
        <v>102</v>
      </c>
    </row>
    <row r="182" spans="1:7" x14ac:dyDescent="0.3">
      <c r="A182" t="s">
        <v>213</v>
      </c>
      <c r="B182" t="s">
        <v>537</v>
      </c>
      <c r="C182" t="s">
        <v>300</v>
      </c>
      <c r="D182" t="s">
        <v>299</v>
      </c>
      <c r="E182">
        <v>13</v>
      </c>
      <c r="F182">
        <v>25</v>
      </c>
      <c r="G182">
        <v>89</v>
      </c>
    </row>
    <row r="183" spans="1:7" x14ac:dyDescent="0.3">
      <c r="A183" t="s">
        <v>213</v>
      </c>
      <c r="B183" t="s">
        <v>537</v>
      </c>
      <c r="C183" t="s">
        <v>302</v>
      </c>
      <c r="D183" t="s">
        <v>301</v>
      </c>
      <c r="E183">
        <v>5</v>
      </c>
      <c r="F183">
        <v>7</v>
      </c>
      <c r="G183">
        <v>46</v>
      </c>
    </row>
    <row r="184" spans="1:7" x14ac:dyDescent="0.3">
      <c r="A184" t="s">
        <v>213</v>
      </c>
      <c r="B184" t="s">
        <v>537</v>
      </c>
      <c r="C184" t="s">
        <v>304</v>
      </c>
      <c r="D184" t="s">
        <v>303</v>
      </c>
      <c r="E184">
        <v>8</v>
      </c>
      <c r="F184">
        <v>8</v>
      </c>
      <c r="G184">
        <v>61</v>
      </c>
    </row>
    <row r="185" spans="1:7" x14ac:dyDescent="0.3">
      <c r="A185" t="s">
        <v>213</v>
      </c>
      <c r="B185" t="s">
        <v>537</v>
      </c>
      <c r="C185" t="s">
        <v>307</v>
      </c>
      <c r="D185" t="s">
        <v>306</v>
      </c>
      <c r="E185">
        <v>8</v>
      </c>
      <c r="F185">
        <v>16</v>
      </c>
      <c r="G185">
        <v>51</v>
      </c>
    </row>
    <row r="186" spans="1:7" x14ac:dyDescent="0.3">
      <c r="A186" t="s">
        <v>213</v>
      </c>
      <c r="B186" t="s">
        <v>537</v>
      </c>
      <c r="C186" t="s">
        <v>309</v>
      </c>
      <c r="D186" t="s">
        <v>308</v>
      </c>
      <c r="E186">
        <v>2</v>
      </c>
      <c r="F186">
        <v>2</v>
      </c>
      <c r="G186">
        <v>16</v>
      </c>
    </row>
    <row r="187" spans="1:7" x14ac:dyDescent="0.3">
      <c r="A187" t="s">
        <v>213</v>
      </c>
      <c r="B187" t="s">
        <v>537</v>
      </c>
      <c r="C187" t="s">
        <v>311</v>
      </c>
      <c r="D187" t="s">
        <v>310</v>
      </c>
      <c r="E187">
        <v>5</v>
      </c>
      <c r="F187">
        <v>11</v>
      </c>
      <c r="G187">
        <v>43</v>
      </c>
    </row>
    <row r="188" spans="1:7" x14ac:dyDescent="0.3">
      <c r="A188" t="s">
        <v>312</v>
      </c>
      <c r="B188" t="s">
        <v>537</v>
      </c>
      <c r="C188" t="s">
        <v>215</v>
      </c>
      <c r="D188" t="s">
        <v>217</v>
      </c>
      <c r="E188">
        <v>1</v>
      </c>
      <c r="F188">
        <v>3</v>
      </c>
      <c r="G188">
        <v>4</v>
      </c>
    </row>
    <row r="189" spans="1:7" x14ac:dyDescent="0.3">
      <c r="A189" t="s">
        <v>312</v>
      </c>
      <c r="B189" t="s">
        <v>537</v>
      </c>
      <c r="C189" t="s">
        <v>220</v>
      </c>
      <c r="D189" t="s">
        <v>217</v>
      </c>
      <c r="E189">
        <v>25</v>
      </c>
      <c r="F189">
        <v>65</v>
      </c>
      <c r="G189">
        <v>195</v>
      </c>
    </row>
    <row r="190" spans="1:7" x14ac:dyDescent="0.3">
      <c r="A190" t="s">
        <v>312</v>
      </c>
      <c r="B190" t="s">
        <v>537</v>
      </c>
      <c r="C190" t="s">
        <v>224</v>
      </c>
      <c r="D190" t="s">
        <v>217</v>
      </c>
      <c r="E190">
        <v>6</v>
      </c>
      <c r="F190">
        <v>16</v>
      </c>
      <c r="G190">
        <v>81</v>
      </c>
    </row>
    <row r="191" spans="1:7" x14ac:dyDescent="0.3">
      <c r="A191" t="s">
        <v>312</v>
      </c>
      <c r="B191" t="s">
        <v>537</v>
      </c>
      <c r="C191" t="s">
        <v>228</v>
      </c>
      <c r="D191" t="s">
        <v>231</v>
      </c>
      <c r="E191">
        <v>13</v>
      </c>
      <c r="F191">
        <v>25</v>
      </c>
      <c r="G191">
        <v>136</v>
      </c>
    </row>
    <row r="192" spans="1:7" x14ac:dyDescent="0.3">
      <c r="A192" t="s">
        <v>312</v>
      </c>
      <c r="B192" t="s">
        <v>537</v>
      </c>
      <c r="C192" t="s">
        <v>234</v>
      </c>
      <c r="D192" t="s">
        <v>237</v>
      </c>
      <c r="E192">
        <v>1</v>
      </c>
      <c r="F192">
        <v>2</v>
      </c>
      <c r="G192">
        <v>5</v>
      </c>
    </row>
    <row r="193" spans="1:7" x14ac:dyDescent="0.3">
      <c r="A193" t="s">
        <v>312</v>
      </c>
      <c r="B193" t="s">
        <v>537</v>
      </c>
      <c r="C193" t="s">
        <v>240</v>
      </c>
      <c r="D193" t="s">
        <v>237</v>
      </c>
      <c r="E193">
        <v>3</v>
      </c>
      <c r="F193">
        <v>5</v>
      </c>
      <c r="G193">
        <v>17</v>
      </c>
    </row>
    <row r="194" spans="1:7" x14ac:dyDescent="0.3">
      <c r="A194" t="s">
        <v>312</v>
      </c>
      <c r="B194" t="s">
        <v>537</v>
      </c>
      <c r="C194" t="s">
        <v>244</v>
      </c>
      <c r="D194" t="s">
        <v>231</v>
      </c>
      <c r="E194">
        <v>16</v>
      </c>
      <c r="F194">
        <v>34</v>
      </c>
      <c r="G194">
        <v>142</v>
      </c>
    </row>
    <row r="195" spans="1:7" x14ac:dyDescent="0.3">
      <c r="A195" t="s">
        <v>312</v>
      </c>
      <c r="B195" t="s">
        <v>537</v>
      </c>
      <c r="C195" t="s">
        <v>247</v>
      </c>
      <c r="D195" t="s">
        <v>217</v>
      </c>
      <c r="E195">
        <v>1</v>
      </c>
      <c r="F195">
        <v>2</v>
      </c>
      <c r="G195">
        <v>9</v>
      </c>
    </row>
    <row r="196" spans="1:7" x14ac:dyDescent="0.3">
      <c r="A196" t="s">
        <v>312</v>
      </c>
      <c r="B196" t="s">
        <v>537</v>
      </c>
      <c r="C196" t="s">
        <v>249</v>
      </c>
      <c r="D196" t="s">
        <v>231</v>
      </c>
      <c r="E196">
        <v>7</v>
      </c>
      <c r="F196">
        <v>8</v>
      </c>
      <c r="G196">
        <v>65</v>
      </c>
    </row>
    <row r="197" spans="1:7" x14ac:dyDescent="0.3">
      <c r="A197" t="s">
        <v>312</v>
      </c>
      <c r="B197" t="s">
        <v>537</v>
      </c>
      <c r="C197" t="s">
        <v>255</v>
      </c>
      <c r="D197" t="s">
        <v>237</v>
      </c>
      <c r="E197">
        <v>5</v>
      </c>
      <c r="F197">
        <v>12</v>
      </c>
      <c r="G197">
        <v>48</v>
      </c>
    </row>
    <row r="198" spans="1:7" x14ac:dyDescent="0.3">
      <c r="A198" t="s">
        <v>312</v>
      </c>
      <c r="B198" t="s">
        <v>537</v>
      </c>
      <c r="C198" t="s">
        <v>263</v>
      </c>
      <c r="D198" t="s">
        <v>237</v>
      </c>
      <c r="E198">
        <v>4</v>
      </c>
      <c r="F198">
        <v>10</v>
      </c>
      <c r="G198">
        <v>43</v>
      </c>
    </row>
    <row r="199" spans="1:7" x14ac:dyDescent="0.3">
      <c r="A199" t="s">
        <v>312</v>
      </c>
      <c r="B199" t="s">
        <v>537</v>
      </c>
      <c r="C199" t="s">
        <v>267</v>
      </c>
      <c r="D199" t="s">
        <v>237</v>
      </c>
      <c r="E199">
        <v>9</v>
      </c>
      <c r="F199">
        <v>21</v>
      </c>
      <c r="G199">
        <v>83</v>
      </c>
    </row>
    <row r="200" spans="1:7" x14ac:dyDescent="0.3">
      <c r="A200" t="s">
        <v>312</v>
      </c>
      <c r="B200" t="s">
        <v>537</v>
      </c>
      <c r="C200" t="s">
        <v>273</v>
      </c>
      <c r="D200" t="s">
        <v>217</v>
      </c>
      <c r="E200">
        <v>53</v>
      </c>
      <c r="F200">
        <v>94</v>
      </c>
      <c r="G200">
        <v>378</v>
      </c>
    </row>
    <row r="201" spans="1:7" x14ac:dyDescent="0.3">
      <c r="A201" t="s">
        <v>312</v>
      </c>
      <c r="B201" t="s">
        <v>537</v>
      </c>
      <c r="C201" t="s">
        <v>277</v>
      </c>
      <c r="D201" t="s">
        <v>231</v>
      </c>
      <c r="E201">
        <v>3</v>
      </c>
      <c r="F201">
        <v>6</v>
      </c>
      <c r="G201">
        <v>33</v>
      </c>
    </row>
    <row r="202" spans="1:7" x14ac:dyDescent="0.3">
      <c r="A202" t="s">
        <v>312</v>
      </c>
      <c r="B202" t="s">
        <v>537</v>
      </c>
      <c r="C202" t="s">
        <v>279</v>
      </c>
      <c r="D202" t="s">
        <v>237</v>
      </c>
      <c r="E202">
        <v>1</v>
      </c>
      <c r="F202">
        <v>2</v>
      </c>
      <c r="G202">
        <v>10</v>
      </c>
    </row>
    <row r="203" spans="1:7" x14ac:dyDescent="0.3">
      <c r="A203" t="s">
        <v>312</v>
      </c>
      <c r="B203" t="s">
        <v>537</v>
      </c>
      <c r="C203" t="s">
        <v>281</v>
      </c>
      <c r="D203" t="s">
        <v>217</v>
      </c>
      <c r="E203">
        <v>11</v>
      </c>
      <c r="F203">
        <v>27</v>
      </c>
      <c r="G203">
        <v>83</v>
      </c>
    </row>
    <row r="204" spans="1:7" x14ac:dyDescent="0.3">
      <c r="A204" t="s">
        <v>312</v>
      </c>
      <c r="B204" t="s">
        <v>537</v>
      </c>
      <c r="C204" t="s">
        <v>283</v>
      </c>
      <c r="D204" t="s">
        <v>217</v>
      </c>
      <c r="E204">
        <v>14</v>
      </c>
      <c r="F204">
        <v>30</v>
      </c>
      <c r="G204">
        <v>91</v>
      </c>
    </row>
    <row r="205" spans="1:7" x14ac:dyDescent="0.3">
      <c r="A205" t="s">
        <v>312</v>
      </c>
      <c r="B205" t="s">
        <v>537</v>
      </c>
      <c r="C205" t="s">
        <v>287</v>
      </c>
      <c r="D205" t="s">
        <v>231</v>
      </c>
      <c r="E205">
        <v>11</v>
      </c>
      <c r="F205">
        <v>11</v>
      </c>
      <c r="G205">
        <v>82</v>
      </c>
    </row>
    <row r="206" spans="1:7" x14ac:dyDescent="0.3">
      <c r="A206" t="s">
        <v>312</v>
      </c>
      <c r="B206" t="s">
        <v>537</v>
      </c>
      <c r="C206" t="s">
        <v>289</v>
      </c>
      <c r="D206" t="s">
        <v>231</v>
      </c>
      <c r="E206">
        <v>3</v>
      </c>
      <c r="F206">
        <v>5</v>
      </c>
      <c r="G206">
        <v>29</v>
      </c>
    </row>
    <row r="207" spans="1:7" x14ac:dyDescent="0.3">
      <c r="A207" t="s">
        <v>312</v>
      </c>
      <c r="B207" t="s">
        <v>537</v>
      </c>
      <c r="C207" t="s">
        <v>292</v>
      </c>
      <c r="D207" t="s">
        <v>217</v>
      </c>
      <c r="E207">
        <v>9</v>
      </c>
      <c r="F207">
        <v>22</v>
      </c>
      <c r="G207">
        <v>78</v>
      </c>
    </row>
    <row r="208" spans="1:7" x14ac:dyDescent="0.3">
      <c r="A208" t="s">
        <v>312</v>
      </c>
      <c r="B208" t="s">
        <v>537</v>
      </c>
      <c r="C208" t="s">
        <v>294</v>
      </c>
      <c r="D208" t="s">
        <v>217</v>
      </c>
      <c r="E208">
        <v>10</v>
      </c>
      <c r="F208">
        <v>22</v>
      </c>
      <c r="G208">
        <v>99</v>
      </c>
    </row>
    <row r="209" spans="1:7" x14ac:dyDescent="0.3">
      <c r="A209" t="s">
        <v>312</v>
      </c>
      <c r="B209" t="s">
        <v>537</v>
      </c>
      <c r="C209" t="s">
        <v>296</v>
      </c>
      <c r="D209" t="s">
        <v>231</v>
      </c>
      <c r="E209">
        <v>1</v>
      </c>
      <c r="F209">
        <v>2</v>
      </c>
      <c r="G209">
        <v>12</v>
      </c>
    </row>
    <row r="210" spans="1:7" x14ac:dyDescent="0.3">
      <c r="A210" t="s">
        <v>312</v>
      </c>
      <c r="B210" t="s">
        <v>537</v>
      </c>
      <c r="C210" t="s">
        <v>298</v>
      </c>
      <c r="D210" t="s">
        <v>237</v>
      </c>
      <c r="E210">
        <v>13</v>
      </c>
      <c r="F210">
        <v>28</v>
      </c>
      <c r="G210">
        <v>107</v>
      </c>
    </row>
    <row r="211" spans="1:7" x14ac:dyDescent="0.3">
      <c r="A211" t="s">
        <v>312</v>
      </c>
      <c r="B211" t="s">
        <v>537</v>
      </c>
      <c r="C211" t="s">
        <v>300</v>
      </c>
      <c r="D211" t="s">
        <v>217</v>
      </c>
      <c r="E211">
        <v>12</v>
      </c>
      <c r="F211">
        <v>24</v>
      </c>
      <c r="G211">
        <v>98</v>
      </c>
    </row>
    <row r="212" spans="1:7" x14ac:dyDescent="0.3">
      <c r="A212" t="s">
        <v>312</v>
      </c>
      <c r="B212" t="s">
        <v>537</v>
      </c>
      <c r="C212" t="s">
        <v>302</v>
      </c>
      <c r="D212" t="s">
        <v>231</v>
      </c>
      <c r="E212">
        <v>5</v>
      </c>
      <c r="F212">
        <v>8</v>
      </c>
      <c r="G212">
        <v>42</v>
      </c>
    </row>
    <row r="213" spans="1:7" x14ac:dyDescent="0.3">
      <c r="A213" t="s">
        <v>312</v>
      </c>
      <c r="B213" t="s">
        <v>537</v>
      </c>
      <c r="C213" t="s">
        <v>304</v>
      </c>
      <c r="D213" t="s">
        <v>231</v>
      </c>
      <c r="E213">
        <v>8</v>
      </c>
      <c r="F213">
        <v>8</v>
      </c>
      <c r="G213">
        <v>70</v>
      </c>
    </row>
    <row r="214" spans="1:7" x14ac:dyDescent="0.3">
      <c r="A214" t="s">
        <v>312</v>
      </c>
      <c r="B214" t="s">
        <v>537</v>
      </c>
      <c r="C214" t="s">
        <v>307</v>
      </c>
      <c r="D214" t="s">
        <v>237</v>
      </c>
      <c r="E214">
        <v>9</v>
      </c>
      <c r="F214">
        <v>15</v>
      </c>
      <c r="G214">
        <v>51</v>
      </c>
    </row>
    <row r="215" spans="1:7" x14ac:dyDescent="0.3">
      <c r="A215" t="s">
        <v>312</v>
      </c>
      <c r="B215" t="s">
        <v>537</v>
      </c>
      <c r="C215" t="s">
        <v>309</v>
      </c>
      <c r="D215" t="s">
        <v>231</v>
      </c>
      <c r="E215">
        <v>2</v>
      </c>
      <c r="F215">
        <v>2</v>
      </c>
      <c r="G215">
        <v>16</v>
      </c>
    </row>
    <row r="216" spans="1:7" x14ac:dyDescent="0.3">
      <c r="A216" t="s">
        <v>312</v>
      </c>
      <c r="B216" t="s">
        <v>537</v>
      </c>
      <c r="C216" t="s">
        <v>311</v>
      </c>
      <c r="D216" t="s">
        <v>237</v>
      </c>
      <c r="E216">
        <v>6</v>
      </c>
      <c r="F216">
        <v>11</v>
      </c>
      <c r="G216">
        <v>48</v>
      </c>
    </row>
    <row r="217" spans="1:7" x14ac:dyDescent="0.3">
      <c r="A217" t="s">
        <v>318</v>
      </c>
      <c r="B217" t="s">
        <v>537</v>
      </c>
      <c r="C217" t="s">
        <v>215</v>
      </c>
      <c r="D217" t="s">
        <v>217</v>
      </c>
      <c r="E217">
        <v>1</v>
      </c>
      <c r="F217">
        <v>3</v>
      </c>
      <c r="G217">
        <v>6</v>
      </c>
    </row>
    <row r="218" spans="1:7" x14ac:dyDescent="0.3">
      <c r="A218" t="s">
        <v>318</v>
      </c>
      <c r="B218" t="s">
        <v>537</v>
      </c>
      <c r="C218" t="s">
        <v>220</v>
      </c>
      <c r="D218" t="s">
        <v>217</v>
      </c>
      <c r="E218">
        <v>26</v>
      </c>
      <c r="F218">
        <v>68</v>
      </c>
      <c r="G218">
        <v>192</v>
      </c>
    </row>
    <row r="219" spans="1:7" x14ac:dyDescent="0.3">
      <c r="A219" t="s">
        <v>318</v>
      </c>
      <c r="B219" t="s">
        <v>537</v>
      </c>
      <c r="C219" t="s">
        <v>224</v>
      </c>
      <c r="D219" t="s">
        <v>217</v>
      </c>
      <c r="E219">
        <v>7</v>
      </c>
      <c r="F219">
        <v>17</v>
      </c>
      <c r="G219">
        <v>80</v>
      </c>
    </row>
    <row r="220" spans="1:7" x14ac:dyDescent="0.3">
      <c r="A220" t="s">
        <v>318</v>
      </c>
      <c r="B220" t="s">
        <v>537</v>
      </c>
      <c r="C220" t="s">
        <v>228</v>
      </c>
      <c r="D220" t="s">
        <v>231</v>
      </c>
      <c r="E220">
        <v>14</v>
      </c>
      <c r="F220">
        <v>26</v>
      </c>
      <c r="G220">
        <v>128</v>
      </c>
    </row>
    <row r="221" spans="1:7" x14ac:dyDescent="0.3">
      <c r="A221" t="s">
        <v>318</v>
      </c>
      <c r="B221" t="s">
        <v>537</v>
      </c>
      <c r="C221" t="s">
        <v>234</v>
      </c>
      <c r="D221" t="s">
        <v>237</v>
      </c>
      <c r="E221">
        <v>1</v>
      </c>
      <c r="F221">
        <v>1</v>
      </c>
      <c r="G221">
        <v>6</v>
      </c>
    </row>
    <row r="222" spans="1:7" x14ac:dyDescent="0.3">
      <c r="A222" t="s">
        <v>318</v>
      </c>
      <c r="B222" t="s">
        <v>537</v>
      </c>
      <c r="C222" t="s">
        <v>240</v>
      </c>
      <c r="D222" t="s">
        <v>617</v>
      </c>
      <c r="E222">
        <v>2</v>
      </c>
      <c r="F222">
        <v>4</v>
      </c>
      <c r="G222">
        <v>21</v>
      </c>
    </row>
    <row r="223" spans="1:7" x14ac:dyDescent="0.3">
      <c r="A223" t="s">
        <v>318</v>
      </c>
      <c r="B223" t="s">
        <v>537</v>
      </c>
      <c r="C223" t="s">
        <v>244</v>
      </c>
      <c r="D223" t="s">
        <v>231</v>
      </c>
      <c r="E223">
        <v>16</v>
      </c>
      <c r="F223">
        <v>35</v>
      </c>
      <c r="G223">
        <v>135</v>
      </c>
    </row>
    <row r="224" spans="1:7" x14ac:dyDescent="0.3">
      <c r="A224" t="s">
        <v>318</v>
      </c>
      <c r="B224" t="s">
        <v>537</v>
      </c>
      <c r="C224" t="s">
        <v>247</v>
      </c>
      <c r="D224" t="s">
        <v>217</v>
      </c>
      <c r="E224">
        <v>1</v>
      </c>
      <c r="F224">
        <v>2</v>
      </c>
      <c r="G224">
        <v>8</v>
      </c>
    </row>
    <row r="225" spans="1:7" x14ac:dyDescent="0.3">
      <c r="A225" t="s">
        <v>318</v>
      </c>
      <c r="B225" t="s">
        <v>537</v>
      </c>
      <c r="C225" t="s">
        <v>249</v>
      </c>
      <c r="D225" t="s">
        <v>231</v>
      </c>
      <c r="E225">
        <v>7</v>
      </c>
      <c r="F225">
        <v>8</v>
      </c>
      <c r="G225">
        <v>63</v>
      </c>
    </row>
    <row r="226" spans="1:7" x14ac:dyDescent="0.3">
      <c r="A226" t="s">
        <v>318</v>
      </c>
      <c r="B226" t="s">
        <v>537</v>
      </c>
      <c r="C226" t="s">
        <v>255</v>
      </c>
      <c r="D226" t="s">
        <v>237</v>
      </c>
      <c r="E226">
        <v>5</v>
      </c>
      <c r="F226">
        <v>12</v>
      </c>
      <c r="G226">
        <v>47</v>
      </c>
    </row>
    <row r="227" spans="1:7" x14ac:dyDescent="0.3">
      <c r="A227" t="s">
        <v>318</v>
      </c>
      <c r="B227" t="s">
        <v>537</v>
      </c>
      <c r="C227" t="s">
        <v>263</v>
      </c>
      <c r="D227" t="s">
        <v>237</v>
      </c>
      <c r="E227">
        <v>5</v>
      </c>
      <c r="F227">
        <v>9</v>
      </c>
      <c r="G227">
        <v>42</v>
      </c>
    </row>
    <row r="228" spans="1:7" x14ac:dyDescent="0.3">
      <c r="A228" t="s">
        <v>318</v>
      </c>
      <c r="B228" t="s">
        <v>537</v>
      </c>
      <c r="C228" t="s">
        <v>267</v>
      </c>
      <c r="D228" t="s">
        <v>617</v>
      </c>
      <c r="E228">
        <v>8</v>
      </c>
      <c r="F228">
        <v>23</v>
      </c>
      <c r="G228">
        <v>78</v>
      </c>
    </row>
    <row r="229" spans="1:7" x14ac:dyDescent="0.3">
      <c r="A229" t="s">
        <v>318</v>
      </c>
      <c r="B229" t="s">
        <v>537</v>
      </c>
      <c r="C229" t="s">
        <v>273</v>
      </c>
      <c r="D229" t="s">
        <v>217</v>
      </c>
      <c r="E229">
        <v>52</v>
      </c>
      <c r="F229">
        <v>97</v>
      </c>
      <c r="G229">
        <v>351</v>
      </c>
    </row>
    <row r="230" spans="1:7" x14ac:dyDescent="0.3">
      <c r="A230" t="s">
        <v>318</v>
      </c>
      <c r="B230" t="s">
        <v>537</v>
      </c>
      <c r="C230" t="s">
        <v>277</v>
      </c>
      <c r="D230" t="s">
        <v>231</v>
      </c>
      <c r="E230">
        <v>3</v>
      </c>
      <c r="F230">
        <v>6</v>
      </c>
      <c r="G230">
        <v>35</v>
      </c>
    </row>
    <row r="231" spans="1:7" x14ac:dyDescent="0.3">
      <c r="A231" t="s">
        <v>318</v>
      </c>
      <c r="B231" t="s">
        <v>537</v>
      </c>
      <c r="C231" t="s">
        <v>279</v>
      </c>
      <c r="D231" t="s">
        <v>237</v>
      </c>
      <c r="E231">
        <v>1</v>
      </c>
      <c r="F231">
        <v>2</v>
      </c>
      <c r="G231">
        <v>8</v>
      </c>
    </row>
    <row r="232" spans="1:7" x14ac:dyDescent="0.3">
      <c r="A232" t="s">
        <v>318</v>
      </c>
      <c r="B232" t="s">
        <v>537</v>
      </c>
      <c r="C232" t="s">
        <v>281</v>
      </c>
      <c r="D232" t="s">
        <v>217</v>
      </c>
      <c r="E232">
        <v>11</v>
      </c>
      <c r="F232">
        <v>27</v>
      </c>
      <c r="G232">
        <v>76</v>
      </c>
    </row>
    <row r="233" spans="1:7" x14ac:dyDescent="0.3">
      <c r="A233" t="s">
        <v>318</v>
      </c>
      <c r="B233" t="s">
        <v>537</v>
      </c>
      <c r="C233" t="s">
        <v>283</v>
      </c>
      <c r="D233" t="s">
        <v>217</v>
      </c>
      <c r="E233">
        <v>15</v>
      </c>
      <c r="F233">
        <v>27</v>
      </c>
      <c r="G233">
        <v>89</v>
      </c>
    </row>
    <row r="234" spans="1:7" x14ac:dyDescent="0.3">
      <c r="A234" t="s">
        <v>318</v>
      </c>
      <c r="B234" t="s">
        <v>537</v>
      </c>
      <c r="C234" t="s">
        <v>287</v>
      </c>
      <c r="D234" t="s">
        <v>231</v>
      </c>
      <c r="E234">
        <v>11</v>
      </c>
      <c r="F234">
        <v>11</v>
      </c>
      <c r="G234">
        <v>78</v>
      </c>
    </row>
    <row r="235" spans="1:7" x14ac:dyDescent="0.3">
      <c r="A235" t="s">
        <v>318</v>
      </c>
      <c r="B235" t="s">
        <v>537</v>
      </c>
      <c r="C235" t="s">
        <v>289</v>
      </c>
      <c r="D235" t="s">
        <v>231</v>
      </c>
      <c r="E235">
        <v>3</v>
      </c>
      <c r="F235">
        <v>6</v>
      </c>
      <c r="G235">
        <v>29</v>
      </c>
    </row>
    <row r="236" spans="1:7" x14ac:dyDescent="0.3">
      <c r="A236" t="s">
        <v>318</v>
      </c>
      <c r="B236" t="s">
        <v>537</v>
      </c>
      <c r="C236" t="s">
        <v>292</v>
      </c>
      <c r="D236" t="s">
        <v>217</v>
      </c>
      <c r="E236">
        <v>8</v>
      </c>
      <c r="F236">
        <v>21</v>
      </c>
      <c r="G236">
        <v>83</v>
      </c>
    </row>
    <row r="237" spans="1:7" x14ac:dyDescent="0.3">
      <c r="A237" t="s">
        <v>318</v>
      </c>
      <c r="B237" t="s">
        <v>537</v>
      </c>
      <c r="C237" t="s">
        <v>294</v>
      </c>
      <c r="D237" t="s">
        <v>217</v>
      </c>
      <c r="E237">
        <v>10</v>
      </c>
      <c r="F237">
        <v>21</v>
      </c>
      <c r="G237">
        <v>99</v>
      </c>
    </row>
    <row r="238" spans="1:7" x14ac:dyDescent="0.3">
      <c r="A238" t="s">
        <v>318</v>
      </c>
      <c r="B238" t="s">
        <v>537</v>
      </c>
      <c r="C238" t="s">
        <v>296</v>
      </c>
      <c r="D238" t="s">
        <v>231</v>
      </c>
      <c r="E238">
        <v>2</v>
      </c>
      <c r="F238">
        <v>1</v>
      </c>
      <c r="G238">
        <v>10</v>
      </c>
    </row>
    <row r="239" spans="1:7" x14ac:dyDescent="0.3">
      <c r="A239" t="s">
        <v>318</v>
      </c>
      <c r="B239" t="s">
        <v>537</v>
      </c>
      <c r="C239" t="s">
        <v>298</v>
      </c>
      <c r="D239" t="s">
        <v>237</v>
      </c>
      <c r="E239">
        <v>13</v>
      </c>
      <c r="F239">
        <v>30</v>
      </c>
      <c r="G239">
        <v>106</v>
      </c>
    </row>
    <row r="240" spans="1:7" x14ac:dyDescent="0.3">
      <c r="A240" t="s">
        <v>318</v>
      </c>
      <c r="B240" t="s">
        <v>537</v>
      </c>
      <c r="C240" t="s">
        <v>300</v>
      </c>
      <c r="D240" t="s">
        <v>217</v>
      </c>
      <c r="E240">
        <v>13</v>
      </c>
      <c r="F240">
        <v>25</v>
      </c>
      <c r="G240">
        <v>94</v>
      </c>
    </row>
    <row r="241" spans="1:7" x14ac:dyDescent="0.3">
      <c r="A241" t="s">
        <v>318</v>
      </c>
      <c r="B241" t="s">
        <v>537</v>
      </c>
      <c r="C241" t="s">
        <v>302</v>
      </c>
      <c r="D241" t="s">
        <v>231</v>
      </c>
      <c r="E241">
        <v>4</v>
      </c>
      <c r="F241">
        <v>7</v>
      </c>
      <c r="G241">
        <v>41</v>
      </c>
    </row>
    <row r="242" spans="1:7" x14ac:dyDescent="0.3">
      <c r="A242" t="s">
        <v>318</v>
      </c>
      <c r="B242" t="s">
        <v>537</v>
      </c>
      <c r="C242" t="s">
        <v>304</v>
      </c>
      <c r="D242" t="s">
        <v>231</v>
      </c>
      <c r="E242">
        <v>10</v>
      </c>
      <c r="F242">
        <v>7</v>
      </c>
      <c r="G242">
        <v>67</v>
      </c>
    </row>
    <row r="243" spans="1:7" x14ac:dyDescent="0.3">
      <c r="A243" t="s">
        <v>318</v>
      </c>
      <c r="B243" t="s">
        <v>537</v>
      </c>
      <c r="C243" t="s">
        <v>307</v>
      </c>
      <c r="D243" t="s">
        <v>617</v>
      </c>
      <c r="E243">
        <v>9</v>
      </c>
      <c r="F243">
        <v>15</v>
      </c>
      <c r="G243">
        <v>51</v>
      </c>
    </row>
    <row r="244" spans="1:7" x14ac:dyDescent="0.3">
      <c r="A244" t="s">
        <v>318</v>
      </c>
      <c r="B244" t="s">
        <v>537</v>
      </c>
      <c r="C244" t="s">
        <v>309</v>
      </c>
      <c r="D244" t="s">
        <v>231</v>
      </c>
      <c r="E244">
        <v>2</v>
      </c>
      <c r="F244">
        <v>2</v>
      </c>
      <c r="G244">
        <v>18</v>
      </c>
    </row>
    <row r="245" spans="1:7" x14ac:dyDescent="0.3">
      <c r="A245" t="s">
        <v>318</v>
      </c>
      <c r="B245" t="s">
        <v>537</v>
      </c>
      <c r="C245" t="s">
        <v>311</v>
      </c>
      <c r="D245" t="s">
        <v>237</v>
      </c>
      <c r="E245">
        <v>7</v>
      </c>
      <c r="F245">
        <v>9</v>
      </c>
      <c r="G245">
        <v>42</v>
      </c>
    </row>
    <row r="246" spans="1:7" x14ac:dyDescent="0.3">
      <c r="A246" t="s">
        <v>320</v>
      </c>
      <c r="B246" t="s">
        <v>537</v>
      </c>
      <c r="C246" t="s">
        <v>215</v>
      </c>
      <c r="E246">
        <v>1</v>
      </c>
      <c r="F246">
        <v>3</v>
      </c>
      <c r="G246">
        <v>7</v>
      </c>
    </row>
    <row r="247" spans="1:7" x14ac:dyDescent="0.3">
      <c r="A247" t="s">
        <v>320</v>
      </c>
      <c r="B247" t="s">
        <v>537</v>
      </c>
      <c r="C247" t="s">
        <v>220</v>
      </c>
      <c r="E247">
        <v>26</v>
      </c>
      <c r="F247">
        <v>66</v>
      </c>
      <c r="G247">
        <v>193</v>
      </c>
    </row>
    <row r="248" spans="1:7" x14ac:dyDescent="0.3">
      <c r="A248" t="s">
        <v>320</v>
      </c>
      <c r="B248" t="s">
        <v>537</v>
      </c>
      <c r="C248" t="s">
        <v>224</v>
      </c>
      <c r="E248">
        <v>7</v>
      </c>
      <c r="F248">
        <v>17</v>
      </c>
      <c r="G248">
        <v>72</v>
      </c>
    </row>
    <row r="249" spans="1:7" x14ac:dyDescent="0.3">
      <c r="A249" t="s">
        <v>320</v>
      </c>
      <c r="B249" t="s">
        <v>537</v>
      </c>
      <c r="C249" t="s">
        <v>228</v>
      </c>
      <c r="E249">
        <v>14</v>
      </c>
      <c r="F249">
        <v>26</v>
      </c>
      <c r="G249">
        <v>132</v>
      </c>
    </row>
    <row r="250" spans="1:7" x14ac:dyDescent="0.3">
      <c r="A250" t="s">
        <v>320</v>
      </c>
      <c r="B250" t="s">
        <v>537</v>
      </c>
      <c r="C250" t="s">
        <v>234</v>
      </c>
      <c r="E250">
        <v>1</v>
      </c>
      <c r="F250">
        <v>1</v>
      </c>
      <c r="G250">
        <v>5</v>
      </c>
    </row>
    <row r="251" spans="1:7" x14ac:dyDescent="0.3">
      <c r="A251" t="s">
        <v>320</v>
      </c>
      <c r="B251" t="s">
        <v>537</v>
      </c>
      <c r="C251" t="s">
        <v>240</v>
      </c>
      <c r="E251">
        <v>2</v>
      </c>
      <c r="F251">
        <v>4</v>
      </c>
      <c r="G251">
        <v>19</v>
      </c>
    </row>
    <row r="252" spans="1:7" x14ac:dyDescent="0.3">
      <c r="A252" t="s">
        <v>320</v>
      </c>
      <c r="B252" t="s">
        <v>537</v>
      </c>
      <c r="C252" t="s">
        <v>244</v>
      </c>
      <c r="E252">
        <v>17</v>
      </c>
      <c r="F252">
        <v>33</v>
      </c>
      <c r="G252">
        <v>142</v>
      </c>
    </row>
    <row r="253" spans="1:7" x14ac:dyDescent="0.3">
      <c r="A253" t="s">
        <v>320</v>
      </c>
      <c r="B253" t="s">
        <v>537</v>
      </c>
      <c r="C253" t="s">
        <v>247</v>
      </c>
      <c r="E253">
        <v>1</v>
      </c>
      <c r="F253">
        <v>2</v>
      </c>
      <c r="G253">
        <v>10</v>
      </c>
    </row>
    <row r="254" spans="1:7" x14ac:dyDescent="0.3">
      <c r="A254" t="s">
        <v>320</v>
      </c>
      <c r="B254" t="s">
        <v>537</v>
      </c>
      <c r="C254" t="s">
        <v>249</v>
      </c>
      <c r="E254">
        <v>7</v>
      </c>
      <c r="F254">
        <v>8</v>
      </c>
      <c r="G254">
        <v>62</v>
      </c>
    </row>
    <row r="255" spans="1:7" x14ac:dyDescent="0.3">
      <c r="A255" t="s">
        <v>320</v>
      </c>
      <c r="B255" t="s">
        <v>537</v>
      </c>
      <c r="C255" t="s">
        <v>255</v>
      </c>
      <c r="E255">
        <v>5</v>
      </c>
      <c r="F255">
        <v>12</v>
      </c>
      <c r="G255">
        <v>39</v>
      </c>
    </row>
    <row r="256" spans="1:7" x14ac:dyDescent="0.3">
      <c r="A256" t="s">
        <v>320</v>
      </c>
      <c r="B256" t="s">
        <v>537</v>
      </c>
      <c r="C256" t="s">
        <v>263</v>
      </c>
      <c r="E256">
        <v>5</v>
      </c>
      <c r="F256">
        <v>9</v>
      </c>
      <c r="G256">
        <v>36</v>
      </c>
    </row>
    <row r="257" spans="1:7" x14ac:dyDescent="0.3">
      <c r="A257" t="s">
        <v>320</v>
      </c>
      <c r="B257" t="s">
        <v>537</v>
      </c>
      <c r="C257" t="s">
        <v>267</v>
      </c>
      <c r="E257">
        <v>8</v>
      </c>
      <c r="F257">
        <v>22</v>
      </c>
      <c r="G257">
        <v>73</v>
      </c>
    </row>
    <row r="258" spans="1:7" x14ac:dyDescent="0.3">
      <c r="A258" t="s">
        <v>320</v>
      </c>
      <c r="B258" t="s">
        <v>537</v>
      </c>
      <c r="C258" t="s">
        <v>273</v>
      </c>
      <c r="E258">
        <v>51</v>
      </c>
      <c r="F258">
        <v>96</v>
      </c>
      <c r="G258">
        <v>331</v>
      </c>
    </row>
    <row r="259" spans="1:7" x14ac:dyDescent="0.3">
      <c r="A259" t="s">
        <v>320</v>
      </c>
      <c r="B259" t="s">
        <v>537</v>
      </c>
      <c r="C259" t="s">
        <v>277</v>
      </c>
      <c r="E259">
        <v>3</v>
      </c>
      <c r="F259">
        <v>7</v>
      </c>
      <c r="G259">
        <v>28</v>
      </c>
    </row>
    <row r="260" spans="1:7" x14ac:dyDescent="0.3">
      <c r="A260" t="s">
        <v>320</v>
      </c>
      <c r="B260" t="s">
        <v>537</v>
      </c>
      <c r="C260" t="s">
        <v>279</v>
      </c>
      <c r="E260">
        <v>1</v>
      </c>
      <c r="F260">
        <v>2</v>
      </c>
      <c r="G260">
        <v>8</v>
      </c>
    </row>
    <row r="261" spans="1:7" x14ac:dyDescent="0.3">
      <c r="A261" t="s">
        <v>320</v>
      </c>
      <c r="B261" t="s">
        <v>537</v>
      </c>
      <c r="C261" t="s">
        <v>281</v>
      </c>
      <c r="E261">
        <v>11</v>
      </c>
      <c r="F261">
        <v>26</v>
      </c>
      <c r="G261">
        <v>77</v>
      </c>
    </row>
    <row r="262" spans="1:7" x14ac:dyDescent="0.3">
      <c r="A262" t="s">
        <v>320</v>
      </c>
      <c r="B262" t="s">
        <v>537</v>
      </c>
      <c r="C262" t="s">
        <v>283</v>
      </c>
      <c r="E262">
        <v>14</v>
      </c>
      <c r="F262">
        <v>29</v>
      </c>
      <c r="G262">
        <v>78</v>
      </c>
    </row>
    <row r="263" spans="1:7" x14ac:dyDescent="0.3">
      <c r="A263" t="s">
        <v>320</v>
      </c>
      <c r="B263" t="s">
        <v>537</v>
      </c>
      <c r="C263" t="s">
        <v>287</v>
      </c>
      <c r="E263">
        <v>11</v>
      </c>
      <c r="F263">
        <v>12</v>
      </c>
      <c r="G263">
        <v>72</v>
      </c>
    </row>
    <row r="264" spans="1:7" x14ac:dyDescent="0.3">
      <c r="A264" t="s">
        <v>320</v>
      </c>
      <c r="B264" t="s">
        <v>537</v>
      </c>
      <c r="C264" t="s">
        <v>289</v>
      </c>
      <c r="E264">
        <v>3</v>
      </c>
      <c r="F264">
        <v>6</v>
      </c>
      <c r="G264">
        <v>21</v>
      </c>
    </row>
    <row r="265" spans="1:7" x14ac:dyDescent="0.3">
      <c r="A265" t="s">
        <v>320</v>
      </c>
      <c r="B265" t="s">
        <v>537</v>
      </c>
      <c r="C265" t="s">
        <v>292</v>
      </c>
      <c r="E265">
        <v>12</v>
      </c>
      <c r="F265">
        <v>19</v>
      </c>
      <c r="G265">
        <v>84</v>
      </c>
    </row>
    <row r="266" spans="1:7" x14ac:dyDescent="0.3">
      <c r="A266" t="s">
        <v>320</v>
      </c>
      <c r="B266" t="s">
        <v>537</v>
      </c>
      <c r="C266" t="s">
        <v>294</v>
      </c>
      <c r="E266">
        <v>9</v>
      </c>
      <c r="F266">
        <v>21</v>
      </c>
      <c r="G266">
        <v>86</v>
      </c>
    </row>
    <row r="267" spans="1:7" x14ac:dyDescent="0.3">
      <c r="A267" t="s">
        <v>320</v>
      </c>
      <c r="B267" t="s">
        <v>537</v>
      </c>
      <c r="C267" t="s">
        <v>296</v>
      </c>
      <c r="E267">
        <v>1</v>
      </c>
      <c r="F267">
        <v>2</v>
      </c>
      <c r="G267">
        <v>10</v>
      </c>
    </row>
    <row r="268" spans="1:7" x14ac:dyDescent="0.3">
      <c r="A268" t="s">
        <v>320</v>
      </c>
      <c r="B268" t="s">
        <v>537</v>
      </c>
      <c r="C268" t="s">
        <v>298</v>
      </c>
      <c r="E268">
        <v>13</v>
      </c>
      <c r="F268">
        <v>28</v>
      </c>
      <c r="G268">
        <v>99</v>
      </c>
    </row>
    <row r="269" spans="1:7" x14ac:dyDescent="0.3">
      <c r="A269" t="s">
        <v>320</v>
      </c>
      <c r="B269" t="s">
        <v>537</v>
      </c>
      <c r="C269" t="s">
        <v>300</v>
      </c>
      <c r="E269">
        <v>12</v>
      </c>
      <c r="F269">
        <v>27</v>
      </c>
      <c r="G269">
        <v>94</v>
      </c>
    </row>
    <row r="270" spans="1:7" x14ac:dyDescent="0.3">
      <c r="A270" t="s">
        <v>320</v>
      </c>
      <c r="B270" t="s">
        <v>537</v>
      </c>
      <c r="C270" t="s">
        <v>302</v>
      </c>
      <c r="E270">
        <v>6</v>
      </c>
      <c r="F270">
        <v>7</v>
      </c>
      <c r="G270">
        <v>35</v>
      </c>
    </row>
    <row r="271" spans="1:7" x14ac:dyDescent="0.3">
      <c r="A271" t="s">
        <v>320</v>
      </c>
      <c r="B271" t="s">
        <v>537</v>
      </c>
      <c r="C271" t="s">
        <v>304</v>
      </c>
      <c r="E271">
        <v>8</v>
      </c>
      <c r="F271">
        <v>13</v>
      </c>
      <c r="G271">
        <v>50</v>
      </c>
    </row>
    <row r="272" spans="1:7" x14ac:dyDescent="0.3">
      <c r="A272" t="s">
        <v>320</v>
      </c>
      <c r="B272" t="s">
        <v>537</v>
      </c>
      <c r="C272" t="s">
        <v>307</v>
      </c>
      <c r="E272">
        <v>8</v>
      </c>
      <c r="F272">
        <v>15</v>
      </c>
      <c r="G272">
        <v>46</v>
      </c>
    </row>
    <row r="273" spans="1:7" x14ac:dyDescent="0.3">
      <c r="A273" t="s">
        <v>320</v>
      </c>
      <c r="B273" t="s">
        <v>537</v>
      </c>
      <c r="C273" t="s">
        <v>309</v>
      </c>
      <c r="E273">
        <v>2</v>
      </c>
      <c r="F273">
        <v>2</v>
      </c>
      <c r="G273">
        <v>17</v>
      </c>
    </row>
    <row r="274" spans="1:7" x14ac:dyDescent="0.3">
      <c r="A274" t="s">
        <v>320</v>
      </c>
      <c r="B274" t="s">
        <v>537</v>
      </c>
      <c r="C274" t="s">
        <v>311</v>
      </c>
      <c r="E274">
        <v>6</v>
      </c>
      <c r="F274">
        <v>11</v>
      </c>
      <c r="G274">
        <v>41</v>
      </c>
    </row>
    <row r="275" spans="1:7" x14ac:dyDescent="0.3">
      <c r="A275" t="s">
        <v>325</v>
      </c>
      <c r="B275" t="s">
        <v>537</v>
      </c>
      <c r="C275" t="s">
        <v>215</v>
      </c>
      <c r="E275">
        <v>1</v>
      </c>
      <c r="F275">
        <v>2</v>
      </c>
      <c r="G275">
        <v>7</v>
      </c>
    </row>
    <row r="276" spans="1:7" x14ac:dyDescent="0.3">
      <c r="A276" t="s">
        <v>325</v>
      </c>
      <c r="B276" t="s">
        <v>537</v>
      </c>
      <c r="C276" t="s">
        <v>220</v>
      </c>
      <c r="E276">
        <v>23</v>
      </c>
      <c r="F276">
        <v>67</v>
      </c>
      <c r="G276">
        <v>188</v>
      </c>
    </row>
    <row r="277" spans="1:7" x14ac:dyDescent="0.3">
      <c r="A277" t="s">
        <v>325</v>
      </c>
      <c r="B277" t="s">
        <v>537</v>
      </c>
      <c r="C277" t="s">
        <v>224</v>
      </c>
      <c r="E277">
        <v>7</v>
      </c>
      <c r="F277">
        <v>17</v>
      </c>
      <c r="G277">
        <v>72</v>
      </c>
    </row>
    <row r="278" spans="1:7" x14ac:dyDescent="0.3">
      <c r="A278" t="s">
        <v>325</v>
      </c>
      <c r="B278" t="s">
        <v>537</v>
      </c>
      <c r="C278" t="s">
        <v>228</v>
      </c>
      <c r="E278">
        <v>14</v>
      </c>
      <c r="F278">
        <v>25</v>
      </c>
      <c r="G278">
        <v>128</v>
      </c>
    </row>
    <row r="279" spans="1:7" x14ac:dyDescent="0.3">
      <c r="A279" t="s">
        <v>325</v>
      </c>
      <c r="B279" t="s">
        <v>537</v>
      </c>
      <c r="C279" t="s">
        <v>234</v>
      </c>
      <c r="E279">
        <v>1</v>
      </c>
      <c r="F279">
        <v>1</v>
      </c>
      <c r="G279">
        <v>7</v>
      </c>
    </row>
    <row r="280" spans="1:7" x14ac:dyDescent="0.3">
      <c r="A280" t="s">
        <v>325</v>
      </c>
      <c r="B280" t="s">
        <v>537</v>
      </c>
      <c r="C280" t="s">
        <v>240</v>
      </c>
      <c r="E280">
        <v>2</v>
      </c>
      <c r="F280">
        <v>5</v>
      </c>
      <c r="G280">
        <v>18</v>
      </c>
    </row>
    <row r="281" spans="1:7" x14ac:dyDescent="0.3">
      <c r="A281" t="s">
        <v>325</v>
      </c>
      <c r="B281" t="s">
        <v>537</v>
      </c>
      <c r="C281" t="s">
        <v>244</v>
      </c>
      <c r="E281">
        <v>16</v>
      </c>
      <c r="F281">
        <v>32</v>
      </c>
      <c r="G281">
        <v>146</v>
      </c>
    </row>
    <row r="282" spans="1:7" x14ac:dyDescent="0.3">
      <c r="A282" t="s">
        <v>325</v>
      </c>
      <c r="B282" t="s">
        <v>537</v>
      </c>
      <c r="C282" t="s">
        <v>247</v>
      </c>
      <c r="E282">
        <v>1</v>
      </c>
      <c r="F282">
        <v>2</v>
      </c>
      <c r="G282">
        <v>9</v>
      </c>
    </row>
    <row r="283" spans="1:7" x14ac:dyDescent="0.3">
      <c r="A283" t="s">
        <v>325</v>
      </c>
      <c r="B283" t="s">
        <v>537</v>
      </c>
      <c r="C283" t="s">
        <v>249</v>
      </c>
      <c r="E283">
        <v>7</v>
      </c>
      <c r="F283">
        <v>10</v>
      </c>
      <c r="G283">
        <v>54</v>
      </c>
    </row>
    <row r="284" spans="1:7" x14ac:dyDescent="0.3">
      <c r="A284" t="s">
        <v>325</v>
      </c>
      <c r="B284" t="s">
        <v>537</v>
      </c>
      <c r="C284" t="s">
        <v>255</v>
      </c>
      <c r="E284">
        <v>5</v>
      </c>
      <c r="F284">
        <v>11</v>
      </c>
      <c r="G284">
        <v>35</v>
      </c>
    </row>
    <row r="285" spans="1:7" x14ac:dyDescent="0.3">
      <c r="A285" t="s">
        <v>325</v>
      </c>
      <c r="B285" t="s">
        <v>537</v>
      </c>
      <c r="C285" t="s">
        <v>263</v>
      </c>
      <c r="E285">
        <v>5</v>
      </c>
      <c r="F285">
        <v>10</v>
      </c>
      <c r="G285">
        <v>38</v>
      </c>
    </row>
    <row r="286" spans="1:7" x14ac:dyDescent="0.3">
      <c r="A286" t="s">
        <v>325</v>
      </c>
      <c r="B286" t="s">
        <v>537</v>
      </c>
      <c r="C286" t="s">
        <v>267</v>
      </c>
      <c r="E286">
        <v>9</v>
      </c>
      <c r="F286">
        <v>22</v>
      </c>
      <c r="G286">
        <v>74</v>
      </c>
    </row>
    <row r="287" spans="1:7" x14ac:dyDescent="0.3">
      <c r="A287" t="s">
        <v>325</v>
      </c>
      <c r="B287" t="s">
        <v>537</v>
      </c>
      <c r="C287" t="s">
        <v>273</v>
      </c>
      <c r="E287">
        <v>1</v>
      </c>
      <c r="F287">
        <v>0</v>
      </c>
      <c r="G287">
        <v>0</v>
      </c>
    </row>
    <row r="288" spans="1:7" x14ac:dyDescent="0.3">
      <c r="A288" t="s">
        <v>325</v>
      </c>
      <c r="B288" t="s">
        <v>537</v>
      </c>
      <c r="C288" t="s">
        <v>273</v>
      </c>
      <c r="E288">
        <v>49</v>
      </c>
      <c r="F288">
        <v>93</v>
      </c>
      <c r="G288">
        <v>321</v>
      </c>
    </row>
    <row r="289" spans="1:7" x14ac:dyDescent="0.3">
      <c r="A289" t="s">
        <v>325</v>
      </c>
      <c r="B289" t="s">
        <v>537</v>
      </c>
      <c r="C289" t="s">
        <v>277</v>
      </c>
      <c r="E289">
        <v>3</v>
      </c>
      <c r="F289">
        <v>7</v>
      </c>
      <c r="G289">
        <v>26</v>
      </c>
    </row>
    <row r="290" spans="1:7" x14ac:dyDescent="0.3">
      <c r="A290" t="s">
        <v>325</v>
      </c>
      <c r="B290" t="s">
        <v>537</v>
      </c>
      <c r="C290" t="s">
        <v>279</v>
      </c>
      <c r="E290">
        <v>1</v>
      </c>
      <c r="F290">
        <v>2</v>
      </c>
      <c r="G290">
        <v>8</v>
      </c>
    </row>
    <row r="291" spans="1:7" x14ac:dyDescent="0.3">
      <c r="A291" t="s">
        <v>325</v>
      </c>
      <c r="B291" t="s">
        <v>537</v>
      </c>
      <c r="C291" t="s">
        <v>281</v>
      </c>
      <c r="E291">
        <v>11</v>
      </c>
      <c r="F291">
        <v>28</v>
      </c>
      <c r="G291">
        <v>70</v>
      </c>
    </row>
    <row r="292" spans="1:7" x14ac:dyDescent="0.3">
      <c r="A292" t="s">
        <v>325</v>
      </c>
      <c r="B292" t="s">
        <v>537</v>
      </c>
      <c r="C292" t="s">
        <v>283</v>
      </c>
      <c r="E292">
        <v>14</v>
      </c>
      <c r="F292">
        <v>26</v>
      </c>
      <c r="G292">
        <v>95</v>
      </c>
    </row>
    <row r="293" spans="1:7" x14ac:dyDescent="0.3">
      <c r="A293" t="s">
        <v>325</v>
      </c>
      <c r="B293" t="s">
        <v>537</v>
      </c>
      <c r="C293" t="s">
        <v>287</v>
      </c>
      <c r="E293">
        <v>10</v>
      </c>
      <c r="F293">
        <v>13</v>
      </c>
      <c r="G293">
        <v>73</v>
      </c>
    </row>
    <row r="294" spans="1:7" x14ac:dyDescent="0.3">
      <c r="A294" t="s">
        <v>325</v>
      </c>
      <c r="B294" t="s">
        <v>537</v>
      </c>
      <c r="C294" t="s">
        <v>289</v>
      </c>
      <c r="E294">
        <v>3</v>
      </c>
      <c r="F294">
        <v>7</v>
      </c>
      <c r="G294">
        <v>21</v>
      </c>
    </row>
    <row r="295" spans="1:7" x14ac:dyDescent="0.3">
      <c r="A295" t="s">
        <v>325</v>
      </c>
      <c r="B295" t="s">
        <v>537</v>
      </c>
      <c r="C295" t="s">
        <v>292</v>
      </c>
      <c r="E295">
        <v>12</v>
      </c>
      <c r="F295">
        <v>21</v>
      </c>
      <c r="G295">
        <v>82</v>
      </c>
    </row>
    <row r="296" spans="1:7" x14ac:dyDescent="0.3">
      <c r="A296" t="s">
        <v>325</v>
      </c>
      <c r="B296" t="s">
        <v>537</v>
      </c>
      <c r="C296" t="s">
        <v>294</v>
      </c>
      <c r="E296">
        <v>9</v>
      </c>
      <c r="F296">
        <v>21</v>
      </c>
      <c r="G296">
        <v>89</v>
      </c>
    </row>
    <row r="297" spans="1:7" x14ac:dyDescent="0.3">
      <c r="A297" t="s">
        <v>325</v>
      </c>
      <c r="B297" t="s">
        <v>537</v>
      </c>
      <c r="C297" t="s">
        <v>296</v>
      </c>
      <c r="E297">
        <v>1</v>
      </c>
      <c r="F297">
        <v>2</v>
      </c>
      <c r="G297">
        <v>11</v>
      </c>
    </row>
    <row r="298" spans="1:7" x14ac:dyDescent="0.3">
      <c r="A298" t="s">
        <v>325</v>
      </c>
      <c r="B298" t="s">
        <v>537</v>
      </c>
      <c r="C298" t="s">
        <v>298</v>
      </c>
      <c r="E298">
        <v>13</v>
      </c>
      <c r="F298">
        <v>28</v>
      </c>
      <c r="G298">
        <v>113</v>
      </c>
    </row>
    <row r="299" spans="1:7" x14ac:dyDescent="0.3">
      <c r="A299" t="s">
        <v>325</v>
      </c>
      <c r="B299" t="s">
        <v>537</v>
      </c>
      <c r="C299" t="s">
        <v>300</v>
      </c>
      <c r="E299">
        <v>14</v>
      </c>
      <c r="F299">
        <v>25</v>
      </c>
      <c r="G299">
        <v>83</v>
      </c>
    </row>
    <row r="300" spans="1:7" x14ac:dyDescent="0.3">
      <c r="A300" t="s">
        <v>325</v>
      </c>
      <c r="B300" t="s">
        <v>537</v>
      </c>
      <c r="C300" t="s">
        <v>302</v>
      </c>
      <c r="E300">
        <v>5</v>
      </c>
      <c r="F300">
        <v>7</v>
      </c>
      <c r="G300">
        <v>36</v>
      </c>
    </row>
    <row r="301" spans="1:7" x14ac:dyDescent="0.3">
      <c r="A301" t="s">
        <v>325</v>
      </c>
      <c r="B301" t="s">
        <v>537</v>
      </c>
      <c r="C301" t="s">
        <v>304</v>
      </c>
      <c r="E301">
        <v>9</v>
      </c>
      <c r="F301">
        <v>13</v>
      </c>
      <c r="G301">
        <v>46</v>
      </c>
    </row>
    <row r="302" spans="1:7" x14ac:dyDescent="0.3">
      <c r="A302" t="s">
        <v>325</v>
      </c>
      <c r="B302" t="s">
        <v>537</v>
      </c>
      <c r="C302" t="s">
        <v>307</v>
      </c>
      <c r="E302">
        <v>7</v>
      </c>
      <c r="F302">
        <v>13</v>
      </c>
      <c r="G302">
        <v>49</v>
      </c>
    </row>
    <row r="303" spans="1:7" x14ac:dyDescent="0.3">
      <c r="A303" t="s">
        <v>325</v>
      </c>
      <c r="B303" t="s">
        <v>537</v>
      </c>
      <c r="C303" t="s">
        <v>309</v>
      </c>
      <c r="E303">
        <v>2</v>
      </c>
      <c r="F303">
        <v>2</v>
      </c>
      <c r="G303">
        <v>15</v>
      </c>
    </row>
    <row r="304" spans="1:7" x14ac:dyDescent="0.3">
      <c r="A304" t="s">
        <v>325</v>
      </c>
      <c r="B304" t="s">
        <v>537</v>
      </c>
      <c r="C304" t="s">
        <v>311</v>
      </c>
      <c r="E304">
        <v>7</v>
      </c>
      <c r="F304">
        <v>9</v>
      </c>
      <c r="G304">
        <v>38</v>
      </c>
    </row>
    <row r="305" spans="1:7" x14ac:dyDescent="0.3">
      <c r="A305" t="s">
        <v>326</v>
      </c>
      <c r="B305" t="s">
        <v>537</v>
      </c>
      <c r="C305" t="s">
        <v>215</v>
      </c>
      <c r="E305">
        <v>1</v>
      </c>
      <c r="F305">
        <v>4</v>
      </c>
      <c r="G305">
        <v>5</v>
      </c>
    </row>
    <row r="306" spans="1:7" x14ac:dyDescent="0.3">
      <c r="A306" t="s">
        <v>326</v>
      </c>
      <c r="B306" t="s">
        <v>537</v>
      </c>
      <c r="C306" t="s">
        <v>220</v>
      </c>
      <c r="E306">
        <v>22</v>
      </c>
      <c r="F306">
        <v>66</v>
      </c>
      <c r="G306">
        <v>178</v>
      </c>
    </row>
    <row r="307" spans="1:7" x14ac:dyDescent="0.3">
      <c r="A307" t="s">
        <v>326</v>
      </c>
      <c r="B307" t="s">
        <v>537</v>
      </c>
      <c r="C307" t="s">
        <v>224</v>
      </c>
      <c r="E307">
        <v>6</v>
      </c>
      <c r="F307">
        <v>18</v>
      </c>
      <c r="G307">
        <v>76</v>
      </c>
    </row>
    <row r="308" spans="1:7" x14ac:dyDescent="0.3">
      <c r="A308" t="s">
        <v>326</v>
      </c>
      <c r="B308" t="s">
        <v>537</v>
      </c>
      <c r="C308" t="s">
        <v>228</v>
      </c>
      <c r="E308">
        <v>15</v>
      </c>
      <c r="F308">
        <v>23</v>
      </c>
      <c r="G308">
        <v>135</v>
      </c>
    </row>
    <row r="309" spans="1:7" x14ac:dyDescent="0.3">
      <c r="A309" t="s">
        <v>326</v>
      </c>
      <c r="B309" t="s">
        <v>537</v>
      </c>
      <c r="C309" t="s">
        <v>234</v>
      </c>
      <c r="E309">
        <v>1</v>
      </c>
      <c r="F309">
        <v>2</v>
      </c>
      <c r="G309">
        <v>6</v>
      </c>
    </row>
    <row r="310" spans="1:7" x14ac:dyDescent="0.3">
      <c r="A310" t="s">
        <v>326</v>
      </c>
      <c r="B310" t="s">
        <v>537</v>
      </c>
      <c r="C310" t="s">
        <v>240</v>
      </c>
      <c r="E310">
        <v>2</v>
      </c>
      <c r="F310">
        <v>4</v>
      </c>
      <c r="G310">
        <v>17</v>
      </c>
    </row>
    <row r="311" spans="1:7" x14ac:dyDescent="0.3">
      <c r="A311" t="s">
        <v>326</v>
      </c>
      <c r="B311" t="s">
        <v>537</v>
      </c>
      <c r="C311" t="s">
        <v>244</v>
      </c>
      <c r="E311">
        <v>15</v>
      </c>
      <c r="F311">
        <v>32</v>
      </c>
      <c r="G311">
        <v>132</v>
      </c>
    </row>
    <row r="312" spans="1:7" x14ac:dyDescent="0.3">
      <c r="A312" t="s">
        <v>326</v>
      </c>
      <c r="B312" t="s">
        <v>537</v>
      </c>
      <c r="C312" t="s">
        <v>247</v>
      </c>
      <c r="E312">
        <v>1</v>
      </c>
      <c r="F312">
        <v>2</v>
      </c>
      <c r="G312">
        <v>11</v>
      </c>
    </row>
    <row r="313" spans="1:7" x14ac:dyDescent="0.3">
      <c r="A313" t="s">
        <v>326</v>
      </c>
      <c r="B313" t="s">
        <v>537</v>
      </c>
      <c r="C313" t="s">
        <v>249</v>
      </c>
      <c r="E313">
        <v>6</v>
      </c>
      <c r="F313">
        <v>12</v>
      </c>
      <c r="G313">
        <v>53</v>
      </c>
    </row>
    <row r="314" spans="1:7" x14ac:dyDescent="0.3">
      <c r="A314" t="s">
        <v>326</v>
      </c>
      <c r="B314" t="s">
        <v>537</v>
      </c>
      <c r="C314" t="s">
        <v>255</v>
      </c>
      <c r="E314">
        <v>5</v>
      </c>
      <c r="F314">
        <v>12</v>
      </c>
      <c r="G314">
        <v>39</v>
      </c>
    </row>
    <row r="315" spans="1:7" x14ac:dyDescent="0.3">
      <c r="A315" t="s">
        <v>326</v>
      </c>
      <c r="B315" t="s">
        <v>537</v>
      </c>
      <c r="C315" t="s">
        <v>263</v>
      </c>
      <c r="E315">
        <v>5</v>
      </c>
      <c r="F315">
        <v>10</v>
      </c>
      <c r="G315">
        <v>46</v>
      </c>
    </row>
    <row r="316" spans="1:7" x14ac:dyDescent="0.3">
      <c r="A316" t="s">
        <v>326</v>
      </c>
      <c r="B316" t="s">
        <v>537</v>
      </c>
      <c r="C316" t="s">
        <v>267</v>
      </c>
      <c r="E316">
        <v>8</v>
      </c>
      <c r="F316">
        <v>22</v>
      </c>
      <c r="G316">
        <v>74</v>
      </c>
    </row>
    <row r="317" spans="1:7" x14ac:dyDescent="0.3">
      <c r="A317" t="s">
        <v>326</v>
      </c>
      <c r="B317" t="s">
        <v>537</v>
      </c>
      <c r="C317" t="s">
        <v>273</v>
      </c>
      <c r="E317">
        <v>45</v>
      </c>
      <c r="F317">
        <v>91</v>
      </c>
      <c r="G317">
        <v>328</v>
      </c>
    </row>
    <row r="318" spans="1:7" x14ac:dyDescent="0.3">
      <c r="A318" t="s">
        <v>326</v>
      </c>
      <c r="B318" t="s">
        <v>537</v>
      </c>
      <c r="C318" t="s">
        <v>277</v>
      </c>
      <c r="E318">
        <v>3</v>
      </c>
      <c r="F318">
        <v>7</v>
      </c>
      <c r="G318">
        <v>25</v>
      </c>
    </row>
    <row r="319" spans="1:7" x14ac:dyDescent="0.3">
      <c r="A319" t="s">
        <v>326</v>
      </c>
      <c r="B319" t="s">
        <v>537</v>
      </c>
      <c r="C319" t="s">
        <v>279</v>
      </c>
      <c r="E319">
        <v>1</v>
      </c>
      <c r="F319">
        <v>2</v>
      </c>
      <c r="G319">
        <v>10</v>
      </c>
    </row>
    <row r="320" spans="1:7" x14ac:dyDescent="0.3">
      <c r="A320" t="s">
        <v>326</v>
      </c>
      <c r="B320" t="s">
        <v>537</v>
      </c>
      <c r="C320" t="s">
        <v>281</v>
      </c>
      <c r="E320">
        <v>12</v>
      </c>
      <c r="F320">
        <v>28</v>
      </c>
      <c r="G320">
        <v>76</v>
      </c>
    </row>
    <row r="321" spans="1:7" x14ac:dyDescent="0.3">
      <c r="A321" t="s">
        <v>326</v>
      </c>
      <c r="B321" t="s">
        <v>537</v>
      </c>
      <c r="C321" t="s">
        <v>283</v>
      </c>
      <c r="E321">
        <v>1</v>
      </c>
      <c r="F321">
        <v>2</v>
      </c>
      <c r="G321">
        <v>7</v>
      </c>
    </row>
    <row r="322" spans="1:7" x14ac:dyDescent="0.3">
      <c r="A322" t="s">
        <v>326</v>
      </c>
      <c r="B322" t="s">
        <v>537</v>
      </c>
      <c r="C322" t="s">
        <v>283</v>
      </c>
      <c r="E322">
        <v>13</v>
      </c>
      <c r="F322">
        <v>26</v>
      </c>
      <c r="G322">
        <v>83</v>
      </c>
    </row>
    <row r="323" spans="1:7" x14ac:dyDescent="0.3">
      <c r="A323" t="s">
        <v>326</v>
      </c>
      <c r="B323" t="s">
        <v>537</v>
      </c>
      <c r="C323" t="s">
        <v>287</v>
      </c>
      <c r="E323">
        <v>9</v>
      </c>
      <c r="F323">
        <v>12</v>
      </c>
      <c r="G323">
        <v>77</v>
      </c>
    </row>
    <row r="324" spans="1:7" x14ac:dyDescent="0.3">
      <c r="A324" t="s">
        <v>326</v>
      </c>
      <c r="B324" t="s">
        <v>537</v>
      </c>
      <c r="C324" t="s">
        <v>289</v>
      </c>
      <c r="E324">
        <v>3</v>
      </c>
      <c r="F324">
        <v>6</v>
      </c>
      <c r="G324">
        <v>20</v>
      </c>
    </row>
    <row r="325" spans="1:7" x14ac:dyDescent="0.3">
      <c r="A325" t="s">
        <v>326</v>
      </c>
      <c r="B325" t="s">
        <v>537</v>
      </c>
      <c r="C325" t="s">
        <v>292</v>
      </c>
      <c r="E325">
        <v>1</v>
      </c>
      <c r="F325">
        <v>2</v>
      </c>
      <c r="G325">
        <v>5</v>
      </c>
    </row>
    <row r="326" spans="1:7" x14ac:dyDescent="0.3">
      <c r="A326" t="s">
        <v>326</v>
      </c>
      <c r="B326" t="s">
        <v>537</v>
      </c>
      <c r="C326" t="s">
        <v>292</v>
      </c>
      <c r="E326">
        <v>11</v>
      </c>
      <c r="F326">
        <v>21</v>
      </c>
      <c r="G326">
        <v>72</v>
      </c>
    </row>
    <row r="327" spans="1:7" x14ac:dyDescent="0.3">
      <c r="A327" t="s">
        <v>326</v>
      </c>
      <c r="B327" t="s">
        <v>537</v>
      </c>
      <c r="C327" t="s">
        <v>294</v>
      </c>
      <c r="E327">
        <v>11</v>
      </c>
      <c r="F327">
        <v>20</v>
      </c>
      <c r="G327">
        <v>86</v>
      </c>
    </row>
    <row r="328" spans="1:7" x14ac:dyDescent="0.3">
      <c r="A328" t="s">
        <v>326</v>
      </c>
      <c r="B328" t="s">
        <v>537</v>
      </c>
      <c r="C328" t="s">
        <v>296</v>
      </c>
      <c r="E328">
        <v>1</v>
      </c>
      <c r="F328">
        <v>2</v>
      </c>
      <c r="G328">
        <v>8</v>
      </c>
    </row>
    <row r="329" spans="1:7" x14ac:dyDescent="0.3">
      <c r="A329" t="s">
        <v>326</v>
      </c>
      <c r="B329" t="s">
        <v>537</v>
      </c>
      <c r="C329" t="s">
        <v>298</v>
      </c>
      <c r="E329">
        <v>12</v>
      </c>
      <c r="F329">
        <v>28</v>
      </c>
      <c r="G329">
        <v>97</v>
      </c>
    </row>
    <row r="330" spans="1:7" x14ac:dyDescent="0.3">
      <c r="A330" t="s">
        <v>326</v>
      </c>
      <c r="B330" t="s">
        <v>537</v>
      </c>
      <c r="C330" t="s">
        <v>300</v>
      </c>
      <c r="E330">
        <v>14</v>
      </c>
      <c r="F330">
        <v>23</v>
      </c>
      <c r="G330">
        <v>77</v>
      </c>
    </row>
    <row r="331" spans="1:7" x14ac:dyDescent="0.3">
      <c r="A331" t="s">
        <v>326</v>
      </c>
      <c r="B331" t="s">
        <v>537</v>
      </c>
      <c r="C331" t="s">
        <v>302</v>
      </c>
      <c r="E331">
        <v>4</v>
      </c>
      <c r="F331">
        <v>8</v>
      </c>
      <c r="G331">
        <v>34</v>
      </c>
    </row>
    <row r="332" spans="1:7" x14ac:dyDescent="0.3">
      <c r="A332" t="s">
        <v>326</v>
      </c>
      <c r="B332" t="s">
        <v>537</v>
      </c>
      <c r="C332" t="s">
        <v>304</v>
      </c>
      <c r="E332">
        <v>8</v>
      </c>
      <c r="F332">
        <v>13</v>
      </c>
      <c r="G332">
        <v>52</v>
      </c>
    </row>
    <row r="333" spans="1:7" x14ac:dyDescent="0.3">
      <c r="A333" t="s">
        <v>326</v>
      </c>
      <c r="B333" t="s">
        <v>537</v>
      </c>
      <c r="C333" t="s">
        <v>307</v>
      </c>
      <c r="E333">
        <v>7</v>
      </c>
      <c r="F333">
        <v>15</v>
      </c>
      <c r="G333">
        <v>46</v>
      </c>
    </row>
    <row r="334" spans="1:7" x14ac:dyDescent="0.3">
      <c r="A334" t="s">
        <v>326</v>
      </c>
      <c r="B334" t="s">
        <v>537</v>
      </c>
      <c r="C334" t="s">
        <v>309</v>
      </c>
      <c r="E334">
        <v>2</v>
      </c>
      <c r="F334">
        <v>2</v>
      </c>
      <c r="G334">
        <v>17</v>
      </c>
    </row>
    <row r="335" spans="1:7" x14ac:dyDescent="0.3">
      <c r="A335" t="s">
        <v>326</v>
      </c>
      <c r="B335" t="s">
        <v>537</v>
      </c>
      <c r="C335" t="s">
        <v>311</v>
      </c>
      <c r="E335">
        <v>6</v>
      </c>
      <c r="F335">
        <v>10</v>
      </c>
      <c r="G335">
        <v>40</v>
      </c>
    </row>
    <row r="336" spans="1:7" x14ac:dyDescent="0.3">
      <c r="A336" t="s">
        <v>328</v>
      </c>
      <c r="B336" t="s">
        <v>537</v>
      </c>
      <c r="C336" t="s">
        <v>215</v>
      </c>
      <c r="E336">
        <v>1</v>
      </c>
      <c r="F336">
        <v>3</v>
      </c>
      <c r="G336">
        <v>4</v>
      </c>
    </row>
    <row r="337" spans="1:7" x14ac:dyDescent="0.3">
      <c r="A337" t="s">
        <v>328</v>
      </c>
      <c r="B337" t="s">
        <v>537</v>
      </c>
      <c r="C337" t="s">
        <v>220</v>
      </c>
      <c r="E337">
        <v>23</v>
      </c>
      <c r="F337">
        <v>63</v>
      </c>
      <c r="G337">
        <v>182</v>
      </c>
    </row>
    <row r="338" spans="1:7" x14ac:dyDescent="0.3">
      <c r="A338" t="s">
        <v>328</v>
      </c>
      <c r="B338" t="s">
        <v>537</v>
      </c>
      <c r="C338" t="s">
        <v>224</v>
      </c>
      <c r="E338">
        <v>6</v>
      </c>
      <c r="F338">
        <v>19</v>
      </c>
      <c r="G338">
        <v>74</v>
      </c>
    </row>
    <row r="339" spans="1:7" x14ac:dyDescent="0.3">
      <c r="A339" t="s">
        <v>328</v>
      </c>
      <c r="B339" t="s">
        <v>537</v>
      </c>
      <c r="C339" t="s">
        <v>228</v>
      </c>
      <c r="E339">
        <v>14</v>
      </c>
      <c r="F339">
        <v>25</v>
      </c>
      <c r="G339">
        <v>143</v>
      </c>
    </row>
    <row r="340" spans="1:7" x14ac:dyDescent="0.3">
      <c r="A340" t="s">
        <v>328</v>
      </c>
      <c r="B340" t="s">
        <v>537</v>
      </c>
      <c r="C340" t="s">
        <v>234</v>
      </c>
      <c r="E340">
        <v>1</v>
      </c>
      <c r="F340">
        <v>2</v>
      </c>
      <c r="G340">
        <v>5</v>
      </c>
    </row>
    <row r="341" spans="1:7" x14ac:dyDescent="0.3">
      <c r="A341" t="s">
        <v>328</v>
      </c>
      <c r="B341" t="s">
        <v>537</v>
      </c>
      <c r="C341" t="s">
        <v>240</v>
      </c>
      <c r="E341">
        <v>2</v>
      </c>
      <c r="F341">
        <v>3</v>
      </c>
      <c r="G341">
        <v>18</v>
      </c>
    </row>
    <row r="342" spans="1:7" x14ac:dyDescent="0.3">
      <c r="A342" t="s">
        <v>328</v>
      </c>
      <c r="B342" t="s">
        <v>537</v>
      </c>
      <c r="C342" t="s">
        <v>244</v>
      </c>
      <c r="E342">
        <v>17</v>
      </c>
      <c r="F342">
        <v>31</v>
      </c>
      <c r="G342">
        <v>139</v>
      </c>
    </row>
    <row r="343" spans="1:7" x14ac:dyDescent="0.3">
      <c r="A343" t="s">
        <v>328</v>
      </c>
      <c r="B343" t="s">
        <v>537</v>
      </c>
      <c r="C343" t="s">
        <v>247</v>
      </c>
      <c r="E343">
        <v>1</v>
      </c>
      <c r="F343">
        <v>2</v>
      </c>
      <c r="G343">
        <v>12</v>
      </c>
    </row>
    <row r="344" spans="1:7" x14ac:dyDescent="0.3">
      <c r="A344" t="s">
        <v>328</v>
      </c>
      <c r="B344" t="s">
        <v>537</v>
      </c>
      <c r="C344" t="s">
        <v>249</v>
      </c>
      <c r="E344">
        <v>5</v>
      </c>
      <c r="F344">
        <v>10</v>
      </c>
      <c r="G344">
        <v>54</v>
      </c>
    </row>
    <row r="345" spans="1:7" x14ac:dyDescent="0.3">
      <c r="A345" t="s">
        <v>328</v>
      </c>
      <c r="B345" t="s">
        <v>537</v>
      </c>
      <c r="C345" t="s">
        <v>255</v>
      </c>
      <c r="E345">
        <v>5</v>
      </c>
      <c r="F345">
        <v>12</v>
      </c>
      <c r="G345">
        <v>38</v>
      </c>
    </row>
    <row r="346" spans="1:7" x14ac:dyDescent="0.3">
      <c r="A346" t="s">
        <v>328</v>
      </c>
      <c r="B346" t="s">
        <v>537</v>
      </c>
      <c r="C346" t="s">
        <v>263</v>
      </c>
      <c r="E346">
        <v>5</v>
      </c>
      <c r="F346">
        <v>10</v>
      </c>
      <c r="G346">
        <v>44</v>
      </c>
    </row>
    <row r="347" spans="1:7" x14ac:dyDescent="0.3">
      <c r="A347" t="s">
        <v>328</v>
      </c>
      <c r="B347" t="s">
        <v>537</v>
      </c>
      <c r="C347" t="s">
        <v>267</v>
      </c>
      <c r="E347">
        <v>8</v>
      </c>
      <c r="F347">
        <v>20</v>
      </c>
      <c r="G347">
        <v>74</v>
      </c>
    </row>
    <row r="348" spans="1:7" x14ac:dyDescent="0.3">
      <c r="A348" t="s">
        <v>328</v>
      </c>
      <c r="B348" t="s">
        <v>537</v>
      </c>
      <c r="C348" t="s">
        <v>273</v>
      </c>
      <c r="E348">
        <v>46</v>
      </c>
      <c r="F348">
        <v>94</v>
      </c>
      <c r="G348">
        <v>301</v>
      </c>
    </row>
    <row r="349" spans="1:7" x14ac:dyDescent="0.3">
      <c r="A349" t="s">
        <v>328</v>
      </c>
      <c r="B349" t="s">
        <v>537</v>
      </c>
      <c r="C349" t="s">
        <v>277</v>
      </c>
      <c r="E349">
        <v>3</v>
      </c>
      <c r="F349">
        <v>7</v>
      </c>
      <c r="G349">
        <v>28</v>
      </c>
    </row>
    <row r="350" spans="1:7" x14ac:dyDescent="0.3">
      <c r="A350" t="s">
        <v>328</v>
      </c>
      <c r="B350" t="s">
        <v>537</v>
      </c>
      <c r="C350" t="s">
        <v>279</v>
      </c>
      <c r="E350">
        <v>1</v>
      </c>
      <c r="F350">
        <v>2</v>
      </c>
      <c r="G350">
        <v>11</v>
      </c>
    </row>
    <row r="351" spans="1:7" x14ac:dyDescent="0.3">
      <c r="A351" t="s">
        <v>328</v>
      </c>
      <c r="B351" t="s">
        <v>537</v>
      </c>
      <c r="C351" t="s">
        <v>281</v>
      </c>
      <c r="E351">
        <v>10</v>
      </c>
      <c r="F351">
        <v>25</v>
      </c>
      <c r="G351">
        <v>70</v>
      </c>
    </row>
    <row r="352" spans="1:7" x14ac:dyDescent="0.3">
      <c r="A352" t="s">
        <v>328</v>
      </c>
      <c r="B352" t="s">
        <v>537</v>
      </c>
      <c r="C352" t="s">
        <v>283</v>
      </c>
      <c r="E352">
        <v>1</v>
      </c>
      <c r="F352">
        <v>2</v>
      </c>
      <c r="G352">
        <v>8</v>
      </c>
    </row>
    <row r="353" spans="1:7" x14ac:dyDescent="0.3">
      <c r="A353" t="s">
        <v>328</v>
      </c>
      <c r="B353" t="s">
        <v>537</v>
      </c>
      <c r="C353" t="s">
        <v>283</v>
      </c>
      <c r="E353">
        <v>12</v>
      </c>
      <c r="F353">
        <v>25</v>
      </c>
      <c r="G353">
        <v>83</v>
      </c>
    </row>
    <row r="354" spans="1:7" x14ac:dyDescent="0.3">
      <c r="A354" t="s">
        <v>328</v>
      </c>
      <c r="B354" t="s">
        <v>537</v>
      </c>
      <c r="C354" t="s">
        <v>287</v>
      </c>
      <c r="E354">
        <v>10</v>
      </c>
      <c r="F354">
        <v>12</v>
      </c>
      <c r="G354">
        <v>78</v>
      </c>
    </row>
    <row r="355" spans="1:7" x14ac:dyDescent="0.3">
      <c r="A355" t="s">
        <v>328</v>
      </c>
      <c r="B355" t="s">
        <v>537</v>
      </c>
      <c r="C355" t="s">
        <v>289</v>
      </c>
      <c r="E355">
        <v>3</v>
      </c>
      <c r="F355">
        <v>6</v>
      </c>
      <c r="G355">
        <v>17</v>
      </c>
    </row>
    <row r="356" spans="1:7" x14ac:dyDescent="0.3">
      <c r="A356" t="s">
        <v>328</v>
      </c>
      <c r="B356" t="s">
        <v>537</v>
      </c>
      <c r="C356" t="s">
        <v>292</v>
      </c>
      <c r="E356">
        <v>1</v>
      </c>
      <c r="F356">
        <v>2</v>
      </c>
      <c r="G356">
        <v>5</v>
      </c>
    </row>
    <row r="357" spans="1:7" x14ac:dyDescent="0.3">
      <c r="A357" t="s">
        <v>328</v>
      </c>
      <c r="B357" t="s">
        <v>537</v>
      </c>
      <c r="C357" t="s">
        <v>292</v>
      </c>
      <c r="E357">
        <v>11</v>
      </c>
      <c r="F357">
        <v>19</v>
      </c>
      <c r="G357">
        <v>64</v>
      </c>
    </row>
    <row r="358" spans="1:7" x14ac:dyDescent="0.3">
      <c r="A358" t="s">
        <v>328</v>
      </c>
      <c r="B358" t="s">
        <v>537</v>
      </c>
      <c r="C358" t="s">
        <v>294</v>
      </c>
      <c r="E358">
        <v>8</v>
      </c>
      <c r="F358">
        <v>20</v>
      </c>
      <c r="G358">
        <v>89</v>
      </c>
    </row>
    <row r="359" spans="1:7" x14ac:dyDescent="0.3">
      <c r="A359" t="s">
        <v>328</v>
      </c>
      <c r="B359" t="s">
        <v>537</v>
      </c>
      <c r="C359" t="s">
        <v>296</v>
      </c>
      <c r="E359">
        <v>1</v>
      </c>
      <c r="F359">
        <v>2</v>
      </c>
      <c r="G359">
        <v>11</v>
      </c>
    </row>
    <row r="360" spans="1:7" x14ac:dyDescent="0.3">
      <c r="A360" t="s">
        <v>328</v>
      </c>
      <c r="B360" t="s">
        <v>537</v>
      </c>
      <c r="C360" t="s">
        <v>298</v>
      </c>
      <c r="E360">
        <v>13</v>
      </c>
      <c r="F360">
        <v>28</v>
      </c>
      <c r="G360">
        <v>104</v>
      </c>
    </row>
    <row r="361" spans="1:7" x14ac:dyDescent="0.3">
      <c r="A361" t="s">
        <v>328</v>
      </c>
      <c r="B361" t="s">
        <v>537</v>
      </c>
      <c r="C361" t="s">
        <v>300</v>
      </c>
      <c r="E361">
        <v>14</v>
      </c>
      <c r="F361">
        <v>25</v>
      </c>
      <c r="G361">
        <v>84</v>
      </c>
    </row>
    <row r="362" spans="1:7" x14ac:dyDescent="0.3">
      <c r="A362" t="s">
        <v>328</v>
      </c>
      <c r="B362" t="s">
        <v>537</v>
      </c>
      <c r="C362" t="s">
        <v>302</v>
      </c>
      <c r="E362">
        <v>4</v>
      </c>
      <c r="F362">
        <v>8</v>
      </c>
      <c r="G362">
        <v>31</v>
      </c>
    </row>
    <row r="363" spans="1:7" x14ac:dyDescent="0.3">
      <c r="A363" t="s">
        <v>328</v>
      </c>
      <c r="B363" t="s">
        <v>537</v>
      </c>
      <c r="C363" t="s">
        <v>304</v>
      </c>
      <c r="E363">
        <v>8</v>
      </c>
      <c r="F363">
        <v>12</v>
      </c>
      <c r="G363">
        <v>54</v>
      </c>
    </row>
    <row r="364" spans="1:7" x14ac:dyDescent="0.3">
      <c r="A364" t="s">
        <v>328</v>
      </c>
      <c r="B364" t="s">
        <v>537</v>
      </c>
      <c r="C364" t="s">
        <v>307</v>
      </c>
      <c r="E364">
        <v>6</v>
      </c>
      <c r="F364">
        <v>14</v>
      </c>
      <c r="G364">
        <v>52</v>
      </c>
    </row>
    <row r="365" spans="1:7" x14ac:dyDescent="0.3">
      <c r="A365" t="s">
        <v>328</v>
      </c>
      <c r="B365" t="s">
        <v>537</v>
      </c>
      <c r="C365" t="s">
        <v>309</v>
      </c>
      <c r="E365">
        <v>2</v>
      </c>
      <c r="F365">
        <v>2</v>
      </c>
      <c r="G365">
        <v>20</v>
      </c>
    </row>
    <row r="366" spans="1:7" x14ac:dyDescent="0.3">
      <c r="A366" t="s">
        <v>328</v>
      </c>
      <c r="B366" t="s">
        <v>537</v>
      </c>
      <c r="C366" t="s">
        <v>311</v>
      </c>
      <c r="E366">
        <v>6</v>
      </c>
      <c r="F366">
        <v>9</v>
      </c>
      <c r="G366">
        <v>46</v>
      </c>
    </row>
    <row r="367" spans="1:7" x14ac:dyDescent="0.3">
      <c r="A367" t="s">
        <v>412</v>
      </c>
      <c r="B367" t="s">
        <v>537</v>
      </c>
      <c r="C367" t="s">
        <v>215</v>
      </c>
      <c r="E367">
        <v>1</v>
      </c>
      <c r="F367">
        <v>3</v>
      </c>
      <c r="G367">
        <v>5</v>
      </c>
    </row>
    <row r="368" spans="1:7" x14ac:dyDescent="0.3">
      <c r="A368" t="s">
        <v>412</v>
      </c>
      <c r="B368" t="s">
        <v>537</v>
      </c>
      <c r="C368" t="s">
        <v>220</v>
      </c>
      <c r="E368">
        <v>23</v>
      </c>
      <c r="F368">
        <v>68</v>
      </c>
      <c r="G368">
        <v>186</v>
      </c>
    </row>
    <row r="369" spans="1:7" x14ac:dyDescent="0.3">
      <c r="A369" t="s">
        <v>412</v>
      </c>
      <c r="B369" t="s">
        <v>537</v>
      </c>
      <c r="C369" t="s">
        <v>224</v>
      </c>
      <c r="E369">
        <v>6</v>
      </c>
      <c r="F369">
        <v>17</v>
      </c>
      <c r="G369">
        <v>72</v>
      </c>
    </row>
    <row r="370" spans="1:7" x14ac:dyDescent="0.3">
      <c r="A370" t="s">
        <v>412</v>
      </c>
      <c r="B370" t="s">
        <v>537</v>
      </c>
      <c r="C370" t="s">
        <v>228</v>
      </c>
      <c r="E370">
        <v>14</v>
      </c>
      <c r="F370">
        <v>26</v>
      </c>
      <c r="G370">
        <v>134</v>
      </c>
    </row>
    <row r="371" spans="1:7" x14ac:dyDescent="0.3">
      <c r="A371" t="s">
        <v>412</v>
      </c>
      <c r="B371" t="s">
        <v>537</v>
      </c>
      <c r="C371" t="s">
        <v>234</v>
      </c>
      <c r="E371">
        <v>2</v>
      </c>
      <c r="F371">
        <v>1</v>
      </c>
      <c r="G371">
        <v>7</v>
      </c>
    </row>
    <row r="372" spans="1:7" x14ac:dyDescent="0.3">
      <c r="A372" t="s">
        <v>412</v>
      </c>
      <c r="B372" t="s">
        <v>537</v>
      </c>
      <c r="C372" t="s">
        <v>240</v>
      </c>
      <c r="E372">
        <v>2</v>
      </c>
      <c r="F372">
        <v>4</v>
      </c>
      <c r="G372">
        <v>18</v>
      </c>
    </row>
    <row r="373" spans="1:7" x14ac:dyDescent="0.3">
      <c r="A373" t="s">
        <v>412</v>
      </c>
      <c r="B373" t="s">
        <v>537</v>
      </c>
      <c r="C373" t="s">
        <v>244</v>
      </c>
      <c r="E373">
        <v>18</v>
      </c>
      <c r="F373">
        <v>32</v>
      </c>
      <c r="G373">
        <v>141</v>
      </c>
    </row>
    <row r="374" spans="1:7" x14ac:dyDescent="0.3">
      <c r="A374" t="s">
        <v>412</v>
      </c>
      <c r="B374" t="s">
        <v>537</v>
      </c>
      <c r="C374" t="s">
        <v>247</v>
      </c>
      <c r="E374">
        <v>1</v>
      </c>
      <c r="F374">
        <v>2</v>
      </c>
      <c r="G374">
        <v>11</v>
      </c>
    </row>
    <row r="375" spans="1:7" x14ac:dyDescent="0.3">
      <c r="A375" t="s">
        <v>412</v>
      </c>
      <c r="B375" t="s">
        <v>537</v>
      </c>
      <c r="C375" t="s">
        <v>249</v>
      </c>
      <c r="E375">
        <v>6</v>
      </c>
      <c r="F375">
        <v>11</v>
      </c>
      <c r="G375">
        <v>57</v>
      </c>
    </row>
    <row r="376" spans="1:7" x14ac:dyDescent="0.3">
      <c r="A376" t="s">
        <v>412</v>
      </c>
      <c r="B376" t="s">
        <v>537</v>
      </c>
      <c r="C376" t="s">
        <v>255</v>
      </c>
      <c r="E376">
        <v>6</v>
      </c>
      <c r="F376">
        <v>13</v>
      </c>
      <c r="G376">
        <v>37</v>
      </c>
    </row>
    <row r="377" spans="1:7" x14ac:dyDescent="0.3">
      <c r="A377" t="s">
        <v>412</v>
      </c>
      <c r="B377" t="s">
        <v>537</v>
      </c>
      <c r="C377" t="s">
        <v>263</v>
      </c>
      <c r="E377">
        <v>6</v>
      </c>
      <c r="F377">
        <v>8</v>
      </c>
      <c r="G377">
        <v>46</v>
      </c>
    </row>
    <row r="378" spans="1:7" x14ac:dyDescent="0.3">
      <c r="A378" t="s">
        <v>412</v>
      </c>
      <c r="B378" t="s">
        <v>537</v>
      </c>
      <c r="C378" t="s">
        <v>267</v>
      </c>
      <c r="E378">
        <v>8</v>
      </c>
      <c r="F378">
        <v>22</v>
      </c>
      <c r="G378">
        <v>66</v>
      </c>
    </row>
    <row r="379" spans="1:7" x14ac:dyDescent="0.3">
      <c r="A379" t="s">
        <v>412</v>
      </c>
      <c r="B379" t="s">
        <v>537</v>
      </c>
      <c r="C379" t="s">
        <v>273</v>
      </c>
      <c r="E379">
        <v>48</v>
      </c>
      <c r="F379">
        <v>98</v>
      </c>
      <c r="G379">
        <v>311</v>
      </c>
    </row>
    <row r="380" spans="1:7" x14ac:dyDescent="0.3">
      <c r="A380" t="s">
        <v>412</v>
      </c>
      <c r="B380" t="s">
        <v>537</v>
      </c>
      <c r="C380" t="s">
        <v>277</v>
      </c>
      <c r="E380">
        <v>4</v>
      </c>
      <c r="F380">
        <v>7</v>
      </c>
      <c r="G380">
        <v>29</v>
      </c>
    </row>
    <row r="381" spans="1:7" x14ac:dyDescent="0.3">
      <c r="A381" t="s">
        <v>412</v>
      </c>
      <c r="B381" t="s">
        <v>537</v>
      </c>
      <c r="C381" t="s">
        <v>279</v>
      </c>
      <c r="E381">
        <v>1</v>
      </c>
      <c r="F381">
        <v>3</v>
      </c>
      <c r="G381">
        <v>9</v>
      </c>
    </row>
    <row r="382" spans="1:7" x14ac:dyDescent="0.3">
      <c r="A382" t="s">
        <v>412</v>
      </c>
      <c r="B382" t="s">
        <v>537</v>
      </c>
      <c r="C382" t="s">
        <v>281</v>
      </c>
      <c r="E382">
        <v>9</v>
      </c>
      <c r="F382">
        <v>26</v>
      </c>
      <c r="G382">
        <v>70</v>
      </c>
    </row>
    <row r="383" spans="1:7" x14ac:dyDescent="0.3">
      <c r="A383" t="s">
        <v>412</v>
      </c>
      <c r="B383" t="s">
        <v>537</v>
      </c>
      <c r="C383" t="s">
        <v>283</v>
      </c>
      <c r="E383">
        <v>1</v>
      </c>
      <c r="F383">
        <v>1</v>
      </c>
      <c r="G383">
        <v>8</v>
      </c>
    </row>
    <row r="384" spans="1:7" x14ac:dyDescent="0.3">
      <c r="A384" t="s">
        <v>412</v>
      </c>
      <c r="B384" t="s">
        <v>537</v>
      </c>
      <c r="C384" t="s">
        <v>283</v>
      </c>
      <c r="E384">
        <v>13</v>
      </c>
      <c r="F384">
        <v>23</v>
      </c>
      <c r="G384">
        <v>86</v>
      </c>
    </row>
    <row r="385" spans="1:7" x14ac:dyDescent="0.3">
      <c r="A385" t="s">
        <v>412</v>
      </c>
      <c r="B385" t="s">
        <v>537</v>
      </c>
      <c r="C385" t="s">
        <v>287</v>
      </c>
      <c r="E385">
        <v>10</v>
      </c>
      <c r="F385">
        <v>14</v>
      </c>
      <c r="G385">
        <v>80</v>
      </c>
    </row>
    <row r="386" spans="1:7" x14ac:dyDescent="0.3">
      <c r="A386" t="s">
        <v>412</v>
      </c>
      <c r="B386" t="s">
        <v>537</v>
      </c>
      <c r="C386" t="s">
        <v>289</v>
      </c>
      <c r="E386">
        <v>3</v>
      </c>
      <c r="F386">
        <v>5</v>
      </c>
      <c r="G386">
        <v>23</v>
      </c>
    </row>
    <row r="387" spans="1:7" x14ac:dyDescent="0.3">
      <c r="A387" t="s">
        <v>412</v>
      </c>
      <c r="B387" t="s">
        <v>537</v>
      </c>
      <c r="C387" t="s">
        <v>292</v>
      </c>
      <c r="E387">
        <v>1</v>
      </c>
      <c r="F387">
        <v>2</v>
      </c>
      <c r="G387">
        <v>7</v>
      </c>
    </row>
    <row r="388" spans="1:7" x14ac:dyDescent="0.3">
      <c r="A388" t="s">
        <v>412</v>
      </c>
      <c r="B388" t="s">
        <v>537</v>
      </c>
      <c r="C388" t="s">
        <v>292</v>
      </c>
      <c r="E388">
        <v>10</v>
      </c>
      <c r="F388">
        <v>16</v>
      </c>
      <c r="G388">
        <v>68</v>
      </c>
    </row>
    <row r="389" spans="1:7" x14ac:dyDescent="0.3">
      <c r="A389" t="s">
        <v>412</v>
      </c>
      <c r="B389" t="s">
        <v>537</v>
      </c>
      <c r="C389" t="s">
        <v>294</v>
      </c>
      <c r="E389">
        <v>9</v>
      </c>
      <c r="F389">
        <v>23</v>
      </c>
      <c r="G389">
        <v>82</v>
      </c>
    </row>
    <row r="390" spans="1:7" x14ac:dyDescent="0.3">
      <c r="A390" t="s">
        <v>412</v>
      </c>
      <c r="B390" t="s">
        <v>537</v>
      </c>
      <c r="C390" t="s">
        <v>296</v>
      </c>
      <c r="E390">
        <v>1</v>
      </c>
      <c r="F390">
        <v>2</v>
      </c>
      <c r="G390">
        <v>11</v>
      </c>
    </row>
    <row r="391" spans="1:7" x14ac:dyDescent="0.3">
      <c r="A391" t="s">
        <v>412</v>
      </c>
      <c r="B391" t="s">
        <v>537</v>
      </c>
      <c r="C391" t="s">
        <v>298</v>
      </c>
      <c r="E391">
        <v>14</v>
      </c>
      <c r="F391">
        <v>29</v>
      </c>
      <c r="G391">
        <v>110</v>
      </c>
    </row>
    <row r="392" spans="1:7" x14ac:dyDescent="0.3">
      <c r="A392" t="s">
        <v>412</v>
      </c>
      <c r="B392" t="s">
        <v>537</v>
      </c>
      <c r="C392" t="s">
        <v>300</v>
      </c>
      <c r="E392">
        <v>13</v>
      </c>
      <c r="F392">
        <v>23</v>
      </c>
      <c r="G392">
        <v>81</v>
      </c>
    </row>
    <row r="393" spans="1:7" x14ac:dyDescent="0.3">
      <c r="A393" t="s">
        <v>412</v>
      </c>
      <c r="B393" t="s">
        <v>537</v>
      </c>
      <c r="C393" t="s">
        <v>302</v>
      </c>
      <c r="E393">
        <v>5</v>
      </c>
      <c r="F393">
        <v>6</v>
      </c>
      <c r="G393">
        <v>36</v>
      </c>
    </row>
    <row r="394" spans="1:7" x14ac:dyDescent="0.3">
      <c r="A394" t="s">
        <v>412</v>
      </c>
      <c r="B394" t="s">
        <v>537</v>
      </c>
      <c r="C394" t="s">
        <v>304</v>
      </c>
      <c r="E394">
        <v>7</v>
      </c>
      <c r="F394">
        <v>14</v>
      </c>
      <c r="G394">
        <v>61</v>
      </c>
    </row>
    <row r="395" spans="1:7" x14ac:dyDescent="0.3">
      <c r="A395" t="s">
        <v>412</v>
      </c>
      <c r="B395" t="s">
        <v>537</v>
      </c>
      <c r="C395" t="s">
        <v>307</v>
      </c>
      <c r="E395">
        <v>7</v>
      </c>
      <c r="F395">
        <v>14</v>
      </c>
      <c r="G395">
        <v>53</v>
      </c>
    </row>
    <row r="396" spans="1:7" x14ac:dyDescent="0.3">
      <c r="A396" t="s">
        <v>412</v>
      </c>
      <c r="B396" t="s">
        <v>537</v>
      </c>
      <c r="C396" t="s">
        <v>309</v>
      </c>
      <c r="E396">
        <v>2</v>
      </c>
      <c r="F396">
        <v>3</v>
      </c>
      <c r="G396">
        <v>17</v>
      </c>
    </row>
    <row r="397" spans="1:7" x14ac:dyDescent="0.3">
      <c r="A397" t="s">
        <v>412</v>
      </c>
      <c r="B397" t="s">
        <v>537</v>
      </c>
      <c r="C397" t="s">
        <v>311</v>
      </c>
      <c r="E397">
        <v>6</v>
      </c>
      <c r="F397">
        <v>10</v>
      </c>
      <c r="G397">
        <v>42</v>
      </c>
    </row>
  </sheetData>
  <pageMargins left="0.7" right="0.7" top="0.75" bottom="0.75" header="0.3" footer="0.3"/>
  <tableParts count="1">
    <tablePart r:id="rId1"/>
  </tableParts>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Sheet8">
    <tabColor theme="9" tint="0.39997558519241921"/>
    <pageSetUpPr fitToPage="1"/>
  </sheetPr>
  <dimension ref="A1:I48"/>
  <sheetViews>
    <sheetView showGridLines="0" zoomScaleNormal="100" workbookViewId="0">
      <pane ySplit="2" topLeftCell="A3" activePane="bottomLeft" state="frozen"/>
      <selection pane="bottomLeft" sqref="A1:G1"/>
    </sheetView>
  </sheetViews>
  <sheetFormatPr defaultRowHeight="14.4" x14ac:dyDescent="0.3"/>
  <cols>
    <col min="1" max="1" width="17" bestFit="1" customWidth="1"/>
    <col min="2" max="2" width="34.6640625" customWidth="1"/>
    <col min="3" max="5" width="13" customWidth="1"/>
    <col min="6" max="6" width="12.6640625" customWidth="1"/>
  </cols>
  <sheetData>
    <row r="1" spans="1:9" ht="20.100000000000001" customHeight="1" x14ac:dyDescent="0.3">
      <c r="A1" s="1030" t="s">
        <v>515</v>
      </c>
      <c r="B1" s="1030"/>
      <c r="C1" s="1030"/>
      <c r="D1" s="1030"/>
      <c r="E1" s="1030"/>
      <c r="F1" s="1030"/>
      <c r="G1" s="1030"/>
      <c r="H1" s="25"/>
      <c r="I1" s="25"/>
    </row>
    <row r="2" spans="1:9" ht="19.5" customHeight="1" x14ac:dyDescent="0.3">
      <c r="A2" s="498" t="s">
        <v>202</v>
      </c>
      <c r="B2" s="1"/>
      <c r="C2" s="1"/>
      <c r="D2" s="1"/>
      <c r="E2" s="1"/>
      <c r="F2" s="1"/>
      <c r="G2" s="1"/>
      <c r="H2" s="25"/>
      <c r="I2" s="25"/>
    </row>
    <row r="3" spans="1:9" ht="17.399999999999999" x14ac:dyDescent="0.3">
      <c r="A3" s="1"/>
      <c r="B3" s="1"/>
      <c r="C3" s="1"/>
      <c r="D3" s="1"/>
      <c r="E3" s="1"/>
      <c r="F3" s="1"/>
      <c r="G3" s="1"/>
      <c r="H3" s="25"/>
      <c r="I3" s="25"/>
    </row>
    <row r="4" spans="1:9" ht="30.75" customHeight="1" x14ac:dyDescent="0.3">
      <c r="A4" s="1041" t="s">
        <v>1305</v>
      </c>
      <c r="B4" s="1041"/>
      <c r="C4" s="1041"/>
      <c r="D4" s="1041"/>
      <c r="E4" s="1041"/>
      <c r="F4" s="1041"/>
    </row>
    <row r="5" spans="1:9" ht="15" customHeight="1" x14ac:dyDescent="0.3">
      <c r="A5" t="s">
        <v>203</v>
      </c>
      <c r="B5" t="s">
        <v>76</v>
      </c>
      <c r="C5" s="231"/>
      <c r="D5" s="231"/>
      <c r="E5" s="231"/>
      <c r="F5" s="231"/>
    </row>
    <row r="6" spans="1:9" ht="15" customHeight="1" x14ac:dyDescent="0.3">
      <c r="A6" t="s">
        <v>204</v>
      </c>
      <c r="B6" t="s">
        <v>205</v>
      </c>
      <c r="C6" s="231"/>
      <c r="D6" s="231"/>
      <c r="E6" s="231"/>
      <c r="F6" s="231"/>
    </row>
    <row r="7" spans="1:9" ht="15" customHeight="1" x14ac:dyDescent="0.3">
      <c r="A7" t="s">
        <v>206</v>
      </c>
      <c r="B7" t="s">
        <v>207</v>
      </c>
      <c r="C7" s="231"/>
      <c r="D7" s="231"/>
      <c r="E7" s="231"/>
      <c r="F7" s="231"/>
    </row>
    <row r="8" spans="1:9" ht="33.75" customHeight="1" x14ac:dyDescent="0.3">
      <c r="A8" s="36" t="s">
        <v>208</v>
      </c>
      <c r="B8" s="36" t="s">
        <v>550</v>
      </c>
      <c r="C8" s="79" t="s">
        <v>642</v>
      </c>
      <c r="D8" s="79" t="s">
        <v>643</v>
      </c>
      <c r="E8" s="79" t="s">
        <v>627</v>
      </c>
      <c r="F8" s="79" t="s">
        <v>340</v>
      </c>
    </row>
    <row r="9" spans="1:9" ht="22.5" customHeight="1" thickBot="1" x14ac:dyDescent="0.35">
      <c r="A9" s="38" t="str">
        <f>rdsroleareapivot!B1</f>
        <v>2025-26</v>
      </c>
      <c r="B9" s="38" t="s">
        <v>551</v>
      </c>
      <c r="C9" s="284">
        <f>C44</f>
        <v>257</v>
      </c>
      <c r="D9" s="284">
        <f>D44</f>
        <v>526</v>
      </c>
      <c r="E9" s="284">
        <f>E44</f>
        <v>1964</v>
      </c>
      <c r="F9" s="284">
        <f>F44</f>
        <v>2747</v>
      </c>
    </row>
    <row r="10" spans="1:9" ht="15" customHeight="1" x14ac:dyDescent="0.3">
      <c r="B10" s="39"/>
      <c r="C10" s="279"/>
      <c r="D10" s="279"/>
      <c r="E10" s="279"/>
      <c r="F10" s="279"/>
    </row>
    <row r="11" spans="1:9" ht="13.5" customHeight="1" x14ac:dyDescent="0.3">
      <c r="A11" s="42" t="s">
        <v>209</v>
      </c>
      <c r="B11" s="42" t="s">
        <v>347</v>
      </c>
      <c r="C11" s="285"/>
      <c r="D11" s="285"/>
      <c r="E11" s="285"/>
      <c r="F11" s="285"/>
    </row>
    <row r="12" spans="1:9" ht="24" customHeight="1" x14ac:dyDescent="0.3">
      <c r="A12" s="390" t="s">
        <v>214</v>
      </c>
      <c r="B12" s="45" t="s">
        <v>215</v>
      </c>
      <c r="C12" s="49">
        <f>GETPIVOTDATA("Sum of Watch Manager",rdsroleareapivot!$A$3,"Area","Aberdeen City")</f>
        <v>1</v>
      </c>
      <c r="D12" s="49">
        <f>GETPIVOTDATA("Sum of Crew Manager",rdsroleareapivot!$A$3,"Area","Aberdeen City")</f>
        <v>3</v>
      </c>
      <c r="E12" s="49">
        <f>GETPIVOTDATA("Sum of Firefighter",rdsroleareapivot!$A$3,"Area","Aberdeen City")</f>
        <v>5</v>
      </c>
      <c r="F12" s="263">
        <f>SUM(C12:E12)</f>
        <v>9</v>
      </c>
    </row>
    <row r="13" spans="1:9" ht="15" customHeight="1" x14ac:dyDescent="0.3">
      <c r="A13" s="89" t="s">
        <v>219</v>
      </c>
      <c r="B13" s="48" t="s">
        <v>220</v>
      </c>
      <c r="C13" s="49">
        <f>GETPIVOTDATA("Sum of Watch Manager",rdsroleareapivot!$A$3,"Area","Aberdeenshire")</f>
        <v>23</v>
      </c>
      <c r="D13" s="49">
        <f>GETPIVOTDATA("Sum of Crew Manager",rdsroleareapivot!$A$3,"Area","Aberdeenshire")</f>
        <v>68</v>
      </c>
      <c r="E13" s="49">
        <f>GETPIVOTDATA("Sum of Firefighter",rdsroleareapivot!$A$3,"Area","Aberdeenshire")</f>
        <v>186</v>
      </c>
      <c r="F13" s="263">
        <f t="shared" ref="F13:F21" si="0">SUM(C13:E13)</f>
        <v>277</v>
      </c>
    </row>
    <row r="14" spans="1:9" ht="15" customHeight="1" x14ac:dyDescent="0.3">
      <c r="A14" s="89" t="s">
        <v>223</v>
      </c>
      <c r="B14" s="48" t="s">
        <v>224</v>
      </c>
      <c r="C14" s="49">
        <f>GETPIVOTDATA("Sum of Watch Manager",rdsroleareapivot!$A$3,"Area", "Angus")</f>
        <v>6</v>
      </c>
      <c r="D14" s="49">
        <f>GETPIVOTDATA("Sum of Crew Manager",rdsroleareapivot!$A$3,"Area", "Angus")</f>
        <v>17</v>
      </c>
      <c r="E14" s="49">
        <f>GETPIVOTDATA("Sum of Firefighter",rdsroleareapivot!$A$3,"Area", "Angus")</f>
        <v>72</v>
      </c>
      <c r="F14" s="263">
        <f t="shared" si="0"/>
        <v>95</v>
      </c>
    </row>
    <row r="15" spans="1:9" ht="15" customHeight="1" x14ac:dyDescent="0.3">
      <c r="A15" s="89" t="s">
        <v>227</v>
      </c>
      <c r="B15" s="48" t="s">
        <v>228</v>
      </c>
      <c r="C15" s="49">
        <f>GETPIVOTDATA("Sum of Watch Manager",rdsroleareapivot!$A$3,"Area","Argyll and Bute")</f>
        <v>14</v>
      </c>
      <c r="D15" s="49">
        <f>GETPIVOTDATA("Sum of Crew Manager",rdsroleareapivot!$A$3,"Area","Argyll and Bute")</f>
        <v>26</v>
      </c>
      <c r="E15" s="49">
        <f>GETPIVOTDATA("Sum of Firefighter",rdsroleareapivot!$A$3,"Area","Argyll and Bute")</f>
        <v>134</v>
      </c>
      <c r="F15" s="263">
        <f t="shared" si="0"/>
        <v>174</v>
      </c>
    </row>
    <row r="16" spans="1:9" ht="15" customHeight="1" x14ac:dyDescent="0.3">
      <c r="A16" s="89" t="s">
        <v>233</v>
      </c>
      <c r="B16" s="48" t="s">
        <v>234</v>
      </c>
      <c r="C16" s="49">
        <f>GETPIVOTDATA("Sum of Watch Manager",rdsroleareapivot!$A$3,"Area","City of Edinburgh")</f>
        <v>2</v>
      </c>
      <c r="D16" s="49">
        <f>GETPIVOTDATA("Sum of Crew Manager",rdsroleareapivot!$A$3,"Area","City of Edinburgh")</f>
        <v>1</v>
      </c>
      <c r="E16" s="49">
        <f>GETPIVOTDATA("Sum of Firefighter",rdsroleareapivot!$A$3,"Area","City of Edinburgh")</f>
        <v>7</v>
      </c>
      <c r="F16" s="263">
        <f t="shared" si="0"/>
        <v>10</v>
      </c>
    </row>
    <row r="17" spans="1:6" ht="15" customHeight="1" x14ac:dyDescent="0.3">
      <c r="A17" s="89" t="s">
        <v>239</v>
      </c>
      <c r="B17" s="48" t="s">
        <v>240</v>
      </c>
      <c r="C17" s="49">
        <f>GETPIVOTDATA("Sum of Watch Manager",rdsroleareapivot!$A$3,"Area","Clackmannanshire")</f>
        <v>2</v>
      </c>
      <c r="D17" s="49">
        <f>GETPIVOTDATA("Sum of Crew Manager",rdsroleareapivot!$A$3,"Area","Clackmannanshire")</f>
        <v>4</v>
      </c>
      <c r="E17" s="49">
        <f>GETPIVOTDATA("Sum of Firefighter",rdsroleareapivot!$A$3,"Area","Clackmannanshire")</f>
        <v>18</v>
      </c>
      <c r="F17" s="263">
        <f t="shared" si="0"/>
        <v>24</v>
      </c>
    </row>
    <row r="18" spans="1:6" ht="15" customHeight="1" x14ac:dyDescent="0.3">
      <c r="A18" s="89" t="s">
        <v>243</v>
      </c>
      <c r="B18" s="48" t="s">
        <v>244</v>
      </c>
      <c r="C18" s="49">
        <f>GETPIVOTDATA("Sum of Watch Manager",rdsroleareapivot!$A$3,"Area","Dumfries and Galloway")</f>
        <v>18</v>
      </c>
      <c r="D18" s="49">
        <f>GETPIVOTDATA("Sum of Crew Manager",rdsroleareapivot!$A$3,"Area","Dumfries and Galloway")</f>
        <v>32</v>
      </c>
      <c r="E18" s="49">
        <f>GETPIVOTDATA("Sum of Firefighter",rdsroleareapivot!$A$3,"Area","Dumfries and Galloway")</f>
        <v>141</v>
      </c>
      <c r="F18" s="263">
        <f t="shared" si="0"/>
        <v>191</v>
      </c>
    </row>
    <row r="19" spans="1:6" ht="15" customHeight="1" x14ac:dyDescent="0.3">
      <c r="A19" s="89" t="s">
        <v>246</v>
      </c>
      <c r="B19" s="48" t="s">
        <v>247</v>
      </c>
      <c r="C19" s="49">
        <f>GETPIVOTDATA("Sum of Watch Manager",rdsroleareapivot!$A$3,"Area","Dundee City")</f>
        <v>1</v>
      </c>
      <c r="D19" s="49">
        <f>GETPIVOTDATA("Sum of Crew Manager",rdsroleareapivot!$A$3,"Area","Dundee City")</f>
        <v>2</v>
      </c>
      <c r="E19" s="49">
        <f>GETPIVOTDATA("Sum of Firefighter",rdsroleareapivot!$A$3,"Area","Dundee City")</f>
        <v>11</v>
      </c>
      <c r="F19" s="263">
        <f t="shared" si="0"/>
        <v>14</v>
      </c>
    </row>
    <row r="20" spans="1:6" ht="15" customHeight="1" x14ac:dyDescent="0.3">
      <c r="A20" s="89" t="s">
        <v>248</v>
      </c>
      <c r="B20" s="48" t="s">
        <v>249</v>
      </c>
      <c r="C20" s="49">
        <f>GETPIVOTDATA("Sum of Watch Manager",rdsroleareapivot!$A$3,"Area","East Ayrshire")</f>
        <v>6</v>
      </c>
      <c r="D20" s="49">
        <f>GETPIVOTDATA("Sum of Crew Manager",rdsroleareapivot!$A$3,"Area","East Ayrshire")</f>
        <v>11</v>
      </c>
      <c r="E20" s="49">
        <f>GETPIVOTDATA("Sum of Firefighter",rdsroleareapivot!$A$3,"Area","East Ayrshire")</f>
        <v>57</v>
      </c>
      <c r="F20" s="263">
        <f t="shared" si="0"/>
        <v>74</v>
      </c>
    </row>
    <row r="21" spans="1:6" ht="15" customHeight="1" x14ac:dyDescent="0.3">
      <c r="A21" s="89" t="s">
        <v>252</v>
      </c>
      <c r="B21" s="48" t="s">
        <v>253</v>
      </c>
      <c r="C21" s="49" t="str">
        <f>IFERROR(GETPIVOTDATA("Sum of Watch Manager",rdsroleareapivot!$A$3,"Area","East Dunbartonshire"), "-")</f>
        <v>-</v>
      </c>
      <c r="D21" s="49" t="str">
        <f>IFERROR(GETPIVOTDATA("Sum of Crew Manager",rdsroleareapivot!$A$3,"Area","East Dunbartonshire"), "-")</f>
        <v>-</v>
      </c>
      <c r="E21" s="49" t="str">
        <f>IFERROR(GETPIVOTDATA("Sum of Firefighter",rdsroleareapivot!$A$3,"Area","East Dunbartonshire"), "-")</f>
        <v>-</v>
      </c>
      <c r="F21" s="263">
        <f t="shared" si="0"/>
        <v>0</v>
      </c>
    </row>
    <row r="22" spans="1:6" ht="15" customHeight="1" x14ac:dyDescent="0.3">
      <c r="A22" s="89" t="s">
        <v>254</v>
      </c>
      <c r="B22" s="48" t="s">
        <v>255</v>
      </c>
      <c r="C22" s="49">
        <f>GETPIVOTDATA("Sum of Watch Manager",rdsroleareapivot!$A$3,"Area","East Lothian")</f>
        <v>6</v>
      </c>
      <c r="D22" s="49">
        <f>GETPIVOTDATA("Sum of Crew Manager",rdsroleareapivot!$A$3,"Area","East Lothian")</f>
        <v>13</v>
      </c>
      <c r="E22" s="49">
        <f>GETPIVOTDATA("Sum of Firefighter",rdsroleareapivot!$A$3,"Area","East Lothian")</f>
        <v>37</v>
      </c>
      <c r="F22" s="263">
        <f>SUM(C22:E22)</f>
        <v>56</v>
      </c>
    </row>
    <row r="23" spans="1:6" ht="15" customHeight="1" x14ac:dyDescent="0.3">
      <c r="A23" s="89" t="s">
        <v>258</v>
      </c>
      <c r="B23" s="48" t="s">
        <v>259</v>
      </c>
      <c r="C23" s="49" t="str">
        <f>IFERROR(GETPIVOTDATA("Sum of Watch Manager",rdsroleareapivot!$A$3,"Area","East Renfrewshire"), "-")</f>
        <v>-</v>
      </c>
      <c r="D23" s="49" t="str">
        <f>IFERROR(GETPIVOTDATA("Sum of Crew Manager",rdsroleareapivot!$A$3,"Area","East Renfrewshire"), "-")</f>
        <v>-</v>
      </c>
      <c r="E23" s="49" t="str">
        <f>IFERROR(GETPIVOTDATA("Sum of Firefighter",rdsroleareapivot!$A$3,"Area","East Renfrewshire"), "-")</f>
        <v>-</v>
      </c>
      <c r="F23" s="263">
        <f t="shared" ref="F23" si="1">SUM(C23:E23)</f>
        <v>0</v>
      </c>
    </row>
    <row r="24" spans="1:6" ht="15" customHeight="1" x14ac:dyDescent="0.3">
      <c r="A24" s="89" t="s">
        <v>262</v>
      </c>
      <c r="B24" s="48" t="s">
        <v>263</v>
      </c>
      <c r="C24" s="49">
        <f>GETPIVOTDATA("Sum of Watch Manager",rdsroleareapivot!$A$3,"Area","Falkirk")</f>
        <v>6</v>
      </c>
      <c r="D24" s="49">
        <f>GETPIVOTDATA("Sum of Crew Manager",rdsroleareapivot!$A$3,"Area","Falkirk")</f>
        <v>8</v>
      </c>
      <c r="E24" s="49">
        <f>GETPIVOTDATA("Sum of Firefighter",rdsroleareapivot!$A$3,"Area","Falkirk")</f>
        <v>46</v>
      </c>
      <c r="F24" s="263">
        <f t="shared" ref="F24:F43" si="2">SUM(C24:E24)</f>
        <v>60</v>
      </c>
    </row>
    <row r="25" spans="1:6" ht="15" customHeight="1" x14ac:dyDescent="0.3">
      <c r="A25" s="89" t="s">
        <v>266</v>
      </c>
      <c r="B25" s="48" t="s">
        <v>267</v>
      </c>
      <c r="C25" s="49">
        <f>GETPIVOTDATA("Sum of Watch Manager",rdsroleareapivot!$A$3,"Area","Fife")</f>
        <v>8</v>
      </c>
      <c r="D25" s="49">
        <f>GETPIVOTDATA("Sum of Crew Manager",rdsroleareapivot!$A$3,"Area","Fife")</f>
        <v>22</v>
      </c>
      <c r="E25" s="49">
        <f>GETPIVOTDATA("Sum of Firefighter",rdsroleareapivot!$A$3,"Area","Fife")</f>
        <v>66</v>
      </c>
      <c r="F25" s="263">
        <f t="shared" si="2"/>
        <v>96</v>
      </c>
    </row>
    <row r="26" spans="1:6" ht="15" customHeight="1" x14ac:dyDescent="0.3">
      <c r="A26" s="89" t="str">
        <f>IF(A9 = "2019-20","S12000049","S12000046")</f>
        <v>S12000046</v>
      </c>
      <c r="B26" s="48" t="s">
        <v>270</v>
      </c>
      <c r="C26" s="49" t="str">
        <f>IFERROR(GETPIVOTDATA("Sum of Watch Manager",rdsroleareapivot!$A$3,"Area","Glasgow City"), "-")</f>
        <v>-</v>
      </c>
      <c r="D26" s="49" t="str">
        <f>IFERROR(GETPIVOTDATA("Sum of Crew Manager",rdsroleareapivot!$A$3,"Area","Glasgow City"), "-")</f>
        <v>-</v>
      </c>
      <c r="E26" s="49" t="str">
        <f>IFERROR(GETPIVOTDATA("Sum of Firefighter",rdsroleareapivot!$A$3,"Area","Glasgow City"), "-")</f>
        <v>-</v>
      </c>
      <c r="F26" s="263">
        <f t="shared" si="2"/>
        <v>0</v>
      </c>
    </row>
    <row r="27" spans="1:6" ht="15" customHeight="1" x14ac:dyDescent="0.3">
      <c r="A27" s="89" t="s">
        <v>272</v>
      </c>
      <c r="B27" s="48" t="s">
        <v>273</v>
      </c>
      <c r="C27" s="49">
        <f>GETPIVOTDATA("Sum of Watch Manager",rdsroleareapivot!$A$3,"Area","Highland")</f>
        <v>48</v>
      </c>
      <c r="D27" s="49">
        <f>GETPIVOTDATA("Sum of Crew Manager",rdsroleareapivot!$A$3,"Area","Highland")</f>
        <v>98</v>
      </c>
      <c r="E27" s="49">
        <f>GETPIVOTDATA("Sum of Firefighter",rdsroleareapivot!$A$3,"Area","Highland")</f>
        <v>311</v>
      </c>
      <c r="F27" s="263">
        <f t="shared" si="2"/>
        <v>457</v>
      </c>
    </row>
    <row r="28" spans="1:6" ht="15" customHeight="1" x14ac:dyDescent="0.3">
      <c r="A28" s="89" t="s">
        <v>276</v>
      </c>
      <c r="B28" s="48" t="s">
        <v>277</v>
      </c>
      <c r="C28" s="49">
        <f>GETPIVOTDATA("Sum of Watch Manager",rdsroleareapivot!$A$3,"Area","Inverclyde")</f>
        <v>4</v>
      </c>
      <c r="D28" s="49">
        <f>GETPIVOTDATA("Sum of Crew Manager",rdsroleareapivot!$A$3,"Area","Inverclyde")</f>
        <v>7</v>
      </c>
      <c r="E28" s="49">
        <f>GETPIVOTDATA("Sum of Firefighter",rdsroleareapivot!$A$3,"Area","Inverclyde")</f>
        <v>29</v>
      </c>
      <c r="F28" s="263">
        <f t="shared" si="2"/>
        <v>40</v>
      </c>
    </row>
    <row r="29" spans="1:6" ht="15" customHeight="1" x14ac:dyDescent="0.3">
      <c r="A29" s="89" t="s">
        <v>278</v>
      </c>
      <c r="B29" s="48" t="s">
        <v>279</v>
      </c>
      <c r="C29" s="49">
        <f>GETPIVOTDATA("Sum of Watch Manager",rdsroleareapivot!$A$3,"Area","Midlothian")</f>
        <v>1</v>
      </c>
      <c r="D29" s="49">
        <f>GETPIVOTDATA("Sum of Crew Manager",rdsroleareapivot!$A$3,"Area","Midlothian")</f>
        <v>3</v>
      </c>
      <c r="E29" s="49">
        <f>GETPIVOTDATA("Sum of Firefighter",rdsroleareapivot!$A$3,"Area","Midlothian")</f>
        <v>9</v>
      </c>
      <c r="F29" s="263">
        <f t="shared" si="2"/>
        <v>13</v>
      </c>
    </row>
    <row r="30" spans="1:6" ht="15" customHeight="1" x14ac:dyDescent="0.3">
      <c r="A30" s="89" t="s">
        <v>280</v>
      </c>
      <c r="B30" s="48" t="s">
        <v>281</v>
      </c>
      <c r="C30" s="49">
        <f>GETPIVOTDATA("Sum of Watch Manager",rdsroleareapivot!$A$3,"Area","Moray")</f>
        <v>9</v>
      </c>
      <c r="D30" s="49">
        <f>GETPIVOTDATA("Sum of Crew Manager",rdsroleareapivot!$A$3,"Area","Moray")</f>
        <v>26</v>
      </c>
      <c r="E30" s="49">
        <f>GETPIVOTDATA("Sum of Firefighter",rdsroleareapivot!$A$3,"Area","Moray")</f>
        <v>70</v>
      </c>
      <c r="F30" s="263">
        <f t="shared" si="2"/>
        <v>105</v>
      </c>
    </row>
    <row r="31" spans="1:6" ht="15" customHeight="1" x14ac:dyDescent="0.3">
      <c r="A31" s="89" t="s">
        <v>282</v>
      </c>
      <c r="B31" s="48" t="s">
        <v>283</v>
      </c>
      <c r="C31" s="49">
        <f>GETPIVOTDATA("Sum of Watch Manager",rdsroleareapivot!$A$3,"Area","Na h-Eileanan Siar")</f>
        <v>14</v>
      </c>
      <c r="D31" s="49">
        <f>GETPIVOTDATA("Sum of Crew Manager",rdsroleareapivot!$A$3,"Area","Na h-Eileanan Siar")</f>
        <v>24</v>
      </c>
      <c r="E31" s="49">
        <f>GETPIVOTDATA("Sum of Firefighter",rdsroleareapivot!$A$3,"Area","Na h-Eileanan Siar")</f>
        <v>94</v>
      </c>
      <c r="F31" s="263">
        <f t="shared" si="2"/>
        <v>132</v>
      </c>
    </row>
    <row r="32" spans="1:6" ht="15" customHeight="1" x14ac:dyDescent="0.3">
      <c r="A32" s="89" t="s">
        <v>286</v>
      </c>
      <c r="B32" s="48" t="s">
        <v>287</v>
      </c>
      <c r="C32" s="49">
        <f>GETPIVOTDATA("Sum of Watch Manager",rdsroleareapivot!$A$3,"Area","North Ayrshire")</f>
        <v>10</v>
      </c>
      <c r="D32" s="49">
        <f>GETPIVOTDATA("Sum of Crew Manager",rdsroleareapivot!$A$3,"Area","North Ayrshire")</f>
        <v>14</v>
      </c>
      <c r="E32" s="49">
        <f>GETPIVOTDATA("Sum of Firefighter",rdsroleareapivot!$A$3,"Area","North Ayrshire")</f>
        <v>80</v>
      </c>
      <c r="F32" s="263">
        <f t="shared" si="2"/>
        <v>104</v>
      </c>
    </row>
    <row r="33" spans="1:9" ht="15" customHeight="1" x14ac:dyDescent="0.3">
      <c r="A33" s="89" t="str">
        <f>IF(A9="2019-20","S12000050","S12000044")</f>
        <v>S12000044</v>
      </c>
      <c r="B33" s="48" t="s">
        <v>289</v>
      </c>
      <c r="C33" s="49">
        <f>GETPIVOTDATA("Sum of Watch Manager",rdsroleareapivot!$A$3,"Area","North Lanarkshire")</f>
        <v>3</v>
      </c>
      <c r="D33" s="49">
        <f>GETPIVOTDATA("Sum of Crew Manager",rdsroleareapivot!$A$3,"Area","North Lanarkshire")</f>
        <v>5</v>
      </c>
      <c r="E33" s="49">
        <f>GETPIVOTDATA("Sum of Firefighter",rdsroleareapivot!$A$3,"Area","North Lanarkshire")</f>
        <v>23</v>
      </c>
      <c r="F33" s="263">
        <f t="shared" si="2"/>
        <v>31</v>
      </c>
    </row>
    <row r="34" spans="1:9" ht="15" customHeight="1" x14ac:dyDescent="0.3">
      <c r="A34" s="89" t="s">
        <v>291</v>
      </c>
      <c r="B34" s="48" t="s">
        <v>292</v>
      </c>
      <c r="C34" s="49">
        <f>GETPIVOTDATA("Sum of Watch Manager",rdsroleareapivot!$A$3,"Area","Orkney Islands")</f>
        <v>11</v>
      </c>
      <c r="D34" s="49">
        <f>GETPIVOTDATA("Sum of Crew Manager",rdsroleareapivot!$A$3,"Area","Orkney Islands")</f>
        <v>18</v>
      </c>
      <c r="E34" s="49">
        <f>GETPIVOTDATA("Sum of Firefighter",rdsroleareapivot!$A$3,"Area","Orkney Islands")</f>
        <v>75</v>
      </c>
      <c r="F34" s="263">
        <f t="shared" si="2"/>
        <v>104</v>
      </c>
    </row>
    <row r="35" spans="1:9" ht="15" customHeight="1" x14ac:dyDescent="0.3">
      <c r="A35" s="89" t="s">
        <v>293</v>
      </c>
      <c r="B35" s="48" t="s">
        <v>294</v>
      </c>
      <c r="C35" s="49">
        <f>GETPIVOTDATA("Sum of Watch Manager",rdsroleareapivot!$A$3,"Area","Perth and Kinross")</f>
        <v>9</v>
      </c>
      <c r="D35" s="49">
        <f>GETPIVOTDATA("Sum of Crew Manager",rdsroleareapivot!$A$3,"Area","Perth and Kinross")</f>
        <v>23</v>
      </c>
      <c r="E35" s="49">
        <f>GETPIVOTDATA("Sum of Firefighter",rdsroleareapivot!$A$3,"Area","Perth and Kinross")</f>
        <v>82</v>
      </c>
      <c r="F35" s="263">
        <f t="shared" si="2"/>
        <v>114</v>
      </c>
    </row>
    <row r="36" spans="1:9" ht="15" customHeight="1" x14ac:dyDescent="0.3">
      <c r="A36" s="89" t="s">
        <v>295</v>
      </c>
      <c r="B36" s="48" t="s">
        <v>296</v>
      </c>
      <c r="C36" s="49">
        <f>GETPIVOTDATA("Sum of Watch Manager",rdsroleareapivot!$A$3,"Area","Renfrewshire")</f>
        <v>1</v>
      </c>
      <c r="D36" s="49">
        <f>GETPIVOTDATA("Sum of Crew Manager",rdsroleareapivot!$A$3,"Area","Renfrewshire")</f>
        <v>2</v>
      </c>
      <c r="E36" s="49">
        <f>GETPIVOTDATA("Sum of Firefighter",rdsroleareapivot!$A$3,"Area","Renfrewshire")</f>
        <v>11</v>
      </c>
      <c r="F36" s="263">
        <f t="shared" si="2"/>
        <v>14</v>
      </c>
    </row>
    <row r="37" spans="1:9" ht="15" customHeight="1" x14ac:dyDescent="0.3">
      <c r="A37" s="89" t="s">
        <v>297</v>
      </c>
      <c r="B37" s="48" t="s">
        <v>298</v>
      </c>
      <c r="C37" s="49">
        <f>GETPIVOTDATA("Sum of Watch Manager",rdsroleareapivot!$A$3,"Area","Scottish Borders")</f>
        <v>14</v>
      </c>
      <c r="D37" s="49">
        <f>GETPIVOTDATA("Sum of Crew Manager",rdsroleareapivot!$A$3,"Area","Scottish Borders")</f>
        <v>29</v>
      </c>
      <c r="E37" s="49">
        <f>GETPIVOTDATA("Sum of Firefighter",rdsroleareapivot!$A$3,"Area","Scottish Borders")</f>
        <v>110</v>
      </c>
      <c r="F37" s="263">
        <f t="shared" si="2"/>
        <v>153</v>
      </c>
    </row>
    <row r="38" spans="1:9" ht="15" customHeight="1" x14ac:dyDescent="0.3">
      <c r="A38" s="89" t="s">
        <v>299</v>
      </c>
      <c r="B38" s="48" t="s">
        <v>300</v>
      </c>
      <c r="C38" s="49">
        <f>GETPIVOTDATA("Sum of Watch Manager",rdsroleareapivot!$A$3,"Area","Shetland Islands")</f>
        <v>13</v>
      </c>
      <c r="D38" s="49">
        <f>GETPIVOTDATA("Sum of Crew Manager",rdsroleareapivot!$A$3,"Area","Shetland Islands")</f>
        <v>23</v>
      </c>
      <c r="E38" s="49">
        <f>GETPIVOTDATA("Sum of Firefighter",rdsroleareapivot!$A$3,"Area","Shetland Islands")</f>
        <v>81</v>
      </c>
      <c r="F38" s="263">
        <f t="shared" si="2"/>
        <v>117</v>
      </c>
    </row>
    <row r="39" spans="1:9" ht="15" customHeight="1" x14ac:dyDescent="0.3">
      <c r="A39" s="89" t="s">
        <v>301</v>
      </c>
      <c r="B39" s="48" t="s">
        <v>302</v>
      </c>
      <c r="C39" s="49">
        <f>GETPIVOTDATA("Sum of Watch Manager",rdsroleareapivot!$A$3,"Area","South Ayrshire")</f>
        <v>5</v>
      </c>
      <c r="D39" s="49">
        <f>GETPIVOTDATA("Sum of Crew Manager",rdsroleareapivot!$A$3,"Area","South Ayrshire")</f>
        <v>6</v>
      </c>
      <c r="E39" s="49">
        <f>GETPIVOTDATA("Sum of Firefighter",rdsroleareapivot!$A$3,"Area","South Ayrshire")</f>
        <v>36</v>
      </c>
      <c r="F39" s="263">
        <f t="shared" si="2"/>
        <v>47</v>
      </c>
    </row>
    <row r="40" spans="1:9" ht="15" customHeight="1" x14ac:dyDescent="0.3">
      <c r="A40" s="89" t="s">
        <v>303</v>
      </c>
      <c r="B40" s="48" t="s">
        <v>304</v>
      </c>
      <c r="C40" s="49">
        <f>GETPIVOTDATA("Sum of Watch Manager",rdsroleareapivot!$A$3,"Area","South Lanarkshire")</f>
        <v>7</v>
      </c>
      <c r="D40" s="49">
        <f>GETPIVOTDATA("Sum of Crew Manager",rdsroleareapivot!$A$3,"Area","South Lanarkshire")</f>
        <v>14</v>
      </c>
      <c r="E40" s="49">
        <f>GETPIVOTDATA("Sum of Firefighter",rdsroleareapivot!$A$3,"Area","South Lanarkshire")</f>
        <v>61</v>
      </c>
      <c r="F40" s="263">
        <f t="shared" si="2"/>
        <v>82</v>
      </c>
    </row>
    <row r="41" spans="1:9" ht="15" customHeight="1" x14ac:dyDescent="0.3">
      <c r="A41" s="89" t="s">
        <v>306</v>
      </c>
      <c r="B41" s="48" t="s">
        <v>307</v>
      </c>
      <c r="C41" s="49">
        <f>GETPIVOTDATA("Sum of Watch Manager",rdsroleareapivot!$A$3,"Area","Stirling")</f>
        <v>7</v>
      </c>
      <c r="D41" s="49">
        <f>GETPIVOTDATA("Sum of Crew Manager",rdsroleareapivot!$A$3,"Area","Stirling")</f>
        <v>14</v>
      </c>
      <c r="E41" s="49">
        <f>GETPIVOTDATA("Sum of Firefighter",rdsroleareapivot!$A$3,"Area","Stirling")</f>
        <v>53</v>
      </c>
      <c r="F41" s="263">
        <f t="shared" si="2"/>
        <v>74</v>
      </c>
    </row>
    <row r="42" spans="1:9" ht="15" customHeight="1" x14ac:dyDescent="0.3">
      <c r="A42" s="89" t="s">
        <v>308</v>
      </c>
      <c r="B42" s="48" t="s">
        <v>309</v>
      </c>
      <c r="C42" s="49">
        <f>GETPIVOTDATA("Sum of Watch Manager",rdsroleareapivot!$A$3,"Area","West Dunbartonshire")</f>
        <v>2</v>
      </c>
      <c r="D42" s="49">
        <f>GETPIVOTDATA("Sum of Crew Manager",rdsroleareapivot!$A$3,"Area","West Dunbartonshire")</f>
        <v>3</v>
      </c>
      <c r="E42" s="49">
        <f>GETPIVOTDATA("Sum of Firefighter",rdsroleareapivot!$A$3,"Area","West Dunbartonshire")</f>
        <v>17</v>
      </c>
      <c r="F42" s="263">
        <f t="shared" si="2"/>
        <v>22</v>
      </c>
    </row>
    <row r="43" spans="1:9" ht="15" customHeight="1" x14ac:dyDescent="0.3">
      <c r="A43" s="89" t="s">
        <v>310</v>
      </c>
      <c r="B43" s="48" t="s">
        <v>311</v>
      </c>
      <c r="C43" s="49">
        <f>GETPIVOTDATA("Sum of Watch Manager",rdsroleareapivot!$A$3,"Area","West Lothian")</f>
        <v>6</v>
      </c>
      <c r="D43" s="49">
        <f>GETPIVOTDATA("Sum of Crew Manager",rdsroleareapivot!$A$3,"Area","West Lothian")</f>
        <v>10</v>
      </c>
      <c r="E43" s="49">
        <f>GETPIVOTDATA("Sum of Firefighter",rdsroleareapivot!$A$3,"Area","West Lothian")</f>
        <v>42</v>
      </c>
      <c r="F43" s="263">
        <f t="shared" si="2"/>
        <v>58</v>
      </c>
    </row>
    <row r="44" spans="1:9" ht="30" customHeight="1" thickBot="1" x14ac:dyDescent="0.35">
      <c r="A44" s="52"/>
      <c r="B44" s="52" t="s">
        <v>552</v>
      </c>
      <c r="C44" s="70">
        <f>SUM(C12:C43)</f>
        <v>257</v>
      </c>
      <c r="D44" s="70">
        <f>SUM(D12:D43)</f>
        <v>526</v>
      </c>
      <c r="E44" s="70">
        <f>SUM(E12:E43)</f>
        <v>1964</v>
      </c>
      <c r="F44" s="70">
        <f>SUM(F12:F43)</f>
        <v>2747</v>
      </c>
    </row>
    <row r="45" spans="1:9" ht="13.5" customHeight="1" x14ac:dyDescent="0.3">
      <c r="B45" s="81"/>
      <c r="C45" s="265"/>
      <c r="D45" s="265"/>
      <c r="E45" s="265"/>
      <c r="F45" s="265"/>
    </row>
    <row r="46" spans="1:9" x14ac:dyDescent="0.3">
      <c r="A46" s="348" t="s">
        <v>329</v>
      </c>
    </row>
    <row r="47" spans="1:9" x14ac:dyDescent="0.3">
      <c r="A47" t="s">
        <v>668</v>
      </c>
    </row>
    <row r="48" spans="1:9" ht="45.75" customHeight="1" x14ac:dyDescent="0.3">
      <c r="A48" s="1040" t="s">
        <v>654</v>
      </c>
      <c r="B48" s="1040"/>
      <c r="C48" s="1040"/>
      <c r="D48" s="1040"/>
      <c r="E48" s="1040"/>
      <c r="F48" s="1040"/>
      <c r="G48" s="1040"/>
      <c r="H48" s="1040"/>
      <c r="I48" s="1040"/>
    </row>
  </sheetData>
  <sheetProtection algorithmName="SHA-512" hashValue="lhObOD6dyZFzBNcJbr0RtlAwHHwANlt8w1lLYVgY3UqsZXJ/4mfrySMwfFXhgUw/KcogrRsC8tHLzyFre1PHWA==" saltValue="UsO2rZJUBmTFezKs8VOx5A==" spinCount="100000" sheet="1" scenarios="1" formatCells="0" sort="0" autoFilter="0" pivotTables="0"/>
  <mergeCells count="3">
    <mergeCell ref="A4:F4"/>
    <mergeCell ref="A1:G1"/>
    <mergeCell ref="A48:I48"/>
  </mergeCells>
  <hyperlinks>
    <hyperlink ref="A2" location="'Table of Contents'!A1" display="Back to Table of Contents" xr:uid="{00000000-0004-0000-3900-000000000000}"/>
  </hyperlinks>
  <pageMargins left="0.70866141732283472" right="0.70866141732283472" top="0.74803149606299213" bottom="0.74803149606299213" header="0.31496062992125984" footer="0.31496062992125984"/>
  <pageSetup paperSize="9" scale="93" orientation="portrait" r:id="rId1"/>
  <drawing r:id="rId2"/>
  <extLst>
    <ext xmlns:x14="http://schemas.microsoft.com/office/spreadsheetml/2009/9/main" uri="{A8765BA9-456A-4dab-B4F3-ACF838C121DE}">
      <x14:slicerList>
        <x14:slicer r:id="rId3"/>
      </x14:slicerList>
    </ext>
  </extLst>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tabColor theme="9" tint="0.39997558519241921"/>
  </sheetPr>
  <dimension ref="A1:G5"/>
  <sheetViews>
    <sheetView workbookViewId="0">
      <selection activeCell="C4" sqref="C4"/>
    </sheetView>
  </sheetViews>
  <sheetFormatPr defaultRowHeight="14.4" x14ac:dyDescent="0.3"/>
  <cols>
    <col min="1" max="1" width="12.77734375" bestFit="1" customWidth="1"/>
    <col min="2" max="2" width="19.6640625" bestFit="1" customWidth="1"/>
    <col min="3" max="3" width="21.21875" bestFit="1" customWidth="1"/>
    <col min="4" max="4" width="21.88671875" bestFit="1" customWidth="1"/>
    <col min="5" max="5" width="21.33203125" bestFit="1" customWidth="1"/>
    <col min="6" max="6" width="20.109375" bestFit="1" customWidth="1"/>
    <col min="7" max="7" width="22.33203125" bestFit="1" customWidth="1"/>
  </cols>
  <sheetData>
    <row r="1" spans="1:7" x14ac:dyDescent="0.3">
      <c r="A1" s="386" t="s">
        <v>208</v>
      </c>
      <c r="B1" t="s">
        <v>412</v>
      </c>
    </row>
    <row r="3" spans="1:7" x14ac:dyDescent="0.3">
      <c r="A3" s="386" t="s">
        <v>350</v>
      </c>
      <c r="B3" t="s">
        <v>631</v>
      </c>
      <c r="C3" t="s">
        <v>632</v>
      </c>
      <c r="D3" t="s">
        <v>633</v>
      </c>
      <c r="E3" t="s">
        <v>634</v>
      </c>
      <c r="F3" t="s">
        <v>635</v>
      </c>
      <c r="G3" t="s">
        <v>669</v>
      </c>
    </row>
    <row r="4" spans="1:7" x14ac:dyDescent="0.3">
      <c r="A4" s="387" t="s">
        <v>545</v>
      </c>
      <c r="B4">
        <v>0</v>
      </c>
      <c r="C4">
        <v>3</v>
      </c>
      <c r="D4">
        <v>6</v>
      </c>
      <c r="E4">
        <v>24</v>
      </c>
      <c r="F4">
        <v>42</v>
      </c>
      <c r="G4">
        <v>100</v>
      </c>
    </row>
    <row r="5" spans="1:7" x14ac:dyDescent="0.3">
      <c r="A5" s="387" t="s">
        <v>357</v>
      </c>
      <c r="B5">
        <v>0</v>
      </c>
      <c r="C5">
        <v>3</v>
      </c>
      <c r="D5">
        <v>6</v>
      </c>
      <c r="E5">
        <v>24</v>
      </c>
      <c r="F5">
        <v>42</v>
      </c>
      <c r="G5">
        <v>100</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tabColor theme="9" tint="0.39997558519241921"/>
  </sheetPr>
  <dimension ref="A1:I14"/>
  <sheetViews>
    <sheetView workbookViewId="0">
      <selection activeCell="F19" sqref="F19"/>
    </sheetView>
  </sheetViews>
  <sheetFormatPr defaultRowHeight="14.4" x14ac:dyDescent="0.3"/>
  <cols>
    <col min="1" max="1" width="7.6640625" bestFit="1" customWidth="1"/>
    <col min="2" max="2" width="8.33203125" bestFit="1" customWidth="1"/>
    <col min="3" max="3" width="11.33203125" bestFit="1" customWidth="1"/>
    <col min="4" max="4" width="15.44140625" bestFit="1" customWidth="1"/>
    <col min="5" max="5" width="16.77734375" bestFit="1" customWidth="1"/>
    <col min="6" max="6" width="17.44140625" bestFit="1" customWidth="1"/>
    <col min="7" max="7" width="16.88671875" bestFit="1" customWidth="1"/>
    <col min="8" max="8" width="15.77734375" bestFit="1" customWidth="1"/>
    <col min="9" max="9" width="17.88671875" bestFit="1" customWidth="1"/>
    <col min="10" max="10" width="17.5546875" bestFit="1" customWidth="1"/>
  </cols>
  <sheetData>
    <row r="1" spans="1:9" x14ac:dyDescent="0.3">
      <c r="A1" t="s">
        <v>208</v>
      </c>
      <c r="B1" t="s">
        <v>550</v>
      </c>
      <c r="C1" t="s">
        <v>556</v>
      </c>
      <c r="D1" t="s">
        <v>622</v>
      </c>
      <c r="E1" t="s">
        <v>623</v>
      </c>
      <c r="F1" t="s">
        <v>624</v>
      </c>
      <c r="G1" t="s">
        <v>625</v>
      </c>
      <c r="H1" t="s">
        <v>626</v>
      </c>
      <c r="I1" t="s">
        <v>670</v>
      </c>
    </row>
    <row r="2" spans="1:9" x14ac:dyDescent="0.3">
      <c r="A2" t="s">
        <v>364</v>
      </c>
      <c r="B2" t="s">
        <v>545</v>
      </c>
      <c r="C2" t="s">
        <v>549</v>
      </c>
      <c r="D2">
        <v>0</v>
      </c>
      <c r="E2">
        <v>52</v>
      </c>
      <c r="F2">
        <v>103</v>
      </c>
      <c r="G2">
        <v>5</v>
      </c>
      <c r="H2">
        <v>11</v>
      </c>
      <c r="I2">
        <v>52</v>
      </c>
    </row>
    <row r="3" spans="1:9" x14ac:dyDescent="0.3">
      <c r="A3" t="s">
        <v>365</v>
      </c>
      <c r="B3" t="s">
        <v>545</v>
      </c>
      <c r="C3" t="s">
        <v>549</v>
      </c>
      <c r="D3">
        <v>0</v>
      </c>
      <c r="E3">
        <v>52</v>
      </c>
      <c r="F3">
        <v>110</v>
      </c>
      <c r="G3">
        <v>5</v>
      </c>
      <c r="H3">
        <v>13</v>
      </c>
      <c r="I3">
        <v>50</v>
      </c>
    </row>
    <row r="4" spans="1:9" x14ac:dyDescent="0.3">
      <c r="A4" t="s">
        <v>366</v>
      </c>
      <c r="B4" t="s">
        <v>545</v>
      </c>
      <c r="C4" t="s">
        <v>549</v>
      </c>
      <c r="D4">
        <v>0</v>
      </c>
      <c r="E4">
        <v>44</v>
      </c>
      <c r="F4">
        <v>95</v>
      </c>
      <c r="G4">
        <v>6</v>
      </c>
      <c r="H4">
        <v>7</v>
      </c>
      <c r="I4">
        <v>51</v>
      </c>
    </row>
    <row r="5" spans="1:9" x14ac:dyDescent="0.3">
      <c r="A5" t="s">
        <v>341</v>
      </c>
      <c r="B5" t="s">
        <v>545</v>
      </c>
      <c r="C5" t="s">
        <v>549</v>
      </c>
      <c r="D5">
        <v>0</v>
      </c>
      <c r="E5">
        <v>31</v>
      </c>
      <c r="F5">
        <v>80</v>
      </c>
      <c r="G5">
        <v>5</v>
      </c>
      <c r="H5">
        <v>8</v>
      </c>
      <c r="I5">
        <v>41</v>
      </c>
    </row>
    <row r="6" spans="1:9" x14ac:dyDescent="0.3">
      <c r="A6" t="s">
        <v>342</v>
      </c>
      <c r="B6" t="s">
        <v>545</v>
      </c>
      <c r="C6" t="s">
        <v>549</v>
      </c>
      <c r="D6">
        <v>0</v>
      </c>
      <c r="E6">
        <v>27</v>
      </c>
      <c r="F6">
        <v>106</v>
      </c>
      <c r="G6">
        <v>5</v>
      </c>
      <c r="H6">
        <v>8</v>
      </c>
      <c r="I6">
        <v>43</v>
      </c>
    </row>
    <row r="7" spans="1:9" x14ac:dyDescent="0.3">
      <c r="A7" t="s">
        <v>213</v>
      </c>
      <c r="B7" t="s">
        <v>545</v>
      </c>
      <c r="C7" t="s">
        <v>549</v>
      </c>
      <c r="D7">
        <v>1</v>
      </c>
      <c r="E7">
        <v>4</v>
      </c>
      <c r="F7">
        <v>9</v>
      </c>
      <c r="G7">
        <v>42</v>
      </c>
      <c r="H7">
        <v>27</v>
      </c>
      <c r="I7">
        <v>124</v>
      </c>
    </row>
    <row r="8" spans="1:9" x14ac:dyDescent="0.3">
      <c r="A8" t="s">
        <v>312</v>
      </c>
      <c r="B8" t="s">
        <v>545</v>
      </c>
      <c r="C8" t="s">
        <v>549</v>
      </c>
      <c r="D8">
        <v>1</v>
      </c>
      <c r="E8">
        <v>4</v>
      </c>
      <c r="F8">
        <v>8</v>
      </c>
      <c r="G8">
        <v>45</v>
      </c>
      <c r="H8">
        <v>26</v>
      </c>
      <c r="I8">
        <v>104</v>
      </c>
    </row>
    <row r="9" spans="1:9" x14ac:dyDescent="0.3">
      <c r="A9" t="s">
        <v>318</v>
      </c>
      <c r="B9" t="s">
        <v>545</v>
      </c>
      <c r="C9" t="s">
        <v>549</v>
      </c>
      <c r="D9">
        <v>1</v>
      </c>
      <c r="E9">
        <v>4</v>
      </c>
      <c r="F9">
        <v>10</v>
      </c>
      <c r="G9">
        <v>41</v>
      </c>
      <c r="H9">
        <v>31</v>
      </c>
      <c r="I9">
        <v>95</v>
      </c>
    </row>
    <row r="10" spans="1:9" x14ac:dyDescent="0.3">
      <c r="A10" t="s">
        <v>320</v>
      </c>
      <c r="B10" t="s">
        <v>545</v>
      </c>
      <c r="C10" t="s">
        <v>549</v>
      </c>
      <c r="D10">
        <v>1</v>
      </c>
      <c r="E10">
        <v>4</v>
      </c>
      <c r="F10">
        <v>10</v>
      </c>
      <c r="G10">
        <v>42</v>
      </c>
      <c r="H10">
        <v>27</v>
      </c>
      <c r="I10">
        <v>90</v>
      </c>
    </row>
    <row r="11" spans="1:9" x14ac:dyDescent="0.3">
      <c r="A11" t="s">
        <v>325</v>
      </c>
      <c r="B11" t="s">
        <v>545</v>
      </c>
      <c r="C11" t="s">
        <v>549</v>
      </c>
      <c r="D11">
        <v>1</v>
      </c>
      <c r="E11">
        <v>4</v>
      </c>
      <c r="F11">
        <v>10</v>
      </c>
      <c r="G11">
        <v>37</v>
      </c>
      <c r="H11">
        <v>29</v>
      </c>
      <c r="I11">
        <v>91</v>
      </c>
    </row>
    <row r="12" spans="1:9" x14ac:dyDescent="0.3">
      <c r="A12" t="s">
        <v>326</v>
      </c>
      <c r="B12" t="s">
        <v>545</v>
      </c>
      <c r="C12" t="s">
        <v>549</v>
      </c>
      <c r="D12">
        <v>1</v>
      </c>
      <c r="E12">
        <v>4</v>
      </c>
      <c r="F12">
        <v>9</v>
      </c>
      <c r="G12">
        <v>40</v>
      </c>
      <c r="H12">
        <v>26</v>
      </c>
      <c r="I12">
        <v>91</v>
      </c>
    </row>
    <row r="13" spans="1:9" x14ac:dyDescent="0.3">
      <c r="A13" t="s">
        <v>328</v>
      </c>
      <c r="B13" t="s">
        <v>545</v>
      </c>
      <c r="C13" t="s">
        <v>549</v>
      </c>
      <c r="D13">
        <v>1</v>
      </c>
      <c r="E13">
        <v>2</v>
      </c>
      <c r="F13">
        <v>8</v>
      </c>
      <c r="G13">
        <v>37</v>
      </c>
      <c r="H13">
        <v>28</v>
      </c>
      <c r="I13">
        <v>95</v>
      </c>
    </row>
    <row r="14" spans="1:9" x14ac:dyDescent="0.3">
      <c r="A14" t="s">
        <v>412</v>
      </c>
      <c r="B14" t="s">
        <v>545</v>
      </c>
      <c r="C14" t="s">
        <v>549</v>
      </c>
      <c r="D14">
        <v>0</v>
      </c>
      <c r="E14">
        <v>3</v>
      </c>
      <c r="F14">
        <v>6</v>
      </c>
      <c r="G14">
        <v>24</v>
      </c>
      <c r="H14">
        <v>42</v>
      </c>
      <c r="I14">
        <v>100</v>
      </c>
    </row>
  </sheetData>
  <pageMargins left="0.7" right="0.7" top="0.75" bottom="0.75" header="0.3" footer="0.3"/>
  <tableParts count="1">
    <tablePart r:id="rId1"/>
  </tableParts>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tabColor theme="9" tint="0.39997558519241921"/>
  </sheetPr>
  <dimension ref="A1:I12"/>
  <sheetViews>
    <sheetView workbookViewId="0">
      <selection activeCell="C7" sqref="C7"/>
    </sheetView>
  </sheetViews>
  <sheetFormatPr defaultRowHeight="14.4" x14ac:dyDescent="0.3"/>
  <cols>
    <col min="1" max="1" width="14.6640625" bestFit="1" customWidth="1"/>
    <col min="2" max="2" width="14.44140625" bestFit="1" customWidth="1"/>
    <col min="3" max="3" width="22.109375" bestFit="1" customWidth="1"/>
    <col min="4" max="4" width="18.5546875" bestFit="1" customWidth="1"/>
    <col min="5" max="5" width="18.33203125" bestFit="1" customWidth="1"/>
    <col min="6" max="6" width="24.44140625" bestFit="1" customWidth="1"/>
    <col min="7" max="7" width="18.88671875" bestFit="1" customWidth="1"/>
    <col min="8" max="8" width="20.5546875" bestFit="1" customWidth="1"/>
    <col min="9" max="9" width="11.6640625" bestFit="1" customWidth="1"/>
  </cols>
  <sheetData>
    <row r="1" spans="1:9" x14ac:dyDescent="0.3">
      <c r="A1" s="386" t="s">
        <v>208</v>
      </c>
      <c r="B1" t="s">
        <v>412</v>
      </c>
    </row>
    <row r="3" spans="1:9" x14ac:dyDescent="0.3">
      <c r="A3" s="386" t="s">
        <v>350</v>
      </c>
      <c r="B3" t="s">
        <v>671</v>
      </c>
      <c r="C3" t="s">
        <v>672</v>
      </c>
      <c r="D3" t="s">
        <v>673</v>
      </c>
      <c r="E3" t="s">
        <v>674</v>
      </c>
      <c r="F3" t="s">
        <v>675</v>
      </c>
      <c r="G3" t="s">
        <v>676</v>
      </c>
      <c r="H3" t="s">
        <v>677</v>
      </c>
      <c r="I3" t="s">
        <v>356</v>
      </c>
    </row>
    <row r="4" spans="1:9" x14ac:dyDescent="0.3">
      <c r="A4" s="387" t="s">
        <v>542</v>
      </c>
    </row>
    <row r="5" spans="1:9" x14ac:dyDescent="0.3">
      <c r="A5" s="388" t="s">
        <v>238</v>
      </c>
      <c r="C5">
        <v>0</v>
      </c>
      <c r="D5">
        <v>0</v>
      </c>
      <c r="E5">
        <v>0</v>
      </c>
      <c r="F5">
        <v>0</v>
      </c>
      <c r="G5">
        <v>0</v>
      </c>
      <c r="H5">
        <v>0</v>
      </c>
      <c r="I5">
        <v>0</v>
      </c>
    </row>
    <row r="6" spans="1:9" x14ac:dyDescent="0.3">
      <c r="A6" s="388" t="s">
        <v>218</v>
      </c>
      <c r="C6">
        <v>0</v>
      </c>
      <c r="D6">
        <v>0</v>
      </c>
      <c r="E6">
        <v>0</v>
      </c>
      <c r="F6">
        <v>0</v>
      </c>
      <c r="G6">
        <v>0</v>
      </c>
      <c r="H6">
        <v>0</v>
      </c>
      <c r="I6">
        <v>0</v>
      </c>
    </row>
    <row r="7" spans="1:9" x14ac:dyDescent="0.3">
      <c r="A7" s="388" t="s">
        <v>232</v>
      </c>
      <c r="C7">
        <v>0</v>
      </c>
      <c r="D7">
        <v>0</v>
      </c>
      <c r="E7">
        <v>0</v>
      </c>
      <c r="F7">
        <v>0</v>
      </c>
      <c r="G7">
        <v>0</v>
      </c>
      <c r="H7">
        <v>0</v>
      </c>
      <c r="I7">
        <v>0</v>
      </c>
    </row>
    <row r="8" spans="1:9" x14ac:dyDescent="0.3">
      <c r="A8" s="387" t="s">
        <v>543</v>
      </c>
      <c r="C8">
        <v>0</v>
      </c>
      <c r="D8">
        <v>0</v>
      </c>
      <c r="E8">
        <v>0</v>
      </c>
      <c r="F8">
        <v>0</v>
      </c>
      <c r="G8">
        <v>0</v>
      </c>
      <c r="H8">
        <v>0</v>
      </c>
      <c r="I8">
        <v>0</v>
      </c>
    </row>
    <row r="9" spans="1:9" x14ac:dyDescent="0.3">
      <c r="A9" s="387" t="s">
        <v>544</v>
      </c>
    </row>
    <row r="10" spans="1:9" x14ac:dyDescent="0.3">
      <c r="A10" s="388" t="s">
        <v>545</v>
      </c>
      <c r="B10">
        <v>3</v>
      </c>
      <c r="C10">
        <v>101</v>
      </c>
      <c r="D10">
        <v>45</v>
      </c>
      <c r="E10">
        <v>87</v>
      </c>
      <c r="F10">
        <v>484</v>
      </c>
      <c r="G10">
        <v>63</v>
      </c>
      <c r="H10">
        <v>139</v>
      </c>
      <c r="I10">
        <v>922</v>
      </c>
    </row>
    <row r="11" spans="1:9" x14ac:dyDescent="0.3">
      <c r="A11" s="387" t="s">
        <v>546</v>
      </c>
      <c r="B11">
        <v>3</v>
      </c>
      <c r="C11">
        <v>101</v>
      </c>
      <c r="D11">
        <v>45</v>
      </c>
      <c r="E11">
        <v>87</v>
      </c>
      <c r="F11">
        <v>484</v>
      </c>
      <c r="G11">
        <v>63</v>
      </c>
      <c r="H11">
        <v>139</v>
      </c>
      <c r="I11">
        <v>922</v>
      </c>
    </row>
    <row r="12" spans="1:9" x14ac:dyDescent="0.3">
      <c r="A12" s="387" t="s">
        <v>357</v>
      </c>
      <c r="B12">
        <v>3</v>
      </c>
      <c r="C12">
        <v>101</v>
      </c>
      <c r="D12">
        <v>45</v>
      </c>
      <c r="E12">
        <v>87</v>
      </c>
      <c r="F12">
        <v>484</v>
      </c>
      <c r="G12">
        <v>63</v>
      </c>
      <c r="H12">
        <v>139</v>
      </c>
      <c r="I12">
        <v>922</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tabColor theme="9" tint="0.39997558519241921"/>
  </sheetPr>
  <dimension ref="A1:L53"/>
  <sheetViews>
    <sheetView topLeftCell="A2" workbookViewId="0">
      <selection activeCell="F16" sqref="F16"/>
    </sheetView>
  </sheetViews>
  <sheetFormatPr defaultRowHeight="14.4" x14ac:dyDescent="0.3"/>
  <cols>
    <col min="1" max="1" width="7.6640625" bestFit="1" customWidth="1"/>
    <col min="2" max="2" width="16.33203125" bestFit="1" customWidth="1"/>
    <col min="3" max="3" width="9.88671875" bestFit="1" customWidth="1"/>
    <col min="4" max="4" width="8.33203125" bestFit="1" customWidth="1"/>
    <col min="5" max="5" width="7.44140625" bestFit="1" customWidth="1"/>
    <col min="6" max="6" width="10.109375" bestFit="1" customWidth="1"/>
    <col min="7" max="7" width="17.6640625" bestFit="1" customWidth="1"/>
    <col min="8" max="8" width="14.109375" bestFit="1" customWidth="1"/>
    <col min="9" max="9" width="13.88671875" bestFit="1" customWidth="1"/>
    <col min="10" max="10" width="20.109375" bestFit="1" customWidth="1"/>
    <col min="11" max="11" width="14.44140625" bestFit="1" customWidth="1"/>
    <col min="12" max="12" width="16.21875" bestFit="1" customWidth="1"/>
  </cols>
  <sheetData>
    <row r="1" spans="1:12" x14ac:dyDescent="0.3">
      <c r="A1" t="s">
        <v>208</v>
      </c>
      <c r="B1" t="s">
        <v>547</v>
      </c>
      <c r="C1" t="s">
        <v>25</v>
      </c>
      <c r="D1" t="s">
        <v>548</v>
      </c>
      <c r="E1" t="s">
        <v>340</v>
      </c>
      <c r="F1" t="s">
        <v>678</v>
      </c>
      <c r="G1" t="s">
        <v>679</v>
      </c>
      <c r="H1" t="s">
        <v>680</v>
      </c>
      <c r="I1" t="s">
        <v>681</v>
      </c>
      <c r="J1" t="s">
        <v>682</v>
      </c>
      <c r="K1" t="s">
        <v>683</v>
      </c>
      <c r="L1" t="s">
        <v>684</v>
      </c>
    </row>
    <row r="2" spans="1:12" x14ac:dyDescent="0.3">
      <c r="A2" t="s">
        <v>364</v>
      </c>
      <c r="B2" t="s">
        <v>544</v>
      </c>
      <c r="C2" t="s">
        <v>231</v>
      </c>
      <c r="D2" t="s">
        <v>545</v>
      </c>
      <c r="E2">
        <v>416</v>
      </c>
      <c r="G2">
        <v>4</v>
      </c>
      <c r="H2">
        <v>4</v>
      </c>
      <c r="I2">
        <v>8</v>
      </c>
      <c r="J2">
        <v>107</v>
      </c>
      <c r="K2">
        <v>149</v>
      </c>
      <c r="L2">
        <v>144</v>
      </c>
    </row>
    <row r="3" spans="1:12" x14ac:dyDescent="0.3">
      <c r="A3" t="s">
        <v>364</v>
      </c>
      <c r="B3" t="s">
        <v>544</v>
      </c>
      <c r="C3" t="s">
        <v>237</v>
      </c>
      <c r="D3" t="s">
        <v>545</v>
      </c>
      <c r="E3">
        <v>175</v>
      </c>
      <c r="G3">
        <v>6</v>
      </c>
      <c r="H3">
        <v>2</v>
      </c>
      <c r="I3">
        <v>7</v>
      </c>
      <c r="J3">
        <v>46</v>
      </c>
      <c r="K3">
        <v>66</v>
      </c>
      <c r="L3">
        <v>48</v>
      </c>
    </row>
    <row r="4" spans="1:12" x14ac:dyDescent="0.3">
      <c r="A4" t="s">
        <v>364</v>
      </c>
      <c r="B4" t="s">
        <v>544</v>
      </c>
      <c r="C4" t="s">
        <v>217</v>
      </c>
      <c r="D4" t="s">
        <v>545</v>
      </c>
      <c r="E4">
        <v>133</v>
      </c>
      <c r="G4">
        <v>4</v>
      </c>
      <c r="H4">
        <v>5</v>
      </c>
      <c r="I4">
        <v>6</v>
      </c>
      <c r="J4">
        <v>59</v>
      </c>
      <c r="K4">
        <v>19</v>
      </c>
      <c r="L4">
        <v>40</v>
      </c>
    </row>
    <row r="5" spans="1:12" x14ac:dyDescent="0.3">
      <c r="A5" t="s">
        <v>364</v>
      </c>
      <c r="B5" t="s">
        <v>544</v>
      </c>
      <c r="C5" t="s">
        <v>549</v>
      </c>
      <c r="D5" t="s">
        <v>545</v>
      </c>
      <c r="E5">
        <v>237</v>
      </c>
      <c r="G5">
        <v>56</v>
      </c>
      <c r="H5">
        <v>9</v>
      </c>
      <c r="I5">
        <v>24</v>
      </c>
      <c r="J5">
        <v>102</v>
      </c>
      <c r="K5">
        <v>0</v>
      </c>
      <c r="L5">
        <v>46</v>
      </c>
    </row>
    <row r="6" spans="1:12" x14ac:dyDescent="0.3">
      <c r="A6" t="s">
        <v>365</v>
      </c>
      <c r="B6" t="s">
        <v>544</v>
      </c>
      <c r="C6" t="s">
        <v>231</v>
      </c>
      <c r="D6" t="s">
        <v>545</v>
      </c>
      <c r="E6">
        <v>340</v>
      </c>
      <c r="G6">
        <v>3</v>
      </c>
      <c r="H6">
        <v>9</v>
      </c>
      <c r="I6">
        <v>14</v>
      </c>
      <c r="J6">
        <v>113</v>
      </c>
      <c r="K6">
        <v>109</v>
      </c>
      <c r="L6">
        <v>92</v>
      </c>
    </row>
    <row r="7" spans="1:12" x14ac:dyDescent="0.3">
      <c r="A7" t="s">
        <v>365</v>
      </c>
      <c r="B7" t="s">
        <v>544</v>
      </c>
      <c r="C7" t="s">
        <v>237</v>
      </c>
      <c r="D7" t="s">
        <v>545</v>
      </c>
      <c r="E7">
        <v>163</v>
      </c>
      <c r="G7">
        <v>3</v>
      </c>
      <c r="H7">
        <v>7</v>
      </c>
      <c r="I7">
        <v>12</v>
      </c>
      <c r="J7">
        <v>48</v>
      </c>
      <c r="K7">
        <v>65</v>
      </c>
      <c r="L7">
        <v>28</v>
      </c>
    </row>
    <row r="8" spans="1:12" x14ac:dyDescent="0.3">
      <c r="A8" t="s">
        <v>365</v>
      </c>
      <c r="B8" t="s">
        <v>544</v>
      </c>
      <c r="C8" t="s">
        <v>217</v>
      </c>
      <c r="D8" t="s">
        <v>545</v>
      </c>
      <c r="E8">
        <v>126</v>
      </c>
      <c r="G8">
        <v>3</v>
      </c>
      <c r="H8">
        <v>7</v>
      </c>
      <c r="I8">
        <v>6</v>
      </c>
      <c r="J8">
        <v>64</v>
      </c>
      <c r="K8">
        <v>19</v>
      </c>
      <c r="L8">
        <v>27</v>
      </c>
    </row>
    <row r="9" spans="1:12" x14ac:dyDescent="0.3">
      <c r="A9" t="s">
        <v>365</v>
      </c>
      <c r="B9" t="s">
        <v>544</v>
      </c>
      <c r="C9" t="s">
        <v>549</v>
      </c>
      <c r="D9" t="s">
        <v>545</v>
      </c>
      <c r="E9">
        <v>238</v>
      </c>
      <c r="F9">
        <v>2</v>
      </c>
      <c r="G9">
        <v>35</v>
      </c>
      <c r="H9">
        <v>13</v>
      </c>
      <c r="I9">
        <v>27</v>
      </c>
      <c r="J9">
        <v>112</v>
      </c>
      <c r="K9">
        <v>0</v>
      </c>
      <c r="L9">
        <v>49</v>
      </c>
    </row>
    <row r="10" spans="1:12" x14ac:dyDescent="0.3">
      <c r="A10" t="s">
        <v>366</v>
      </c>
      <c r="B10" t="s">
        <v>544</v>
      </c>
      <c r="C10" t="s">
        <v>231</v>
      </c>
      <c r="D10" t="s">
        <v>545</v>
      </c>
      <c r="E10">
        <v>286</v>
      </c>
      <c r="G10">
        <v>2</v>
      </c>
      <c r="H10">
        <v>10</v>
      </c>
      <c r="I10">
        <v>15</v>
      </c>
      <c r="J10">
        <v>110</v>
      </c>
      <c r="K10">
        <v>84</v>
      </c>
      <c r="L10">
        <v>65</v>
      </c>
    </row>
    <row r="11" spans="1:12" x14ac:dyDescent="0.3">
      <c r="A11" t="s">
        <v>366</v>
      </c>
      <c r="B11" t="s">
        <v>544</v>
      </c>
      <c r="C11" t="s">
        <v>237</v>
      </c>
      <c r="D11" t="s">
        <v>545</v>
      </c>
      <c r="E11">
        <v>124</v>
      </c>
      <c r="G11">
        <v>3</v>
      </c>
      <c r="H11">
        <v>5</v>
      </c>
      <c r="I11">
        <v>13</v>
      </c>
      <c r="J11">
        <v>35</v>
      </c>
      <c r="K11">
        <v>56</v>
      </c>
      <c r="L11">
        <v>12</v>
      </c>
    </row>
    <row r="12" spans="1:12" x14ac:dyDescent="0.3">
      <c r="A12" t="s">
        <v>366</v>
      </c>
      <c r="B12" t="s">
        <v>544</v>
      </c>
      <c r="C12" t="s">
        <v>217</v>
      </c>
      <c r="D12" t="s">
        <v>545</v>
      </c>
      <c r="E12">
        <v>121</v>
      </c>
      <c r="G12">
        <v>3</v>
      </c>
      <c r="H12">
        <v>7</v>
      </c>
      <c r="I12">
        <v>11</v>
      </c>
      <c r="J12">
        <v>61</v>
      </c>
      <c r="K12">
        <v>20</v>
      </c>
      <c r="L12">
        <v>19</v>
      </c>
    </row>
    <row r="13" spans="1:12" x14ac:dyDescent="0.3">
      <c r="A13" t="s">
        <v>366</v>
      </c>
      <c r="B13" t="s">
        <v>544</v>
      </c>
      <c r="C13" t="s">
        <v>549</v>
      </c>
      <c r="D13" t="s">
        <v>545</v>
      </c>
      <c r="E13">
        <v>297</v>
      </c>
      <c r="F13">
        <v>3</v>
      </c>
      <c r="G13">
        <v>32</v>
      </c>
      <c r="H13">
        <v>12</v>
      </c>
      <c r="I13">
        <v>35</v>
      </c>
      <c r="J13">
        <v>110</v>
      </c>
      <c r="K13">
        <v>7</v>
      </c>
      <c r="L13">
        <v>98</v>
      </c>
    </row>
    <row r="14" spans="1:12" x14ac:dyDescent="0.3">
      <c r="A14" t="s">
        <v>341</v>
      </c>
      <c r="B14" t="s">
        <v>544</v>
      </c>
      <c r="C14" t="s">
        <v>231</v>
      </c>
      <c r="D14" t="s">
        <v>545</v>
      </c>
      <c r="E14">
        <v>294</v>
      </c>
      <c r="G14">
        <v>2</v>
      </c>
      <c r="H14">
        <v>10</v>
      </c>
      <c r="I14">
        <v>15</v>
      </c>
      <c r="J14">
        <v>120</v>
      </c>
      <c r="K14">
        <v>89</v>
      </c>
      <c r="L14">
        <v>58</v>
      </c>
    </row>
    <row r="15" spans="1:12" x14ac:dyDescent="0.3">
      <c r="A15" t="s">
        <v>341</v>
      </c>
      <c r="B15" t="s">
        <v>544</v>
      </c>
      <c r="C15" t="s">
        <v>237</v>
      </c>
      <c r="D15" t="s">
        <v>545</v>
      </c>
      <c r="E15">
        <v>142</v>
      </c>
      <c r="G15">
        <v>3</v>
      </c>
      <c r="H15">
        <v>5</v>
      </c>
      <c r="I15">
        <v>13</v>
      </c>
      <c r="J15">
        <v>48</v>
      </c>
      <c r="K15">
        <v>54</v>
      </c>
      <c r="L15">
        <v>19</v>
      </c>
    </row>
    <row r="16" spans="1:12" x14ac:dyDescent="0.3">
      <c r="A16" t="s">
        <v>341</v>
      </c>
      <c r="B16" t="s">
        <v>544</v>
      </c>
      <c r="C16" t="s">
        <v>217</v>
      </c>
      <c r="D16" t="s">
        <v>545</v>
      </c>
      <c r="E16">
        <v>135</v>
      </c>
      <c r="G16">
        <v>3</v>
      </c>
      <c r="H16">
        <v>7</v>
      </c>
      <c r="I16">
        <v>12</v>
      </c>
      <c r="J16">
        <v>75</v>
      </c>
      <c r="K16">
        <v>14</v>
      </c>
      <c r="L16">
        <v>24</v>
      </c>
    </row>
    <row r="17" spans="1:12" x14ac:dyDescent="0.3">
      <c r="A17" t="s">
        <v>341</v>
      </c>
      <c r="B17" t="s">
        <v>544</v>
      </c>
      <c r="C17" t="s">
        <v>549</v>
      </c>
      <c r="D17" t="s">
        <v>545</v>
      </c>
      <c r="E17">
        <v>267</v>
      </c>
      <c r="F17">
        <v>3</v>
      </c>
      <c r="G17">
        <v>34</v>
      </c>
      <c r="H17">
        <v>12</v>
      </c>
      <c r="I17">
        <v>38</v>
      </c>
      <c r="J17">
        <v>103</v>
      </c>
      <c r="K17">
        <v>8</v>
      </c>
      <c r="L17">
        <v>69</v>
      </c>
    </row>
    <row r="18" spans="1:12" x14ac:dyDescent="0.3">
      <c r="A18" t="s">
        <v>342</v>
      </c>
      <c r="B18" t="s">
        <v>544</v>
      </c>
      <c r="C18" t="s">
        <v>231</v>
      </c>
      <c r="D18" t="s">
        <v>545</v>
      </c>
      <c r="E18">
        <v>300</v>
      </c>
      <c r="G18">
        <v>2</v>
      </c>
      <c r="H18">
        <v>10</v>
      </c>
      <c r="I18">
        <v>16</v>
      </c>
      <c r="J18">
        <v>133</v>
      </c>
      <c r="K18">
        <v>82</v>
      </c>
      <c r="L18">
        <v>57</v>
      </c>
    </row>
    <row r="19" spans="1:12" x14ac:dyDescent="0.3">
      <c r="A19" t="s">
        <v>342</v>
      </c>
      <c r="B19" t="s">
        <v>544</v>
      </c>
      <c r="C19" t="s">
        <v>237</v>
      </c>
      <c r="D19" t="s">
        <v>545</v>
      </c>
      <c r="E19">
        <v>128</v>
      </c>
      <c r="G19">
        <v>3</v>
      </c>
      <c r="H19">
        <v>3</v>
      </c>
      <c r="I19">
        <v>11</v>
      </c>
      <c r="J19">
        <v>45</v>
      </c>
      <c r="K19">
        <v>49</v>
      </c>
      <c r="L19">
        <v>17</v>
      </c>
    </row>
    <row r="20" spans="1:12" x14ac:dyDescent="0.3">
      <c r="A20" t="s">
        <v>342</v>
      </c>
      <c r="B20" t="s">
        <v>544</v>
      </c>
      <c r="C20" t="s">
        <v>217</v>
      </c>
      <c r="D20" t="s">
        <v>545</v>
      </c>
      <c r="E20">
        <v>141</v>
      </c>
      <c r="G20">
        <v>3</v>
      </c>
      <c r="H20">
        <v>8</v>
      </c>
      <c r="I20">
        <v>11</v>
      </c>
      <c r="J20">
        <v>81</v>
      </c>
      <c r="K20">
        <v>15</v>
      </c>
      <c r="L20">
        <v>23</v>
      </c>
    </row>
    <row r="21" spans="1:12" x14ac:dyDescent="0.3">
      <c r="A21" t="s">
        <v>342</v>
      </c>
      <c r="B21" t="s">
        <v>544</v>
      </c>
      <c r="C21" t="s">
        <v>549</v>
      </c>
      <c r="D21" t="s">
        <v>545</v>
      </c>
      <c r="E21">
        <v>277</v>
      </c>
      <c r="F21">
        <v>2</v>
      </c>
      <c r="G21">
        <v>42</v>
      </c>
      <c r="H21">
        <v>11</v>
      </c>
      <c r="I21">
        <v>41</v>
      </c>
      <c r="J21">
        <v>107</v>
      </c>
      <c r="K21">
        <v>7</v>
      </c>
      <c r="L21">
        <v>67</v>
      </c>
    </row>
    <row r="22" spans="1:12" x14ac:dyDescent="0.3">
      <c r="A22" t="s">
        <v>213</v>
      </c>
      <c r="B22" t="s">
        <v>542</v>
      </c>
      <c r="C22" t="s">
        <v>231</v>
      </c>
      <c r="D22" t="s">
        <v>232</v>
      </c>
      <c r="E22">
        <v>0</v>
      </c>
      <c r="G22">
        <v>0</v>
      </c>
      <c r="H22">
        <v>0</v>
      </c>
      <c r="I22">
        <v>0</v>
      </c>
      <c r="J22">
        <v>0</v>
      </c>
      <c r="K22">
        <v>0</v>
      </c>
      <c r="L22">
        <v>0</v>
      </c>
    </row>
    <row r="23" spans="1:12" x14ac:dyDescent="0.3">
      <c r="A23" t="s">
        <v>213</v>
      </c>
      <c r="B23" t="s">
        <v>542</v>
      </c>
      <c r="C23" t="s">
        <v>237</v>
      </c>
      <c r="D23" t="s">
        <v>238</v>
      </c>
      <c r="E23">
        <v>0</v>
      </c>
      <c r="G23">
        <v>0</v>
      </c>
      <c r="H23">
        <v>0</v>
      </c>
      <c r="I23">
        <v>0</v>
      </c>
      <c r="J23">
        <v>0</v>
      </c>
      <c r="K23">
        <v>0</v>
      </c>
      <c r="L23">
        <v>0</v>
      </c>
    </row>
    <row r="24" spans="1:12" x14ac:dyDescent="0.3">
      <c r="A24" t="s">
        <v>213</v>
      </c>
      <c r="B24" t="s">
        <v>542</v>
      </c>
      <c r="C24" t="s">
        <v>217</v>
      </c>
      <c r="D24" t="s">
        <v>218</v>
      </c>
      <c r="E24">
        <v>0</v>
      </c>
      <c r="G24">
        <v>0</v>
      </c>
      <c r="H24">
        <v>0</v>
      </c>
      <c r="I24">
        <v>0</v>
      </c>
      <c r="J24">
        <v>0</v>
      </c>
      <c r="K24">
        <v>0</v>
      </c>
      <c r="L24">
        <v>0</v>
      </c>
    </row>
    <row r="25" spans="1:12" x14ac:dyDescent="0.3">
      <c r="A25" t="s">
        <v>213</v>
      </c>
      <c r="B25" t="s">
        <v>544</v>
      </c>
      <c r="C25" t="s">
        <v>549</v>
      </c>
      <c r="D25" t="s">
        <v>545</v>
      </c>
      <c r="E25">
        <v>792</v>
      </c>
      <c r="F25">
        <v>3</v>
      </c>
      <c r="G25">
        <v>49</v>
      </c>
      <c r="H25">
        <v>34</v>
      </c>
      <c r="I25">
        <v>84</v>
      </c>
      <c r="J25">
        <v>388</v>
      </c>
      <c r="K25">
        <v>64</v>
      </c>
      <c r="L25">
        <v>170</v>
      </c>
    </row>
    <row r="26" spans="1:12" x14ac:dyDescent="0.3">
      <c r="A26" t="s">
        <v>312</v>
      </c>
      <c r="B26" t="s">
        <v>542</v>
      </c>
      <c r="C26" t="s">
        <v>231</v>
      </c>
      <c r="D26" t="s">
        <v>232</v>
      </c>
      <c r="E26">
        <v>0</v>
      </c>
      <c r="G26">
        <v>0</v>
      </c>
      <c r="H26">
        <v>0</v>
      </c>
      <c r="I26">
        <v>0</v>
      </c>
      <c r="J26">
        <v>0</v>
      </c>
      <c r="K26">
        <v>0</v>
      </c>
      <c r="L26">
        <v>0</v>
      </c>
    </row>
    <row r="27" spans="1:12" x14ac:dyDescent="0.3">
      <c r="A27" t="s">
        <v>312</v>
      </c>
      <c r="B27" t="s">
        <v>542</v>
      </c>
      <c r="C27" t="s">
        <v>237</v>
      </c>
      <c r="D27" t="s">
        <v>238</v>
      </c>
      <c r="E27">
        <v>0</v>
      </c>
      <c r="G27">
        <v>0</v>
      </c>
      <c r="H27">
        <v>0</v>
      </c>
      <c r="I27">
        <v>0</v>
      </c>
      <c r="J27">
        <v>0</v>
      </c>
      <c r="K27">
        <v>0</v>
      </c>
      <c r="L27">
        <v>0</v>
      </c>
    </row>
    <row r="28" spans="1:12" x14ac:dyDescent="0.3">
      <c r="A28" t="s">
        <v>312</v>
      </c>
      <c r="B28" t="s">
        <v>542</v>
      </c>
      <c r="C28" t="s">
        <v>217</v>
      </c>
      <c r="D28" t="s">
        <v>218</v>
      </c>
      <c r="E28">
        <v>0</v>
      </c>
      <c r="G28">
        <v>0</v>
      </c>
      <c r="H28">
        <v>0</v>
      </c>
      <c r="I28">
        <v>0</v>
      </c>
      <c r="J28">
        <v>0</v>
      </c>
      <c r="K28">
        <v>0</v>
      </c>
      <c r="L28">
        <v>0</v>
      </c>
    </row>
    <row r="29" spans="1:12" x14ac:dyDescent="0.3">
      <c r="A29" t="s">
        <v>312</v>
      </c>
      <c r="B29" t="s">
        <v>544</v>
      </c>
      <c r="C29" t="s">
        <v>549</v>
      </c>
      <c r="D29" t="s">
        <v>545</v>
      </c>
      <c r="E29">
        <v>817</v>
      </c>
      <c r="F29">
        <v>3</v>
      </c>
      <c r="G29">
        <v>47</v>
      </c>
      <c r="H29">
        <v>32</v>
      </c>
      <c r="I29">
        <v>90</v>
      </c>
      <c r="J29">
        <v>400</v>
      </c>
      <c r="K29">
        <v>63</v>
      </c>
      <c r="L29">
        <v>182</v>
      </c>
    </row>
    <row r="30" spans="1:12" x14ac:dyDescent="0.3">
      <c r="A30" t="s">
        <v>318</v>
      </c>
      <c r="B30" t="s">
        <v>542</v>
      </c>
      <c r="C30" t="s">
        <v>231</v>
      </c>
      <c r="D30" t="s">
        <v>232</v>
      </c>
      <c r="E30">
        <v>0</v>
      </c>
      <c r="G30">
        <v>0</v>
      </c>
      <c r="H30">
        <v>0</v>
      </c>
      <c r="I30">
        <v>0</v>
      </c>
      <c r="J30">
        <v>0</v>
      </c>
      <c r="K30">
        <v>0</v>
      </c>
      <c r="L30">
        <v>0</v>
      </c>
    </row>
    <row r="31" spans="1:12" x14ac:dyDescent="0.3">
      <c r="A31" t="s">
        <v>318</v>
      </c>
      <c r="B31" t="s">
        <v>542</v>
      </c>
      <c r="C31" t="s">
        <v>237</v>
      </c>
      <c r="D31" t="s">
        <v>238</v>
      </c>
      <c r="E31">
        <v>0</v>
      </c>
      <c r="G31">
        <v>0</v>
      </c>
      <c r="H31">
        <v>0</v>
      </c>
      <c r="I31">
        <v>0</v>
      </c>
      <c r="J31">
        <v>0</v>
      </c>
      <c r="K31">
        <v>0</v>
      </c>
      <c r="L31">
        <v>0</v>
      </c>
    </row>
    <row r="32" spans="1:12" x14ac:dyDescent="0.3">
      <c r="A32" t="s">
        <v>318</v>
      </c>
      <c r="B32" t="s">
        <v>542</v>
      </c>
      <c r="C32" t="s">
        <v>217</v>
      </c>
      <c r="D32" t="s">
        <v>218</v>
      </c>
      <c r="E32">
        <v>0</v>
      </c>
      <c r="G32">
        <v>0</v>
      </c>
      <c r="H32">
        <v>0</v>
      </c>
      <c r="I32">
        <v>0</v>
      </c>
      <c r="J32">
        <v>0</v>
      </c>
      <c r="K32">
        <v>0</v>
      </c>
      <c r="L32">
        <v>0</v>
      </c>
    </row>
    <row r="33" spans="1:12" x14ac:dyDescent="0.3">
      <c r="A33" t="s">
        <v>318</v>
      </c>
      <c r="B33" t="s">
        <v>544</v>
      </c>
      <c r="C33" t="s">
        <v>549</v>
      </c>
      <c r="D33" t="s">
        <v>545</v>
      </c>
      <c r="E33">
        <v>835</v>
      </c>
      <c r="F33">
        <v>3</v>
      </c>
      <c r="G33">
        <v>50</v>
      </c>
      <c r="H33">
        <v>30</v>
      </c>
      <c r="I33">
        <v>91</v>
      </c>
      <c r="J33">
        <v>413</v>
      </c>
      <c r="K33">
        <v>61</v>
      </c>
      <c r="L33">
        <v>187</v>
      </c>
    </row>
    <row r="34" spans="1:12" x14ac:dyDescent="0.3">
      <c r="A34" t="s">
        <v>320</v>
      </c>
      <c r="B34" t="s">
        <v>542</v>
      </c>
      <c r="D34" t="s">
        <v>218</v>
      </c>
      <c r="E34">
        <v>0</v>
      </c>
      <c r="G34">
        <v>0</v>
      </c>
      <c r="H34">
        <v>0</v>
      </c>
      <c r="I34">
        <v>0</v>
      </c>
      <c r="J34">
        <v>0</v>
      </c>
      <c r="K34">
        <v>0</v>
      </c>
      <c r="L34">
        <v>0</v>
      </c>
    </row>
    <row r="35" spans="1:12" x14ac:dyDescent="0.3">
      <c r="A35" t="s">
        <v>320</v>
      </c>
      <c r="B35" t="s">
        <v>542</v>
      </c>
      <c r="D35" t="s">
        <v>232</v>
      </c>
      <c r="E35">
        <v>0</v>
      </c>
      <c r="G35">
        <v>0</v>
      </c>
      <c r="H35">
        <v>0</v>
      </c>
      <c r="I35">
        <v>0</v>
      </c>
      <c r="J35">
        <v>0</v>
      </c>
      <c r="K35">
        <v>0</v>
      </c>
      <c r="L35">
        <v>0</v>
      </c>
    </row>
    <row r="36" spans="1:12" x14ac:dyDescent="0.3">
      <c r="A36" t="s">
        <v>320</v>
      </c>
      <c r="B36" t="s">
        <v>542</v>
      </c>
      <c r="C36" t="s">
        <v>237</v>
      </c>
      <c r="D36" t="s">
        <v>238</v>
      </c>
      <c r="E36">
        <v>0</v>
      </c>
      <c r="G36">
        <v>0</v>
      </c>
      <c r="H36">
        <v>0</v>
      </c>
      <c r="I36">
        <v>0</v>
      </c>
      <c r="J36">
        <v>0</v>
      </c>
      <c r="K36">
        <v>0</v>
      </c>
      <c r="L36">
        <v>0</v>
      </c>
    </row>
    <row r="37" spans="1:12" x14ac:dyDescent="0.3">
      <c r="A37" t="s">
        <v>320</v>
      </c>
      <c r="B37" t="s">
        <v>544</v>
      </c>
      <c r="C37" t="s">
        <v>549</v>
      </c>
      <c r="D37" t="s">
        <v>545</v>
      </c>
      <c r="E37">
        <v>920</v>
      </c>
      <c r="F37">
        <v>4</v>
      </c>
      <c r="G37">
        <v>57</v>
      </c>
      <c r="H37">
        <v>33</v>
      </c>
      <c r="I37">
        <v>104</v>
      </c>
      <c r="J37">
        <v>469</v>
      </c>
      <c r="K37">
        <v>60</v>
      </c>
      <c r="L37">
        <v>193</v>
      </c>
    </row>
    <row r="38" spans="1:12" x14ac:dyDescent="0.3">
      <c r="A38" t="s">
        <v>325</v>
      </c>
      <c r="B38" t="s">
        <v>542</v>
      </c>
      <c r="D38" t="s">
        <v>218</v>
      </c>
      <c r="E38">
        <v>0</v>
      </c>
      <c r="G38">
        <v>0</v>
      </c>
      <c r="H38">
        <v>0</v>
      </c>
      <c r="I38">
        <v>0</v>
      </c>
      <c r="J38">
        <v>0</v>
      </c>
      <c r="K38">
        <v>0</v>
      </c>
      <c r="L38">
        <v>0</v>
      </c>
    </row>
    <row r="39" spans="1:12" x14ac:dyDescent="0.3">
      <c r="A39" t="s">
        <v>325</v>
      </c>
      <c r="B39" t="s">
        <v>542</v>
      </c>
      <c r="D39" t="s">
        <v>232</v>
      </c>
      <c r="E39">
        <v>0</v>
      </c>
      <c r="G39">
        <v>0</v>
      </c>
      <c r="H39">
        <v>0</v>
      </c>
      <c r="I39">
        <v>0</v>
      </c>
      <c r="J39">
        <v>0</v>
      </c>
      <c r="K39">
        <v>0</v>
      </c>
      <c r="L39">
        <v>0</v>
      </c>
    </row>
    <row r="40" spans="1:12" x14ac:dyDescent="0.3">
      <c r="A40" t="s">
        <v>325</v>
      </c>
      <c r="B40" t="s">
        <v>542</v>
      </c>
      <c r="C40" t="s">
        <v>237</v>
      </c>
      <c r="D40" t="s">
        <v>238</v>
      </c>
      <c r="E40">
        <v>0</v>
      </c>
      <c r="G40">
        <v>0</v>
      </c>
      <c r="H40">
        <v>0</v>
      </c>
      <c r="I40">
        <v>0</v>
      </c>
      <c r="J40">
        <v>0</v>
      </c>
      <c r="K40">
        <v>0</v>
      </c>
      <c r="L40">
        <v>0</v>
      </c>
    </row>
    <row r="41" spans="1:12" x14ac:dyDescent="0.3">
      <c r="A41" t="s">
        <v>325</v>
      </c>
      <c r="B41" t="s">
        <v>544</v>
      </c>
      <c r="C41" t="s">
        <v>549</v>
      </c>
      <c r="D41" t="s">
        <v>545</v>
      </c>
      <c r="E41">
        <v>901</v>
      </c>
      <c r="F41">
        <v>4</v>
      </c>
      <c r="G41">
        <v>81</v>
      </c>
      <c r="H41">
        <v>36</v>
      </c>
      <c r="I41">
        <v>98</v>
      </c>
      <c r="J41">
        <v>465</v>
      </c>
      <c r="K41">
        <v>58</v>
      </c>
      <c r="L41">
        <v>159</v>
      </c>
    </row>
    <row r="42" spans="1:12" x14ac:dyDescent="0.3">
      <c r="A42" t="s">
        <v>326</v>
      </c>
      <c r="B42" t="s">
        <v>542</v>
      </c>
      <c r="D42" t="s">
        <v>218</v>
      </c>
      <c r="E42">
        <v>0</v>
      </c>
      <c r="G42">
        <v>0</v>
      </c>
      <c r="H42">
        <v>0</v>
      </c>
      <c r="I42">
        <v>0</v>
      </c>
      <c r="J42">
        <v>0</v>
      </c>
      <c r="K42">
        <v>0</v>
      </c>
      <c r="L42">
        <v>0</v>
      </c>
    </row>
    <row r="43" spans="1:12" x14ac:dyDescent="0.3">
      <c r="A43" t="s">
        <v>326</v>
      </c>
      <c r="B43" t="s">
        <v>542</v>
      </c>
      <c r="D43" t="s">
        <v>232</v>
      </c>
      <c r="E43">
        <v>0</v>
      </c>
      <c r="G43">
        <v>0</v>
      </c>
      <c r="H43">
        <v>0</v>
      </c>
      <c r="I43">
        <v>0</v>
      </c>
      <c r="J43">
        <v>0</v>
      </c>
      <c r="K43">
        <v>0</v>
      </c>
      <c r="L43">
        <v>0</v>
      </c>
    </row>
    <row r="44" spans="1:12" x14ac:dyDescent="0.3">
      <c r="A44" t="s">
        <v>326</v>
      </c>
      <c r="B44" t="s">
        <v>542</v>
      </c>
      <c r="C44" t="s">
        <v>237</v>
      </c>
      <c r="D44" t="s">
        <v>238</v>
      </c>
      <c r="E44">
        <v>0</v>
      </c>
      <c r="G44">
        <v>0</v>
      </c>
      <c r="H44">
        <v>0</v>
      </c>
      <c r="I44">
        <v>0</v>
      </c>
      <c r="J44">
        <v>0</v>
      </c>
      <c r="K44">
        <v>0</v>
      </c>
      <c r="L44">
        <v>0</v>
      </c>
    </row>
    <row r="45" spans="1:12" x14ac:dyDescent="0.3">
      <c r="A45" t="s">
        <v>326</v>
      </c>
      <c r="B45" t="s">
        <v>544</v>
      </c>
      <c r="C45" t="s">
        <v>549</v>
      </c>
      <c r="D45" t="s">
        <v>545</v>
      </c>
      <c r="E45">
        <v>887</v>
      </c>
      <c r="F45">
        <v>3</v>
      </c>
      <c r="G45">
        <v>87</v>
      </c>
      <c r="H45">
        <v>35</v>
      </c>
      <c r="I45">
        <v>90</v>
      </c>
      <c r="J45">
        <v>470</v>
      </c>
      <c r="K45">
        <v>60</v>
      </c>
      <c r="L45">
        <v>142</v>
      </c>
    </row>
    <row r="46" spans="1:12" x14ac:dyDescent="0.3">
      <c r="A46" t="s">
        <v>328</v>
      </c>
      <c r="B46" t="s">
        <v>542</v>
      </c>
      <c r="D46" t="s">
        <v>218</v>
      </c>
      <c r="E46">
        <v>0</v>
      </c>
      <c r="G46">
        <v>0</v>
      </c>
      <c r="H46">
        <v>0</v>
      </c>
      <c r="I46">
        <v>0</v>
      </c>
      <c r="J46">
        <v>0</v>
      </c>
      <c r="K46">
        <v>0</v>
      </c>
      <c r="L46">
        <v>0</v>
      </c>
    </row>
    <row r="47" spans="1:12" x14ac:dyDescent="0.3">
      <c r="A47" t="s">
        <v>328</v>
      </c>
      <c r="B47" t="s">
        <v>542</v>
      </c>
      <c r="D47" t="s">
        <v>232</v>
      </c>
      <c r="E47">
        <v>0</v>
      </c>
      <c r="G47">
        <v>0</v>
      </c>
      <c r="H47">
        <v>0</v>
      </c>
      <c r="I47">
        <v>0</v>
      </c>
      <c r="J47">
        <v>0</v>
      </c>
      <c r="K47">
        <v>0</v>
      </c>
      <c r="L47">
        <v>0</v>
      </c>
    </row>
    <row r="48" spans="1:12" x14ac:dyDescent="0.3">
      <c r="A48" t="s">
        <v>328</v>
      </c>
      <c r="B48" t="s">
        <v>542</v>
      </c>
      <c r="C48" t="s">
        <v>237</v>
      </c>
      <c r="D48" t="s">
        <v>238</v>
      </c>
      <c r="E48">
        <v>0</v>
      </c>
      <c r="G48">
        <v>0</v>
      </c>
      <c r="H48">
        <v>0</v>
      </c>
      <c r="I48">
        <v>0</v>
      </c>
      <c r="J48">
        <v>0</v>
      </c>
      <c r="K48">
        <v>0</v>
      </c>
      <c r="L48">
        <v>0</v>
      </c>
    </row>
    <row r="49" spans="1:12" x14ac:dyDescent="0.3">
      <c r="A49" t="s">
        <v>328</v>
      </c>
      <c r="B49" t="s">
        <v>544</v>
      </c>
      <c r="C49" t="s">
        <v>549</v>
      </c>
      <c r="D49" t="s">
        <v>545</v>
      </c>
      <c r="E49">
        <v>917</v>
      </c>
      <c r="F49">
        <v>4</v>
      </c>
      <c r="G49">
        <v>95</v>
      </c>
      <c r="H49">
        <v>35</v>
      </c>
      <c r="I49">
        <v>94</v>
      </c>
      <c r="J49">
        <v>479</v>
      </c>
      <c r="K49">
        <v>58</v>
      </c>
      <c r="L49">
        <v>152</v>
      </c>
    </row>
    <row r="50" spans="1:12" x14ac:dyDescent="0.3">
      <c r="A50" t="s">
        <v>412</v>
      </c>
      <c r="B50" t="s">
        <v>542</v>
      </c>
      <c r="D50" t="s">
        <v>218</v>
      </c>
      <c r="E50">
        <v>0</v>
      </c>
      <c r="G50">
        <v>0</v>
      </c>
      <c r="H50">
        <v>0</v>
      </c>
      <c r="I50">
        <v>0</v>
      </c>
      <c r="J50">
        <v>0</v>
      </c>
      <c r="K50">
        <v>0</v>
      </c>
      <c r="L50">
        <v>0</v>
      </c>
    </row>
    <row r="51" spans="1:12" x14ac:dyDescent="0.3">
      <c r="A51" t="s">
        <v>412</v>
      </c>
      <c r="B51" t="s">
        <v>542</v>
      </c>
      <c r="D51" t="s">
        <v>232</v>
      </c>
      <c r="E51">
        <v>0</v>
      </c>
      <c r="G51">
        <v>0</v>
      </c>
      <c r="H51">
        <v>0</v>
      </c>
      <c r="I51">
        <v>0</v>
      </c>
      <c r="J51">
        <v>0</v>
      </c>
      <c r="K51">
        <v>0</v>
      </c>
      <c r="L51">
        <v>0</v>
      </c>
    </row>
    <row r="52" spans="1:12" x14ac:dyDescent="0.3">
      <c r="A52" t="s">
        <v>412</v>
      </c>
      <c r="B52" t="s">
        <v>542</v>
      </c>
      <c r="C52" t="s">
        <v>237</v>
      </c>
      <c r="D52" t="s">
        <v>238</v>
      </c>
      <c r="E52">
        <v>0</v>
      </c>
      <c r="G52">
        <v>0</v>
      </c>
      <c r="H52">
        <v>0</v>
      </c>
      <c r="I52">
        <v>0</v>
      </c>
      <c r="J52">
        <v>0</v>
      </c>
      <c r="K52">
        <v>0</v>
      </c>
      <c r="L52">
        <v>0</v>
      </c>
    </row>
    <row r="53" spans="1:12" x14ac:dyDescent="0.3">
      <c r="A53" t="s">
        <v>412</v>
      </c>
      <c r="B53" t="s">
        <v>544</v>
      </c>
      <c r="C53" t="s">
        <v>549</v>
      </c>
      <c r="D53" t="s">
        <v>545</v>
      </c>
      <c r="E53">
        <v>922</v>
      </c>
      <c r="F53">
        <v>3</v>
      </c>
      <c r="G53">
        <v>101</v>
      </c>
      <c r="H53">
        <v>45</v>
      </c>
      <c r="I53">
        <v>87</v>
      </c>
      <c r="J53">
        <v>484</v>
      </c>
      <c r="K53">
        <v>63</v>
      </c>
      <c r="L53">
        <v>139</v>
      </c>
    </row>
  </sheetData>
  <pageMargins left="0.7" right="0.7" top="0.75" bottom="0.75" header="0.3" footer="0.3"/>
  <tableParts count="1">
    <tablePart r:id="rId1"/>
  </tableParts>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Sheet9">
    <tabColor theme="9" tint="0.39997558519241921"/>
    <pageSetUpPr fitToPage="1"/>
  </sheetPr>
  <dimension ref="A1:J38"/>
  <sheetViews>
    <sheetView showGridLines="0" workbookViewId="0">
      <pane ySplit="2" topLeftCell="A3" activePane="bottomLeft" state="frozen"/>
      <selection pane="bottomLeft" sqref="A1:H1"/>
    </sheetView>
  </sheetViews>
  <sheetFormatPr defaultRowHeight="14.4" x14ac:dyDescent="0.3"/>
  <cols>
    <col min="1" max="1" width="17.109375" customWidth="1"/>
    <col min="2" max="2" width="33.88671875" customWidth="1"/>
    <col min="3" max="8" width="13" customWidth="1"/>
    <col min="9" max="9" width="14.109375" customWidth="1"/>
    <col min="10" max="10" width="12.109375" customWidth="1"/>
  </cols>
  <sheetData>
    <row r="1" spans="1:10" ht="15.6" x14ac:dyDescent="0.3">
      <c r="A1" s="1030" t="s">
        <v>515</v>
      </c>
      <c r="B1" s="1030"/>
      <c r="C1" s="1030"/>
      <c r="D1" s="1030"/>
      <c r="E1" s="1030"/>
      <c r="F1" s="1030"/>
      <c r="G1" s="1030"/>
      <c r="H1" s="1030"/>
    </row>
    <row r="2" spans="1:10" ht="15.6" x14ac:dyDescent="0.3">
      <c r="A2" s="498" t="s">
        <v>202</v>
      </c>
      <c r="C2" s="440"/>
      <c r="D2" s="440"/>
      <c r="E2" s="440"/>
      <c r="F2" s="440"/>
      <c r="G2" s="440"/>
      <c r="H2" s="440"/>
    </row>
    <row r="3" spans="1:10" ht="15.6" x14ac:dyDescent="0.3">
      <c r="C3" s="440"/>
      <c r="D3" s="440"/>
      <c r="E3" s="440"/>
      <c r="F3" s="440"/>
      <c r="G3" s="440"/>
      <c r="H3" s="440"/>
    </row>
    <row r="4" spans="1:10" ht="30.75" customHeight="1" x14ac:dyDescent="0.3">
      <c r="A4" s="420" t="s">
        <v>1306</v>
      </c>
      <c r="B4" s="420"/>
      <c r="C4" s="420"/>
      <c r="D4" s="420"/>
      <c r="E4" s="420"/>
      <c r="F4" s="420"/>
      <c r="G4" s="420"/>
      <c r="H4" s="420"/>
      <c r="J4" s="452"/>
    </row>
    <row r="5" spans="1:10" ht="15" customHeight="1" x14ac:dyDescent="0.3">
      <c r="A5" t="s">
        <v>203</v>
      </c>
      <c r="B5" t="s">
        <v>78</v>
      </c>
      <c r="C5" s="231"/>
      <c r="D5" s="231"/>
      <c r="E5" s="231"/>
      <c r="F5" s="231"/>
      <c r="G5" s="231"/>
      <c r="H5" s="231"/>
      <c r="J5" s="83"/>
    </row>
    <row r="6" spans="1:10" ht="15" customHeight="1" x14ac:dyDescent="0.3">
      <c r="A6" t="s">
        <v>204</v>
      </c>
      <c r="B6" t="s">
        <v>205</v>
      </c>
      <c r="C6" s="231"/>
      <c r="D6" s="231"/>
      <c r="E6" s="231"/>
      <c r="F6" s="231"/>
      <c r="G6" s="231"/>
      <c r="H6" s="231"/>
      <c r="J6" s="83"/>
    </row>
    <row r="7" spans="1:10" ht="15" customHeight="1" x14ac:dyDescent="0.3">
      <c r="A7" t="s">
        <v>206</v>
      </c>
      <c r="B7" t="s">
        <v>207</v>
      </c>
      <c r="C7" s="231"/>
      <c r="D7" s="231"/>
      <c r="E7" s="231"/>
      <c r="F7" s="231"/>
      <c r="G7" s="231"/>
      <c r="H7" s="231"/>
      <c r="J7" s="83"/>
    </row>
    <row r="8" spans="1:10" ht="15" customHeight="1" x14ac:dyDescent="0.3">
      <c r="A8" s="231"/>
      <c r="B8" s="231"/>
      <c r="C8" s="231"/>
      <c r="D8" s="231"/>
      <c r="E8" s="231"/>
      <c r="F8" s="231"/>
      <c r="G8" s="231"/>
      <c r="H8" s="231"/>
      <c r="J8" s="83"/>
    </row>
    <row r="9" spans="1:10" ht="15" customHeight="1" x14ac:dyDescent="0.3">
      <c r="A9" s="231" t="s">
        <v>208</v>
      </c>
      <c r="B9" s="231" t="str">
        <f>csroledatapivot!$B$1</f>
        <v>2025-26</v>
      </c>
      <c r="C9" s="231"/>
      <c r="D9" s="231"/>
      <c r="E9" s="231"/>
      <c r="F9" s="231"/>
      <c r="G9" s="231"/>
      <c r="H9" s="231"/>
      <c r="J9" s="83"/>
    </row>
    <row r="10" spans="1:10" ht="15" customHeight="1" x14ac:dyDescent="0.3">
      <c r="A10" s="231"/>
      <c r="B10" s="231"/>
      <c r="C10" s="231"/>
      <c r="D10" s="231"/>
      <c r="E10" s="231"/>
      <c r="F10" s="231"/>
      <c r="G10" s="231"/>
      <c r="H10" s="231"/>
      <c r="J10" s="83"/>
    </row>
    <row r="11" spans="1:10" ht="33.75" customHeight="1" x14ac:dyDescent="0.3">
      <c r="A11" s="42" t="s">
        <v>556</v>
      </c>
      <c r="B11" s="78" t="s">
        <v>550</v>
      </c>
      <c r="C11" s="84" t="s">
        <v>639</v>
      </c>
      <c r="D11" s="84" t="s">
        <v>640</v>
      </c>
      <c r="E11" s="84" t="s">
        <v>641</v>
      </c>
      <c r="F11" s="84" t="s">
        <v>642</v>
      </c>
      <c r="G11" s="84" t="s">
        <v>643</v>
      </c>
      <c r="H11" s="84" t="s">
        <v>670</v>
      </c>
      <c r="I11" s="85" t="s">
        <v>340</v>
      </c>
    </row>
    <row r="12" spans="1:10" ht="15" customHeight="1" thickBot="1" x14ac:dyDescent="0.35">
      <c r="A12" s="80" t="s">
        <v>549</v>
      </c>
      <c r="B12" s="80" t="s">
        <v>685</v>
      </c>
      <c r="C12" s="86">
        <f>GETPIVOTDATA("Sum of Area Manager",csroledatapivot!$A$3,"Area","Scotland")</f>
        <v>0</v>
      </c>
      <c r="D12" s="86">
        <f>GETPIVOTDATA("Sum of Group Manager",csroledatapivot!$A$3,"Area","Scotland")</f>
        <v>3</v>
      </c>
      <c r="E12" s="86">
        <f>GETPIVOTDATA("Sum of Station Manager",csroledatapivot!$A$3,"Area","Scotland")</f>
        <v>6</v>
      </c>
      <c r="F12" s="86">
        <f>GETPIVOTDATA("Sum of Watch Manager",csroledatapivot!$A$3,"Area","Scotland")</f>
        <v>24</v>
      </c>
      <c r="G12" s="86">
        <f>GETPIVOTDATA("Sum of Crew Manager",csroledatapivot!$A$3,"Area","Scotland")</f>
        <v>42</v>
      </c>
      <c r="H12" s="86">
        <f>GETPIVOTDATA("Sum of Control Operator",csroledatapivot!$A$3,"Area","Scotland")</f>
        <v>100</v>
      </c>
      <c r="I12" s="33">
        <f>SUM(C12:H12)</f>
        <v>175</v>
      </c>
    </row>
    <row r="13" spans="1:10" ht="13.5" customHeight="1" x14ac:dyDescent="0.3">
      <c r="A13" s="50"/>
      <c r="B13" s="82"/>
      <c r="C13" s="15"/>
      <c r="D13" s="15"/>
      <c r="E13" s="15"/>
      <c r="F13" s="15"/>
      <c r="G13" s="15"/>
      <c r="H13" s="15"/>
      <c r="I13" s="12"/>
      <c r="J13" s="19"/>
    </row>
    <row r="14" spans="1:10" ht="13.5" customHeight="1" x14ac:dyDescent="0.3">
      <c r="A14" s="48" t="s">
        <v>329</v>
      </c>
      <c r="C14" s="15"/>
      <c r="D14" s="15"/>
      <c r="E14" s="15"/>
      <c r="F14" s="15"/>
      <c r="G14" s="15"/>
      <c r="H14" s="15"/>
      <c r="I14" s="12"/>
      <c r="J14" s="19"/>
    </row>
    <row r="15" spans="1:10" ht="15.6" x14ac:dyDescent="0.3">
      <c r="A15" t="s">
        <v>686</v>
      </c>
      <c r="C15" s="232"/>
      <c r="D15" s="232"/>
      <c r="E15" s="232"/>
      <c r="F15" s="232"/>
      <c r="G15" s="232"/>
      <c r="H15" s="232"/>
      <c r="I15" s="232"/>
      <c r="J15" s="83"/>
    </row>
    <row r="16" spans="1:10" ht="15" customHeight="1" x14ac:dyDescent="0.3">
      <c r="A16" t="s">
        <v>687</v>
      </c>
      <c r="C16" s="232"/>
      <c r="D16" s="232"/>
      <c r="E16" s="232"/>
      <c r="F16" s="232"/>
      <c r="G16" s="232"/>
      <c r="H16" s="232"/>
      <c r="I16" s="232"/>
      <c r="J16" s="83"/>
    </row>
    <row r="17" spans="1:10" ht="45.75" customHeight="1" x14ac:dyDescent="0.3">
      <c r="A17" s="1040" t="s">
        <v>654</v>
      </c>
      <c r="B17" s="1040"/>
      <c r="C17" s="1040"/>
      <c r="D17" s="1040"/>
      <c r="E17" s="1040"/>
      <c r="F17" s="1040"/>
      <c r="G17" s="1040"/>
      <c r="H17" s="1040"/>
      <c r="I17" s="1040"/>
      <c r="J17" s="83"/>
    </row>
    <row r="18" spans="1:10" ht="15" customHeight="1" x14ac:dyDescent="0.3">
      <c r="A18" s="570"/>
      <c r="B18" s="570"/>
      <c r="C18" s="570"/>
      <c r="D18" s="570"/>
      <c r="E18" s="570"/>
      <c r="F18" s="570"/>
      <c r="G18" s="570"/>
      <c r="H18" s="570"/>
      <c r="I18" s="570"/>
      <c r="J18" s="83"/>
    </row>
    <row r="19" spans="1:10" ht="30" customHeight="1" x14ac:dyDescent="0.3">
      <c r="A19" s="420" t="s">
        <v>1307</v>
      </c>
      <c r="B19" s="420"/>
      <c r="C19" s="420"/>
      <c r="D19" s="420"/>
      <c r="E19" s="420"/>
      <c r="F19" s="420"/>
      <c r="G19" s="420"/>
      <c r="H19" s="420"/>
      <c r="J19" s="83"/>
    </row>
    <row r="20" spans="1:10" ht="15" customHeight="1" x14ac:dyDescent="0.3">
      <c r="A20" t="s">
        <v>203</v>
      </c>
      <c r="B20" t="s">
        <v>80</v>
      </c>
      <c r="C20" s="231"/>
      <c r="D20" s="231"/>
      <c r="E20" s="231"/>
      <c r="F20" s="231"/>
      <c r="G20" s="231"/>
      <c r="H20" s="231"/>
      <c r="I20" s="231"/>
      <c r="J20" s="83"/>
    </row>
    <row r="21" spans="1:10" ht="15" customHeight="1" x14ac:dyDescent="0.3">
      <c r="A21" t="s">
        <v>204</v>
      </c>
      <c r="B21" t="s">
        <v>205</v>
      </c>
      <c r="C21" s="231"/>
      <c r="D21" s="231"/>
      <c r="E21" s="231"/>
      <c r="F21" s="231"/>
      <c r="G21" s="231"/>
      <c r="H21" s="231"/>
      <c r="I21" s="231"/>
      <c r="J21" s="83"/>
    </row>
    <row r="22" spans="1:10" ht="15" customHeight="1" x14ac:dyDescent="0.3">
      <c r="A22" t="s">
        <v>206</v>
      </c>
      <c r="B22" t="s">
        <v>207</v>
      </c>
      <c r="C22" s="231"/>
      <c r="D22" s="231"/>
      <c r="E22" s="231"/>
      <c r="F22" s="231"/>
      <c r="G22" s="231"/>
      <c r="H22" s="231"/>
      <c r="I22" s="231"/>
      <c r="J22" s="83"/>
    </row>
    <row r="23" spans="1:10" ht="15" customHeight="1" x14ac:dyDescent="0.3">
      <c r="C23" s="231"/>
      <c r="D23" s="231"/>
      <c r="E23" s="231"/>
      <c r="F23" s="231"/>
      <c r="G23" s="231"/>
      <c r="H23" s="231"/>
      <c r="I23" s="231"/>
      <c r="J23" s="83"/>
    </row>
    <row r="24" spans="1:10" ht="15" customHeight="1" x14ac:dyDescent="0.3">
      <c r="A24" s="676" t="s">
        <v>208</v>
      </c>
      <c r="B24" s="676" t="str">
        <f>CSRoleAreaSupportPivot!B1</f>
        <v>2025-26</v>
      </c>
      <c r="C24" s="231"/>
      <c r="D24" s="231"/>
      <c r="E24" s="231"/>
      <c r="F24" s="231"/>
      <c r="G24" s="231"/>
      <c r="H24" s="231"/>
      <c r="I24" s="231"/>
      <c r="J24" s="83"/>
    </row>
    <row r="25" spans="1:10" ht="33.75" customHeight="1" x14ac:dyDescent="0.3">
      <c r="A25" s="78" t="s">
        <v>556</v>
      </c>
      <c r="B25" s="78" t="s">
        <v>550</v>
      </c>
      <c r="C25" s="79" t="s">
        <v>678</v>
      </c>
      <c r="D25" s="79" t="s">
        <v>679</v>
      </c>
      <c r="E25" s="79" t="s">
        <v>688</v>
      </c>
      <c r="F25" s="79" t="s">
        <v>681</v>
      </c>
      <c r="G25" s="79" t="s">
        <v>689</v>
      </c>
      <c r="H25" s="79" t="s">
        <v>690</v>
      </c>
      <c r="I25" s="79" t="s">
        <v>684</v>
      </c>
      <c r="J25" s="87" t="s">
        <v>340</v>
      </c>
    </row>
    <row r="26" spans="1:10" ht="22.5" customHeight="1" thickBot="1" x14ac:dyDescent="0.35">
      <c r="A26" s="80" t="s">
        <v>549</v>
      </c>
      <c r="B26" s="80" t="s">
        <v>685</v>
      </c>
      <c r="C26" s="984">
        <f>GETPIVOTDATA("Sum of Director",CSRoleAreaSupportPivot!$A$3,"ReportingLevel","4:National","lvl","Scotland")</f>
        <v>3</v>
      </c>
      <c r="D26" s="984">
        <f>GETPIVOTDATA("Sum of Service Manager",CSRoleAreaSupportPivot!$A$3,"ReportingLevel","4:National","lvl","Scotland")</f>
        <v>101</v>
      </c>
      <c r="E26" s="984">
        <f>GETPIVOTDATA("Sum of Team Leader",CSRoleAreaSupportPivot!$A$3,"ReportingLevel","4:National","lvl","Scotland")</f>
        <v>45</v>
      </c>
      <c r="F26" s="984">
        <f>GETPIVOTDATA("Sum of Professional",CSRoleAreaSupportPivot!$A$3,"ReportingLevel","4:National","lvl","Scotland")</f>
        <v>87</v>
      </c>
      <c r="G26" s="984">
        <f>GETPIVOTDATA("Sum of Specialist Technical",CSRoleAreaSupportPivot!$A$3,"ReportingLevel","4:National","lvl","Scotland")</f>
        <v>484</v>
      </c>
      <c r="H26" s="984">
        <f>GETPIVOTDATA("Sum of Tech Support",CSRoleAreaSupportPivot!$A$3,"ReportingLevel","4:National","lvl","Scotland")</f>
        <v>63</v>
      </c>
      <c r="I26" s="984">
        <f>GETPIVOTDATA("Sum of Administration",CSRoleAreaSupportPivot!$A$3,"ReportingLevel","4:National")</f>
        <v>139</v>
      </c>
      <c r="J26" s="283">
        <f>SUM(C26:I26)</f>
        <v>922</v>
      </c>
    </row>
    <row r="27" spans="1:10" x14ac:dyDescent="0.3">
      <c r="B27" s="342"/>
      <c r="C27" s="343"/>
      <c r="D27" s="343"/>
      <c r="E27" s="343"/>
      <c r="F27" s="343"/>
      <c r="G27" s="343"/>
      <c r="H27" s="343"/>
      <c r="I27" s="344"/>
      <c r="J27" s="338"/>
    </row>
    <row r="28" spans="1:10" ht="15" customHeight="1" x14ac:dyDescent="0.3">
      <c r="A28" s="342" t="s">
        <v>329</v>
      </c>
      <c r="B28" s="447"/>
      <c r="C28" s="447"/>
      <c r="D28" s="447"/>
      <c r="E28" s="447"/>
      <c r="F28" s="447"/>
      <c r="G28" s="447"/>
      <c r="H28" s="448"/>
      <c r="I28" s="449"/>
    </row>
    <row r="29" spans="1:10" ht="15" customHeight="1" x14ac:dyDescent="0.3">
      <c r="A29" s="562" t="s">
        <v>691</v>
      </c>
      <c r="B29" s="447"/>
      <c r="C29" s="447"/>
      <c r="D29" s="447"/>
      <c r="E29" s="447"/>
      <c r="F29" s="447"/>
      <c r="G29" s="447"/>
      <c r="H29" s="448"/>
      <c r="I29" s="449"/>
    </row>
    <row r="30" spans="1:10" ht="31.5" customHeight="1" x14ac:dyDescent="0.3">
      <c r="A30" s="1029" t="s">
        <v>692</v>
      </c>
      <c r="B30" s="1029"/>
      <c r="C30" s="1029"/>
      <c r="D30" s="1029"/>
      <c r="E30" s="1029"/>
      <c r="F30" s="1029"/>
      <c r="G30" s="1029"/>
      <c r="H30" s="1029"/>
      <c r="I30" s="1029"/>
      <c r="J30" s="1029"/>
    </row>
    <row r="31" spans="1:10" ht="15" customHeight="1" x14ac:dyDescent="0.3">
      <c r="A31" s="450" t="s">
        <v>693</v>
      </c>
      <c r="B31" s="450"/>
      <c r="C31" s="450"/>
      <c r="D31" s="450"/>
      <c r="E31" s="450"/>
      <c r="F31" s="450"/>
      <c r="G31" s="450"/>
      <c r="H31" s="450"/>
      <c r="I31" s="450"/>
      <c r="J31" s="450"/>
    </row>
    <row r="32" spans="1:10" ht="30" customHeight="1" x14ac:dyDescent="0.3">
      <c r="A32" s="1048" t="s">
        <v>694</v>
      </c>
      <c r="B32" s="1048"/>
      <c r="C32" s="1048"/>
      <c r="D32" s="1048"/>
      <c r="E32" s="1048"/>
      <c r="F32" s="1048"/>
      <c r="G32" s="1048"/>
      <c r="H32" s="1048"/>
      <c r="I32" s="1048"/>
      <c r="J32" s="1048"/>
    </row>
    <row r="33" spans="1:10" ht="15" customHeight="1" x14ac:dyDescent="0.3">
      <c r="A33" s="345" t="s">
        <v>558</v>
      </c>
      <c r="B33" s="338"/>
      <c r="C33" s="346"/>
      <c r="D33" s="451"/>
      <c r="E33" s="451"/>
      <c r="F33" s="451"/>
      <c r="G33" s="451"/>
      <c r="H33" s="451"/>
      <c r="I33" s="451"/>
    </row>
    <row r="34" spans="1:10" x14ac:dyDescent="0.3">
      <c r="C34" s="344"/>
      <c r="D34" s="344"/>
      <c r="E34" s="344"/>
      <c r="F34" s="344"/>
      <c r="G34" s="344"/>
      <c r="H34" s="344"/>
      <c r="I34" s="344"/>
      <c r="J34" s="338"/>
    </row>
    <row r="35" spans="1:10" x14ac:dyDescent="0.3">
      <c r="B35" s="351"/>
      <c r="C35" s="351"/>
      <c r="D35" s="351"/>
      <c r="E35" s="351"/>
      <c r="F35" s="351"/>
      <c r="G35" s="351"/>
      <c r="H35" s="351"/>
      <c r="I35" s="351"/>
      <c r="J35" s="351"/>
    </row>
    <row r="36" spans="1:10" x14ac:dyDescent="0.3">
      <c r="B36" s="351"/>
      <c r="C36" s="351"/>
      <c r="D36" s="351"/>
      <c r="E36" s="351"/>
      <c r="F36" s="351"/>
      <c r="G36" s="351"/>
      <c r="H36" s="351"/>
      <c r="I36" s="351"/>
      <c r="J36" s="351"/>
    </row>
    <row r="37" spans="1:10" x14ac:dyDescent="0.3">
      <c r="B37" s="351"/>
      <c r="C37" s="351"/>
      <c r="D37" s="351"/>
      <c r="E37" s="351"/>
      <c r="F37" s="351"/>
      <c r="G37" s="351"/>
      <c r="H37" s="351"/>
      <c r="I37" s="351"/>
      <c r="J37" s="351"/>
    </row>
    <row r="38" spans="1:10" x14ac:dyDescent="0.3">
      <c r="B38" s="351"/>
      <c r="C38" s="351"/>
      <c r="D38" s="351"/>
      <c r="E38" s="351"/>
      <c r="F38" s="351"/>
      <c r="G38" s="351"/>
      <c r="H38" s="351"/>
      <c r="I38" s="351"/>
      <c r="J38" s="351"/>
    </row>
  </sheetData>
  <sheetProtection algorithmName="SHA-512" hashValue="jsw43SX/IJZd713W5wSPLyRt+WvyI1rnG1wlfTz5omXslqatmysJqYVQy3eHconZ8aW8W+Xm7SAlQR9e2FAT3w==" saltValue="1nFnbNjvXH3nC7g1SVpJ0w==" spinCount="100000" sheet="1" scenarios="1" formatCells="0" sort="0" autoFilter="0" pivotTables="0"/>
  <mergeCells count="4">
    <mergeCell ref="A1:H1"/>
    <mergeCell ref="A30:J30"/>
    <mergeCell ref="A32:J32"/>
    <mergeCell ref="A17:I17"/>
  </mergeCells>
  <hyperlinks>
    <hyperlink ref="A2" location="'Table of Contents'!A1" display="Back to Table of Contents" xr:uid="{00000000-0004-0000-3E00-000000000000}"/>
  </hyperlinks>
  <pageMargins left="0.70866141732283472" right="0.70866141732283472" top="0.74803149606299213" bottom="0.74803149606299213" header="0.31496062992125984" footer="0.31496062992125984"/>
  <pageSetup paperSize="9" scale="84" orientation="landscape" r:id="rId1"/>
  <drawing r:id="rId2"/>
  <extLst>
    <ext xmlns:x14="http://schemas.microsoft.com/office/spreadsheetml/2009/9/main" uri="{A8765BA9-456A-4dab-B4F3-ACF838C121DE}">
      <x14:slicerList>
        <x14:slicer r:id="rId3"/>
      </x14:slicerList>
    </ext>
  </extLst>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tabColor theme="9" tint="0.39997558519241921"/>
  </sheetPr>
  <dimension ref="A1:D12"/>
  <sheetViews>
    <sheetView workbookViewId="0">
      <selection activeCell="H33" sqref="H33"/>
    </sheetView>
  </sheetViews>
  <sheetFormatPr defaultRowHeight="14.4" x14ac:dyDescent="0.3"/>
  <cols>
    <col min="1" max="1" width="25.33203125" bestFit="1" customWidth="1"/>
    <col min="2" max="2" width="21.33203125" bestFit="1" customWidth="1"/>
    <col min="3" max="3" width="20.109375" bestFit="1" customWidth="1"/>
    <col min="4" max="4" width="16.77734375" bestFit="1" customWidth="1"/>
  </cols>
  <sheetData>
    <row r="1" spans="1:4" x14ac:dyDescent="0.3">
      <c r="A1" s="386" t="s">
        <v>208</v>
      </c>
      <c r="B1" t="s">
        <v>412</v>
      </c>
    </row>
    <row r="3" spans="1:4" x14ac:dyDescent="0.3">
      <c r="A3" s="386" t="s">
        <v>350</v>
      </c>
      <c r="B3" t="s">
        <v>634</v>
      </c>
      <c r="C3" t="s">
        <v>635</v>
      </c>
      <c r="D3" t="s">
        <v>636</v>
      </c>
    </row>
    <row r="4" spans="1:4" x14ac:dyDescent="0.3">
      <c r="A4" s="387" t="s">
        <v>537</v>
      </c>
    </row>
    <row r="5" spans="1:4" x14ac:dyDescent="0.3">
      <c r="A5" s="388" t="s">
        <v>228</v>
      </c>
      <c r="B5">
        <v>25</v>
      </c>
      <c r="C5">
        <v>21</v>
      </c>
      <c r="D5">
        <v>118</v>
      </c>
    </row>
    <row r="6" spans="1:4" x14ac:dyDescent="0.3">
      <c r="A6" s="388" t="s">
        <v>244</v>
      </c>
      <c r="B6">
        <v>1</v>
      </c>
      <c r="C6">
        <v>2</v>
      </c>
      <c r="D6">
        <v>1</v>
      </c>
    </row>
    <row r="7" spans="1:4" x14ac:dyDescent="0.3">
      <c r="A7" s="388" t="s">
        <v>273</v>
      </c>
      <c r="B7">
        <v>6</v>
      </c>
      <c r="C7">
        <v>10</v>
      </c>
      <c r="D7">
        <v>27</v>
      </c>
    </row>
    <row r="8" spans="1:4" x14ac:dyDescent="0.3">
      <c r="A8" s="388" t="s">
        <v>281</v>
      </c>
      <c r="B8">
        <v>0</v>
      </c>
      <c r="C8">
        <v>1</v>
      </c>
      <c r="D8">
        <v>0</v>
      </c>
    </row>
    <row r="9" spans="1:4" x14ac:dyDescent="0.3">
      <c r="A9" s="388" t="s">
        <v>287</v>
      </c>
      <c r="B9">
        <v>2</v>
      </c>
      <c r="C9">
        <v>2</v>
      </c>
      <c r="D9">
        <v>15</v>
      </c>
    </row>
    <row r="10" spans="1:4" x14ac:dyDescent="0.3">
      <c r="A10" s="388" t="s">
        <v>294</v>
      </c>
      <c r="B10">
        <v>1</v>
      </c>
      <c r="C10">
        <v>3</v>
      </c>
      <c r="D10">
        <v>17</v>
      </c>
    </row>
    <row r="11" spans="1:4" x14ac:dyDescent="0.3">
      <c r="A11" s="387" t="s">
        <v>539</v>
      </c>
      <c r="B11">
        <v>35</v>
      </c>
      <c r="C11">
        <v>39</v>
      </c>
      <c r="D11">
        <v>178</v>
      </c>
    </row>
    <row r="12" spans="1:4" x14ac:dyDescent="0.3">
      <c r="A12" s="387" t="s">
        <v>357</v>
      </c>
      <c r="B12">
        <v>35</v>
      </c>
      <c r="C12">
        <v>39</v>
      </c>
      <c r="D12">
        <v>178</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tabColor theme="9" tint="0.39997558519241921"/>
  </sheetPr>
  <dimension ref="A1:H188"/>
  <sheetViews>
    <sheetView topLeftCell="A2" workbookViewId="0">
      <selection activeCell="D16" sqref="D16"/>
    </sheetView>
  </sheetViews>
  <sheetFormatPr defaultRowHeight="14.4" x14ac:dyDescent="0.3"/>
  <cols>
    <col min="1" max="1" width="7.6640625" bestFit="1" customWidth="1"/>
    <col min="2" max="2" width="16.33203125" bestFit="1" customWidth="1"/>
    <col min="3" max="3" width="9.88671875" bestFit="1" customWidth="1"/>
    <col min="4" max="4" width="21.21875" bestFit="1" customWidth="1"/>
    <col min="5" max="5" width="7.44140625" bestFit="1" customWidth="1"/>
    <col min="6" max="6" width="16.88671875" bestFit="1" customWidth="1"/>
    <col min="7" max="7" width="15.77734375" bestFit="1" customWidth="1"/>
    <col min="8" max="8" width="12.33203125" bestFit="1" customWidth="1"/>
  </cols>
  <sheetData>
    <row r="1" spans="1:8" x14ac:dyDescent="0.3">
      <c r="A1" t="s">
        <v>208</v>
      </c>
      <c r="B1" t="s">
        <v>547</v>
      </c>
      <c r="C1" t="s">
        <v>25</v>
      </c>
      <c r="D1" t="s">
        <v>548</v>
      </c>
      <c r="E1" t="s">
        <v>340</v>
      </c>
      <c r="F1" t="s">
        <v>625</v>
      </c>
      <c r="G1" t="s">
        <v>626</v>
      </c>
      <c r="H1" t="s">
        <v>627</v>
      </c>
    </row>
    <row r="2" spans="1:8" x14ac:dyDescent="0.3">
      <c r="A2" t="s">
        <v>364</v>
      </c>
      <c r="B2" t="s">
        <v>537</v>
      </c>
      <c r="C2" t="s">
        <v>239</v>
      </c>
      <c r="D2" t="s">
        <v>240</v>
      </c>
      <c r="E2">
        <v>0</v>
      </c>
      <c r="F2">
        <v>0</v>
      </c>
      <c r="G2">
        <v>0</v>
      </c>
      <c r="H2">
        <v>0</v>
      </c>
    </row>
    <row r="3" spans="1:8" x14ac:dyDescent="0.3">
      <c r="A3" t="s">
        <v>364</v>
      </c>
      <c r="B3" t="s">
        <v>537</v>
      </c>
      <c r="C3" t="s">
        <v>243</v>
      </c>
      <c r="D3" t="s">
        <v>244</v>
      </c>
      <c r="E3">
        <v>4</v>
      </c>
      <c r="F3">
        <v>0</v>
      </c>
      <c r="G3">
        <v>1</v>
      </c>
      <c r="H3">
        <v>3</v>
      </c>
    </row>
    <row r="4" spans="1:8" x14ac:dyDescent="0.3">
      <c r="A4" t="s">
        <v>364</v>
      </c>
      <c r="B4" t="s">
        <v>537</v>
      </c>
      <c r="C4" t="s">
        <v>248</v>
      </c>
      <c r="D4" t="s">
        <v>249</v>
      </c>
      <c r="E4">
        <v>0</v>
      </c>
      <c r="F4">
        <v>0</v>
      </c>
      <c r="G4">
        <v>0</v>
      </c>
      <c r="H4">
        <v>0</v>
      </c>
    </row>
    <row r="5" spans="1:8" x14ac:dyDescent="0.3">
      <c r="A5" t="s">
        <v>364</v>
      </c>
      <c r="B5" t="s">
        <v>537</v>
      </c>
      <c r="C5" t="s">
        <v>254</v>
      </c>
      <c r="D5" t="s">
        <v>255</v>
      </c>
      <c r="E5">
        <v>0</v>
      </c>
      <c r="F5">
        <v>0</v>
      </c>
      <c r="G5">
        <v>0</v>
      </c>
      <c r="H5">
        <v>0</v>
      </c>
    </row>
    <row r="6" spans="1:8" x14ac:dyDescent="0.3">
      <c r="A6" t="s">
        <v>364</v>
      </c>
      <c r="B6" t="s">
        <v>537</v>
      </c>
      <c r="C6" t="s">
        <v>258</v>
      </c>
      <c r="D6" t="s">
        <v>259</v>
      </c>
      <c r="E6">
        <v>0</v>
      </c>
      <c r="F6">
        <v>0</v>
      </c>
      <c r="G6">
        <v>0</v>
      </c>
      <c r="H6">
        <v>0</v>
      </c>
    </row>
    <row r="7" spans="1:8" x14ac:dyDescent="0.3">
      <c r="A7" t="s">
        <v>364</v>
      </c>
      <c r="B7" t="s">
        <v>537</v>
      </c>
      <c r="C7" t="s">
        <v>282</v>
      </c>
      <c r="D7" t="s">
        <v>283</v>
      </c>
      <c r="E7">
        <v>0</v>
      </c>
      <c r="F7">
        <v>0</v>
      </c>
      <c r="G7">
        <v>0</v>
      </c>
      <c r="H7">
        <v>0</v>
      </c>
    </row>
    <row r="8" spans="1:8" x14ac:dyDescent="0.3">
      <c r="A8" t="s">
        <v>364</v>
      </c>
      <c r="B8" t="s">
        <v>537</v>
      </c>
      <c r="C8" t="s">
        <v>262</v>
      </c>
      <c r="D8" t="s">
        <v>263</v>
      </c>
      <c r="E8">
        <v>0</v>
      </c>
      <c r="F8">
        <v>0</v>
      </c>
      <c r="G8">
        <v>0</v>
      </c>
      <c r="H8">
        <v>0</v>
      </c>
    </row>
    <row r="9" spans="1:8" x14ac:dyDescent="0.3">
      <c r="A9" t="s">
        <v>364</v>
      </c>
      <c r="B9" t="s">
        <v>537</v>
      </c>
      <c r="C9" t="s">
        <v>272</v>
      </c>
      <c r="D9" t="s">
        <v>273</v>
      </c>
      <c r="E9">
        <v>72</v>
      </c>
      <c r="F9">
        <v>8</v>
      </c>
      <c r="G9">
        <v>13</v>
      </c>
      <c r="H9">
        <v>51</v>
      </c>
    </row>
    <row r="10" spans="1:8" x14ac:dyDescent="0.3">
      <c r="A10" t="s">
        <v>364</v>
      </c>
      <c r="B10" t="s">
        <v>537</v>
      </c>
      <c r="C10" t="s">
        <v>276</v>
      </c>
      <c r="D10" t="s">
        <v>277</v>
      </c>
      <c r="E10">
        <v>0</v>
      </c>
      <c r="F10">
        <v>0</v>
      </c>
      <c r="G10">
        <v>0</v>
      </c>
      <c r="H10">
        <v>0</v>
      </c>
    </row>
    <row r="11" spans="1:8" x14ac:dyDescent="0.3">
      <c r="A11" t="s">
        <v>364</v>
      </c>
      <c r="B11" t="s">
        <v>537</v>
      </c>
      <c r="C11" t="s">
        <v>278</v>
      </c>
      <c r="D11" t="s">
        <v>279</v>
      </c>
      <c r="E11">
        <v>0</v>
      </c>
      <c r="F11">
        <v>0</v>
      </c>
      <c r="G11">
        <v>0</v>
      </c>
      <c r="H11">
        <v>0</v>
      </c>
    </row>
    <row r="12" spans="1:8" x14ac:dyDescent="0.3">
      <c r="A12" t="s">
        <v>364</v>
      </c>
      <c r="B12" t="s">
        <v>537</v>
      </c>
      <c r="C12" t="s">
        <v>280</v>
      </c>
      <c r="D12" t="s">
        <v>281</v>
      </c>
      <c r="E12">
        <v>32</v>
      </c>
      <c r="F12">
        <v>1</v>
      </c>
      <c r="G12">
        <v>2</v>
      </c>
      <c r="H12">
        <v>29</v>
      </c>
    </row>
    <row r="13" spans="1:8" x14ac:dyDescent="0.3">
      <c r="A13" t="s">
        <v>364</v>
      </c>
      <c r="B13" t="s">
        <v>537</v>
      </c>
      <c r="C13" t="s">
        <v>286</v>
      </c>
      <c r="D13" t="s">
        <v>287</v>
      </c>
      <c r="E13">
        <v>21</v>
      </c>
      <c r="F13">
        <v>0</v>
      </c>
      <c r="G13">
        <v>6</v>
      </c>
      <c r="H13">
        <v>15</v>
      </c>
    </row>
    <row r="14" spans="1:8" x14ac:dyDescent="0.3">
      <c r="A14" t="s">
        <v>364</v>
      </c>
      <c r="B14" t="s">
        <v>537</v>
      </c>
      <c r="C14" t="s">
        <v>291</v>
      </c>
      <c r="D14" t="s">
        <v>292</v>
      </c>
      <c r="E14">
        <v>0</v>
      </c>
      <c r="F14">
        <v>0</v>
      </c>
      <c r="G14">
        <v>0</v>
      </c>
      <c r="H14">
        <v>0</v>
      </c>
    </row>
    <row r="15" spans="1:8" x14ac:dyDescent="0.3">
      <c r="A15" t="s">
        <v>364</v>
      </c>
      <c r="B15" t="s">
        <v>537</v>
      </c>
      <c r="C15" t="s">
        <v>293</v>
      </c>
      <c r="D15" t="s">
        <v>294</v>
      </c>
      <c r="E15">
        <v>25</v>
      </c>
      <c r="F15">
        <v>0</v>
      </c>
      <c r="G15">
        <v>3</v>
      </c>
      <c r="H15">
        <v>22</v>
      </c>
    </row>
    <row r="16" spans="1:8" x14ac:dyDescent="0.3">
      <c r="A16" t="s">
        <v>364</v>
      </c>
      <c r="B16" t="s">
        <v>537</v>
      </c>
      <c r="C16" t="s">
        <v>297</v>
      </c>
      <c r="D16" t="s">
        <v>298</v>
      </c>
      <c r="E16">
        <v>0</v>
      </c>
      <c r="F16">
        <v>0</v>
      </c>
      <c r="G16">
        <v>0</v>
      </c>
      <c r="H16">
        <v>0</v>
      </c>
    </row>
    <row r="17" spans="1:8" x14ac:dyDescent="0.3">
      <c r="A17" t="s">
        <v>364</v>
      </c>
      <c r="B17" t="s">
        <v>537</v>
      </c>
      <c r="C17" t="s">
        <v>299</v>
      </c>
      <c r="D17" t="s">
        <v>300</v>
      </c>
      <c r="E17">
        <v>0</v>
      </c>
      <c r="F17">
        <v>0</v>
      </c>
      <c r="G17">
        <v>0</v>
      </c>
      <c r="H17">
        <v>0</v>
      </c>
    </row>
    <row r="18" spans="1:8" x14ac:dyDescent="0.3">
      <c r="A18" t="s">
        <v>364</v>
      </c>
      <c r="B18" t="s">
        <v>537</v>
      </c>
      <c r="C18" t="s">
        <v>301</v>
      </c>
      <c r="D18" t="s">
        <v>302</v>
      </c>
      <c r="E18">
        <v>0</v>
      </c>
      <c r="F18">
        <v>0</v>
      </c>
      <c r="G18">
        <v>0</v>
      </c>
      <c r="H18">
        <v>0</v>
      </c>
    </row>
    <row r="19" spans="1:8" x14ac:dyDescent="0.3">
      <c r="A19" t="s">
        <v>364</v>
      </c>
      <c r="B19" t="s">
        <v>537</v>
      </c>
      <c r="C19" t="s">
        <v>303</v>
      </c>
      <c r="D19" t="s">
        <v>304</v>
      </c>
      <c r="E19">
        <v>2</v>
      </c>
      <c r="F19">
        <v>0</v>
      </c>
      <c r="G19">
        <v>1</v>
      </c>
      <c r="H19">
        <v>1</v>
      </c>
    </row>
    <row r="20" spans="1:8" x14ac:dyDescent="0.3">
      <c r="A20" t="s">
        <v>364</v>
      </c>
      <c r="B20" t="s">
        <v>537</v>
      </c>
      <c r="C20" t="s">
        <v>306</v>
      </c>
      <c r="D20" t="s">
        <v>307</v>
      </c>
      <c r="E20">
        <v>0</v>
      </c>
      <c r="F20">
        <v>0</v>
      </c>
      <c r="G20">
        <v>0</v>
      </c>
      <c r="H20">
        <v>0</v>
      </c>
    </row>
    <row r="21" spans="1:8" x14ac:dyDescent="0.3">
      <c r="A21" t="s">
        <v>364</v>
      </c>
      <c r="B21" t="s">
        <v>537</v>
      </c>
      <c r="C21" t="s">
        <v>214</v>
      </c>
      <c r="D21" t="s">
        <v>215</v>
      </c>
      <c r="E21">
        <v>0</v>
      </c>
      <c r="F21">
        <v>0</v>
      </c>
      <c r="G21">
        <v>0</v>
      </c>
      <c r="H21">
        <v>0</v>
      </c>
    </row>
    <row r="22" spans="1:8" x14ac:dyDescent="0.3">
      <c r="A22" t="s">
        <v>364</v>
      </c>
      <c r="B22" t="s">
        <v>537</v>
      </c>
      <c r="C22" t="s">
        <v>219</v>
      </c>
      <c r="D22" t="s">
        <v>220</v>
      </c>
      <c r="E22">
        <v>0</v>
      </c>
      <c r="F22">
        <v>0</v>
      </c>
      <c r="G22">
        <v>0</v>
      </c>
      <c r="H22">
        <v>0</v>
      </c>
    </row>
    <row r="23" spans="1:8" x14ac:dyDescent="0.3">
      <c r="A23" t="s">
        <v>364</v>
      </c>
      <c r="B23" t="s">
        <v>537</v>
      </c>
      <c r="C23" t="s">
        <v>227</v>
      </c>
      <c r="D23" t="s">
        <v>228</v>
      </c>
      <c r="E23">
        <v>203</v>
      </c>
      <c r="F23">
        <v>0</v>
      </c>
      <c r="G23">
        <v>47</v>
      </c>
      <c r="H23">
        <v>156</v>
      </c>
    </row>
    <row r="24" spans="1:8" x14ac:dyDescent="0.3">
      <c r="A24" t="s">
        <v>364</v>
      </c>
      <c r="B24" t="s">
        <v>537</v>
      </c>
      <c r="C24" t="s">
        <v>233</v>
      </c>
      <c r="D24" t="s">
        <v>234</v>
      </c>
      <c r="E24">
        <v>0</v>
      </c>
      <c r="F24">
        <v>0</v>
      </c>
      <c r="G24">
        <v>0</v>
      </c>
      <c r="H24">
        <v>0</v>
      </c>
    </row>
    <row r="25" spans="1:8" x14ac:dyDescent="0.3">
      <c r="A25" t="s">
        <v>364</v>
      </c>
      <c r="B25" t="s">
        <v>537</v>
      </c>
      <c r="C25" t="s">
        <v>295</v>
      </c>
      <c r="D25" t="s">
        <v>296</v>
      </c>
      <c r="E25">
        <v>0</v>
      </c>
      <c r="F25">
        <v>0</v>
      </c>
      <c r="G25">
        <v>0</v>
      </c>
      <c r="H25">
        <v>0</v>
      </c>
    </row>
    <row r="26" spans="1:8" x14ac:dyDescent="0.3">
      <c r="A26" t="s">
        <v>364</v>
      </c>
      <c r="B26" t="s">
        <v>537</v>
      </c>
      <c r="C26" t="s">
        <v>308</v>
      </c>
      <c r="D26" t="s">
        <v>309</v>
      </c>
      <c r="E26">
        <v>0</v>
      </c>
      <c r="F26">
        <v>0</v>
      </c>
      <c r="G26">
        <v>0</v>
      </c>
      <c r="H26">
        <v>0</v>
      </c>
    </row>
    <row r="27" spans="1:8" x14ac:dyDescent="0.3">
      <c r="A27" t="s">
        <v>364</v>
      </c>
      <c r="B27" t="s">
        <v>537</v>
      </c>
      <c r="C27" t="s">
        <v>310</v>
      </c>
      <c r="D27" t="s">
        <v>311</v>
      </c>
      <c r="E27">
        <v>0</v>
      </c>
      <c r="F27">
        <v>0</v>
      </c>
      <c r="G27">
        <v>0</v>
      </c>
      <c r="H27">
        <v>0</v>
      </c>
    </row>
    <row r="28" spans="1:8" x14ac:dyDescent="0.3">
      <c r="A28" t="s">
        <v>364</v>
      </c>
      <c r="B28" t="s">
        <v>537</v>
      </c>
      <c r="C28" t="s">
        <v>223</v>
      </c>
      <c r="D28" t="s">
        <v>224</v>
      </c>
      <c r="E28">
        <v>0</v>
      </c>
      <c r="F28">
        <v>0</v>
      </c>
      <c r="G28">
        <v>0</v>
      </c>
      <c r="H28">
        <v>0</v>
      </c>
    </row>
    <row r="29" spans="1:8" x14ac:dyDescent="0.3">
      <c r="A29" t="s">
        <v>364</v>
      </c>
      <c r="B29" t="s">
        <v>537</v>
      </c>
      <c r="C29" t="s">
        <v>246</v>
      </c>
      <c r="D29" t="s">
        <v>247</v>
      </c>
      <c r="E29">
        <v>0</v>
      </c>
      <c r="F29">
        <v>0</v>
      </c>
      <c r="G29">
        <v>0</v>
      </c>
      <c r="H29">
        <v>0</v>
      </c>
    </row>
    <row r="30" spans="1:8" x14ac:dyDescent="0.3">
      <c r="A30" t="s">
        <v>364</v>
      </c>
      <c r="B30" t="s">
        <v>537</v>
      </c>
      <c r="C30" t="s">
        <v>288</v>
      </c>
      <c r="D30" t="s">
        <v>289</v>
      </c>
      <c r="E30">
        <v>0</v>
      </c>
      <c r="F30">
        <v>0</v>
      </c>
      <c r="G30">
        <v>0</v>
      </c>
      <c r="H30">
        <v>0</v>
      </c>
    </row>
    <row r="31" spans="1:8" x14ac:dyDescent="0.3">
      <c r="A31" t="s">
        <v>364</v>
      </c>
      <c r="B31" t="s">
        <v>537</v>
      </c>
      <c r="C31" t="s">
        <v>252</v>
      </c>
      <c r="D31" t="s">
        <v>253</v>
      </c>
      <c r="E31">
        <v>0</v>
      </c>
      <c r="F31">
        <v>0</v>
      </c>
      <c r="G31">
        <v>0</v>
      </c>
      <c r="H31">
        <v>0</v>
      </c>
    </row>
    <row r="32" spans="1:8" x14ac:dyDescent="0.3">
      <c r="A32" t="s">
        <v>364</v>
      </c>
      <c r="B32" t="s">
        <v>537</v>
      </c>
      <c r="C32" t="s">
        <v>269</v>
      </c>
      <c r="D32" t="s">
        <v>270</v>
      </c>
      <c r="E32">
        <v>0</v>
      </c>
      <c r="F32">
        <v>0</v>
      </c>
      <c r="G32">
        <v>0</v>
      </c>
      <c r="H32">
        <v>0</v>
      </c>
    </row>
    <row r="33" spans="1:8" x14ac:dyDescent="0.3">
      <c r="A33" t="s">
        <v>364</v>
      </c>
      <c r="B33" t="s">
        <v>537</v>
      </c>
      <c r="C33" t="s">
        <v>266</v>
      </c>
      <c r="D33" t="s">
        <v>267</v>
      </c>
      <c r="E33">
        <v>0</v>
      </c>
      <c r="F33">
        <v>0</v>
      </c>
      <c r="G33">
        <v>0</v>
      </c>
      <c r="H33">
        <v>0</v>
      </c>
    </row>
    <row r="34" spans="1:8" x14ac:dyDescent="0.3">
      <c r="A34" t="s">
        <v>365</v>
      </c>
      <c r="B34" t="s">
        <v>537</v>
      </c>
      <c r="C34" t="s">
        <v>239</v>
      </c>
      <c r="D34" t="s">
        <v>240</v>
      </c>
      <c r="E34">
        <v>0</v>
      </c>
      <c r="F34">
        <v>0</v>
      </c>
      <c r="G34">
        <v>0</v>
      </c>
      <c r="H34">
        <v>0</v>
      </c>
    </row>
    <row r="35" spans="1:8" x14ac:dyDescent="0.3">
      <c r="A35" t="s">
        <v>365</v>
      </c>
      <c r="B35" t="s">
        <v>537</v>
      </c>
      <c r="C35" t="s">
        <v>243</v>
      </c>
      <c r="D35" t="s">
        <v>244</v>
      </c>
      <c r="E35">
        <v>3</v>
      </c>
      <c r="F35">
        <v>0</v>
      </c>
      <c r="G35">
        <v>1</v>
      </c>
      <c r="H35">
        <v>2</v>
      </c>
    </row>
    <row r="36" spans="1:8" x14ac:dyDescent="0.3">
      <c r="A36" t="s">
        <v>365</v>
      </c>
      <c r="B36" t="s">
        <v>537</v>
      </c>
      <c r="C36" t="s">
        <v>248</v>
      </c>
      <c r="D36" t="s">
        <v>249</v>
      </c>
      <c r="E36">
        <v>0</v>
      </c>
      <c r="F36">
        <v>0</v>
      </c>
      <c r="G36">
        <v>0</v>
      </c>
      <c r="H36">
        <v>0</v>
      </c>
    </row>
    <row r="37" spans="1:8" x14ac:dyDescent="0.3">
      <c r="A37" t="s">
        <v>365</v>
      </c>
      <c r="B37" t="s">
        <v>537</v>
      </c>
      <c r="C37" t="s">
        <v>254</v>
      </c>
      <c r="D37" t="s">
        <v>255</v>
      </c>
      <c r="E37">
        <v>0</v>
      </c>
      <c r="F37">
        <v>0</v>
      </c>
      <c r="G37">
        <v>0</v>
      </c>
      <c r="H37">
        <v>0</v>
      </c>
    </row>
    <row r="38" spans="1:8" x14ac:dyDescent="0.3">
      <c r="A38" t="s">
        <v>365</v>
      </c>
      <c r="B38" t="s">
        <v>537</v>
      </c>
      <c r="C38" t="s">
        <v>258</v>
      </c>
      <c r="D38" t="s">
        <v>259</v>
      </c>
      <c r="E38">
        <v>0</v>
      </c>
      <c r="F38">
        <v>0</v>
      </c>
      <c r="G38">
        <v>0</v>
      </c>
      <c r="H38">
        <v>0</v>
      </c>
    </row>
    <row r="39" spans="1:8" x14ac:dyDescent="0.3">
      <c r="A39" t="s">
        <v>365</v>
      </c>
      <c r="B39" t="s">
        <v>537</v>
      </c>
      <c r="C39" t="s">
        <v>282</v>
      </c>
      <c r="D39" t="s">
        <v>283</v>
      </c>
      <c r="E39">
        <v>0</v>
      </c>
      <c r="F39">
        <v>0</v>
      </c>
      <c r="G39">
        <v>0</v>
      </c>
      <c r="H39">
        <v>0</v>
      </c>
    </row>
    <row r="40" spans="1:8" x14ac:dyDescent="0.3">
      <c r="A40" t="s">
        <v>365</v>
      </c>
      <c r="B40" t="s">
        <v>537</v>
      </c>
      <c r="C40" t="s">
        <v>262</v>
      </c>
      <c r="D40" t="s">
        <v>263</v>
      </c>
      <c r="E40">
        <v>0</v>
      </c>
      <c r="F40">
        <v>0</v>
      </c>
      <c r="G40">
        <v>0</v>
      </c>
      <c r="H40">
        <v>0</v>
      </c>
    </row>
    <row r="41" spans="1:8" x14ac:dyDescent="0.3">
      <c r="A41" t="s">
        <v>365</v>
      </c>
      <c r="B41" t="s">
        <v>537</v>
      </c>
      <c r="C41" t="s">
        <v>272</v>
      </c>
      <c r="D41" t="s">
        <v>273</v>
      </c>
      <c r="E41">
        <v>69</v>
      </c>
      <c r="F41">
        <v>8</v>
      </c>
      <c r="G41">
        <v>12</v>
      </c>
      <c r="H41">
        <v>49</v>
      </c>
    </row>
    <row r="42" spans="1:8" x14ac:dyDescent="0.3">
      <c r="A42" t="s">
        <v>365</v>
      </c>
      <c r="B42" t="s">
        <v>537</v>
      </c>
      <c r="C42" t="s">
        <v>276</v>
      </c>
      <c r="D42" t="s">
        <v>277</v>
      </c>
      <c r="E42">
        <v>0</v>
      </c>
      <c r="F42">
        <v>0</v>
      </c>
      <c r="G42">
        <v>0</v>
      </c>
      <c r="H42">
        <v>0</v>
      </c>
    </row>
    <row r="43" spans="1:8" x14ac:dyDescent="0.3">
      <c r="A43" t="s">
        <v>365</v>
      </c>
      <c r="B43" t="s">
        <v>537</v>
      </c>
      <c r="C43" t="s">
        <v>278</v>
      </c>
      <c r="D43" t="s">
        <v>279</v>
      </c>
      <c r="E43">
        <v>0</v>
      </c>
      <c r="F43">
        <v>0</v>
      </c>
      <c r="G43">
        <v>0</v>
      </c>
      <c r="H43">
        <v>0</v>
      </c>
    </row>
    <row r="44" spans="1:8" x14ac:dyDescent="0.3">
      <c r="A44" t="s">
        <v>365</v>
      </c>
      <c r="B44" t="s">
        <v>537</v>
      </c>
      <c r="C44" t="s">
        <v>280</v>
      </c>
      <c r="D44" t="s">
        <v>281</v>
      </c>
      <c r="E44">
        <v>25</v>
      </c>
      <c r="F44">
        <v>1</v>
      </c>
      <c r="G44">
        <v>2</v>
      </c>
      <c r="H44">
        <v>22</v>
      </c>
    </row>
    <row r="45" spans="1:8" x14ac:dyDescent="0.3">
      <c r="A45" t="s">
        <v>365</v>
      </c>
      <c r="B45" t="s">
        <v>537</v>
      </c>
      <c r="C45" t="s">
        <v>286</v>
      </c>
      <c r="D45" t="s">
        <v>287</v>
      </c>
      <c r="E45">
        <v>26</v>
      </c>
      <c r="F45">
        <v>3</v>
      </c>
      <c r="G45">
        <v>3</v>
      </c>
      <c r="H45">
        <v>20</v>
      </c>
    </row>
    <row r="46" spans="1:8" x14ac:dyDescent="0.3">
      <c r="A46" t="s">
        <v>365</v>
      </c>
      <c r="B46" t="s">
        <v>537</v>
      </c>
      <c r="C46" t="s">
        <v>291</v>
      </c>
      <c r="D46" t="s">
        <v>292</v>
      </c>
      <c r="E46">
        <v>1</v>
      </c>
      <c r="F46">
        <v>0</v>
      </c>
      <c r="G46">
        <v>1</v>
      </c>
      <c r="H46">
        <v>0</v>
      </c>
    </row>
    <row r="47" spans="1:8" x14ac:dyDescent="0.3">
      <c r="A47" t="s">
        <v>365</v>
      </c>
      <c r="B47" t="s">
        <v>537</v>
      </c>
      <c r="C47" t="s">
        <v>293</v>
      </c>
      <c r="D47" t="s">
        <v>294</v>
      </c>
      <c r="E47">
        <v>24</v>
      </c>
      <c r="F47">
        <v>0</v>
      </c>
      <c r="G47">
        <v>5</v>
      </c>
      <c r="H47">
        <v>19</v>
      </c>
    </row>
    <row r="48" spans="1:8" x14ac:dyDescent="0.3">
      <c r="A48" t="s">
        <v>365</v>
      </c>
      <c r="B48" t="s">
        <v>537</v>
      </c>
      <c r="C48" t="s">
        <v>297</v>
      </c>
      <c r="D48" t="s">
        <v>298</v>
      </c>
      <c r="E48">
        <v>0</v>
      </c>
      <c r="F48">
        <v>0</v>
      </c>
      <c r="G48">
        <v>0</v>
      </c>
      <c r="H48">
        <v>0</v>
      </c>
    </row>
    <row r="49" spans="1:8" x14ac:dyDescent="0.3">
      <c r="A49" t="s">
        <v>365</v>
      </c>
      <c r="B49" t="s">
        <v>537</v>
      </c>
      <c r="C49" t="s">
        <v>299</v>
      </c>
      <c r="D49" t="s">
        <v>300</v>
      </c>
      <c r="E49">
        <v>1</v>
      </c>
      <c r="F49">
        <v>0</v>
      </c>
      <c r="G49">
        <v>0</v>
      </c>
      <c r="H49">
        <v>1</v>
      </c>
    </row>
    <row r="50" spans="1:8" x14ac:dyDescent="0.3">
      <c r="A50" t="s">
        <v>365</v>
      </c>
      <c r="B50" t="s">
        <v>537</v>
      </c>
      <c r="C50" t="s">
        <v>301</v>
      </c>
      <c r="D50" t="s">
        <v>302</v>
      </c>
      <c r="E50">
        <v>0</v>
      </c>
      <c r="F50">
        <v>0</v>
      </c>
      <c r="G50">
        <v>0</v>
      </c>
      <c r="H50">
        <v>0</v>
      </c>
    </row>
    <row r="51" spans="1:8" x14ac:dyDescent="0.3">
      <c r="A51" t="s">
        <v>365</v>
      </c>
      <c r="B51" t="s">
        <v>537</v>
      </c>
      <c r="C51" t="s">
        <v>303</v>
      </c>
      <c r="D51" t="s">
        <v>304</v>
      </c>
      <c r="E51">
        <v>4</v>
      </c>
      <c r="F51">
        <v>1</v>
      </c>
      <c r="H51">
        <v>3</v>
      </c>
    </row>
    <row r="52" spans="1:8" x14ac:dyDescent="0.3">
      <c r="A52" t="s">
        <v>365</v>
      </c>
      <c r="B52" t="s">
        <v>537</v>
      </c>
      <c r="C52" t="s">
        <v>306</v>
      </c>
      <c r="D52" t="s">
        <v>307</v>
      </c>
      <c r="E52">
        <v>0</v>
      </c>
      <c r="F52">
        <v>0</v>
      </c>
      <c r="G52">
        <v>0</v>
      </c>
      <c r="H52">
        <v>0</v>
      </c>
    </row>
    <row r="53" spans="1:8" x14ac:dyDescent="0.3">
      <c r="A53" t="s">
        <v>365</v>
      </c>
      <c r="B53" t="s">
        <v>537</v>
      </c>
      <c r="C53" t="s">
        <v>214</v>
      </c>
      <c r="D53" t="s">
        <v>215</v>
      </c>
      <c r="E53">
        <v>0</v>
      </c>
      <c r="F53">
        <v>0</v>
      </c>
      <c r="G53">
        <v>0</v>
      </c>
      <c r="H53">
        <v>0</v>
      </c>
    </row>
    <row r="54" spans="1:8" x14ac:dyDescent="0.3">
      <c r="A54" t="s">
        <v>365</v>
      </c>
      <c r="B54" t="s">
        <v>537</v>
      </c>
      <c r="C54" t="s">
        <v>219</v>
      </c>
      <c r="D54" t="s">
        <v>220</v>
      </c>
      <c r="E54">
        <v>0</v>
      </c>
      <c r="F54">
        <v>0</v>
      </c>
      <c r="G54">
        <v>0</v>
      </c>
      <c r="H54">
        <v>0</v>
      </c>
    </row>
    <row r="55" spans="1:8" x14ac:dyDescent="0.3">
      <c r="A55" t="s">
        <v>365</v>
      </c>
      <c r="B55" t="s">
        <v>537</v>
      </c>
      <c r="C55" t="s">
        <v>227</v>
      </c>
      <c r="D55" t="s">
        <v>228</v>
      </c>
      <c r="E55">
        <v>225</v>
      </c>
      <c r="F55">
        <v>25</v>
      </c>
      <c r="G55">
        <v>20</v>
      </c>
      <c r="H55">
        <v>180</v>
      </c>
    </row>
    <row r="56" spans="1:8" x14ac:dyDescent="0.3">
      <c r="A56" t="s">
        <v>365</v>
      </c>
      <c r="B56" t="s">
        <v>537</v>
      </c>
      <c r="C56" t="s">
        <v>233</v>
      </c>
      <c r="D56" t="s">
        <v>234</v>
      </c>
      <c r="E56">
        <v>0</v>
      </c>
      <c r="F56">
        <v>0</v>
      </c>
      <c r="G56">
        <v>0</v>
      </c>
      <c r="H56">
        <v>0</v>
      </c>
    </row>
    <row r="57" spans="1:8" x14ac:dyDescent="0.3">
      <c r="A57" t="s">
        <v>365</v>
      </c>
      <c r="B57" t="s">
        <v>537</v>
      </c>
      <c r="C57" t="s">
        <v>295</v>
      </c>
      <c r="D57" t="s">
        <v>296</v>
      </c>
      <c r="E57">
        <v>0</v>
      </c>
      <c r="F57">
        <v>0</v>
      </c>
      <c r="G57">
        <v>0</v>
      </c>
      <c r="H57">
        <v>0</v>
      </c>
    </row>
    <row r="58" spans="1:8" x14ac:dyDescent="0.3">
      <c r="A58" t="s">
        <v>365</v>
      </c>
      <c r="B58" t="s">
        <v>537</v>
      </c>
      <c r="C58" t="s">
        <v>308</v>
      </c>
      <c r="D58" t="s">
        <v>309</v>
      </c>
      <c r="E58">
        <v>0</v>
      </c>
      <c r="F58">
        <v>0</v>
      </c>
      <c r="G58">
        <v>0</v>
      </c>
      <c r="H58">
        <v>0</v>
      </c>
    </row>
    <row r="59" spans="1:8" x14ac:dyDescent="0.3">
      <c r="A59" t="s">
        <v>365</v>
      </c>
      <c r="B59" t="s">
        <v>537</v>
      </c>
      <c r="C59" t="s">
        <v>310</v>
      </c>
      <c r="D59" t="s">
        <v>311</v>
      </c>
      <c r="E59">
        <v>0</v>
      </c>
      <c r="F59">
        <v>0</v>
      </c>
      <c r="G59">
        <v>0</v>
      </c>
      <c r="H59">
        <v>0</v>
      </c>
    </row>
    <row r="60" spans="1:8" x14ac:dyDescent="0.3">
      <c r="A60" t="s">
        <v>365</v>
      </c>
      <c r="B60" t="s">
        <v>537</v>
      </c>
      <c r="C60" t="s">
        <v>223</v>
      </c>
      <c r="D60" t="s">
        <v>224</v>
      </c>
      <c r="E60">
        <v>0</v>
      </c>
      <c r="F60">
        <v>0</v>
      </c>
      <c r="G60">
        <v>0</v>
      </c>
      <c r="H60">
        <v>0</v>
      </c>
    </row>
    <row r="61" spans="1:8" x14ac:dyDescent="0.3">
      <c r="A61" t="s">
        <v>365</v>
      </c>
      <c r="B61" t="s">
        <v>537</v>
      </c>
      <c r="C61" t="s">
        <v>246</v>
      </c>
      <c r="D61" t="s">
        <v>247</v>
      </c>
      <c r="E61">
        <v>0</v>
      </c>
      <c r="F61">
        <v>0</v>
      </c>
      <c r="G61">
        <v>0</v>
      </c>
      <c r="H61">
        <v>0</v>
      </c>
    </row>
    <row r="62" spans="1:8" x14ac:dyDescent="0.3">
      <c r="A62" t="s">
        <v>365</v>
      </c>
      <c r="B62" t="s">
        <v>537</v>
      </c>
      <c r="C62" t="s">
        <v>288</v>
      </c>
      <c r="D62" t="s">
        <v>289</v>
      </c>
      <c r="E62">
        <v>0</v>
      </c>
      <c r="F62">
        <v>0</v>
      </c>
      <c r="G62">
        <v>0</v>
      </c>
      <c r="H62">
        <v>0</v>
      </c>
    </row>
    <row r="63" spans="1:8" x14ac:dyDescent="0.3">
      <c r="A63" t="s">
        <v>365</v>
      </c>
      <c r="B63" t="s">
        <v>537</v>
      </c>
      <c r="C63" t="s">
        <v>252</v>
      </c>
      <c r="D63" t="s">
        <v>253</v>
      </c>
      <c r="E63">
        <v>0</v>
      </c>
      <c r="F63">
        <v>0</v>
      </c>
      <c r="G63">
        <v>0</v>
      </c>
      <c r="H63">
        <v>0</v>
      </c>
    </row>
    <row r="64" spans="1:8" x14ac:dyDescent="0.3">
      <c r="A64" t="s">
        <v>365</v>
      </c>
      <c r="B64" t="s">
        <v>537</v>
      </c>
      <c r="C64" t="s">
        <v>269</v>
      </c>
      <c r="D64" t="s">
        <v>270</v>
      </c>
      <c r="E64">
        <v>0</v>
      </c>
      <c r="F64">
        <v>0</v>
      </c>
      <c r="G64">
        <v>0</v>
      </c>
      <c r="H64">
        <v>0</v>
      </c>
    </row>
    <row r="65" spans="1:8" x14ac:dyDescent="0.3">
      <c r="A65" t="s">
        <v>365</v>
      </c>
      <c r="B65" t="s">
        <v>537</v>
      </c>
      <c r="C65" t="s">
        <v>266</v>
      </c>
      <c r="D65" t="s">
        <v>267</v>
      </c>
      <c r="E65">
        <v>0</v>
      </c>
      <c r="F65">
        <v>0</v>
      </c>
      <c r="G65">
        <v>0</v>
      </c>
      <c r="H65">
        <v>0</v>
      </c>
    </row>
    <row r="66" spans="1:8" x14ac:dyDescent="0.3">
      <c r="A66" t="s">
        <v>366</v>
      </c>
      <c r="B66" t="s">
        <v>537</v>
      </c>
      <c r="C66" t="s">
        <v>239</v>
      </c>
      <c r="D66" t="s">
        <v>240</v>
      </c>
      <c r="E66">
        <v>0</v>
      </c>
      <c r="F66">
        <v>0</v>
      </c>
      <c r="G66">
        <v>0</v>
      </c>
      <c r="H66">
        <v>0</v>
      </c>
    </row>
    <row r="67" spans="1:8" x14ac:dyDescent="0.3">
      <c r="A67" t="s">
        <v>366</v>
      </c>
      <c r="B67" t="s">
        <v>537</v>
      </c>
      <c r="C67" t="s">
        <v>243</v>
      </c>
      <c r="D67" t="s">
        <v>244</v>
      </c>
      <c r="E67">
        <v>5</v>
      </c>
      <c r="F67">
        <v>1</v>
      </c>
      <c r="G67">
        <v>1</v>
      </c>
      <c r="H67">
        <v>3</v>
      </c>
    </row>
    <row r="68" spans="1:8" x14ac:dyDescent="0.3">
      <c r="A68" t="s">
        <v>366</v>
      </c>
      <c r="B68" t="s">
        <v>537</v>
      </c>
      <c r="C68" t="s">
        <v>248</v>
      </c>
      <c r="D68" t="s">
        <v>249</v>
      </c>
      <c r="E68">
        <v>0</v>
      </c>
      <c r="F68">
        <v>0</v>
      </c>
      <c r="G68">
        <v>0</v>
      </c>
      <c r="H68">
        <v>0</v>
      </c>
    </row>
    <row r="69" spans="1:8" x14ac:dyDescent="0.3">
      <c r="A69" t="s">
        <v>366</v>
      </c>
      <c r="B69" t="s">
        <v>537</v>
      </c>
      <c r="C69" t="s">
        <v>254</v>
      </c>
      <c r="D69" t="s">
        <v>255</v>
      </c>
      <c r="E69">
        <v>0</v>
      </c>
      <c r="F69">
        <v>0</v>
      </c>
      <c r="G69">
        <v>0</v>
      </c>
      <c r="H69">
        <v>0</v>
      </c>
    </row>
    <row r="70" spans="1:8" x14ac:dyDescent="0.3">
      <c r="A70" t="s">
        <v>366</v>
      </c>
      <c r="B70" t="s">
        <v>537</v>
      </c>
      <c r="C70" t="s">
        <v>258</v>
      </c>
      <c r="D70" t="s">
        <v>259</v>
      </c>
      <c r="E70">
        <v>0</v>
      </c>
      <c r="F70">
        <v>0</v>
      </c>
      <c r="G70">
        <v>0</v>
      </c>
      <c r="H70">
        <v>0</v>
      </c>
    </row>
    <row r="71" spans="1:8" x14ac:dyDescent="0.3">
      <c r="A71" t="s">
        <v>366</v>
      </c>
      <c r="B71" t="s">
        <v>537</v>
      </c>
      <c r="C71" t="s">
        <v>282</v>
      </c>
      <c r="D71" t="s">
        <v>283</v>
      </c>
      <c r="E71">
        <v>0</v>
      </c>
      <c r="F71">
        <v>0</v>
      </c>
      <c r="G71">
        <v>0</v>
      </c>
      <c r="H71">
        <v>0</v>
      </c>
    </row>
    <row r="72" spans="1:8" x14ac:dyDescent="0.3">
      <c r="A72" t="s">
        <v>366</v>
      </c>
      <c r="B72" t="s">
        <v>537</v>
      </c>
      <c r="C72" t="s">
        <v>262</v>
      </c>
      <c r="D72" t="s">
        <v>263</v>
      </c>
      <c r="E72">
        <v>0</v>
      </c>
      <c r="F72">
        <v>0</v>
      </c>
      <c r="G72">
        <v>0</v>
      </c>
      <c r="H72">
        <v>0</v>
      </c>
    </row>
    <row r="73" spans="1:8" x14ac:dyDescent="0.3">
      <c r="A73" t="s">
        <v>366</v>
      </c>
      <c r="B73" t="s">
        <v>537</v>
      </c>
      <c r="C73" t="s">
        <v>272</v>
      </c>
      <c r="D73" t="s">
        <v>273</v>
      </c>
      <c r="E73">
        <v>68</v>
      </c>
      <c r="F73">
        <v>8</v>
      </c>
      <c r="G73">
        <v>14</v>
      </c>
      <c r="H73">
        <v>46</v>
      </c>
    </row>
    <row r="74" spans="1:8" x14ac:dyDescent="0.3">
      <c r="A74" t="s">
        <v>366</v>
      </c>
      <c r="B74" t="s">
        <v>537</v>
      </c>
      <c r="C74" t="s">
        <v>276</v>
      </c>
      <c r="D74" t="s">
        <v>277</v>
      </c>
      <c r="E74">
        <v>0</v>
      </c>
      <c r="F74">
        <v>0</v>
      </c>
      <c r="G74">
        <v>0</v>
      </c>
      <c r="H74">
        <v>0</v>
      </c>
    </row>
    <row r="75" spans="1:8" x14ac:dyDescent="0.3">
      <c r="A75" t="s">
        <v>366</v>
      </c>
      <c r="B75" t="s">
        <v>537</v>
      </c>
      <c r="C75" t="s">
        <v>278</v>
      </c>
      <c r="D75" t="s">
        <v>279</v>
      </c>
      <c r="E75">
        <v>0</v>
      </c>
      <c r="F75">
        <v>0</v>
      </c>
      <c r="G75">
        <v>0</v>
      </c>
      <c r="H75">
        <v>0</v>
      </c>
    </row>
    <row r="76" spans="1:8" x14ac:dyDescent="0.3">
      <c r="A76" t="s">
        <v>366</v>
      </c>
      <c r="B76" t="s">
        <v>537</v>
      </c>
      <c r="C76" t="s">
        <v>280</v>
      </c>
      <c r="D76" t="s">
        <v>281</v>
      </c>
      <c r="E76">
        <v>20</v>
      </c>
      <c r="F76">
        <v>2</v>
      </c>
      <c r="G76">
        <v>1</v>
      </c>
      <c r="H76">
        <v>17</v>
      </c>
    </row>
    <row r="77" spans="1:8" x14ac:dyDescent="0.3">
      <c r="A77" t="s">
        <v>366</v>
      </c>
      <c r="B77" t="s">
        <v>537</v>
      </c>
      <c r="C77" t="s">
        <v>286</v>
      </c>
      <c r="D77" t="s">
        <v>287</v>
      </c>
      <c r="E77">
        <v>22</v>
      </c>
      <c r="F77">
        <v>3</v>
      </c>
      <c r="G77">
        <v>4</v>
      </c>
      <c r="H77">
        <v>15</v>
      </c>
    </row>
    <row r="78" spans="1:8" x14ac:dyDescent="0.3">
      <c r="A78" t="s">
        <v>366</v>
      </c>
      <c r="B78" t="s">
        <v>537</v>
      </c>
      <c r="C78" t="s">
        <v>291</v>
      </c>
      <c r="D78" t="s">
        <v>292</v>
      </c>
      <c r="E78">
        <v>0</v>
      </c>
      <c r="F78">
        <v>0</v>
      </c>
      <c r="G78">
        <v>0</v>
      </c>
      <c r="H78">
        <v>0</v>
      </c>
    </row>
    <row r="79" spans="1:8" x14ac:dyDescent="0.3">
      <c r="A79" t="s">
        <v>366</v>
      </c>
      <c r="B79" t="s">
        <v>537</v>
      </c>
      <c r="C79" t="s">
        <v>293</v>
      </c>
      <c r="D79" t="s">
        <v>294</v>
      </c>
      <c r="E79">
        <v>23</v>
      </c>
      <c r="F79">
        <v>0</v>
      </c>
      <c r="G79">
        <v>2</v>
      </c>
      <c r="H79">
        <v>21</v>
      </c>
    </row>
    <row r="80" spans="1:8" x14ac:dyDescent="0.3">
      <c r="A80" t="s">
        <v>366</v>
      </c>
      <c r="B80" t="s">
        <v>537</v>
      </c>
      <c r="C80" t="s">
        <v>297</v>
      </c>
      <c r="D80" t="s">
        <v>298</v>
      </c>
      <c r="E80">
        <v>0</v>
      </c>
      <c r="F80">
        <v>0</v>
      </c>
      <c r="G80">
        <v>0</v>
      </c>
      <c r="H80">
        <v>0</v>
      </c>
    </row>
    <row r="81" spans="1:8" x14ac:dyDescent="0.3">
      <c r="A81" t="s">
        <v>366</v>
      </c>
      <c r="B81" t="s">
        <v>537</v>
      </c>
      <c r="C81" t="s">
        <v>299</v>
      </c>
      <c r="D81" t="s">
        <v>300</v>
      </c>
      <c r="E81">
        <v>0</v>
      </c>
      <c r="F81">
        <v>0</v>
      </c>
      <c r="G81">
        <v>0</v>
      </c>
      <c r="H81">
        <v>0</v>
      </c>
    </row>
    <row r="82" spans="1:8" x14ac:dyDescent="0.3">
      <c r="A82" t="s">
        <v>366</v>
      </c>
      <c r="B82" t="s">
        <v>537</v>
      </c>
      <c r="C82" t="s">
        <v>301</v>
      </c>
      <c r="D82" t="s">
        <v>302</v>
      </c>
      <c r="E82">
        <v>0</v>
      </c>
      <c r="F82">
        <v>0</v>
      </c>
      <c r="G82">
        <v>0</v>
      </c>
      <c r="H82">
        <v>0</v>
      </c>
    </row>
    <row r="83" spans="1:8" x14ac:dyDescent="0.3">
      <c r="A83" t="s">
        <v>366</v>
      </c>
      <c r="B83" t="s">
        <v>537</v>
      </c>
      <c r="C83" t="s">
        <v>303</v>
      </c>
      <c r="D83" t="s">
        <v>304</v>
      </c>
      <c r="E83">
        <v>3</v>
      </c>
      <c r="F83">
        <v>0</v>
      </c>
      <c r="G83">
        <v>1</v>
      </c>
      <c r="H83">
        <v>2</v>
      </c>
    </row>
    <row r="84" spans="1:8" x14ac:dyDescent="0.3">
      <c r="A84" t="s">
        <v>366</v>
      </c>
      <c r="B84" t="s">
        <v>537</v>
      </c>
      <c r="C84" t="s">
        <v>306</v>
      </c>
      <c r="D84" t="s">
        <v>307</v>
      </c>
      <c r="E84">
        <v>0</v>
      </c>
      <c r="F84">
        <v>0</v>
      </c>
      <c r="G84">
        <v>0</v>
      </c>
      <c r="H84">
        <v>0</v>
      </c>
    </row>
    <row r="85" spans="1:8" x14ac:dyDescent="0.3">
      <c r="A85" t="s">
        <v>366</v>
      </c>
      <c r="B85" t="s">
        <v>537</v>
      </c>
      <c r="C85" t="s">
        <v>214</v>
      </c>
      <c r="D85" t="s">
        <v>215</v>
      </c>
      <c r="E85">
        <v>0</v>
      </c>
      <c r="F85">
        <v>0</v>
      </c>
      <c r="G85">
        <v>0</v>
      </c>
      <c r="H85">
        <v>0</v>
      </c>
    </row>
    <row r="86" spans="1:8" x14ac:dyDescent="0.3">
      <c r="A86" t="s">
        <v>366</v>
      </c>
      <c r="B86" t="s">
        <v>537</v>
      </c>
      <c r="C86" t="s">
        <v>219</v>
      </c>
      <c r="D86" t="s">
        <v>220</v>
      </c>
      <c r="E86">
        <v>0</v>
      </c>
      <c r="F86">
        <v>0</v>
      </c>
      <c r="G86">
        <v>0</v>
      </c>
      <c r="H86">
        <v>0</v>
      </c>
    </row>
    <row r="87" spans="1:8" x14ac:dyDescent="0.3">
      <c r="A87" t="s">
        <v>366</v>
      </c>
      <c r="B87" t="s">
        <v>537</v>
      </c>
      <c r="C87" t="s">
        <v>227</v>
      </c>
      <c r="D87" t="s">
        <v>228</v>
      </c>
      <c r="E87">
        <v>201</v>
      </c>
      <c r="F87">
        <v>22</v>
      </c>
      <c r="G87">
        <v>23</v>
      </c>
      <c r="H87">
        <v>156</v>
      </c>
    </row>
    <row r="88" spans="1:8" x14ac:dyDescent="0.3">
      <c r="A88" t="s">
        <v>366</v>
      </c>
      <c r="B88" t="s">
        <v>537</v>
      </c>
      <c r="C88" t="s">
        <v>233</v>
      </c>
      <c r="D88" t="s">
        <v>234</v>
      </c>
      <c r="E88">
        <v>0</v>
      </c>
      <c r="F88">
        <v>0</v>
      </c>
      <c r="G88">
        <v>0</v>
      </c>
      <c r="H88">
        <v>0</v>
      </c>
    </row>
    <row r="89" spans="1:8" x14ac:dyDescent="0.3">
      <c r="A89" t="s">
        <v>366</v>
      </c>
      <c r="B89" t="s">
        <v>537</v>
      </c>
      <c r="C89" t="s">
        <v>295</v>
      </c>
      <c r="D89" t="s">
        <v>296</v>
      </c>
      <c r="E89">
        <v>0</v>
      </c>
      <c r="F89">
        <v>0</v>
      </c>
      <c r="G89">
        <v>0</v>
      </c>
      <c r="H89">
        <v>0</v>
      </c>
    </row>
    <row r="90" spans="1:8" x14ac:dyDescent="0.3">
      <c r="A90" t="s">
        <v>366</v>
      </c>
      <c r="B90" t="s">
        <v>537</v>
      </c>
      <c r="C90" t="s">
        <v>308</v>
      </c>
      <c r="D90" t="s">
        <v>309</v>
      </c>
      <c r="E90">
        <v>0</v>
      </c>
      <c r="F90">
        <v>0</v>
      </c>
      <c r="G90">
        <v>0</v>
      </c>
      <c r="H90">
        <v>0</v>
      </c>
    </row>
    <row r="91" spans="1:8" x14ac:dyDescent="0.3">
      <c r="A91" t="s">
        <v>366</v>
      </c>
      <c r="B91" t="s">
        <v>537</v>
      </c>
      <c r="C91" t="s">
        <v>310</v>
      </c>
      <c r="D91" t="s">
        <v>311</v>
      </c>
      <c r="E91">
        <v>0</v>
      </c>
      <c r="F91">
        <v>0</v>
      </c>
      <c r="G91">
        <v>0</v>
      </c>
      <c r="H91">
        <v>0</v>
      </c>
    </row>
    <row r="92" spans="1:8" x14ac:dyDescent="0.3">
      <c r="A92" t="s">
        <v>366</v>
      </c>
      <c r="B92" t="s">
        <v>537</v>
      </c>
      <c r="C92" t="s">
        <v>223</v>
      </c>
      <c r="D92" t="s">
        <v>224</v>
      </c>
      <c r="E92">
        <v>0</v>
      </c>
      <c r="F92">
        <v>0</v>
      </c>
      <c r="G92">
        <v>0</v>
      </c>
      <c r="H92">
        <v>0</v>
      </c>
    </row>
    <row r="93" spans="1:8" x14ac:dyDescent="0.3">
      <c r="A93" t="s">
        <v>366</v>
      </c>
      <c r="B93" t="s">
        <v>537</v>
      </c>
      <c r="C93" t="s">
        <v>246</v>
      </c>
      <c r="D93" t="s">
        <v>247</v>
      </c>
      <c r="E93">
        <v>0</v>
      </c>
      <c r="F93">
        <v>0</v>
      </c>
      <c r="G93">
        <v>0</v>
      </c>
      <c r="H93">
        <v>0</v>
      </c>
    </row>
    <row r="94" spans="1:8" x14ac:dyDescent="0.3">
      <c r="A94" t="s">
        <v>366</v>
      </c>
      <c r="B94" t="s">
        <v>537</v>
      </c>
      <c r="C94" t="s">
        <v>288</v>
      </c>
      <c r="D94" t="s">
        <v>289</v>
      </c>
      <c r="E94">
        <v>0</v>
      </c>
      <c r="F94">
        <v>0</v>
      </c>
      <c r="G94">
        <v>0</v>
      </c>
      <c r="H94">
        <v>0</v>
      </c>
    </row>
    <row r="95" spans="1:8" x14ac:dyDescent="0.3">
      <c r="A95" t="s">
        <v>366</v>
      </c>
      <c r="B95" t="s">
        <v>537</v>
      </c>
      <c r="C95" t="s">
        <v>252</v>
      </c>
      <c r="D95" t="s">
        <v>253</v>
      </c>
      <c r="E95">
        <v>0</v>
      </c>
      <c r="F95">
        <v>0</v>
      </c>
      <c r="G95">
        <v>0</v>
      </c>
      <c r="H95">
        <v>0</v>
      </c>
    </row>
    <row r="96" spans="1:8" x14ac:dyDescent="0.3">
      <c r="A96" t="s">
        <v>366</v>
      </c>
      <c r="B96" t="s">
        <v>537</v>
      </c>
      <c r="C96" t="s">
        <v>269</v>
      </c>
      <c r="D96" t="s">
        <v>270</v>
      </c>
      <c r="E96">
        <v>0</v>
      </c>
      <c r="F96">
        <v>0</v>
      </c>
      <c r="G96">
        <v>0</v>
      </c>
      <c r="H96">
        <v>0</v>
      </c>
    </row>
    <row r="97" spans="1:8" x14ac:dyDescent="0.3">
      <c r="A97" t="s">
        <v>366</v>
      </c>
      <c r="B97" t="s">
        <v>537</v>
      </c>
      <c r="C97" t="s">
        <v>266</v>
      </c>
      <c r="D97" t="s">
        <v>267</v>
      </c>
      <c r="E97">
        <v>0</v>
      </c>
      <c r="F97">
        <v>0</v>
      </c>
      <c r="G97">
        <v>0</v>
      </c>
      <c r="H97">
        <v>0</v>
      </c>
    </row>
    <row r="98" spans="1:8" x14ac:dyDescent="0.3">
      <c r="A98" t="s">
        <v>341</v>
      </c>
      <c r="B98" t="s">
        <v>537</v>
      </c>
      <c r="C98" t="s">
        <v>239</v>
      </c>
      <c r="D98" t="s">
        <v>240</v>
      </c>
      <c r="E98">
        <v>0</v>
      </c>
      <c r="F98">
        <v>0</v>
      </c>
      <c r="G98">
        <v>0</v>
      </c>
      <c r="H98">
        <v>0</v>
      </c>
    </row>
    <row r="99" spans="1:8" x14ac:dyDescent="0.3">
      <c r="A99" t="s">
        <v>341</v>
      </c>
      <c r="B99" t="s">
        <v>537</v>
      </c>
      <c r="C99" t="s">
        <v>243</v>
      </c>
      <c r="D99" t="s">
        <v>244</v>
      </c>
      <c r="E99">
        <v>5</v>
      </c>
      <c r="F99">
        <v>1</v>
      </c>
      <c r="G99">
        <v>1</v>
      </c>
      <c r="H99">
        <v>3</v>
      </c>
    </row>
    <row r="100" spans="1:8" x14ac:dyDescent="0.3">
      <c r="A100" t="s">
        <v>341</v>
      </c>
      <c r="B100" t="s">
        <v>537</v>
      </c>
      <c r="C100" t="s">
        <v>248</v>
      </c>
      <c r="D100" t="s">
        <v>249</v>
      </c>
      <c r="E100">
        <v>0</v>
      </c>
      <c r="F100">
        <v>0</v>
      </c>
      <c r="G100">
        <v>0</v>
      </c>
      <c r="H100">
        <v>0</v>
      </c>
    </row>
    <row r="101" spans="1:8" x14ac:dyDescent="0.3">
      <c r="A101" t="s">
        <v>341</v>
      </c>
      <c r="B101" t="s">
        <v>537</v>
      </c>
      <c r="C101" t="s">
        <v>254</v>
      </c>
      <c r="D101" t="s">
        <v>255</v>
      </c>
      <c r="E101">
        <v>0</v>
      </c>
      <c r="F101">
        <v>0</v>
      </c>
      <c r="G101">
        <v>0</v>
      </c>
      <c r="H101">
        <v>0</v>
      </c>
    </row>
    <row r="102" spans="1:8" x14ac:dyDescent="0.3">
      <c r="A102" t="s">
        <v>341</v>
      </c>
      <c r="B102" t="s">
        <v>537</v>
      </c>
      <c r="C102" t="s">
        <v>258</v>
      </c>
      <c r="D102" t="s">
        <v>259</v>
      </c>
      <c r="E102">
        <v>0</v>
      </c>
      <c r="F102">
        <v>0</v>
      </c>
      <c r="G102">
        <v>0</v>
      </c>
      <c r="H102">
        <v>0</v>
      </c>
    </row>
    <row r="103" spans="1:8" x14ac:dyDescent="0.3">
      <c r="A103" t="s">
        <v>341</v>
      </c>
      <c r="B103" t="s">
        <v>537</v>
      </c>
      <c r="C103" t="s">
        <v>282</v>
      </c>
      <c r="D103" t="s">
        <v>283</v>
      </c>
      <c r="E103">
        <v>0</v>
      </c>
      <c r="F103">
        <v>0</v>
      </c>
      <c r="G103">
        <v>0</v>
      </c>
      <c r="H103">
        <v>0</v>
      </c>
    </row>
    <row r="104" spans="1:8" x14ac:dyDescent="0.3">
      <c r="A104" t="s">
        <v>341</v>
      </c>
      <c r="B104" t="s">
        <v>537</v>
      </c>
      <c r="C104" t="s">
        <v>262</v>
      </c>
      <c r="D104" t="s">
        <v>263</v>
      </c>
      <c r="E104">
        <v>0</v>
      </c>
      <c r="F104">
        <v>0</v>
      </c>
      <c r="G104">
        <v>0</v>
      </c>
      <c r="H104">
        <v>0</v>
      </c>
    </row>
    <row r="105" spans="1:8" x14ac:dyDescent="0.3">
      <c r="A105" t="s">
        <v>341</v>
      </c>
      <c r="B105" t="s">
        <v>537</v>
      </c>
      <c r="C105" t="s">
        <v>272</v>
      </c>
      <c r="D105" t="s">
        <v>273</v>
      </c>
      <c r="E105">
        <v>67</v>
      </c>
      <c r="F105">
        <v>7</v>
      </c>
      <c r="G105">
        <v>13</v>
      </c>
      <c r="H105">
        <v>47</v>
      </c>
    </row>
    <row r="106" spans="1:8" x14ac:dyDescent="0.3">
      <c r="A106" t="s">
        <v>341</v>
      </c>
      <c r="B106" t="s">
        <v>537</v>
      </c>
      <c r="C106" t="s">
        <v>276</v>
      </c>
      <c r="D106" t="s">
        <v>277</v>
      </c>
      <c r="E106">
        <v>0</v>
      </c>
      <c r="F106">
        <v>0</v>
      </c>
      <c r="G106">
        <v>0</v>
      </c>
      <c r="H106">
        <v>0</v>
      </c>
    </row>
    <row r="107" spans="1:8" x14ac:dyDescent="0.3">
      <c r="A107" t="s">
        <v>341</v>
      </c>
      <c r="B107" t="s">
        <v>537</v>
      </c>
      <c r="C107" t="s">
        <v>278</v>
      </c>
      <c r="D107" t="s">
        <v>279</v>
      </c>
      <c r="E107">
        <v>0</v>
      </c>
      <c r="F107">
        <v>0</v>
      </c>
      <c r="G107">
        <v>0</v>
      </c>
      <c r="H107">
        <v>0</v>
      </c>
    </row>
    <row r="108" spans="1:8" x14ac:dyDescent="0.3">
      <c r="A108" t="s">
        <v>341</v>
      </c>
      <c r="B108" t="s">
        <v>537</v>
      </c>
      <c r="C108" t="s">
        <v>280</v>
      </c>
      <c r="D108" t="s">
        <v>281</v>
      </c>
      <c r="E108">
        <v>4</v>
      </c>
      <c r="F108">
        <v>1</v>
      </c>
      <c r="G108">
        <v>2</v>
      </c>
      <c r="H108">
        <v>1</v>
      </c>
    </row>
    <row r="109" spans="1:8" x14ac:dyDescent="0.3">
      <c r="A109" t="s">
        <v>341</v>
      </c>
      <c r="B109" t="s">
        <v>537</v>
      </c>
      <c r="C109" t="s">
        <v>286</v>
      </c>
      <c r="D109" t="s">
        <v>287</v>
      </c>
      <c r="E109">
        <v>18</v>
      </c>
      <c r="F109">
        <v>3</v>
      </c>
      <c r="G109">
        <v>4</v>
      </c>
      <c r="H109">
        <v>11</v>
      </c>
    </row>
    <row r="110" spans="1:8" x14ac:dyDescent="0.3">
      <c r="A110" t="s">
        <v>341</v>
      </c>
      <c r="B110" t="s">
        <v>537</v>
      </c>
      <c r="C110" t="s">
        <v>291</v>
      </c>
      <c r="D110" t="s">
        <v>292</v>
      </c>
      <c r="E110">
        <v>0</v>
      </c>
      <c r="F110">
        <v>0</v>
      </c>
      <c r="G110">
        <v>0</v>
      </c>
      <c r="H110">
        <v>0</v>
      </c>
    </row>
    <row r="111" spans="1:8" x14ac:dyDescent="0.3">
      <c r="A111" t="s">
        <v>341</v>
      </c>
      <c r="B111" t="s">
        <v>537</v>
      </c>
      <c r="C111" t="s">
        <v>293</v>
      </c>
      <c r="D111" t="s">
        <v>294</v>
      </c>
      <c r="E111">
        <v>23</v>
      </c>
      <c r="F111">
        <v>0</v>
      </c>
      <c r="G111">
        <v>3</v>
      </c>
      <c r="H111">
        <v>20</v>
      </c>
    </row>
    <row r="112" spans="1:8" x14ac:dyDescent="0.3">
      <c r="A112" t="s">
        <v>341</v>
      </c>
      <c r="B112" t="s">
        <v>537</v>
      </c>
      <c r="C112" t="s">
        <v>297</v>
      </c>
      <c r="D112" t="s">
        <v>298</v>
      </c>
      <c r="E112">
        <v>0</v>
      </c>
      <c r="F112">
        <v>0</v>
      </c>
      <c r="G112">
        <v>0</v>
      </c>
      <c r="H112">
        <v>0</v>
      </c>
    </row>
    <row r="113" spans="1:8" x14ac:dyDescent="0.3">
      <c r="A113" t="s">
        <v>341</v>
      </c>
      <c r="B113" t="s">
        <v>537</v>
      </c>
      <c r="C113" t="s">
        <v>299</v>
      </c>
      <c r="D113" t="s">
        <v>300</v>
      </c>
      <c r="E113">
        <v>0</v>
      </c>
      <c r="F113">
        <v>0</v>
      </c>
      <c r="G113">
        <v>0</v>
      </c>
      <c r="H113">
        <v>0</v>
      </c>
    </row>
    <row r="114" spans="1:8" x14ac:dyDescent="0.3">
      <c r="A114" t="s">
        <v>341</v>
      </c>
      <c r="B114" t="s">
        <v>537</v>
      </c>
      <c r="C114" t="s">
        <v>301</v>
      </c>
      <c r="D114" t="s">
        <v>302</v>
      </c>
      <c r="E114">
        <v>0</v>
      </c>
      <c r="F114">
        <v>0</v>
      </c>
      <c r="G114">
        <v>0</v>
      </c>
      <c r="H114">
        <v>0</v>
      </c>
    </row>
    <row r="115" spans="1:8" x14ac:dyDescent="0.3">
      <c r="A115" t="s">
        <v>341</v>
      </c>
      <c r="B115" t="s">
        <v>537</v>
      </c>
      <c r="C115" t="s">
        <v>303</v>
      </c>
      <c r="D115" t="s">
        <v>304</v>
      </c>
      <c r="E115">
        <v>3</v>
      </c>
      <c r="F115">
        <v>1</v>
      </c>
      <c r="G115">
        <v>0</v>
      </c>
      <c r="H115">
        <v>2</v>
      </c>
    </row>
    <row r="116" spans="1:8" x14ac:dyDescent="0.3">
      <c r="A116" t="s">
        <v>341</v>
      </c>
      <c r="B116" t="s">
        <v>537</v>
      </c>
      <c r="C116" t="s">
        <v>306</v>
      </c>
      <c r="D116" t="s">
        <v>307</v>
      </c>
      <c r="E116">
        <v>0</v>
      </c>
      <c r="F116">
        <v>0</v>
      </c>
      <c r="G116">
        <v>0</v>
      </c>
      <c r="H116">
        <v>0</v>
      </c>
    </row>
    <row r="117" spans="1:8" x14ac:dyDescent="0.3">
      <c r="A117" t="s">
        <v>341</v>
      </c>
      <c r="B117" t="s">
        <v>537</v>
      </c>
      <c r="C117" t="s">
        <v>214</v>
      </c>
      <c r="D117" t="s">
        <v>215</v>
      </c>
      <c r="E117">
        <v>0</v>
      </c>
      <c r="F117">
        <v>0</v>
      </c>
      <c r="G117">
        <v>0</v>
      </c>
      <c r="H117">
        <v>0</v>
      </c>
    </row>
    <row r="118" spans="1:8" x14ac:dyDescent="0.3">
      <c r="A118" t="s">
        <v>341</v>
      </c>
      <c r="B118" t="s">
        <v>537</v>
      </c>
      <c r="C118" t="s">
        <v>219</v>
      </c>
      <c r="D118" t="s">
        <v>220</v>
      </c>
      <c r="E118">
        <v>0</v>
      </c>
      <c r="F118">
        <v>0</v>
      </c>
      <c r="G118">
        <v>0</v>
      </c>
      <c r="H118">
        <v>0</v>
      </c>
    </row>
    <row r="119" spans="1:8" x14ac:dyDescent="0.3">
      <c r="A119" t="s">
        <v>341</v>
      </c>
      <c r="B119" t="s">
        <v>537</v>
      </c>
      <c r="C119" t="s">
        <v>227</v>
      </c>
      <c r="D119" t="s">
        <v>228</v>
      </c>
      <c r="E119">
        <v>200</v>
      </c>
      <c r="F119">
        <v>24</v>
      </c>
      <c r="G119">
        <v>21</v>
      </c>
      <c r="H119">
        <v>155</v>
      </c>
    </row>
    <row r="120" spans="1:8" x14ac:dyDescent="0.3">
      <c r="A120" t="s">
        <v>341</v>
      </c>
      <c r="B120" t="s">
        <v>537</v>
      </c>
      <c r="C120" t="s">
        <v>233</v>
      </c>
      <c r="D120" t="s">
        <v>234</v>
      </c>
      <c r="E120">
        <v>0</v>
      </c>
      <c r="F120">
        <v>0</v>
      </c>
      <c r="G120">
        <v>0</v>
      </c>
      <c r="H120">
        <v>0</v>
      </c>
    </row>
    <row r="121" spans="1:8" x14ac:dyDescent="0.3">
      <c r="A121" t="s">
        <v>341</v>
      </c>
      <c r="B121" t="s">
        <v>537</v>
      </c>
      <c r="C121" t="s">
        <v>295</v>
      </c>
      <c r="D121" t="s">
        <v>296</v>
      </c>
      <c r="E121">
        <v>0</v>
      </c>
      <c r="F121">
        <v>0</v>
      </c>
      <c r="G121">
        <v>0</v>
      </c>
      <c r="H121">
        <v>0</v>
      </c>
    </row>
    <row r="122" spans="1:8" x14ac:dyDescent="0.3">
      <c r="A122" t="s">
        <v>341</v>
      </c>
      <c r="B122" t="s">
        <v>537</v>
      </c>
      <c r="C122" t="s">
        <v>308</v>
      </c>
      <c r="D122" t="s">
        <v>309</v>
      </c>
      <c r="E122">
        <v>0</v>
      </c>
      <c r="F122">
        <v>0</v>
      </c>
      <c r="G122">
        <v>0</v>
      </c>
      <c r="H122">
        <v>0</v>
      </c>
    </row>
    <row r="123" spans="1:8" x14ac:dyDescent="0.3">
      <c r="A123" t="s">
        <v>341</v>
      </c>
      <c r="B123" t="s">
        <v>537</v>
      </c>
      <c r="C123" t="s">
        <v>310</v>
      </c>
      <c r="D123" t="s">
        <v>311</v>
      </c>
      <c r="E123">
        <v>0</v>
      </c>
      <c r="F123">
        <v>0</v>
      </c>
      <c r="G123">
        <v>0</v>
      </c>
      <c r="H123">
        <v>0</v>
      </c>
    </row>
    <row r="124" spans="1:8" x14ac:dyDescent="0.3">
      <c r="A124" t="s">
        <v>341</v>
      </c>
      <c r="B124" t="s">
        <v>537</v>
      </c>
      <c r="C124" t="s">
        <v>223</v>
      </c>
      <c r="D124" t="s">
        <v>224</v>
      </c>
      <c r="E124">
        <v>0</v>
      </c>
      <c r="F124">
        <v>0</v>
      </c>
      <c r="G124">
        <v>0</v>
      </c>
      <c r="H124">
        <v>0</v>
      </c>
    </row>
    <row r="125" spans="1:8" x14ac:dyDescent="0.3">
      <c r="A125" t="s">
        <v>341</v>
      </c>
      <c r="B125" t="s">
        <v>537</v>
      </c>
      <c r="C125" t="s">
        <v>246</v>
      </c>
      <c r="D125" t="s">
        <v>247</v>
      </c>
      <c r="E125">
        <v>0</v>
      </c>
      <c r="F125">
        <v>0</v>
      </c>
      <c r="G125">
        <v>0</v>
      </c>
      <c r="H125">
        <v>0</v>
      </c>
    </row>
    <row r="126" spans="1:8" x14ac:dyDescent="0.3">
      <c r="A126" t="s">
        <v>341</v>
      </c>
      <c r="B126" t="s">
        <v>537</v>
      </c>
      <c r="C126" t="s">
        <v>288</v>
      </c>
      <c r="D126" t="s">
        <v>289</v>
      </c>
      <c r="E126">
        <v>0</v>
      </c>
      <c r="F126">
        <v>0</v>
      </c>
      <c r="G126">
        <v>0</v>
      </c>
      <c r="H126">
        <v>0</v>
      </c>
    </row>
    <row r="127" spans="1:8" x14ac:dyDescent="0.3">
      <c r="A127" t="s">
        <v>341</v>
      </c>
      <c r="B127" t="s">
        <v>537</v>
      </c>
      <c r="C127" t="s">
        <v>252</v>
      </c>
      <c r="D127" t="s">
        <v>253</v>
      </c>
      <c r="E127">
        <v>0</v>
      </c>
      <c r="F127">
        <v>0</v>
      </c>
      <c r="G127">
        <v>0</v>
      </c>
      <c r="H127">
        <v>0</v>
      </c>
    </row>
    <row r="128" spans="1:8" x14ac:dyDescent="0.3">
      <c r="A128" t="s">
        <v>341</v>
      </c>
      <c r="B128" t="s">
        <v>537</v>
      </c>
      <c r="C128" t="s">
        <v>269</v>
      </c>
      <c r="D128" t="s">
        <v>270</v>
      </c>
      <c r="E128">
        <v>0</v>
      </c>
      <c r="F128">
        <v>0</v>
      </c>
      <c r="G128">
        <v>0</v>
      </c>
      <c r="H128">
        <v>0</v>
      </c>
    </row>
    <row r="129" spans="1:8" x14ac:dyDescent="0.3">
      <c r="A129" t="s">
        <v>341</v>
      </c>
      <c r="B129" t="s">
        <v>537</v>
      </c>
      <c r="C129" t="s">
        <v>266</v>
      </c>
      <c r="D129" t="s">
        <v>267</v>
      </c>
      <c r="E129">
        <v>0</v>
      </c>
      <c r="F129">
        <v>0</v>
      </c>
      <c r="G129">
        <v>0</v>
      </c>
      <c r="H129">
        <v>0</v>
      </c>
    </row>
    <row r="130" spans="1:8" x14ac:dyDescent="0.3">
      <c r="A130" t="s">
        <v>342</v>
      </c>
      <c r="B130" t="s">
        <v>537</v>
      </c>
      <c r="C130" t="s">
        <v>243</v>
      </c>
      <c r="D130" t="s">
        <v>244</v>
      </c>
      <c r="E130">
        <v>4</v>
      </c>
      <c r="F130">
        <v>1</v>
      </c>
      <c r="H130">
        <v>3</v>
      </c>
    </row>
    <row r="131" spans="1:8" x14ac:dyDescent="0.3">
      <c r="A131" t="s">
        <v>342</v>
      </c>
      <c r="B131" t="s">
        <v>537</v>
      </c>
      <c r="C131" t="s">
        <v>272</v>
      </c>
      <c r="D131" t="s">
        <v>273</v>
      </c>
      <c r="E131">
        <v>64</v>
      </c>
      <c r="F131">
        <v>7</v>
      </c>
      <c r="G131">
        <v>11</v>
      </c>
      <c r="H131">
        <v>46</v>
      </c>
    </row>
    <row r="132" spans="1:8" x14ac:dyDescent="0.3">
      <c r="A132" t="s">
        <v>342</v>
      </c>
      <c r="B132" t="s">
        <v>537</v>
      </c>
      <c r="C132" t="s">
        <v>280</v>
      </c>
      <c r="D132" t="s">
        <v>281</v>
      </c>
      <c r="E132">
        <v>4</v>
      </c>
      <c r="F132">
        <v>2</v>
      </c>
      <c r="G132">
        <v>1</v>
      </c>
      <c r="H132">
        <v>1</v>
      </c>
    </row>
    <row r="133" spans="1:8" x14ac:dyDescent="0.3">
      <c r="A133" t="s">
        <v>342</v>
      </c>
      <c r="B133" t="s">
        <v>537</v>
      </c>
      <c r="C133" t="s">
        <v>286</v>
      </c>
      <c r="D133" t="s">
        <v>287</v>
      </c>
      <c r="E133">
        <v>23</v>
      </c>
      <c r="F133">
        <v>3</v>
      </c>
      <c r="G133">
        <v>3</v>
      </c>
      <c r="H133">
        <v>17</v>
      </c>
    </row>
    <row r="134" spans="1:8" x14ac:dyDescent="0.3">
      <c r="A134" t="s">
        <v>342</v>
      </c>
      <c r="B134" t="s">
        <v>537</v>
      </c>
      <c r="C134" t="s">
        <v>293</v>
      </c>
      <c r="D134" t="s">
        <v>294</v>
      </c>
      <c r="E134">
        <v>28</v>
      </c>
      <c r="G134">
        <v>3</v>
      </c>
      <c r="H134">
        <v>25</v>
      </c>
    </row>
    <row r="135" spans="1:8" x14ac:dyDescent="0.3">
      <c r="A135" t="s">
        <v>342</v>
      </c>
      <c r="B135" t="s">
        <v>537</v>
      </c>
      <c r="C135" t="s">
        <v>303</v>
      </c>
      <c r="D135" t="s">
        <v>304</v>
      </c>
      <c r="E135">
        <v>2</v>
      </c>
      <c r="F135">
        <v>1</v>
      </c>
      <c r="H135">
        <v>1</v>
      </c>
    </row>
    <row r="136" spans="1:8" x14ac:dyDescent="0.3">
      <c r="A136" t="s">
        <v>342</v>
      </c>
      <c r="B136" t="s">
        <v>537</v>
      </c>
      <c r="C136" t="s">
        <v>227</v>
      </c>
      <c r="D136" t="s">
        <v>228</v>
      </c>
      <c r="E136">
        <v>211</v>
      </c>
      <c r="F136">
        <v>25</v>
      </c>
      <c r="G136">
        <v>22</v>
      </c>
      <c r="H136">
        <v>164</v>
      </c>
    </row>
    <row r="137" spans="1:8" x14ac:dyDescent="0.3">
      <c r="A137" t="s">
        <v>213</v>
      </c>
      <c r="B137" t="s">
        <v>537</v>
      </c>
      <c r="C137" t="s">
        <v>243</v>
      </c>
      <c r="D137" t="s">
        <v>244</v>
      </c>
      <c r="E137">
        <v>6</v>
      </c>
      <c r="F137">
        <v>1</v>
      </c>
      <c r="G137">
        <v>0</v>
      </c>
      <c r="H137">
        <v>5</v>
      </c>
    </row>
    <row r="138" spans="1:8" x14ac:dyDescent="0.3">
      <c r="A138" t="s">
        <v>213</v>
      </c>
      <c r="B138" t="s">
        <v>537</v>
      </c>
      <c r="C138" t="s">
        <v>272</v>
      </c>
      <c r="D138" t="s">
        <v>273</v>
      </c>
      <c r="E138">
        <v>62</v>
      </c>
      <c r="F138">
        <v>7</v>
      </c>
      <c r="G138">
        <v>12</v>
      </c>
      <c r="H138">
        <v>43</v>
      </c>
    </row>
    <row r="139" spans="1:8" x14ac:dyDescent="0.3">
      <c r="A139" t="s">
        <v>213</v>
      </c>
      <c r="B139" t="s">
        <v>537</v>
      </c>
      <c r="C139" t="s">
        <v>280</v>
      </c>
      <c r="D139" t="s">
        <v>281</v>
      </c>
      <c r="E139">
        <v>4</v>
      </c>
      <c r="F139">
        <v>1</v>
      </c>
      <c r="G139">
        <v>2</v>
      </c>
      <c r="H139">
        <v>1</v>
      </c>
    </row>
    <row r="140" spans="1:8" x14ac:dyDescent="0.3">
      <c r="A140" t="s">
        <v>213</v>
      </c>
      <c r="B140" t="s">
        <v>537</v>
      </c>
      <c r="C140" t="s">
        <v>286</v>
      </c>
      <c r="D140" t="s">
        <v>287</v>
      </c>
      <c r="E140">
        <v>22</v>
      </c>
      <c r="F140">
        <v>3</v>
      </c>
      <c r="G140">
        <v>3</v>
      </c>
      <c r="H140">
        <v>16</v>
      </c>
    </row>
    <row r="141" spans="1:8" x14ac:dyDescent="0.3">
      <c r="A141" t="s">
        <v>213</v>
      </c>
      <c r="B141" t="s">
        <v>537</v>
      </c>
      <c r="C141" t="s">
        <v>303</v>
      </c>
      <c r="D141" t="s">
        <v>304</v>
      </c>
      <c r="E141">
        <v>2</v>
      </c>
      <c r="F141">
        <v>1</v>
      </c>
      <c r="G141">
        <v>0</v>
      </c>
      <c r="H141">
        <v>1</v>
      </c>
    </row>
    <row r="142" spans="1:8" x14ac:dyDescent="0.3">
      <c r="A142" t="s">
        <v>213</v>
      </c>
      <c r="B142" t="s">
        <v>537</v>
      </c>
      <c r="C142" t="s">
        <v>227</v>
      </c>
      <c r="D142" t="s">
        <v>228</v>
      </c>
      <c r="E142">
        <v>203</v>
      </c>
      <c r="F142">
        <v>25</v>
      </c>
      <c r="G142">
        <v>22</v>
      </c>
      <c r="H142">
        <v>156</v>
      </c>
    </row>
    <row r="143" spans="1:8" x14ac:dyDescent="0.3">
      <c r="A143" t="s">
        <v>213</v>
      </c>
      <c r="B143" t="s">
        <v>537</v>
      </c>
      <c r="C143" t="s">
        <v>496</v>
      </c>
      <c r="D143" t="s">
        <v>294</v>
      </c>
      <c r="E143">
        <v>22</v>
      </c>
      <c r="F143">
        <v>0</v>
      </c>
      <c r="G143">
        <v>3</v>
      </c>
      <c r="H143">
        <v>19</v>
      </c>
    </row>
    <row r="144" spans="1:8" x14ac:dyDescent="0.3">
      <c r="A144" t="s">
        <v>312</v>
      </c>
      <c r="B144" t="s">
        <v>537</v>
      </c>
      <c r="C144" t="s">
        <v>231</v>
      </c>
      <c r="D144" t="s">
        <v>228</v>
      </c>
      <c r="E144">
        <v>212</v>
      </c>
      <c r="F144">
        <v>25</v>
      </c>
      <c r="G144">
        <v>22</v>
      </c>
      <c r="H144">
        <v>165</v>
      </c>
    </row>
    <row r="145" spans="1:8" x14ac:dyDescent="0.3">
      <c r="A145" t="s">
        <v>312</v>
      </c>
      <c r="B145" t="s">
        <v>537</v>
      </c>
      <c r="C145" t="s">
        <v>231</v>
      </c>
      <c r="D145" t="s">
        <v>244</v>
      </c>
      <c r="E145">
        <v>5</v>
      </c>
      <c r="F145">
        <v>1</v>
      </c>
      <c r="G145">
        <v>1</v>
      </c>
      <c r="H145">
        <v>3</v>
      </c>
    </row>
    <row r="146" spans="1:8" x14ac:dyDescent="0.3">
      <c r="A146" t="s">
        <v>312</v>
      </c>
      <c r="B146" t="s">
        <v>537</v>
      </c>
      <c r="C146" t="s">
        <v>231</v>
      </c>
      <c r="D146" t="s">
        <v>287</v>
      </c>
      <c r="E146">
        <v>22</v>
      </c>
      <c r="F146">
        <v>3</v>
      </c>
      <c r="G146">
        <v>3</v>
      </c>
      <c r="H146">
        <v>16</v>
      </c>
    </row>
    <row r="147" spans="1:8" x14ac:dyDescent="0.3">
      <c r="A147" t="s">
        <v>312</v>
      </c>
      <c r="B147" t="s">
        <v>537</v>
      </c>
      <c r="C147" t="s">
        <v>231</v>
      </c>
      <c r="D147" t="s">
        <v>304</v>
      </c>
      <c r="E147">
        <v>2</v>
      </c>
      <c r="F147">
        <v>1</v>
      </c>
      <c r="G147">
        <v>0</v>
      </c>
      <c r="H147">
        <v>1</v>
      </c>
    </row>
    <row r="148" spans="1:8" x14ac:dyDescent="0.3">
      <c r="A148" t="s">
        <v>312</v>
      </c>
      <c r="B148" t="s">
        <v>537</v>
      </c>
      <c r="C148" t="s">
        <v>217</v>
      </c>
      <c r="D148" t="s">
        <v>273</v>
      </c>
      <c r="E148">
        <v>49</v>
      </c>
      <c r="F148">
        <v>6</v>
      </c>
      <c r="G148">
        <v>10</v>
      </c>
      <c r="H148">
        <v>33</v>
      </c>
    </row>
    <row r="149" spans="1:8" x14ac:dyDescent="0.3">
      <c r="A149" t="s">
        <v>312</v>
      </c>
      <c r="B149" t="s">
        <v>537</v>
      </c>
      <c r="C149" t="s">
        <v>217</v>
      </c>
      <c r="D149" t="s">
        <v>281</v>
      </c>
      <c r="E149">
        <v>4</v>
      </c>
      <c r="F149">
        <v>1</v>
      </c>
      <c r="G149">
        <v>2</v>
      </c>
      <c r="H149">
        <v>1</v>
      </c>
    </row>
    <row r="150" spans="1:8" x14ac:dyDescent="0.3">
      <c r="A150" t="s">
        <v>312</v>
      </c>
      <c r="B150" t="s">
        <v>537</v>
      </c>
      <c r="C150" t="s">
        <v>217</v>
      </c>
      <c r="D150" t="s">
        <v>294</v>
      </c>
      <c r="E150">
        <v>21</v>
      </c>
      <c r="F150">
        <v>0</v>
      </c>
      <c r="G150">
        <v>3</v>
      </c>
      <c r="H150">
        <v>18</v>
      </c>
    </row>
    <row r="151" spans="1:8" x14ac:dyDescent="0.3">
      <c r="A151" t="s">
        <v>318</v>
      </c>
      <c r="B151" t="s">
        <v>537</v>
      </c>
      <c r="C151" t="s">
        <v>231</v>
      </c>
      <c r="D151" t="s">
        <v>228</v>
      </c>
      <c r="E151">
        <v>201</v>
      </c>
      <c r="F151">
        <v>25</v>
      </c>
      <c r="G151">
        <v>22</v>
      </c>
      <c r="H151">
        <v>154</v>
      </c>
    </row>
    <row r="152" spans="1:8" x14ac:dyDescent="0.3">
      <c r="A152" t="s">
        <v>318</v>
      </c>
      <c r="B152" t="s">
        <v>537</v>
      </c>
      <c r="C152" t="s">
        <v>231</v>
      </c>
      <c r="D152" t="s">
        <v>244</v>
      </c>
      <c r="E152">
        <v>6</v>
      </c>
      <c r="F152">
        <v>1</v>
      </c>
      <c r="G152">
        <v>1</v>
      </c>
      <c r="H152">
        <v>4</v>
      </c>
    </row>
    <row r="153" spans="1:8" x14ac:dyDescent="0.3">
      <c r="A153" t="s">
        <v>318</v>
      </c>
      <c r="B153" t="s">
        <v>537</v>
      </c>
      <c r="C153" t="s">
        <v>231</v>
      </c>
      <c r="D153" t="s">
        <v>287</v>
      </c>
      <c r="E153">
        <v>22</v>
      </c>
      <c r="F153">
        <v>3</v>
      </c>
      <c r="G153">
        <v>3</v>
      </c>
      <c r="H153">
        <v>16</v>
      </c>
    </row>
    <row r="154" spans="1:8" x14ac:dyDescent="0.3">
      <c r="A154" t="s">
        <v>318</v>
      </c>
      <c r="B154" t="s">
        <v>537</v>
      </c>
      <c r="C154" t="s">
        <v>231</v>
      </c>
      <c r="D154" t="s">
        <v>304</v>
      </c>
      <c r="E154">
        <v>2</v>
      </c>
      <c r="F154">
        <v>1</v>
      </c>
      <c r="G154">
        <v>0</v>
      </c>
      <c r="H154">
        <v>1</v>
      </c>
    </row>
    <row r="155" spans="1:8" x14ac:dyDescent="0.3">
      <c r="A155" t="s">
        <v>318</v>
      </c>
      <c r="B155" t="s">
        <v>537</v>
      </c>
      <c r="C155" t="s">
        <v>217</v>
      </c>
      <c r="D155" t="s">
        <v>273</v>
      </c>
      <c r="E155">
        <v>48</v>
      </c>
      <c r="F155">
        <v>6</v>
      </c>
      <c r="G155">
        <v>12</v>
      </c>
      <c r="H155">
        <v>30</v>
      </c>
    </row>
    <row r="156" spans="1:8" x14ac:dyDescent="0.3">
      <c r="A156" t="s">
        <v>318</v>
      </c>
      <c r="B156" t="s">
        <v>537</v>
      </c>
      <c r="C156" t="s">
        <v>217</v>
      </c>
      <c r="D156" t="s">
        <v>281</v>
      </c>
      <c r="E156">
        <v>3</v>
      </c>
      <c r="F156">
        <v>1</v>
      </c>
      <c r="G156">
        <v>2</v>
      </c>
      <c r="H156">
        <v>0</v>
      </c>
    </row>
    <row r="157" spans="1:8" x14ac:dyDescent="0.3">
      <c r="A157" t="s">
        <v>318</v>
      </c>
      <c r="B157" t="s">
        <v>537</v>
      </c>
      <c r="C157" t="s">
        <v>217</v>
      </c>
      <c r="D157" t="s">
        <v>294</v>
      </c>
      <c r="E157">
        <v>21</v>
      </c>
      <c r="F157">
        <v>0</v>
      </c>
      <c r="G157">
        <v>3</v>
      </c>
      <c r="H157">
        <v>18</v>
      </c>
    </row>
    <row r="158" spans="1:8" x14ac:dyDescent="0.3">
      <c r="A158" t="s">
        <v>320</v>
      </c>
      <c r="B158" t="s">
        <v>537</v>
      </c>
      <c r="D158" t="s">
        <v>228</v>
      </c>
      <c r="E158">
        <v>183</v>
      </c>
      <c r="F158">
        <v>24</v>
      </c>
      <c r="G158">
        <v>21</v>
      </c>
      <c r="H158">
        <v>138</v>
      </c>
    </row>
    <row r="159" spans="1:8" x14ac:dyDescent="0.3">
      <c r="A159" t="s">
        <v>320</v>
      </c>
      <c r="B159" t="s">
        <v>537</v>
      </c>
      <c r="D159" t="s">
        <v>244</v>
      </c>
      <c r="E159">
        <v>6</v>
      </c>
      <c r="F159">
        <v>1</v>
      </c>
      <c r="G159">
        <v>1</v>
      </c>
      <c r="H159">
        <v>4</v>
      </c>
    </row>
    <row r="160" spans="1:8" x14ac:dyDescent="0.3">
      <c r="A160" t="s">
        <v>320</v>
      </c>
      <c r="B160" t="s">
        <v>537</v>
      </c>
      <c r="D160" t="s">
        <v>273</v>
      </c>
      <c r="E160">
        <v>45</v>
      </c>
      <c r="F160">
        <v>7</v>
      </c>
      <c r="G160">
        <v>12</v>
      </c>
      <c r="H160">
        <v>26</v>
      </c>
    </row>
    <row r="161" spans="1:8" x14ac:dyDescent="0.3">
      <c r="A161" t="s">
        <v>320</v>
      </c>
      <c r="B161" t="s">
        <v>537</v>
      </c>
      <c r="D161" t="s">
        <v>287</v>
      </c>
      <c r="E161">
        <v>19</v>
      </c>
      <c r="F161">
        <v>3</v>
      </c>
      <c r="G161">
        <v>3</v>
      </c>
      <c r="H161">
        <v>13</v>
      </c>
    </row>
    <row r="162" spans="1:8" x14ac:dyDescent="0.3">
      <c r="A162" t="s">
        <v>320</v>
      </c>
      <c r="B162" t="s">
        <v>537</v>
      </c>
      <c r="D162" t="s">
        <v>294</v>
      </c>
      <c r="E162">
        <v>22</v>
      </c>
      <c r="F162">
        <v>0</v>
      </c>
      <c r="G162">
        <v>3</v>
      </c>
      <c r="H162">
        <v>19</v>
      </c>
    </row>
    <row r="163" spans="1:8" x14ac:dyDescent="0.3">
      <c r="A163" t="s">
        <v>320</v>
      </c>
      <c r="B163" t="s">
        <v>537</v>
      </c>
      <c r="D163" t="s">
        <v>304</v>
      </c>
      <c r="E163">
        <v>2</v>
      </c>
      <c r="F163">
        <v>1</v>
      </c>
      <c r="G163">
        <v>0</v>
      </c>
      <c r="H163">
        <v>1</v>
      </c>
    </row>
    <row r="164" spans="1:8" x14ac:dyDescent="0.3">
      <c r="A164" t="s">
        <v>325</v>
      </c>
      <c r="B164" t="s">
        <v>537</v>
      </c>
      <c r="D164" t="s">
        <v>228</v>
      </c>
      <c r="E164">
        <v>172</v>
      </c>
      <c r="F164">
        <v>25</v>
      </c>
      <c r="G164">
        <v>21</v>
      </c>
      <c r="H164">
        <v>126</v>
      </c>
    </row>
    <row r="165" spans="1:8" x14ac:dyDescent="0.3">
      <c r="A165" t="s">
        <v>325</v>
      </c>
      <c r="B165" t="s">
        <v>537</v>
      </c>
      <c r="D165" t="s">
        <v>244</v>
      </c>
      <c r="E165">
        <v>6</v>
      </c>
      <c r="F165">
        <v>1</v>
      </c>
      <c r="G165">
        <v>1</v>
      </c>
      <c r="H165">
        <v>4</v>
      </c>
    </row>
    <row r="166" spans="1:8" x14ac:dyDescent="0.3">
      <c r="A166" t="s">
        <v>325</v>
      </c>
      <c r="B166" t="s">
        <v>537</v>
      </c>
      <c r="D166" t="s">
        <v>273</v>
      </c>
      <c r="E166">
        <v>42</v>
      </c>
      <c r="F166">
        <v>6</v>
      </c>
      <c r="G166">
        <v>11</v>
      </c>
      <c r="H166">
        <v>25</v>
      </c>
    </row>
    <row r="167" spans="1:8" x14ac:dyDescent="0.3">
      <c r="A167" t="s">
        <v>325</v>
      </c>
      <c r="B167" t="s">
        <v>537</v>
      </c>
      <c r="D167" t="s">
        <v>281</v>
      </c>
      <c r="E167">
        <v>3</v>
      </c>
      <c r="F167">
        <v>1</v>
      </c>
      <c r="G167">
        <v>2</v>
      </c>
      <c r="H167">
        <v>0</v>
      </c>
    </row>
    <row r="168" spans="1:8" x14ac:dyDescent="0.3">
      <c r="A168" t="s">
        <v>325</v>
      </c>
      <c r="B168" t="s">
        <v>537</v>
      </c>
      <c r="D168" t="s">
        <v>287</v>
      </c>
      <c r="E168">
        <v>20</v>
      </c>
      <c r="F168">
        <v>3</v>
      </c>
      <c r="G168">
        <v>2</v>
      </c>
      <c r="H168">
        <v>15</v>
      </c>
    </row>
    <row r="169" spans="1:8" x14ac:dyDescent="0.3">
      <c r="A169" t="s">
        <v>325</v>
      </c>
      <c r="B169" t="s">
        <v>537</v>
      </c>
      <c r="D169" t="s">
        <v>294</v>
      </c>
      <c r="E169">
        <v>21</v>
      </c>
      <c r="F169">
        <v>0</v>
      </c>
      <c r="G169">
        <v>3</v>
      </c>
      <c r="H169">
        <v>18</v>
      </c>
    </row>
    <row r="170" spans="1:8" x14ac:dyDescent="0.3">
      <c r="A170" t="s">
        <v>325</v>
      </c>
      <c r="B170" t="s">
        <v>537</v>
      </c>
      <c r="D170" t="s">
        <v>304</v>
      </c>
      <c r="E170">
        <v>2</v>
      </c>
      <c r="F170">
        <v>1</v>
      </c>
      <c r="G170">
        <v>0</v>
      </c>
      <c r="H170">
        <v>1</v>
      </c>
    </row>
    <row r="171" spans="1:8" x14ac:dyDescent="0.3">
      <c r="A171" t="s">
        <v>326</v>
      </c>
      <c r="B171" t="s">
        <v>537</v>
      </c>
      <c r="D171" t="s">
        <v>228</v>
      </c>
      <c r="E171">
        <v>172</v>
      </c>
      <c r="F171">
        <v>25</v>
      </c>
      <c r="G171">
        <v>21</v>
      </c>
      <c r="H171">
        <v>126</v>
      </c>
    </row>
    <row r="172" spans="1:8" x14ac:dyDescent="0.3">
      <c r="A172" t="s">
        <v>326</v>
      </c>
      <c r="B172" t="s">
        <v>537</v>
      </c>
      <c r="D172" t="s">
        <v>244</v>
      </c>
      <c r="E172">
        <v>7</v>
      </c>
      <c r="F172">
        <v>1</v>
      </c>
      <c r="G172">
        <v>2</v>
      </c>
      <c r="H172">
        <v>4</v>
      </c>
    </row>
    <row r="173" spans="1:8" x14ac:dyDescent="0.3">
      <c r="A173" t="s">
        <v>326</v>
      </c>
      <c r="B173" t="s">
        <v>537</v>
      </c>
      <c r="D173" t="s">
        <v>273</v>
      </c>
      <c r="E173">
        <v>47</v>
      </c>
      <c r="F173">
        <v>6</v>
      </c>
      <c r="G173">
        <v>11</v>
      </c>
      <c r="H173">
        <v>30</v>
      </c>
    </row>
    <row r="174" spans="1:8" x14ac:dyDescent="0.3">
      <c r="A174" t="s">
        <v>326</v>
      </c>
      <c r="B174" t="s">
        <v>537</v>
      </c>
      <c r="D174" t="s">
        <v>281</v>
      </c>
      <c r="E174">
        <v>3</v>
      </c>
      <c r="F174">
        <v>1</v>
      </c>
      <c r="G174">
        <v>2</v>
      </c>
      <c r="H174">
        <v>0</v>
      </c>
    </row>
    <row r="175" spans="1:8" x14ac:dyDescent="0.3">
      <c r="A175" t="s">
        <v>326</v>
      </c>
      <c r="B175" t="s">
        <v>537</v>
      </c>
      <c r="D175" t="s">
        <v>287</v>
      </c>
      <c r="E175">
        <v>19</v>
      </c>
      <c r="F175">
        <v>2</v>
      </c>
      <c r="G175">
        <v>2</v>
      </c>
      <c r="H175">
        <v>15</v>
      </c>
    </row>
    <row r="176" spans="1:8" x14ac:dyDescent="0.3">
      <c r="A176" t="s">
        <v>326</v>
      </c>
      <c r="B176" t="s">
        <v>537</v>
      </c>
      <c r="D176" t="s">
        <v>294</v>
      </c>
      <c r="E176">
        <v>21</v>
      </c>
      <c r="F176">
        <v>0</v>
      </c>
      <c r="G176">
        <v>3</v>
      </c>
      <c r="H176">
        <v>18</v>
      </c>
    </row>
    <row r="177" spans="1:8" x14ac:dyDescent="0.3">
      <c r="A177" t="s">
        <v>328</v>
      </c>
      <c r="B177" t="s">
        <v>537</v>
      </c>
      <c r="D177" t="s">
        <v>228</v>
      </c>
      <c r="E177">
        <v>181</v>
      </c>
      <c r="F177">
        <v>25</v>
      </c>
      <c r="G177">
        <v>22</v>
      </c>
      <c r="H177">
        <v>134</v>
      </c>
    </row>
    <row r="178" spans="1:8" x14ac:dyDescent="0.3">
      <c r="A178" t="s">
        <v>328</v>
      </c>
      <c r="B178" t="s">
        <v>537</v>
      </c>
      <c r="D178" t="s">
        <v>244</v>
      </c>
      <c r="E178">
        <v>6</v>
      </c>
      <c r="F178">
        <v>1</v>
      </c>
      <c r="G178">
        <v>2</v>
      </c>
      <c r="H178">
        <v>3</v>
      </c>
    </row>
    <row r="179" spans="1:8" x14ac:dyDescent="0.3">
      <c r="A179" t="s">
        <v>328</v>
      </c>
      <c r="B179" t="s">
        <v>537</v>
      </c>
      <c r="D179" t="s">
        <v>273</v>
      </c>
      <c r="E179">
        <v>43</v>
      </c>
      <c r="F179">
        <v>6</v>
      </c>
      <c r="G179">
        <v>10</v>
      </c>
      <c r="H179">
        <v>27</v>
      </c>
    </row>
    <row r="180" spans="1:8" x14ac:dyDescent="0.3">
      <c r="A180" t="s">
        <v>328</v>
      </c>
      <c r="B180" t="s">
        <v>537</v>
      </c>
      <c r="D180" t="s">
        <v>281</v>
      </c>
      <c r="E180">
        <v>3</v>
      </c>
      <c r="F180">
        <v>1</v>
      </c>
      <c r="G180">
        <v>2</v>
      </c>
      <c r="H180">
        <v>0</v>
      </c>
    </row>
    <row r="181" spans="1:8" x14ac:dyDescent="0.3">
      <c r="A181" t="s">
        <v>328</v>
      </c>
      <c r="B181" t="s">
        <v>537</v>
      </c>
      <c r="D181" t="s">
        <v>287</v>
      </c>
      <c r="E181">
        <v>19</v>
      </c>
      <c r="F181">
        <v>2</v>
      </c>
      <c r="G181">
        <v>2</v>
      </c>
      <c r="H181">
        <v>15</v>
      </c>
    </row>
    <row r="182" spans="1:8" x14ac:dyDescent="0.3">
      <c r="A182" t="s">
        <v>328</v>
      </c>
      <c r="B182" t="s">
        <v>537</v>
      </c>
      <c r="D182" t="s">
        <v>294</v>
      </c>
      <c r="E182">
        <v>21</v>
      </c>
      <c r="F182">
        <v>1</v>
      </c>
      <c r="G182">
        <v>3</v>
      </c>
      <c r="H182">
        <v>17</v>
      </c>
    </row>
    <row r="183" spans="1:8" x14ac:dyDescent="0.3">
      <c r="A183" t="s">
        <v>412</v>
      </c>
      <c r="B183" t="s">
        <v>537</v>
      </c>
      <c r="D183" t="s">
        <v>228</v>
      </c>
      <c r="E183">
        <v>164</v>
      </c>
      <c r="F183">
        <v>25</v>
      </c>
      <c r="G183">
        <v>21</v>
      </c>
      <c r="H183">
        <v>118</v>
      </c>
    </row>
    <row r="184" spans="1:8" x14ac:dyDescent="0.3">
      <c r="A184" t="s">
        <v>412</v>
      </c>
      <c r="B184" t="s">
        <v>537</v>
      </c>
      <c r="D184" t="s">
        <v>244</v>
      </c>
      <c r="E184">
        <v>4</v>
      </c>
      <c r="F184">
        <v>1</v>
      </c>
      <c r="G184">
        <v>2</v>
      </c>
      <c r="H184">
        <v>1</v>
      </c>
    </row>
    <row r="185" spans="1:8" x14ac:dyDescent="0.3">
      <c r="A185" t="s">
        <v>412</v>
      </c>
      <c r="B185" t="s">
        <v>537</v>
      </c>
      <c r="D185" t="s">
        <v>273</v>
      </c>
      <c r="E185">
        <v>43</v>
      </c>
      <c r="F185">
        <v>6</v>
      </c>
      <c r="G185">
        <v>10</v>
      </c>
      <c r="H185">
        <v>27</v>
      </c>
    </row>
    <row r="186" spans="1:8" x14ac:dyDescent="0.3">
      <c r="A186" t="s">
        <v>412</v>
      </c>
      <c r="B186" t="s">
        <v>537</v>
      </c>
      <c r="D186" t="s">
        <v>281</v>
      </c>
      <c r="E186">
        <v>1</v>
      </c>
      <c r="F186">
        <v>0</v>
      </c>
      <c r="G186">
        <v>1</v>
      </c>
      <c r="H186">
        <v>0</v>
      </c>
    </row>
    <row r="187" spans="1:8" x14ac:dyDescent="0.3">
      <c r="A187" t="s">
        <v>412</v>
      </c>
      <c r="B187" t="s">
        <v>537</v>
      </c>
      <c r="D187" t="s">
        <v>287</v>
      </c>
      <c r="E187">
        <v>19</v>
      </c>
      <c r="F187">
        <v>2</v>
      </c>
      <c r="G187">
        <v>2</v>
      </c>
      <c r="H187">
        <v>15</v>
      </c>
    </row>
    <row r="188" spans="1:8" x14ac:dyDescent="0.3">
      <c r="A188" t="s">
        <v>412</v>
      </c>
      <c r="B188" t="s">
        <v>537</v>
      </c>
      <c r="D188" t="s">
        <v>294</v>
      </c>
      <c r="E188">
        <v>21</v>
      </c>
      <c r="F188">
        <v>1</v>
      </c>
      <c r="G188">
        <v>3</v>
      </c>
      <c r="H188">
        <v>17</v>
      </c>
    </row>
  </sheetData>
  <pageMargins left="0.7" right="0.7" top="0.75" bottom="0.75" header="0.3" footer="0.3"/>
  <tableParts count="1">
    <tablePart r:id="rId1"/>
  </tableParts>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Sheet10">
    <tabColor theme="9" tint="0.39997558519241921"/>
    <pageSetUpPr fitToPage="1"/>
  </sheetPr>
  <dimension ref="A1:G48"/>
  <sheetViews>
    <sheetView showGridLines="0" zoomScaleNormal="100" workbookViewId="0">
      <pane ySplit="2" topLeftCell="A3" activePane="bottomLeft" state="frozen"/>
      <selection pane="bottomLeft" sqref="A1:G1"/>
    </sheetView>
  </sheetViews>
  <sheetFormatPr defaultRowHeight="14.4" x14ac:dyDescent="0.3"/>
  <cols>
    <col min="1" max="1" width="17.109375" customWidth="1"/>
    <col min="2" max="2" width="28.6640625" customWidth="1"/>
    <col min="3" max="5" width="13" customWidth="1"/>
    <col min="6" max="6" width="10.33203125" customWidth="1"/>
  </cols>
  <sheetData>
    <row r="1" spans="1:7" ht="15.75" customHeight="1" x14ac:dyDescent="0.3">
      <c r="A1" s="1030" t="s">
        <v>515</v>
      </c>
      <c r="B1" s="1030"/>
      <c r="C1" s="1030"/>
      <c r="D1" s="1030"/>
      <c r="E1" s="1030"/>
      <c r="F1" s="1030"/>
      <c r="G1" s="1030"/>
    </row>
    <row r="2" spans="1:7" ht="15.6" x14ac:dyDescent="0.3">
      <c r="A2" s="498" t="s">
        <v>202</v>
      </c>
      <c r="C2" s="440"/>
      <c r="D2" s="440"/>
      <c r="E2" s="440"/>
      <c r="F2" s="440"/>
      <c r="G2" s="440"/>
    </row>
    <row r="3" spans="1:7" ht="15.6" x14ac:dyDescent="0.3">
      <c r="C3" s="440"/>
      <c r="D3" s="440"/>
      <c r="E3" s="440"/>
      <c r="F3" s="440"/>
      <c r="G3" s="440"/>
    </row>
    <row r="4" spans="1:7" ht="37.5" customHeight="1" x14ac:dyDescent="0.3">
      <c r="A4" s="420" t="s">
        <v>1308</v>
      </c>
      <c r="B4" s="231"/>
      <c r="C4" s="231"/>
      <c r="D4" s="231"/>
      <c r="E4" s="231"/>
    </row>
    <row r="5" spans="1:7" ht="15" customHeight="1" x14ac:dyDescent="0.3">
      <c r="A5" t="s">
        <v>203</v>
      </c>
      <c r="B5" t="s">
        <v>82</v>
      </c>
      <c r="C5" s="231"/>
      <c r="D5" s="231"/>
      <c r="E5" s="231"/>
    </row>
    <row r="6" spans="1:7" ht="15" customHeight="1" x14ac:dyDescent="0.3">
      <c r="A6" t="s">
        <v>204</v>
      </c>
      <c r="B6" t="s">
        <v>205</v>
      </c>
      <c r="C6" s="231"/>
      <c r="D6" s="231"/>
      <c r="E6" s="231"/>
    </row>
    <row r="7" spans="1:7" ht="15" customHeight="1" x14ac:dyDescent="0.3">
      <c r="A7" t="s">
        <v>206</v>
      </c>
      <c r="B7" t="s">
        <v>207</v>
      </c>
      <c r="C7" s="231"/>
      <c r="D7" s="231"/>
      <c r="E7" s="231"/>
    </row>
    <row r="8" spans="1:7" ht="33.75" customHeight="1" x14ac:dyDescent="0.3">
      <c r="A8" s="78" t="s">
        <v>208</v>
      </c>
      <c r="B8" s="78" t="s">
        <v>550</v>
      </c>
      <c r="C8" s="79" t="s">
        <v>642</v>
      </c>
      <c r="D8" s="79" t="s">
        <v>643</v>
      </c>
      <c r="E8" s="79" t="s">
        <v>627</v>
      </c>
      <c r="F8" s="79" t="s">
        <v>340</v>
      </c>
    </row>
    <row r="9" spans="1:7" ht="22.5" customHeight="1" thickBot="1" x14ac:dyDescent="0.35">
      <c r="A9" s="80" t="str">
        <f>volroleareapivot!B1</f>
        <v>2025-26</v>
      </c>
      <c r="B9" s="80" t="s">
        <v>685</v>
      </c>
      <c r="C9" s="90">
        <f>C44</f>
        <v>35</v>
      </c>
      <c r="D9" s="90">
        <f>D44</f>
        <v>39</v>
      </c>
      <c r="E9" s="90">
        <f>E44</f>
        <v>178</v>
      </c>
      <c r="F9" s="90">
        <f>F44</f>
        <v>252</v>
      </c>
    </row>
    <row r="10" spans="1:7" ht="15" customHeight="1" x14ac:dyDescent="0.3">
      <c r="B10" s="48"/>
      <c r="C10" s="44"/>
      <c r="D10" s="44"/>
      <c r="E10" s="44"/>
      <c r="F10" s="44"/>
    </row>
    <row r="11" spans="1:7" ht="15" customHeight="1" x14ac:dyDescent="0.3">
      <c r="A11" s="42" t="s">
        <v>209</v>
      </c>
      <c r="B11" s="42" t="s">
        <v>347</v>
      </c>
      <c r="C11" s="91"/>
      <c r="D11" s="91"/>
      <c r="E11" s="91"/>
      <c r="F11" s="92"/>
    </row>
    <row r="12" spans="1:7" ht="15" customHeight="1" x14ac:dyDescent="0.3">
      <c r="A12" s="390" t="s">
        <v>214</v>
      </c>
      <c r="B12" s="45" t="s">
        <v>215</v>
      </c>
      <c r="C12" s="93" t="str">
        <f>IFERROR(GETPIVOTDATA("Sum of Watch Manager",volroleareapivot!$A$3,"ReportingLevel","1:LA","lvl","Aberdeen City"),"-")</f>
        <v>-</v>
      </c>
      <c r="D12" s="93" t="str">
        <f>IFERROR(GETPIVOTDATA("Sum of Crew Manager",volroleareapivot!$A$3,"ReportingLevel","1:LA","lvl","Aberdeen City"),"-")</f>
        <v>-</v>
      </c>
      <c r="E12" s="93" t="str">
        <f>IFERROR(GETPIVOTDATA("Sum of Firefighter",volroleareapivot!$A$3,"ReportingLevel","1:LA","lvl","Aberdeen City"),"-")</f>
        <v>-</v>
      </c>
      <c r="F12" s="94">
        <f>SUM(C12:E12)</f>
        <v>0</v>
      </c>
    </row>
    <row r="13" spans="1:7" ht="15" customHeight="1" x14ac:dyDescent="0.3">
      <c r="A13" s="89" t="s">
        <v>219</v>
      </c>
      <c r="B13" s="48" t="s">
        <v>220</v>
      </c>
      <c r="C13" s="93" t="str">
        <f>IFERROR(GETPIVOTDATA("Sum of Watch Manager",volroleareapivot!$A$3,"ReportingLevel","1:LA","lvl","Aberdeenshire"),"-")</f>
        <v>-</v>
      </c>
      <c r="D13" s="93" t="str">
        <f>IFERROR(GETPIVOTDATA("Sum of Crew Manager",volroleareapivot!$A$3,"ReportingLevel","1:LA","lvl","Aberdeenshire"),"-")</f>
        <v>-</v>
      </c>
      <c r="E13" s="93" t="str">
        <f>IFERROR(GETPIVOTDATA("Sum of Firefighter",volroleareapivot!$A$3,"ReportingLevel","1:LA","lvl","Aberdeenshire"),"-")</f>
        <v>-</v>
      </c>
      <c r="F13" s="94">
        <f>SUM(C13:E13)</f>
        <v>0</v>
      </c>
    </row>
    <row r="14" spans="1:7" ht="15" customHeight="1" x14ac:dyDescent="0.3">
      <c r="A14" s="89" t="s">
        <v>223</v>
      </c>
      <c r="B14" s="48" t="s">
        <v>224</v>
      </c>
      <c r="C14" s="93" t="str">
        <f>IFERROR(GETPIVOTDATA("Sum of Watch Manager",volroleareapivot!$A$3,"ReportingLevel","1:LA","lvl","Angus"),"-")</f>
        <v>-</v>
      </c>
      <c r="D14" s="93" t="str">
        <f>IFERROR(GETPIVOTDATA("Sum of Crew Manager",volroleareapivot!$A$3,"ReportingLevel","1:LA","lvl","Angus"),"-")</f>
        <v>-</v>
      </c>
      <c r="E14" s="93" t="str">
        <f>IFERROR(GETPIVOTDATA("Sum of Firefighter",volroleareapivot!$A$3,"ReportingLevel","1:LA","lvl","Angus"),"-")</f>
        <v>-</v>
      </c>
      <c r="F14" s="94">
        <f>SUM(C14:E14)</f>
        <v>0</v>
      </c>
    </row>
    <row r="15" spans="1:7" ht="15" customHeight="1" x14ac:dyDescent="0.3">
      <c r="A15" s="89" t="s">
        <v>227</v>
      </c>
      <c r="B15" s="48" t="s">
        <v>228</v>
      </c>
      <c r="C15" s="93">
        <f>IFERROR(GETPIVOTDATA("Sum of Watch Manager",volroleareapivot!$A$3,"ReportingLevel","1:LA","lvl","Argyll and Bute"),"-")</f>
        <v>25</v>
      </c>
      <c r="D15" s="93">
        <f>IFERROR(GETPIVOTDATA("Sum of Crew Manager",volroleareapivot!$A$3,"ReportingLevel","1:LA","lvl","Argyll and Bute"),"-")</f>
        <v>21</v>
      </c>
      <c r="E15" s="93">
        <f>IFERROR(GETPIVOTDATA("Sum of Firefighter",volroleareapivot!$A$3,"ReportingLevel","1:LA","lvl","Argyll and Bute"),"-")</f>
        <v>118</v>
      </c>
      <c r="F15" s="94">
        <f t="shared" ref="F15:F43" si="0">SUM(C15:E15)</f>
        <v>164</v>
      </c>
    </row>
    <row r="16" spans="1:7" ht="15" customHeight="1" x14ac:dyDescent="0.3">
      <c r="A16" s="89" t="s">
        <v>233</v>
      </c>
      <c r="B16" s="48" t="s">
        <v>234</v>
      </c>
      <c r="C16" s="93" t="str">
        <f>IFERROR(GETPIVOTDATA("Sum of Watch Manager",volroleareapivot!$A$3,"ReportingLevel","1:LA","lvl","City of Edinburgh"),"-")</f>
        <v>-</v>
      </c>
      <c r="D16" s="93" t="str">
        <f>IFERROR(GETPIVOTDATA("Sum of Crew Manager",volroleareapivot!$A$3,"ReportingLevel","1:LA","lvl","City of Edinburgh"),"-")</f>
        <v>-</v>
      </c>
      <c r="E16" s="93" t="str">
        <f>IFERROR(GETPIVOTDATA("Sum of Firefighter",volroleareapivot!$A$3,"ReportingLevel","1:LA","lvl","City of Edinburgh"),"-")</f>
        <v>-</v>
      </c>
      <c r="F16" s="94">
        <f t="shared" si="0"/>
        <v>0</v>
      </c>
    </row>
    <row r="17" spans="1:6" ht="15" customHeight="1" x14ac:dyDescent="0.3">
      <c r="A17" s="89" t="s">
        <v>239</v>
      </c>
      <c r="B17" s="48" t="s">
        <v>240</v>
      </c>
      <c r="C17" s="93" t="str">
        <f>IFERROR(GETPIVOTDATA("Sum of Watch Manager",volroleareapivot!$A$3,"ReportingLevel","1:LA","lvl","Clackmannanshire"),"-")</f>
        <v>-</v>
      </c>
      <c r="D17" s="93" t="str">
        <f>IFERROR(GETPIVOTDATA("Sum of Crew Manager",volroleareapivot!$A$3,"ReportingLevel","1:LA","lvl","Clackmannanshire"),"-")</f>
        <v>-</v>
      </c>
      <c r="E17" s="93" t="str">
        <f>IFERROR(GETPIVOTDATA("Sum of Firefighter",volroleareapivot!$A$3,"ReportingLevel","1:LA","lvl","Clackmannanshire"),"-")</f>
        <v>-</v>
      </c>
      <c r="F17" s="94">
        <f t="shared" si="0"/>
        <v>0</v>
      </c>
    </row>
    <row r="18" spans="1:6" ht="15" customHeight="1" x14ac:dyDescent="0.3">
      <c r="A18" s="89" t="s">
        <v>243</v>
      </c>
      <c r="B18" s="48" t="s">
        <v>244</v>
      </c>
      <c r="C18" s="93">
        <f>IFERROR(GETPIVOTDATA("Sum of Watch Manager",volroleareapivot!$A$3,"ReportingLevel","1:LA","lvl","Dumfries and Galloway"),"-")</f>
        <v>1</v>
      </c>
      <c r="D18" s="93">
        <f>IFERROR(GETPIVOTDATA("Sum of Crew Manager",volroleareapivot!$A$3,"ReportingLevel","1:LA","lvl","Dumfries and Galloway"),"-")</f>
        <v>2</v>
      </c>
      <c r="E18" s="93">
        <f>IFERROR(GETPIVOTDATA("Sum of Firefighter",volroleareapivot!$A$3,"ReportingLevel","1:LA","lvl","Dumfries and Galloway"),"-")</f>
        <v>1</v>
      </c>
      <c r="F18" s="94">
        <f t="shared" si="0"/>
        <v>4</v>
      </c>
    </row>
    <row r="19" spans="1:6" ht="15" customHeight="1" x14ac:dyDescent="0.3">
      <c r="A19" s="89" t="s">
        <v>246</v>
      </c>
      <c r="B19" s="48" t="s">
        <v>247</v>
      </c>
      <c r="C19" s="93" t="str">
        <f>IFERROR(GETPIVOTDATA("Sum of Watch Manager",volroleareapivot!$A$3,"ReportingLevel","1:LA","lvl","Dundee City"),"-")</f>
        <v>-</v>
      </c>
      <c r="D19" s="93" t="str">
        <f>IFERROR(GETPIVOTDATA("Sum of Crew Manager",volroleareapivot!$A$3,"ReportingLevel","1:LA","lvl","Dundee City"),"-")</f>
        <v>-</v>
      </c>
      <c r="E19" s="93" t="str">
        <f>IFERROR(GETPIVOTDATA("Sum of Firefighter",volroleareapivot!$A$3,"ReportingLevel","1:LA","lvl","Dundee City"),"-")</f>
        <v>-</v>
      </c>
      <c r="F19" s="94">
        <f t="shared" si="0"/>
        <v>0</v>
      </c>
    </row>
    <row r="20" spans="1:6" ht="15" customHeight="1" x14ac:dyDescent="0.3">
      <c r="A20" s="89" t="s">
        <v>248</v>
      </c>
      <c r="B20" s="48" t="s">
        <v>249</v>
      </c>
      <c r="C20" s="93" t="str">
        <f>IFERROR(GETPIVOTDATA("Sum of Watch Manager",volroleareapivot!$A$3,"ReportingLevel","1:LA","lvl","East Ayrshire"),"-")</f>
        <v>-</v>
      </c>
      <c r="D20" s="93" t="str">
        <f>IFERROR(GETPIVOTDATA("Sum of Crew Manager",volroleareapivot!$A$3,"ReportingLevel","1:LA","lvl","East Ayrshire"),"-")</f>
        <v>-</v>
      </c>
      <c r="E20" s="93" t="str">
        <f>IFERROR(GETPIVOTDATA("Sum of Firefighter",volroleareapivot!$A$3,"ReportingLevel","1:LA","lvl","East Ayrshire"),"-")</f>
        <v>-</v>
      </c>
      <c r="F20" s="94">
        <f t="shared" si="0"/>
        <v>0</v>
      </c>
    </row>
    <row r="21" spans="1:6" ht="15" customHeight="1" x14ac:dyDescent="0.3">
      <c r="A21" s="89" t="s">
        <v>252</v>
      </c>
      <c r="B21" s="48" t="s">
        <v>253</v>
      </c>
      <c r="C21" s="93" t="str">
        <f>IFERROR(GETPIVOTDATA("Sum of Watch Manager",volroleareapivot!$A$3,"ReportingLevel","1:LA","lvl","East Dunbartonshire"),"-")</f>
        <v>-</v>
      </c>
      <c r="D21" s="93" t="str">
        <f>IFERROR(GETPIVOTDATA("Sum of Crew Manager",volroleareapivot!$A$3,"ReportingLevel","1:LA","lvl","East Dunbartonshire"),"-")</f>
        <v>-</v>
      </c>
      <c r="E21" s="93" t="str">
        <f>IFERROR(GETPIVOTDATA("Sum of Firefighter",volroleareapivot!$A$3,"ReportingLevel","1:LA","lvl","East Dunbartonshire"),"-")</f>
        <v>-</v>
      </c>
      <c r="F21" s="94">
        <f t="shared" si="0"/>
        <v>0</v>
      </c>
    </row>
    <row r="22" spans="1:6" ht="15" customHeight="1" x14ac:dyDescent="0.3">
      <c r="A22" s="89" t="s">
        <v>254</v>
      </c>
      <c r="B22" s="48" t="s">
        <v>255</v>
      </c>
      <c r="C22" s="93" t="str">
        <f>IFERROR(GETPIVOTDATA("Sum of Watch Manager",volroleareapivot!$A$3,"ReportingLevel","1:LA","lvl","East Lothian"),"-")</f>
        <v>-</v>
      </c>
      <c r="D22" s="93" t="str">
        <f>IFERROR(GETPIVOTDATA("Sum of Crew Manager",volroleareapivot!$A$3,"ReportingLevel","1:LA","lvl","East Lothian"),"-")</f>
        <v>-</v>
      </c>
      <c r="E22" s="93" t="str">
        <f>IFERROR(GETPIVOTDATA("Sum of Firefighter",volroleareapivot!$A$3,"ReportingLevel","1:LA","lvl","East Lothian"),"-")</f>
        <v>-</v>
      </c>
      <c r="F22" s="94">
        <f t="shared" si="0"/>
        <v>0</v>
      </c>
    </row>
    <row r="23" spans="1:6" ht="15" customHeight="1" x14ac:dyDescent="0.3">
      <c r="A23" s="89" t="s">
        <v>258</v>
      </c>
      <c r="B23" s="48" t="s">
        <v>259</v>
      </c>
      <c r="C23" s="93" t="str">
        <f>IFERROR(GETPIVOTDATA("Sum of Watch Manager",volroleareapivot!$A$3,"ReportingLevel","1:LA","lvl","East Lothian"),"-")</f>
        <v>-</v>
      </c>
      <c r="D23" s="93" t="str">
        <f>IFERROR(GETPIVOTDATA("Sum of Crew Manager",volroleareapivot!$A$3,"ReportingLevel","1:LA","lvl","East Lothian"),"-")</f>
        <v>-</v>
      </c>
      <c r="E23" s="93" t="str">
        <f>IFERROR(GETPIVOTDATA("Sum of Firefighter",volroleareapivot!$A$3,"ReportingLevel","1:LA","lvl","East Lothian"),"-")</f>
        <v>-</v>
      </c>
      <c r="F23" s="94">
        <f t="shared" si="0"/>
        <v>0</v>
      </c>
    </row>
    <row r="24" spans="1:6" ht="15" customHeight="1" x14ac:dyDescent="0.3">
      <c r="A24" s="89" t="s">
        <v>262</v>
      </c>
      <c r="B24" s="48" t="s">
        <v>263</v>
      </c>
      <c r="C24" s="93" t="str">
        <f>IFERROR(GETPIVOTDATA("Sum of Watch Manager",volroleareapivot!$A$3,"ReportingLevel","1:LA","lvl","Falkirk"),"-")</f>
        <v>-</v>
      </c>
      <c r="D24" s="93" t="str">
        <f>IFERROR(GETPIVOTDATA("Sum of Crew Manager",volroleareapivot!$A$3,"ReportingLevel","1:LA","lvl","Falkirk"),"-")</f>
        <v>-</v>
      </c>
      <c r="E24" s="93" t="str">
        <f>IFERROR(GETPIVOTDATA("Sum of Firefighter",volroleareapivot!$A$3,"ReportingLevel","1:LA","lvl","Falkirk"),"-")</f>
        <v>-</v>
      </c>
      <c r="F24" s="94">
        <f t="shared" si="0"/>
        <v>0</v>
      </c>
    </row>
    <row r="25" spans="1:6" ht="15" customHeight="1" x14ac:dyDescent="0.3">
      <c r="A25" s="89" t="s">
        <v>266</v>
      </c>
      <c r="B25" s="48" t="s">
        <v>267</v>
      </c>
      <c r="C25" s="93" t="str">
        <f>IFERROR(GETPIVOTDATA("Sum of Watch Manager",volroleareapivot!$A$3,"ReportingLevel","1:LA","lvl","Fife"),"-")</f>
        <v>-</v>
      </c>
      <c r="D25" s="93" t="str">
        <f>IFERROR(GETPIVOTDATA("Sum of Crew Manager",volroleareapivot!$A$3,"ReportingLevel","1:LA","lvl","Fife"),"-")</f>
        <v>-</v>
      </c>
      <c r="E25" s="93" t="str">
        <f>IFERROR(GETPIVOTDATA("Sum of Firefighter",volroleareapivot!$A$3,"ReportingLevel","1:LA","lvl","Fife"),"-")</f>
        <v>-</v>
      </c>
      <c r="F25" s="94">
        <f t="shared" si="0"/>
        <v>0</v>
      </c>
    </row>
    <row r="26" spans="1:6" ht="15" customHeight="1" x14ac:dyDescent="0.3">
      <c r="A26" s="89" t="str">
        <f>IF(A9 = "2019-20","S12000049","S12000046")</f>
        <v>S12000046</v>
      </c>
      <c r="B26" s="48" t="s">
        <v>270</v>
      </c>
      <c r="C26" s="93" t="str">
        <f>IFERROR(GETPIVOTDATA("Sum of Watch Manager",volroleareapivot!$A$3,"ReportingLevel","1:LA","lvl","Glasgow City"),"-")</f>
        <v>-</v>
      </c>
      <c r="D26" s="93" t="str">
        <f>IFERROR(GETPIVOTDATA("Sum of Crew Manager",volroleareapivot!$A$3,"ReportingLevel","1:LA","lvl","Glasgow City"),"-")</f>
        <v>-</v>
      </c>
      <c r="E26" s="93" t="str">
        <f>IFERROR(GETPIVOTDATA("Sum of Firefighter",volroleareapivot!$A$3,"ReportingLevel","1:LA","lvl","Glasgow City"),"-")</f>
        <v>-</v>
      </c>
      <c r="F26" s="94">
        <f t="shared" si="0"/>
        <v>0</v>
      </c>
    </row>
    <row r="27" spans="1:6" ht="15" customHeight="1" x14ac:dyDescent="0.3">
      <c r="A27" s="89" t="s">
        <v>272</v>
      </c>
      <c r="B27" s="48" t="s">
        <v>273</v>
      </c>
      <c r="C27" s="93">
        <f>IFERROR(GETPIVOTDATA("Sum of Watch Manager",volroleareapivot!$A$3,"ReportingLevel","1:LA","lvl","Highland"),"-")</f>
        <v>6</v>
      </c>
      <c r="D27" s="93">
        <f>IFERROR(GETPIVOTDATA("Sum of Crew Manager",volroleareapivot!$A$3,"ReportingLevel","1:LA","lvl","Highland"),"-")</f>
        <v>10</v>
      </c>
      <c r="E27" s="93">
        <f>IFERROR(GETPIVOTDATA("Sum of Firefighter",volroleareapivot!$A$3,"ReportingLevel","1:LA","lvl","Highland"),"-")</f>
        <v>27</v>
      </c>
      <c r="F27" s="94">
        <f t="shared" si="0"/>
        <v>43</v>
      </c>
    </row>
    <row r="28" spans="1:6" ht="15" customHeight="1" x14ac:dyDescent="0.3">
      <c r="A28" s="89" t="s">
        <v>276</v>
      </c>
      <c r="B28" s="48" t="s">
        <v>277</v>
      </c>
      <c r="C28" s="93" t="str">
        <f>IFERROR(GETPIVOTDATA("Sum of Watch Manager",volroleareapivot!$A$3,"ReportingLevel","1:LA","lvl","Inverclyde"),"-")</f>
        <v>-</v>
      </c>
      <c r="D28" s="93" t="str">
        <f>IFERROR(GETPIVOTDATA("Sum of Crew Manager",volroleareapivot!$A$3,"ReportingLevel","1:LA","lvl","Inverclyde"),"-")</f>
        <v>-</v>
      </c>
      <c r="E28" s="93" t="str">
        <f>IFERROR(GETPIVOTDATA("Sum of Firefighter",volroleareapivot!$A$3,"ReportingLevel","1:LA","lvl","Inverclyde"),"-")</f>
        <v>-</v>
      </c>
      <c r="F28" s="94">
        <f t="shared" si="0"/>
        <v>0</v>
      </c>
    </row>
    <row r="29" spans="1:6" ht="15" customHeight="1" x14ac:dyDescent="0.3">
      <c r="A29" s="89" t="s">
        <v>278</v>
      </c>
      <c r="B29" s="48" t="s">
        <v>279</v>
      </c>
      <c r="C29" s="93" t="str">
        <f>IFERROR(GETPIVOTDATA("Sum of Watch Manager",volroleareapivot!$A$3,"ReportingLevel","1:LA","lvl","Midlothian"),"-")</f>
        <v>-</v>
      </c>
      <c r="D29" s="93" t="str">
        <f>IFERROR(GETPIVOTDATA("Sum of Crew Manager",volroleareapivot!$A$3,"ReportingLevel","1:LA","lvl","Midlothian"),"-")</f>
        <v>-</v>
      </c>
      <c r="E29" s="93" t="str">
        <f>IFERROR(GETPIVOTDATA("Sum of Firefighter",volroleareapivot!$A$3,"ReportingLevel","1:LA","lvl","Midlothian"),"-")</f>
        <v>-</v>
      </c>
      <c r="F29" s="94">
        <f t="shared" si="0"/>
        <v>0</v>
      </c>
    </row>
    <row r="30" spans="1:6" ht="15" customHeight="1" x14ac:dyDescent="0.3">
      <c r="A30" s="89" t="s">
        <v>280</v>
      </c>
      <c r="B30" s="48" t="s">
        <v>281</v>
      </c>
      <c r="C30" s="93">
        <f>IFERROR(GETPIVOTDATA("Sum of Watch Manager",volroleareapivot!$A$3,"ReportingLevel","1:LA","lvl","Moray"),"-")</f>
        <v>0</v>
      </c>
      <c r="D30" s="93">
        <f>IFERROR(GETPIVOTDATA("Sum of Crew Manager",volroleareapivot!$A$3,"ReportingLevel","1:LA","lvl","Moray"),"-")</f>
        <v>1</v>
      </c>
      <c r="E30" s="93">
        <f>IFERROR(GETPIVOTDATA("Sum of Firefighter",volroleareapivot!$A$3,"ReportingLevel","1:LA","lvl","Moray"),"-")</f>
        <v>0</v>
      </c>
      <c r="F30" s="69">
        <f t="shared" si="0"/>
        <v>1</v>
      </c>
    </row>
    <row r="31" spans="1:6" ht="15" customHeight="1" x14ac:dyDescent="0.3">
      <c r="A31" s="89" t="s">
        <v>282</v>
      </c>
      <c r="B31" s="48" t="s">
        <v>283</v>
      </c>
      <c r="C31" s="93" t="str">
        <f>IFERROR(GETPIVOTDATA("Sum of Watch Manager",volroleareapivot!$A$3,"ReportingLevel","1:LA","lvl","Na h-Eileanan Siar"),"-")</f>
        <v>-</v>
      </c>
      <c r="D31" s="93" t="str">
        <f>IFERROR(GETPIVOTDATA("Sum of Crew Manager",volroleareapivot!$A$3,"ReportingLevel","1:LA","lvl","Na h-Eileanan Siar"),"-")</f>
        <v>-</v>
      </c>
      <c r="E31" s="93" t="str">
        <f>IFERROR(GETPIVOTDATA("Sum of Firefighter",volroleareapivot!$A$3,"ReportingLevel","1:LA","lvl","Na h-Eileanan Siar"),"-")</f>
        <v>-</v>
      </c>
      <c r="F31" s="94">
        <f t="shared" si="0"/>
        <v>0</v>
      </c>
    </row>
    <row r="32" spans="1:6" ht="15" customHeight="1" x14ac:dyDescent="0.3">
      <c r="A32" s="89" t="s">
        <v>286</v>
      </c>
      <c r="B32" s="48" t="s">
        <v>287</v>
      </c>
      <c r="C32" s="93">
        <f>IFERROR(GETPIVOTDATA("Sum of Watch Manager",volroleareapivot!$A$3,"ReportingLevel","1:LA","lvl","North Ayrshire"),"-")</f>
        <v>2</v>
      </c>
      <c r="D32" s="93">
        <f>IFERROR(GETPIVOTDATA("Sum of Crew Manager",volroleareapivot!$A$3,"ReportingLevel","1:LA","lvl","North Ayrshire"),"-")</f>
        <v>2</v>
      </c>
      <c r="E32" s="93">
        <f>IFERROR(GETPIVOTDATA("Sum of Firefighter",volroleareapivot!$A$3,"ReportingLevel","1:LA","lvl","North Ayrshire"),"-")</f>
        <v>15</v>
      </c>
      <c r="F32" s="94">
        <f t="shared" si="0"/>
        <v>19</v>
      </c>
    </row>
    <row r="33" spans="1:6" ht="15" customHeight="1" x14ac:dyDescent="0.3">
      <c r="A33" s="89" t="str">
        <f>IF(A9="2019-20","S12000050","S12000044")</f>
        <v>S12000044</v>
      </c>
      <c r="B33" s="48" t="s">
        <v>289</v>
      </c>
      <c r="C33" s="93" t="str">
        <f>IFERROR(GETPIVOTDATA("Sum of Watch Manager",volroleareapivot!$A$3,"ReportingLevel","1:LA","lvl","North Lanarkshire"),"-")</f>
        <v>-</v>
      </c>
      <c r="D33" s="93" t="str">
        <f>IFERROR(GETPIVOTDATA("Sum of Crew Manager",volroleareapivot!$A$3,"ReportingLevel","1:LA","lvl","North Lanarkshire"),"-")</f>
        <v>-</v>
      </c>
      <c r="E33" s="93" t="str">
        <f>IFERROR(GETPIVOTDATA("Sum of Firefighter",volroleareapivot!$A$3,"ReportingLevel","1:LA","lvl","North Lanarkshire"),"-")</f>
        <v>-</v>
      </c>
      <c r="F33" s="69">
        <f t="shared" si="0"/>
        <v>0</v>
      </c>
    </row>
    <row r="34" spans="1:6" ht="15" customHeight="1" x14ac:dyDescent="0.3">
      <c r="A34" s="89" t="s">
        <v>291</v>
      </c>
      <c r="B34" s="48" t="s">
        <v>292</v>
      </c>
      <c r="C34" s="93" t="str">
        <f>IFERROR(GETPIVOTDATA("Sum of Watch Manager",volroleareapivot!$A$3,"ReportingLevel","1:LA","lvl","Orkney Islands"),"-")</f>
        <v>-</v>
      </c>
      <c r="D34" s="93" t="str">
        <f>IFERROR(GETPIVOTDATA("Sum of Crew Manager",volroleareapivot!$A$3,"ReportingLevel","1:LA","lvl","Orkney Islands"),"-")</f>
        <v>-</v>
      </c>
      <c r="E34" s="93" t="str">
        <f>IFERROR(GETPIVOTDATA("Sum of Firefighter",volroleareapivot!$A$3,"ReportingLevel","1:LA","lvl","Orkney Islands"),"-")</f>
        <v>-</v>
      </c>
      <c r="F34" s="94">
        <f t="shared" si="0"/>
        <v>0</v>
      </c>
    </row>
    <row r="35" spans="1:6" ht="15" customHeight="1" x14ac:dyDescent="0.3">
      <c r="A35" s="89" t="s">
        <v>293</v>
      </c>
      <c r="B35" s="48" t="s">
        <v>294</v>
      </c>
      <c r="C35" s="93">
        <f>IFERROR(GETPIVOTDATA("Sum of Watch Manager",volroleareapivot!$A$3,"ReportingLevel","1:LA","lvl","Perth and Kinross"),"-")</f>
        <v>1</v>
      </c>
      <c r="D35" s="93">
        <f>IFERROR(GETPIVOTDATA("Sum of Crew Manager",volroleareapivot!$A$3,"ReportingLevel","1:LA","lvl","Perth and Kinross"),"-")</f>
        <v>3</v>
      </c>
      <c r="E35" s="93">
        <f>IFERROR(GETPIVOTDATA("Sum of Firefighter",volroleareapivot!$A$3,"ReportingLevel","1:LA","lvl","Perth and Kinross"),"-")</f>
        <v>17</v>
      </c>
      <c r="F35" s="94">
        <f t="shared" si="0"/>
        <v>21</v>
      </c>
    </row>
    <row r="36" spans="1:6" ht="15" customHeight="1" x14ac:dyDescent="0.3">
      <c r="A36" s="89" t="s">
        <v>295</v>
      </c>
      <c r="B36" s="48" t="s">
        <v>296</v>
      </c>
      <c r="C36" s="93" t="str">
        <f>IFERROR(GETPIVOTDATA("Sum of Watch Manager",volroleareapivot!$A$3,"ReportingLevel","1:LA","lvl","Renfrewshire"),"-")</f>
        <v>-</v>
      </c>
      <c r="D36" s="93" t="str">
        <f>IFERROR(GETPIVOTDATA("Sum of Crew Manager",volroleareapivot!$A$3,"ReportingLevel","1:LA","lvl","Renfrewshire"),"-")</f>
        <v>-</v>
      </c>
      <c r="E36" s="93" t="str">
        <f>IFERROR(GETPIVOTDATA("Sum of Firefighter",volroleareapivot!$A$3,"ReportingLevel","1:LA","lvl","Renfrewshire"),"-")</f>
        <v>-</v>
      </c>
      <c r="F36" s="94">
        <f t="shared" si="0"/>
        <v>0</v>
      </c>
    </row>
    <row r="37" spans="1:6" ht="15" customHeight="1" x14ac:dyDescent="0.3">
      <c r="A37" s="89" t="s">
        <v>297</v>
      </c>
      <c r="B37" s="48" t="s">
        <v>298</v>
      </c>
      <c r="C37" s="93" t="str">
        <f>IFERROR(GETPIVOTDATA("Sum of Watch Manager",volroleareapivot!$A$3,"ReportingLevel","1:LA","lvl","Scottish Borders"),"-")</f>
        <v>-</v>
      </c>
      <c r="D37" s="93" t="str">
        <f>IFERROR(GETPIVOTDATA("Sum of Crew Manager",volroleareapivot!$A$3,"ReportingLevel","1:LA","lvl","Scottish Borders"),"-")</f>
        <v>-</v>
      </c>
      <c r="E37" s="93" t="str">
        <f>IFERROR(GETPIVOTDATA("Sum of Firefighter",volroleareapivot!$A$3,"ReportingLevel","1:LA","lvl","Scottish Borders"),"-")</f>
        <v>-</v>
      </c>
      <c r="F37" s="69">
        <f t="shared" si="0"/>
        <v>0</v>
      </c>
    </row>
    <row r="38" spans="1:6" ht="15" customHeight="1" x14ac:dyDescent="0.3">
      <c r="A38" s="89" t="s">
        <v>299</v>
      </c>
      <c r="B38" s="48" t="s">
        <v>300</v>
      </c>
      <c r="C38" s="93" t="str">
        <f>IFERROR(GETPIVOTDATA("Sum of Watch Manager",volroleareapivot!$A$3,"ReportingLevel","1:LA","lvl","Shetland Islands"),"-")</f>
        <v>-</v>
      </c>
      <c r="D38" s="93" t="str">
        <f>IFERROR(GETPIVOTDATA("Sum of Crew Manager",volroleareapivot!$A$3,"ReportingLevel","1:LA","lvl","Shetland Islands"),"-")</f>
        <v>-</v>
      </c>
      <c r="E38" s="93" t="str">
        <f>IFERROR(GETPIVOTDATA("Sum of Firefighter",volroleareapivot!$A$3,"ReportingLevel","1:LA","lvl","Shetland Islands"),"-")</f>
        <v>-</v>
      </c>
      <c r="F38" s="94">
        <f t="shared" si="0"/>
        <v>0</v>
      </c>
    </row>
    <row r="39" spans="1:6" ht="15" customHeight="1" x14ac:dyDescent="0.3">
      <c r="A39" s="89" t="s">
        <v>301</v>
      </c>
      <c r="B39" s="48" t="s">
        <v>302</v>
      </c>
      <c r="C39" s="93" t="str">
        <f>IFERROR(GETPIVOTDATA("Sum of Watch Manager",volroleareapivot!$A$3,"ReportingLevel","1:LA","lvl","South Ayrshire"),"-")</f>
        <v>-</v>
      </c>
      <c r="D39" s="93" t="str">
        <f>IFERROR(GETPIVOTDATA("Sum of Crew Manager",volroleareapivot!$A$3,"ReportingLevel","1:LA","lvl","South Ayrshire"),"-")</f>
        <v>-</v>
      </c>
      <c r="E39" s="93" t="str">
        <f>IFERROR(GETPIVOTDATA("Sum of Firefighter",volroleareapivot!$A$3,"ReportingLevel","1:LA","lvl","South Ayrshire"),"-")</f>
        <v>-</v>
      </c>
      <c r="F39" s="94">
        <f t="shared" si="0"/>
        <v>0</v>
      </c>
    </row>
    <row r="40" spans="1:6" ht="15" customHeight="1" x14ac:dyDescent="0.3">
      <c r="A40" s="89" t="s">
        <v>303</v>
      </c>
      <c r="B40" s="48" t="s">
        <v>304</v>
      </c>
      <c r="C40" s="93" t="str">
        <f>IFERROR(GETPIVOTDATA("Sum of Watch Manager",volroleareapivot!$A$3,"ReportingLevel","1:LA","lvl","South Lanarkshire"),"-")</f>
        <v>-</v>
      </c>
      <c r="D40" s="93" t="str">
        <f>IFERROR(GETPIVOTDATA("Sum of Crew Manager",volroleareapivot!$A$3,"ReportingLevel","1:LA","lvl","South Lanarkshire"),"-")</f>
        <v>-</v>
      </c>
      <c r="E40" s="93" t="str">
        <f>IFERROR(GETPIVOTDATA("Sum of Firefighter",volroleareapivot!$A$3,"ReportingLevel","1:LA","lvl","South Lanarkshire"),"-")</f>
        <v>-</v>
      </c>
      <c r="F40" s="94">
        <f t="shared" si="0"/>
        <v>0</v>
      </c>
    </row>
    <row r="41" spans="1:6" ht="15" customHeight="1" x14ac:dyDescent="0.3">
      <c r="A41" s="89" t="s">
        <v>306</v>
      </c>
      <c r="B41" s="48" t="s">
        <v>307</v>
      </c>
      <c r="C41" s="93" t="str">
        <f>IFERROR(GETPIVOTDATA("Sum of Watch Manager",volroleareapivot!$A$3,"ReportingLevel","1:LA","lvl","Stirling"),"-")</f>
        <v>-</v>
      </c>
      <c r="D41" s="93" t="str">
        <f>IFERROR(GETPIVOTDATA("Sum of Crew Manager",volroleareapivot!$A$3,"ReportingLevel","1:LA","lvl","Stirling"),"-")</f>
        <v>-</v>
      </c>
      <c r="E41" s="93" t="str">
        <f>IFERROR(GETPIVOTDATA("Sum of Firefighter",volroleareapivot!$A$3,"ReportingLevel","1:LA","lvl","Stirling"),"-")</f>
        <v>-</v>
      </c>
      <c r="F41" s="94">
        <f t="shared" si="0"/>
        <v>0</v>
      </c>
    </row>
    <row r="42" spans="1:6" ht="15" customHeight="1" x14ac:dyDescent="0.3">
      <c r="A42" s="89" t="s">
        <v>308</v>
      </c>
      <c r="B42" s="48" t="s">
        <v>309</v>
      </c>
      <c r="C42" s="93" t="str">
        <f>IFERROR(GETPIVOTDATA("Sum of Watch Manager",volroleareapivot!$A$3,"ReportingLevel","1:LA","lvl","West Dunbartonshire"),"-")</f>
        <v>-</v>
      </c>
      <c r="D42" s="93" t="str">
        <f>IFERROR(GETPIVOTDATA("Sum of Crew Manager",volroleareapivot!$A$3,"ReportingLevel","1:LA","lvl","West Dunbartonshire"),"-")</f>
        <v>-</v>
      </c>
      <c r="E42" s="93" t="str">
        <f>IFERROR(GETPIVOTDATA("Sum of Firefighter",volroleareapivot!$A$3,"ReportingLevel","1:LA","lvl","West Dunbartonshire"),"-")</f>
        <v>-</v>
      </c>
      <c r="F42" s="94">
        <f>SUM(C42:E42)</f>
        <v>0</v>
      </c>
    </row>
    <row r="43" spans="1:6" ht="15" customHeight="1" x14ac:dyDescent="0.3">
      <c r="A43" s="89" t="s">
        <v>310</v>
      </c>
      <c r="B43" s="48" t="s">
        <v>311</v>
      </c>
      <c r="C43" s="93" t="str">
        <f>IFERROR(GETPIVOTDATA("Sum of Watch Manager",volroleareapivot!$A$3,"ReportingLevel","1:LA","lvl","West Lothian"),"-")</f>
        <v>-</v>
      </c>
      <c r="D43" s="93" t="str">
        <f>IFERROR(GETPIVOTDATA("Sum of Crew Manager",volroleareapivot!$A$3,"ReportingLevel","1:LA","lvl","West Lothian"),"-")</f>
        <v>-</v>
      </c>
      <c r="E43" s="93" t="str">
        <f>IFERROR(GETPIVOTDATA("Sum of Firefighter",volroleareapivot!$A$3,"ReportingLevel","1:LA","lvl","West Lothian"),"-")</f>
        <v>-</v>
      </c>
      <c r="F43" s="94">
        <f t="shared" si="0"/>
        <v>0</v>
      </c>
    </row>
    <row r="44" spans="1:6" ht="30" customHeight="1" thickBot="1" x14ac:dyDescent="0.35">
      <c r="A44" s="454"/>
      <c r="B44" s="73" t="s">
        <v>552</v>
      </c>
      <c r="C44" s="53">
        <f>SUM(C12:C43)</f>
        <v>35</v>
      </c>
      <c r="D44" s="53">
        <f>SUM(D12:D43)</f>
        <v>39</v>
      </c>
      <c r="E44" s="53">
        <f>SUM(E12:E43)</f>
        <v>178</v>
      </c>
      <c r="F44" s="53">
        <f>SUM(F12:F43)</f>
        <v>252</v>
      </c>
    </row>
    <row r="45" spans="1:6" ht="13.5" customHeight="1" x14ac:dyDescent="0.3">
      <c r="B45" s="95"/>
      <c r="C45" s="95"/>
      <c r="D45" s="95"/>
      <c r="E45" s="95"/>
      <c r="F45" s="95"/>
    </row>
    <row r="46" spans="1:6" ht="13.5" customHeight="1" x14ac:dyDescent="0.3">
      <c r="A46" s="350" t="s">
        <v>329</v>
      </c>
      <c r="B46" s="347"/>
      <c r="C46" s="347"/>
      <c r="D46" s="347"/>
      <c r="E46" s="347"/>
    </row>
    <row r="47" spans="1:6" ht="15" customHeight="1" x14ac:dyDescent="0.3">
      <c r="A47" s="450" t="s">
        <v>695</v>
      </c>
      <c r="B47" s="422"/>
      <c r="C47" s="422"/>
      <c r="D47" s="422"/>
      <c r="E47" s="422"/>
    </row>
    <row r="48" spans="1:6" ht="15" customHeight="1" x14ac:dyDescent="0.3"/>
  </sheetData>
  <sheetProtection algorithmName="SHA-512" hashValue="j+ne1gttyXA6n3fW6A9IQIHi9rXjBIu/483z7jh2PMXXu6zrZ3x3so0hMMHF17a7tPCMyUW4iNA2LHgKf+bEuw==" saltValue="Z2IovG19tHdfjTz4TjoftA==" spinCount="100000" sheet="1" scenarios="1" formatCells="0" sort="0" autoFilter="0" pivotTables="0"/>
  <mergeCells count="1">
    <mergeCell ref="A1:G1"/>
  </mergeCells>
  <hyperlinks>
    <hyperlink ref="A2" location="'Table of Contents'!A1" display="Back to Table of Contents" xr:uid="{00000000-0004-0000-4100-000000000000}"/>
  </hyperlinks>
  <pageMargins left="0.70866141732283472" right="0.70866141732283472" top="0.74803149606299213" bottom="0.74803149606299213" header="0.31496062992125984" footer="0.31496062992125984"/>
  <pageSetup paperSize="9" orientation="portrait" r:id="rId1"/>
  <drawing r:id="rId2"/>
  <extLst>
    <ext xmlns:x14="http://schemas.microsoft.com/office/spreadsheetml/2009/9/main" uri="{A8765BA9-456A-4dab-B4F3-ACF838C121DE}">
      <x14:slicerList>
        <x14:slicer r:id="rId3"/>
      </x14:slicerList>
    </ext>
  </extLst>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tabColor theme="9" tint="0.39997558519241921"/>
  </sheetPr>
  <dimension ref="A1:H61"/>
  <sheetViews>
    <sheetView zoomScale="70" zoomScaleNormal="70" workbookViewId="0">
      <selection activeCell="D12" sqref="D12"/>
    </sheetView>
  </sheetViews>
  <sheetFormatPr defaultRowHeight="14.4" x14ac:dyDescent="0.3"/>
  <cols>
    <col min="1" max="1" width="63.21875" bestFit="1" customWidth="1"/>
    <col min="2" max="2" width="29.109375" bestFit="1" customWidth="1"/>
    <col min="3" max="3" width="25.5546875" bestFit="1" customWidth="1"/>
    <col min="4" max="4" width="27.33203125" bestFit="1" customWidth="1"/>
    <col min="5" max="5" width="28.44140625" bestFit="1" customWidth="1"/>
    <col min="6" max="6" width="27.44140625" bestFit="1" customWidth="1"/>
    <col min="7" max="7" width="26" bestFit="1" customWidth="1"/>
    <col min="8" max="8" width="21.5546875" bestFit="1" customWidth="1"/>
  </cols>
  <sheetData>
    <row r="1" spans="1:8" x14ac:dyDescent="0.3">
      <c r="A1" s="386" t="s">
        <v>208</v>
      </c>
      <c r="B1" t="s">
        <v>412</v>
      </c>
    </row>
    <row r="3" spans="1:8" x14ac:dyDescent="0.3">
      <c r="A3" s="386" t="s">
        <v>350</v>
      </c>
      <c r="B3" t="s">
        <v>630</v>
      </c>
      <c r="C3" t="s">
        <v>631</v>
      </c>
      <c r="D3" t="s">
        <v>632</v>
      </c>
      <c r="E3" t="s">
        <v>633</v>
      </c>
      <c r="F3" t="s">
        <v>634</v>
      </c>
      <c r="G3" t="s">
        <v>635</v>
      </c>
      <c r="H3" t="s">
        <v>636</v>
      </c>
    </row>
    <row r="4" spans="1:8" x14ac:dyDescent="0.3">
      <c r="A4" s="387" t="s">
        <v>537</v>
      </c>
    </row>
    <row r="5" spans="1:8" x14ac:dyDescent="0.3">
      <c r="A5" s="388" t="s">
        <v>215</v>
      </c>
      <c r="F5">
        <v>15</v>
      </c>
      <c r="G5">
        <v>25</v>
      </c>
      <c r="H5">
        <v>69</v>
      </c>
    </row>
    <row r="6" spans="1:8" x14ac:dyDescent="0.3">
      <c r="A6" s="388" t="s">
        <v>220</v>
      </c>
      <c r="F6">
        <v>15</v>
      </c>
      <c r="G6">
        <v>11</v>
      </c>
      <c r="H6">
        <v>16</v>
      </c>
    </row>
    <row r="7" spans="1:8" x14ac:dyDescent="0.3">
      <c r="A7" s="388" t="s">
        <v>224</v>
      </c>
      <c r="E7">
        <v>1</v>
      </c>
      <c r="F7">
        <v>5</v>
      </c>
      <c r="G7">
        <v>5</v>
      </c>
      <c r="H7">
        <v>15</v>
      </c>
    </row>
    <row r="8" spans="1:8" x14ac:dyDescent="0.3">
      <c r="A8" s="388" t="s">
        <v>228</v>
      </c>
      <c r="F8">
        <v>11</v>
      </c>
      <c r="G8">
        <v>10</v>
      </c>
      <c r="H8">
        <v>31</v>
      </c>
    </row>
    <row r="9" spans="1:8" x14ac:dyDescent="0.3">
      <c r="A9" s="388" t="s">
        <v>234</v>
      </c>
      <c r="F9">
        <v>51</v>
      </c>
      <c r="G9">
        <v>60</v>
      </c>
      <c r="H9">
        <v>191</v>
      </c>
    </row>
    <row r="10" spans="1:8" x14ac:dyDescent="0.3">
      <c r="A10" s="388" t="s">
        <v>240</v>
      </c>
      <c r="F10">
        <v>5</v>
      </c>
      <c r="G10">
        <v>5</v>
      </c>
      <c r="H10">
        <v>17</v>
      </c>
    </row>
    <row r="11" spans="1:8" x14ac:dyDescent="0.3">
      <c r="A11" s="388" t="s">
        <v>244</v>
      </c>
      <c r="F11">
        <v>13</v>
      </c>
      <c r="G11">
        <v>15</v>
      </c>
      <c r="H11">
        <v>35.83</v>
      </c>
    </row>
    <row r="12" spans="1:8" x14ac:dyDescent="0.3">
      <c r="A12" s="388" t="s">
        <v>247</v>
      </c>
      <c r="D12">
        <v>1</v>
      </c>
      <c r="F12">
        <v>20</v>
      </c>
      <c r="G12">
        <v>31</v>
      </c>
      <c r="H12">
        <v>106</v>
      </c>
    </row>
    <row r="13" spans="1:8" x14ac:dyDescent="0.3">
      <c r="A13" s="388" t="s">
        <v>249</v>
      </c>
      <c r="F13">
        <v>5</v>
      </c>
      <c r="G13">
        <v>11</v>
      </c>
      <c r="H13">
        <v>37</v>
      </c>
    </row>
    <row r="14" spans="1:8" x14ac:dyDescent="0.3">
      <c r="A14" s="388" t="s">
        <v>253</v>
      </c>
      <c r="F14">
        <v>15</v>
      </c>
      <c r="G14">
        <v>17</v>
      </c>
      <c r="H14">
        <v>49</v>
      </c>
    </row>
    <row r="15" spans="1:8" x14ac:dyDescent="0.3">
      <c r="A15" s="388" t="s">
        <v>255</v>
      </c>
      <c r="F15">
        <v>5</v>
      </c>
      <c r="G15">
        <v>5</v>
      </c>
      <c r="H15">
        <v>15</v>
      </c>
    </row>
    <row r="16" spans="1:8" x14ac:dyDescent="0.3">
      <c r="A16" s="388" t="s">
        <v>259</v>
      </c>
      <c r="F16">
        <v>10</v>
      </c>
      <c r="G16">
        <v>10</v>
      </c>
      <c r="H16">
        <v>30</v>
      </c>
    </row>
    <row r="17" spans="1:8" x14ac:dyDescent="0.3">
      <c r="A17" s="388" t="s">
        <v>263</v>
      </c>
      <c r="F17">
        <v>15</v>
      </c>
      <c r="G17">
        <v>20</v>
      </c>
      <c r="H17">
        <v>49</v>
      </c>
    </row>
    <row r="18" spans="1:8" x14ac:dyDescent="0.3">
      <c r="A18" s="388" t="s">
        <v>267</v>
      </c>
      <c r="F18">
        <v>25</v>
      </c>
      <c r="G18">
        <v>42</v>
      </c>
      <c r="H18">
        <v>137</v>
      </c>
    </row>
    <row r="19" spans="1:8" x14ac:dyDescent="0.3">
      <c r="A19" s="388" t="s">
        <v>270</v>
      </c>
      <c r="F19">
        <v>67</v>
      </c>
      <c r="G19">
        <v>94</v>
      </c>
      <c r="H19">
        <v>291</v>
      </c>
    </row>
    <row r="20" spans="1:8" x14ac:dyDescent="0.3">
      <c r="A20" s="388" t="s">
        <v>273</v>
      </c>
      <c r="F20">
        <v>12</v>
      </c>
      <c r="G20">
        <v>21</v>
      </c>
      <c r="H20">
        <v>50</v>
      </c>
    </row>
    <row r="21" spans="1:8" x14ac:dyDescent="0.3">
      <c r="A21" s="388" t="s">
        <v>277</v>
      </c>
      <c r="F21">
        <v>10</v>
      </c>
      <c r="G21">
        <v>15</v>
      </c>
      <c r="H21">
        <v>41</v>
      </c>
    </row>
    <row r="22" spans="1:8" x14ac:dyDescent="0.3">
      <c r="A22" s="388" t="s">
        <v>279</v>
      </c>
      <c r="F22">
        <v>7</v>
      </c>
      <c r="G22">
        <v>6</v>
      </c>
      <c r="H22">
        <v>18</v>
      </c>
    </row>
    <row r="23" spans="1:8" x14ac:dyDescent="0.3">
      <c r="A23" s="388" t="s">
        <v>281</v>
      </c>
      <c r="F23">
        <v>5</v>
      </c>
      <c r="G23">
        <v>5</v>
      </c>
      <c r="H23">
        <v>19</v>
      </c>
    </row>
    <row r="24" spans="1:8" x14ac:dyDescent="0.3">
      <c r="A24" s="388" t="s">
        <v>283</v>
      </c>
      <c r="F24">
        <v>3</v>
      </c>
    </row>
    <row r="25" spans="1:8" x14ac:dyDescent="0.3">
      <c r="A25" s="388" t="s">
        <v>287</v>
      </c>
      <c r="F25">
        <v>16</v>
      </c>
      <c r="G25">
        <v>15</v>
      </c>
      <c r="H25">
        <v>45</v>
      </c>
    </row>
    <row r="26" spans="1:8" x14ac:dyDescent="0.3">
      <c r="A26" s="388" t="s">
        <v>289</v>
      </c>
      <c r="F26">
        <v>21</v>
      </c>
      <c r="G26">
        <v>35</v>
      </c>
      <c r="H26">
        <v>114</v>
      </c>
    </row>
    <row r="27" spans="1:8" x14ac:dyDescent="0.3">
      <c r="A27" s="388" t="s">
        <v>292</v>
      </c>
      <c r="F27">
        <v>1</v>
      </c>
    </row>
    <row r="28" spans="1:8" x14ac:dyDescent="0.3">
      <c r="A28" s="388" t="s">
        <v>294</v>
      </c>
      <c r="E28">
        <v>1</v>
      </c>
      <c r="F28">
        <v>13</v>
      </c>
      <c r="G28">
        <v>15</v>
      </c>
      <c r="H28">
        <v>41</v>
      </c>
    </row>
    <row r="29" spans="1:8" x14ac:dyDescent="0.3">
      <c r="A29" s="388" t="s">
        <v>296</v>
      </c>
      <c r="F29">
        <v>15</v>
      </c>
      <c r="G29">
        <v>20</v>
      </c>
      <c r="H29">
        <v>66</v>
      </c>
    </row>
    <row r="30" spans="1:8" x14ac:dyDescent="0.3">
      <c r="A30" s="388" t="s">
        <v>298</v>
      </c>
      <c r="F30">
        <v>12</v>
      </c>
      <c r="G30">
        <v>10</v>
      </c>
      <c r="H30">
        <v>36</v>
      </c>
    </row>
    <row r="31" spans="1:8" x14ac:dyDescent="0.3">
      <c r="A31" s="388" t="s">
        <v>302</v>
      </c>
      <c r="F31">
        <v>6</v>
      </c>
      <c r="G31">
        <v>10</v>
      </c>
      <c r="H31">
        <v>35</v>
      </c>
    </row>
    <row r="32" spans="1:8" x14ac:dyDescent="0.3">
      <c r="A32" s="388" t="s">
        <v>304</v>
      </c>
      <c r="D32">
        <v>1</v>
      </c>
      <c r="F32">
        <v>20</v>
      </c>
      <c r="G32">
        <v>29</v>
      </c>
      <c r="H32">
        <v>100</v>
      </c>
    </row>
    <row r="33" spans="1:8" x14ac:dyDescent="0.3">
      <c r="A33" s="388" t="s">
        <v>307</v>
      </c>
      <c r="F33">
        <v>5</v>
      </c>
      <c r="G33">
        <v>11</v>
      </c>
      <c r="H33">
        <v>33</v>
      </c>
    </row>
    <row r="34" spans="1:8" x14ac:dyDescent="0.3">
      <c r="A34" s="388" t="s">
        <v>309</v>
      </c>
      <c r="F34">
        <v>11</v>
      </c>
      <c r="G34">
        <v>15</v>
      </c>
      <c r="H34">
        <v>51</v>
      </c>
    </row>
    <row r="35" spans="1:8" x14ac:dyDescent="0.3">
      <c r="A35" s="388" t="s">
        <v>311</v>
      </c>
      <c r="F35">
        <v>14</v>
      </c>
      <c r="G35">
        <v>11</v>
      </c>
      <c r="H35">
        <v>37.979999999999997</v>
      </c>
    </row>
    <row r="36" spans="1:8" x14ac:dyDescent="0.3">
      <c r="A36" s="387" t="s">
        <v>539</v>
      </c>
      <c r="D36">
        <v>2</v>
      </c>
      <c r="E36">
        <v>2</v>
      </c>
      <c r="F36">
        <v>448</v>
      </c>
      <c r="G36">
        <v>579</v>
      </c>
      <c r="H36">
        <v>1775.81</v>
      </c>
    </row>
    <row r="37" spans="1:8" x14ac:dyDescent="0.3">
      <c r="A37" s="387" t="s">
        <v>540</v>
      </c>
    </row>
    <row r="38" spans="1:8" x14ac:dyDescent="0.3">
      <c r="A38" s="388" t="s">
        <v>230</v>
      </c>
      <c r="C38">
        <v>1</v>
      </c>
      <c r="D38">
        <v>4</v>
      </c>
      <c r="E38">
        <v>9</v>
      </c>
      <c r="F38">
        <v>6</v>
      </c>
      <c r="G38">
        <v>4</v>
      </c>
    </row>
    <row r="39" spans="1:8" x14ac:dyDescent="0.3">
      <c r="A39" s="388" t="s">
        <v>244</v>
      </c>
      <c r="C39">
        <v>1</v>
      </c>
      <c r="D39">
        <v>3</v>
      </c>
      <c r="E39">
        <v>6</v>
      </c>
      <c r="F39">
        <v>1</v>
      </c>
    </row>
    <row r="40" spans="1:8" x14ac:dyDescent="0.3">
      <c r="A40" s="388" t="s">
        <v>226</v>
      </c>
      <c r="C40">
        <v>1</v>
      </c>
      <c r="D40">
        <v>4</v>
      </c>
      <c r="E40">
        <v>6</v>
      </c>
      <c r="F40">
        <v>8.77</v>
      </c>
      <c r="G40">
        <v>1</v>
      </c>
      <c r="H40">
        <v>1</v>
      </c>
    </row>
    <row r="41" spans="1:8" x14ac:dyDescent="0.3">
      <c r="A41" s="388" t="s">
        <v>251</v>
      </c>
      <c r="C41">
        <v>1</v>
      </c>
      <c r="D41">
        <v>3</v>
      </c>
      <c r="E41">
        <v>9</v>
      </c>
      <c r="F41">
        <v>9</v>
      </c>
      <c r="G41">
        <v>3</v>
      </c>
    </row>
    <row r="42" spans="1:8" x14ac:dyDescent="0.3">
      <c r="A42" s="388" t="s">
        <v>257</v>
      </c>
      <c r="C42">
        <v>1</v>
      </c>
      <c r="D42">
        <v>3</v>
      </c>
      <c r="E42">
        <v>6</v>
      </c>
      <c r="F42">
        <v>8</v>
      </c>
      <c r="G42">
        <v>4</v>
      </c>
      <c r="H42">
        <v>4</v>
      </c>
    </row>
    <row r="43" spans="1:8" x14ac:dyDescent="0.3">
      <c r="A43" s="388" t="s">
        <v>261</v>
      </c>
      <c r="C43">
        <v>1</v>
      </c>
      <c r="D43">
        <v>3</v>
      </c>
      <c r="E43">
        <v>5</v>
      </c>
      <c r="F43">
        <v>5</v>
      </c>
      <c r="G43">
        <v>3</v>
      </c>
      <c r="H43">
        <v>1</v>
      </c>
    </row>
    <row r="44" spans="1:8" x14ac:dyDescent="0.3">
      <c r="A44" s="388" t="s">
        <v>236</v>
      </c>
      <c r="C44">
        <v>2</v>
      </c>
      <c r="D44">
        <v>5</v>
      </c>
      <c r="E44">
        <v>9</v>
      </c>
      <c r="F44">
        <v>9</v>
      </c>
      <c r="G44">
        <v>3</v>
      </c>
      <c r="H44">
        <v>3</v>
      </c>
    </row>
    <row r="45" spans="1:8" x14ac:dyDescent="0.3">
      <c r="A45" s="388" t="s">
        <v>265</v>
      </c>
      <c r="C45">
        <v>1</v>
      </c>
      <c r="D45">
        <v>2</v>
      </c>
      <c r="E45">
        <v>6</v>
      </c>
      <c r="F45">
        <v>6</v>
      </c>
      <c r="G45">
        <v>3</v>
      </c>
      <c r="H45">
        <v>1</v>
      </c>
    </row>
    <row r="46" spans="1:8" x14ac:dyDescent="0.3">
      <c r="A46" s="388" t="s">
        <v>270</v>
      </c>
      <c r="C46">
        <v>2</v>
      </c>
      <c r="D46">
        <v>4</v>
      </c>
      <c r="E46">
        <v>8</v>
      </c>
      <c r="F46">
        <v>9</v>
      </c>
      <c r="G46">
        <v>5</v>
      </c>
      <c r="H46">
        <v>2</v>
      </c>
    </row>
    <row r="47" spans="1:8" x14ac:dyDescent="0.3">
      <c r="A47" s="388" t="s">
        <v>275</v>
      </c>
      <c r="C47">
        <v>1</v>
      </c>
      <c r="D47">
        <v>4</v>
      </c>
      <c r="E47">
        <v>13</v>
      </c>
      <c r="F47">
        <v>5</v>
      </c>
      <c r="G47">
        <v>0.81</v>
      </c>
    </row>
    <row r="48" spans="1:8" x14ac:dyDescent="0.3">
      <c r="A48" s="388" t="s">
        <v>313</v>
      </c>
      <c r="C48">
        <v>1</v>
      </c>
      <c r="D48">
        <v>3</v>
      </c>
      <c r="E48">
        <v>10</v>
      </c>
      <c r="F48">
        <v>10</v>
      </c>
      <c r="G48">
        <v>6</v>
      </c>
      <c r="H48">
        <v>2</v>
      </c>
    </row>
    <row r="49" spans="1:8" x14ac:dyDescent="0.3">
      <c r="A49" s="388" t="s">
        <v>285</v>
      </c>
      <c r="C49">
        <v>1</v>
      </c>
      <c r="D49">
        <v>3</v>
      </c>
      <c r="E49">
        <v>6</v>
      </c>
    </row>
    <row r="50" spans="1:8" x14ac:dyDescent="0.3">
      <c r="A50" s="388" t="s">
        <v>322</v>
      </c>
      <c r="C50">
        <v>1</v>
      </c>
      <c r="D50">
        <v>5</v>
      </c>
      <c r="E50">
        <v>10</v>
      </c>
      <c r="F50">
        <v>13</v>
      </c>
      <c r="G50">
        <v>12</v>
      </c>
      <c r="H50">
        <v>32</v>
      </c>
    </row>
    <row r="51" spans="1:8" x14ac:dyDescent="0.3">
      <c r="A51" s="388" t="s">
        <v>324</v>
      </c>
      <c r="C51">
        <v>1</v>
      </c>
      <c r="D51">
        <v>1</v>
      </c>
      <c r="E51">
        <v>9</v>
      </c>
      <c r="F51">
        <v>7</v>
      </c>
      <c r="G51">
        <v>1</v>
      </c>
      <c r="H51">
        <v>1</v>
      </c>
    </row>
    <row r="52" spans="1:8" x14ac:dyDescent="0.3">
      <c r="A52" s="387" t="s">
        <v>541</v>
      </c>
      <c r="C52">
        <v>16</v>
      </c>
      <c r="D52">
        <v>47</v>
      </c>
      <c r="E52">
        <v>112</v>
      </c>
      <c r="F52">
        <v>96.77</v>
      </c>
      <c r="G52">
        <v>45.81</v>
      </c>
      <c r="H52">
        <v>47</v>
      </c>
    </row>
    <row r="53" spans="1:8" x14ac:dyDescent="0.3">
      <c r="A53" s="387" t="s">
        <v>542</v>
      </c>
    </row>
    <row r="54" spans="1:8" x14ac:dyDescent="0.3">
      <c r="A54" s="388" t="s">
        <v>238</v>
      </c>
      <c r="D54">
        <v>2</v>
      </c>
      <c r="E54">
        <v>8</v>
      </c>
      <c r="F54">
        <v>5</v>
      </c>
      <c r="G54">
        <v>1</v>
      </c>
      <c r="H54">
        <v>24</v>
      </c>
    </row>
    <row r="55" spans="1:8" x14ac:dyDescent="0.3">
      <c r="A55" s="388" t="s">
        <v>218</v>
      </c>
      <c r="C55">
        <v>1</v>
      </c>
      <c r="D55">
        <v>2</v>
      </c>
      <c r="E55">
        <v>6</v>
      </c>
      <c r="F55">
        <v>4</v>
      </c>
      <c r="G55">
        <v>2</v>
      </c>
      <c r="H55">
        <v>12</v>
      </c>
    </row>
    <row r="56" spans="1:8" x14ac:dyDescent="0.3">
      <c r="A56" s="388" t="s">
        <v>232</v>
      </c>
      <c r="C56">
        <v>1</v>
      </c>
      <c r="D56">
        <v>4</v>
      </c>
      <c r="E56">
        <v>6</v>
      </c>
      <c r="F56">
        <v>35</v>
      </c>
      <c r="G56">
        <v>12</v>
      </c>
      <c r="H56">
        <v>36</v>
      </c>
    </row>
    <row r="57" spans="1:8" x14ac:dyDescent="0.3">
      <c r="A57" s="387" t="s">
        <v>543</v>
      </c>
      <c r="C57">
        <v>2</v>
      </c>
      <c r="D57">
        <v>8</v>
      </c>
      <c r="E57">
        <v>20</v>
      </c>
      <c r="F57">
        <v>44</v>
      </c>
      <c r="G57">
        <v>15</v>
      </c>
      <c r="H57">
        <v>72</v>
      </c>
    </row>
    <row r="58" spans="1:8" x14ac:dyDescent="0.3">
      <c r="A58" s="387" t="s">
        <v>544</v>
      </c>
    </row>
    <row r="59" spans="1:8" x14ac:dyDescent="0.3">
      <c r="A59" s="388" t="s">
        <v>545</v>
      </c>
      <c r="B59">
        <v>5</v>
      </c>
      <c r="C59">
        <v>9</v>
      </c>
      <c r="D59">
        <v>15</v>
      </c>
      <c r="E59">
        <v>26</v>
      </c>
      <c r="F59">
        <v>36</v>
      </c>
      <c r="G59">
        <v>1</v>
      </c>
      <c r="H59">
        <v>1</v>
      </c>
    </row>
    <row r="60" spans="1:8" x14ac:dyDescent="0.3">
      <c r="A60" s="387" t="s">
        <v>546</v>
      </c>
      <c r="B60">
        <v>5</v>
      </c>
      <c r="C60">
        <v>9</v>
      </c>
      <c r="D60">
        <v>15</v>
      </c>
      <c r="E60">
        <v>26</v>
      </c>
      <c r="F60">
        <v>36</v>
      </c>
      <c r="G60">
        <v>1</v>
      </c>
      <c r="H60">
        <v>1</v>
      </c>
    </row>
    <row r="61" spans="1:8" x14ac:dyDescent="0.3">
      <c r="A61" s="387" t="s">
        <v>357</v>
      </c>
      <c r="B61">
        <v>5</v>
      </c>
      <c r="C61">
        <v>27</v>
      </c>
      <c r="D61">
        <v>72</v>
      </c>
      <c r="E61">
        <v>160</v>
      </c>
      <c r="F61">
        <v>624.77</v>
      </c>
      <c r="G61">
        <v>640.80999999999995</v>
      </c>
      <c r="H61">
        <v>1895.81</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tabColor theme="9" tint="0.39997558519241921"/>
  </sheetPr>
  <dimension ref="A1:L664"/>
  <sheetViews>
    <sheetView topLeftCell="A635" workbookViewId="0">
      <selection activeCell="D18" sqref="D18"/>
    </sheetView>
  </sheetViews>
  <sheetFormatPr defaultRowHeight="14.4" x14ac:dyDescent="0.3"/>
  <cols>
    <col min="1" max="1" width="7.6640625" bestFit="1" customWidth="1"/>
    <col min="2" max="2" width="16.33203125" bestFit="1" customWidth="1"/>
    <col min="3" max="3" width="9.88671875" bestFit="1" customWidth="1"/>
    <col min="4" max="4" width="56.21875" bestFit="1" customWidth="1"/>
    <col min="5" max="5" width="12" bestFit="1" customWidth="1"/>
    <col min="6" max="6" width="15.44140625" bestFit="1" customWidth="1"/>
    <col min="7" max="7" width="17.88671875" bestFit="1" customWidth="1"/>
    <col min="8" max="8" width="15.77734375" bestFit="1" customWidth="1"/>
    <col min="9" max="9" width="12.33203125" bestFit="1" customWidth="1"/>
    <col min="10" max="10" width="16.77734375" bestFit="1" customWidth="1"/>
    <col min="11" max="11" width="17.44140625" bestFit="1" customWidth="1"/>
    <col min="12" max="12" width="16.88671875" bestFit="1" customWidth="1"/>
  </cols>
  <sheetData>
    <row r="1" spans="1:12" x14ac:dyDescent="0.3">
      <c r="A1" t="s">
        <v>208</v>
      </c>
      <c r="B1" t="s">
        <v>547</v>
      </c>
      <c r="C1" t="s">
        <v>25</v>
      </c>
      <c r="D1" t="s">
        <v>548</v>
      </c>
      <c r="E1" t="s">
        <v>340</v>
      </c>
      <c r="F1" t="s">
        <v>622</v>
      </c>
      <c r="G1" t="s">
        <v>621</v>
      </c>
      <c r="H1" t="s">
        <v>626</v>
      </c>
      <c r="I1" t="s">
        <v>627</v>
      </c>
      <c r="J1" t="s">
        <v>623</v>
      </c>
      <c r="K1" t="s">
        <v>624</v>
      </c>
      <c r="L1" t="s">
        <v>625</v>
      </c>
    </row>
    <row r="2" spans="1:12" x14ac:dyDescent="0.3">
      <c r="A2" t="s">
        <v>364</v>
      </c>
      <c r="B2" t="s">
        <v>537</v>
      </c>
      <c r="C2" t="s">
        <v>239</v>
      </c>
      <c r="D2" t="s">
        <v>240</v>
      </c>
      <c r="E2">
        <v>43</v>
      </c>
      <c r="F2">
        <v>0</v>
      </c>
      <c r="G2">
        <v>0</v>
      </c>
      <c r="H2">
        <v>9</v>
      </c>
      <c r="I2">
        <v>30</v>
      </c>
      <c r="J2">
        <v>0</v>
      </c>
      <c r="K2">
        <v>0</v>
      </c>
      <c r="L2">
        <v>4</v>
      </c>
    </row>
    <row r="3" spans="1:12" x14ac:dyDescent="0.3">
      <c r="A3" t="s">
        <v>364</v>
      </c>
      <c r="B3" t="s">
        <v>537</v>
      </c>
      <c r="C3" t="s">
        <v>243</v>
      </c>
      <c r="D3" t="s">
        <v>244</v>
      </c>
      <c r="E3">
        <v>69</v>
      </c>
      <c r="F3">
        <v>0</v>
      </c>
      <c r="G3">
        <v>0</v>
      </c>
      <c r="H3">
        <v>11</v>
      </c>
      <c r="I3">
        <v>53</v>
      </c>
      <c r="J3">
        <v>0</v>
      </c>
      <c r="K3">
        <v>0</v>
      </c>
      <c r="L3">
        <v>5</v>
      </c>
    </row>
    <row r="4" spans="1:12" x14ac:dyDescent="0.3">
      <c r="A4" t="s">
        <v>364</v>
      </c>
      <c r="B4" t="s">
        <v>537</v>
      </c>
      <c r="C4" t="s">
        <v>248</v>
      </c>
      <c r="D4" t="s">
        <v>249</v>
      </c>
      <c r="E4">
        <v>59</v>
      </c>
      <c r="F4">
        <v>0</v>
      </c>
      <c r="G4">
        <v>0</v>
      </c>
      <c r="H4">
        <v>11</v>
      </c>
      <c r="I4">
        <v>40</v>
      </c>
      <c r="J4">
        <v>0</v>
      </c>
      <c r="K4">
        <v>0</v>
      </c>
      <c r="L4">
        <v>8</v>
      </c>
    </row>
    <row r="5" spans="1:12" x14ac:dyDescent="0.3">
      <c r="A5" t="s">
        <v>364</v>
      </c>
      <c r="B5" t="s">
        <v>537</v>
      </c>
      <c r="C5" t="s">
        <v>254</v>
      </c>
      <c r="D5" t="s">
        <v>255</v>
      </c>
      <c r="E5">
        <v>29</v>
      </c>
      <c r="F5">
        <v>0</v>
      </c>
      <c r="G5">
        <v>0</v>
      </c>
      <c r="H5">
        <v>5</v>
      </c>
      <c r="I5">
        <v>21</v>
      </c>
      <c r="J5">
        <v>0</v>
      </c>
      <c r="K5">
        <v>0</v>
      </c>
      <c r="L5">
        <v>3</v>
      </c>
    </row>
    <row r="6" spans="1:12" x14ac:dyDescent="0.3">
      <c r="A6" t="s">
        <v>364</v>
      </c>
      <c r="B6" t="s">
        <v>537</v>
      </c>
      <c r="C6" t="s">
        <v>258</v>
      </c>
      <c r="D6" t="s">
        <v>259</v>
      </c>
      <c r="E6">
        <v>59</v>
      </c>
      <c r="F6">
        <v>0</v>
      </c>
      <c r="G6">
        <v>0</v>
      </c>
      <c r="H6">
        <v>14</v>
      </c>
      <c r="I6">
        <v>34</v>
      </c>
      <c r="J6">
        <v>0</v>
      </c>
      <c r="K6">
        <v>0</v>
      </c>
      <c r="L6">
        <v>11</v>
      </c>
    </row>
    <row r="7" spans="1:12" x14ac:dyDescent="0.3">
      <c r="A7" t="s">
        <v>364</v>
      </c>
      <c r="B7" t="s">
        <v>537</v>
      </c>
      <c r="C7" t="s">
        <v>282</v>
      </c>
      <c r="D7" t="s">
        <v>283</v>
      </c>
      <c r="E7">
        <v>0</v>
      </c>
      <c r="F7">
        <v>0</v>
      </c>
      <c r="G7">
        <v>0</v>
      </c>
      <c r="H7">
        <v>0</v>
      </c>
      <c r="I7">
        <v>0</v>
      </c>
      <c r="J7">
        <v>0</v>
      </c>
      <c r="K7">
        <v>0</v>
      </c>
      <c r="L7">
        <v>0</v>
      </c>
    </row>
    <row r="8" spans="1:12" x14ac:dyDescent="0.3">
      <c r="A8" t="s">
        <v>364</v>
      </c>
      <c r="B8" t="s">
        <v>537</v>
      </c>
      <c r="C8" t="s">
        <v>262</v>
      </c>
      <c r="D8" t="s">
        <v>263</v>
      </c>
      <c r="E8">
        <v>96</v>
      </c>
      <c r="F8">
        <v>0</v>
      </c>
      <c r="G8">
        <v>0</v>
      </c>
      <c r="H8">
        <v>18</v>
      </c>
      <c r="I8">
        <v>65</v>
      </c>
      <c r="J8">
        <v>0</v>
      </c>
      <c r="K8">
        <v>1</v>
      </c>
      <c r="L8">
        <v>12</v>
      </c>
    </row>
    <row r="9" spans="1:12" x14ac:dyDescent="0.3">
      <c r="A9" t="s">
        <v>364</v>
      </c>
      <c r="B9" t="s">
        <v>537</v>
      </c>
      <c r="C9" t="s">
        <v>272</v>
      </c>
      <c r="D9" t="s">
        <v>273</v>
      </c>
      <c r="E9">
        <v>81</v>
      </c>
      <c r="F9">
        <v>0</v>
      </c>
      <c r="G9">
        <v>0</v>
      </c>
      <c r="H9">
        <v>9</v>
      </c>
      <c r="I9">
        <v>60</v>
      </c>
      <c r="J9">
        <v>0</v>
      </c>
      <c r="K9">
        <v>2</v>
      </c>
      <c r="L9">
        <v>10</v>
      </c>
    </row>
    <row r="10" spans="1:12" x14ac:dyDescent="0.3">
      <c r="A10" t="s">
        <v>364</v>
      </c>
      <c r="B10" t="s">
        <v>537</v>
      </c>
      <c r="C10" t="s">
        <v>276</v>
      </c>
      <c r="D10" t="s">
        <v>277</v>
      </c>
      <c r="E10">
        <v>78</v>
      </c>
      <c r="F10">
        <v>0</v>
      </c>
      <c r="G10">
        <v>0</v>
      </c>
      <c r="H10">
        <v>18</v>
      </c>
      <c r="I10">
        <v>49</v>
      </c>
      <c r="J10">
        <v>0</v>
      </c>
      <c r="K10">
        <v>0</v>
      </c>
      <c r="L10">
        <v>11</v>
      </c>
    </row>
    <row r="11" spans="1:12" x14ac:dyDescent="0.3">
      <c r="A11" t="s">
        <v>364</v>
      </c>
      <c r="B11" t="s">
        <v>537</v>
      </c>
      <c r="C11" t="s">
        <v>278</v>
      </c>
      <c r="D11" t="s">
        <v>279</v>
      </c>
      <c r="E11">
        <v>35</v>
      </c>
      <c r="F11">
        <v>0</v>
      </c>
      <c r="G11">
        <v>0</v>
      </c>
      <c r="H11">
        <v>4</v>
      </c>
      <c r="I11">
        <v>26</v>
      </c>
      <c r="J11">
        <v>0</v>
      </c>
      <c r="K11">
        <v>0</v>
      </c>
      <c r="L11">
        <v>5</v>
      </c>
    </row>
    <row r="12" spans="1:12" x14ac:dyDescent="0.3">
      <c r="A12" t="s">
        <v>364</v>
      </c>
      <c r="B12" t="s">
        <v>537</v>
      </c>
      <c r="C12" t="s">
        <v>280</v>
      </c>
      <c r="D12" t="s">
        <v>281</v>
      </c>
      <c r="E12">
        <v>20</v>
      </c>
      <c r="F12">
        <v>0</v>
      </c>
      <c r="G12">
        <v>0</v>
      </c>
      <c r="H12">
        <v>2</v>
      </c>
      <c r="I12">
        <v>15</v>
      </c>
      <c r="J12">
        <v>0</v>
      </c>
      <c r="K12">
        <v>0</v>
      </c>
      <c r="L12">
        <v>3</v>
      </c>
    </row>
    <row r="13" spans="1:12" x14ac:dyDescent="0.3">
      <c r="A13" t="s">
        <v>364</v>
      </c>
      <c r="B13" t="s">
        <v>537</v>
      </c>
      <c r="C13" t="s">
        <v>286</v>
      </c>
      <c r="D13" t="s">
        <v>287</v>
      </c>
      <c r="E13">
        <v>76</v>
      </c>
      <c r="F13">
        <v>0</v>
      </c>
      <c r="G13">
        <v>0</v>
      </c>
      <c r="H13">
        <v>13</v>
      </c>
      <c r="I13">
        <v>50</v>
      </c>
      <c r="J13">
        <v>0</v>
      </c>
      <c r="K13">
        <v>0</v>
      </c>
      <c r="L13">
        <v>13</v>
      </c>
    </row>
    <row r="14" spans="1:12" x14ac:dyDescent="0.3">
      <c r="A14" t="s">
        <v>364</v>
      </c>
      <c r="B14" t="s">
        <v>537</v>
      </c>
      <c r="C14" t="s">
        <v>291</v>
      </c>
      <c r="D14" t="s">
        <v>292</v>
      </c>
      <c r="E14">
        <v>0</v>
      </c>
      <c r="F14">
        <v>0</v>
      </c>
      <c r="G14">
        <v>0</v>
      </c>
      <c r="H14">
        <v>0</v>
      </c>
      <c r="I14">
        <v>0</v>
      </c>
      <c r="J14">
        <v>0</v>
      </c>
      <c r="K14">
        <v>0</v>
      </c>
      <c r="L14">
        <v>0</v>
      </c>
    </row>
    <row r="15" spans="1:12" x14ac:dyDescent="0.3">
      <c r="A15" t="s">
        <v>364</v>
      </c>
      <c r="B15" t="s">
        <v>537</v>
      </c>
      <c r="C15" t="s">
        <v>293</v>
      </c>
      <c r="D15" t="s">
        <v>294</v>
      </c>
      <c r="E15">
        <v>88</v>
      </c>
      <c r="F15">
        <v>0</v>
      </c>
      <c r="G15">
        <v>0</v>
      </c>
      <c r="H15">
        <v>14</v>
      </c>
      <c r="I15">
        <v>61</v>
      </c>
      <c r="J15">
        <v>0</v>
      </c>
      <c r="K15">
        <v>2</v>
      </c>
      <c r="L15">
        <v>11</v>
      </c>
    </row>
    <row r="16" spans="1:12" x14ac:dyDescent="0.3">
      <c r="A16" t="s">
        <v>364</v>
      </c>
      <c r="B16" t="s">
        <v>537</v>
      </c>
      <c r="C16" t="s">
        <v>297</v>
      </c>
      <c r="D16" t="s">
        <v>298</v>
      </c>
      <c r="E16">
        <v>75</v>
      </c>
      <c r="F16">
        <v>0</v>
      </c>
      <c r="G16">
        <v>0</v>
      </c>
      <c r="H16">
        <v>11</v>
      </c>
      <c r="I16">
        <v>54</v>
      </c>
      <c r="J16">
        <v>0</v>
      </c>
      <c r="K16">
        <v>0</v>
      </c>
      <c r="L16">
        <v>10</v>
      </c>
    </row>
    <row r="17" spans="1:12" x14ac:dyDescent="0.3">
      <c r="A17" t="s">
        <v>364</v>
      </c>
      <c r="B17" t="s">
        <v>537</v>
      </c>
      <c r="C17" t="s">
        <v>299</v>
      </c>
      <c r="D17" t="s">
        <v>300</v>
      </c>
      <c r="E17">
        <v>0</v>
      </c>
      <c r="F17">
        <v>0</v>
      </c>
      <c r="G17">
        <v>0</v>
      </c>
      <c r="H17">
        <v>0</v>
      </c>
      <c r="I17">
        <v>0</v>
      </c>
      <c r="J17">
        <v>0</v>
      </c>
      <c r="K17">
        <v>0</v>
      </c>
      <c r="L17">
        <v>0</v>
      </c>
    </row>
    <row r="18" spans="1:12" x14ac:dyDescent="0.3">
      <c r="A18" t="s">
        <v>364</v>
      </c>
      <c r="B18" t="s">
        <v>537</v>
      </c>
      <c r="C18" t="s">
        <v>301</v>
      </c>
      <c r="D18" t="s">
        <v>302</v>
      </c>
      <c r="E18">
        <v>65</v>
      </c>
      <c r="F18">
        <v>0</v>
      </c>
      <c r="G18">
        <v>0</v>
      </c>
      <c r="H18">
        <v>10</v>
      </c>
      <c r="I18">
        <v>47</v>
      </c>
      <c r="J18">
        <v>0</v>
      </c>
      <c r="K18">
        <v>0</v>
      </c>
      <c r="L18">
        <v>8</v>
      </c>
    </row>
    <row r="19" spans="1:12" x14ac:dyDescent="0.3">
      <c r="A19" t="s">
        <v>364</v>
      </c>
      <c r="B19" t="s">
        <v>537</v>
      </c>
      <c r="C19" t="s">
        <v>303</v>
      </c>
      <c r="D19" t="s">
        <v>304</v>
      </c>
      <c r="E19">
        <v>190</v>
      </c>
      <c r="F19">
        <v>0</v>
      </c>
      <c r="G19">
        <v>0</v>
      </c>
      <c r="H19">
        <v>33</v>
      </c>
      <c r="I19">
        <v>129</v>
      </c>
      <c r="J19">
        <v>0</v>
      </c>
      <c r="K19">
        <v>2</v>
      </c>
      <c r="L19">
        <v>26</v>
      </c>
    </row>
    <row r="20" spans="1:12" x14ac:dyDescent="0.3">
      <c r="A20" t="s">
        <v>364</v>
      </c>
      <c r="B20" t="s">
        <v>537</v>
      </c>
      <c r="C20" t="s">
        <v>306</v>
      </c>
      <c r="D20" t="s">
        <v>307</v>
      </c>
      <c r="E20">
        <v>61.76</v>
      </c>
      <c r="F20">
        <v>0</v>
      </c>
      <c r="G20">
        <v>0</v>
      </c>
      <c r="H20">
        <v>10</v>
      </c>
      <c r="I20">
        <v>41.76</v>
      </c>
      <c r="J20">
        <v>0</v>
      </c>
      <c r="K20">
        <v>0</v>
      </c>
      <c r="L20">
        <v>10</v>
      </c>
    </row>
    <row r="21" spans="1:12" x14ac:dyDescent="0.3">
      <c r="A21" t="s">
        <v>364</v>
      </c>
      <c r="B21" t="s">
        <v>537</v>
      </c>
      <c r="C21" t="s">
        <v>214</v>
      </c>
      <c r="D21" t="s">
        <v>215</v>
      </c>
      <c r="E21">
        <v>174</v>
      </c>
      <c r="F21">
        <v>0</v>
      </c>
      <c r="G21">
        <v>0</v>
      </c>
      <c r="H21">
        <v>24</v>
      </c>
      <c r="I21">
        <v>128</v>
      </c>
      <c r="J21">
        <v>0</v>
      </c>
      <c r="K21">
        <v>0</v>
      </c>
      <c r="L21">
        <v>22</v>
      </c>
    </row>
    <row r="22" spans="1:12" x14ac:dyDescent="0.3">
      <c r="A22" t="s">
        <v>364</v>
      </c>
      <c r="B22" t="s">
        <v>537</v>
      </c>
      <c r="C22" t="s">
        <v>219</v>
      </c>
      <c r="D22" t="s">
        <v>220</v>
      </c>
      <c r="E22">
        <v>23</v>
      </c>
      <c r="F22">
        <v>0</v>
      </c>
      <c r="G22">
        <v>0</v>
      </c>
      <c r="H22">
        <v>3</v>
      </c>
      <c r="I22">
        <v>16</v>
      </c>
      <c r="J22">
        <v>0</v>
      </c>
      <c r="K22">
        <v>0</v>
      </c>
      <c r="L22">
        <v>4</v>
      </c>
    </row>
    <row r="23" spans="1:12" x14ac:dyDescent="0.3">
      <c r="A23" t="s">
        <v>364</v>
      </c>
      <c r="B23" t="s">
        <v>537</v>
      </c>
      <c r="C23" t="s">
        <v>227</v>
      </c>
      <c r="D23" t="s">
        <v>228</v>
      </c>
      <c r="E23">
        <v>58</v>
      </c>
      <c r="F23">
        <v>0</v>
      </c>
      <c r="G23">
        <v>0</v>
      </c>
      <c r="H23">
        <v>10</v>
      </c>
      <c r="I23">
        <v>31</v>
      </c>
      <c r="J23">
        <v>0</v>
      </c>
      <c r="K23">
        <v>2</v>
      </c>
      <c r="L23">
        <v>15</v>
      </c>
    </row>
    <row r="24" spans="1:12" x14ac:dyDescent="0.3">
      <c r="A24" t="s">
        <v>364</v>
      </c>
      <c r="B24" t="s">
        <v>537</v>
      </c>
      <c r="C24" t="s">
        <v>233</v>
      </c>
      <c r="D24" t="s">
        <v>234</v>
      </c>
      <c r="E24">
        <v>370</v>
      </c>
      <c r="F24">
        <v>0</v>
      </c>
      <c r="G24">
        <v>0</v>
      </c>
      <c r="H24">
        <v>70</v>
      </c>
      <c r="I24">
        <v>275</v>
      </c>
      <c r="J24">
        <v>0</v>
      </c>
      <c r="K24">
        <v>0</v>
      </c>
      <c r="L24">
        <v>25</v>
      </c>
    </row>
    <row r="25" spans="1:12" x14ac:dyDescent="0.3">
      <c r="A25" t="s">
        <v>364</v>
      </c>
      <c r="B25" t="s">
        <v>537</v>
      </c>
      <c r="C25" t="s">
        <v>295</v>
      </c>
      <c r="D25" t="s">
        <v>296</v>
      </c>
      <c r="E25">
        <v>116</v>
      </c>
      <c r="F25">
        <v>0</v>
      </c>
      <c r="G25">
        <v>0</v>
      </c>
      <c r="H25">
        <v>22</v>
      </c>
      <c r="I25">
        <v>74</v>
      </c>
      <c r="J25">
        <v>0</v>
      </c>
      <c r="K25">
        <v>1</v>
      </c>
      <c r="L25">
        <v>19</v>
      </c>
    </row>
    <row r="26" spans="1:12" x14ac:dyDescent="0.3">
      <c r="A26" t="s">
        <v>364</v>
      </c>
      <c r="B26" t="s">
        <v>537</v>
      </c>
      <c r="C26" t="s">
        <v>308</v>
      </c>
      <c r="D26" t="s">
        <v>309</v>
      </c>
      <c r="E26">
        <v>80</v>
      </c>
      <c r="F26">
        <v>0</v>
      </c>
      <c r="G26">
        <v>0</v>
      </c>
      <c r="H26">
        <v>18</v>
      </c>
      <c r="I26">
        <v>52</v>
      </c>
      <c r="J26">
        <v>0</v>
      </c>
      <c r="K26">
        <v>0</v>
      </c>
      <c r="L26">
        <v>10</v>
      </c>
    </row>
    <row r="27" spans="1:12" x14ac:dyDescent="0.3">
      <c r="A27" t="s">
        <v>364</v>
      </c>
      <c r="B27" t="s">
        <v>537</v>
      </c>
      <c r="C27" t="s">
        <v>310</v>
      </c>
      <c r="D27" t="s">
        <v>311</v>
      </c>
      <c r="E27">
        <v>85</v>
      </c>
      <c r="F27">
        <v>0</v>
      </c>
      <c r="G27">
        <v>0</v>
      </c>
      <c r="H27">
        <v>14</v>
      </c>
      <c r="I27">
        <v>61</v>
      </c>
      <c r="J27">
        <v>0</v>
      </c>
      <c r="K27">
        <v>0</v>
      </c>
      <c r="L27">
        <v>10</v>
      </c>
    </row>
    <row r="28" spans="1:12" x14ac:dyDescent="0.3">
      <c r="A28" t="s">
        <v>364</v>
      </c>
      <c r="B28" t="s">
        <v>537</v>
      </c>
      <c r="C28" t="s">
        <v>223</v>
      </c>
      <c r="D28" t="s">
        <v>224</v>
      </c>
      <c r="E28">
        <v>35</v>
      </c>
      <c r="F28">
        <v>0</v>
      </c>
      <c r="G28">
        <v>0</v>
      </c>
      <c r="H28">
        <v>0</v>
      </c>
      <c r="I28">
        <v>25</v>
      </c>
      <c r="J28">
        <v>0</v>
      </c>
      <c r="K28">
        <v>1</v>
      </c>
      <c r="L28">
        <v>9</v>
      </c>
    </row>
    <row r="29" spans="1:12" x14ac:dyDescent="0.3">
      <c r="A29" t="s">
        <v>364</v>
      </c>
      <c r="B29" t="s">
        <v>537</v>
      </c>
      <c r="C29" t="s">
        <v>246</v>
      </c>
      <c r="D29" t="s">
        <v>247</v>
      </c>
      <c r="E29">
        <v>215</v>
      </c>
      <c r="F29">
        <v>0</v>
      </c>
      <c r="G29">
        <v>0</v>
      </c>
      <c r="H29">
        <v>29</v>
      </c>
      <c r="I29">
        <v>162</v>
      </c>
      <c r="J29">
        <v>0</v>
      </c>
      <c r="K29">
        <v>1</v>
      </c>
      <c r="L29">
        <v>23</v>
      </c>
    </row>
    <row r="30" spans="1:12" x14ac:dyDescent="0.3">
      <c r="A30" t="s">
        <v>364</v>
      </c>
      <c r="B30" t="s">
        <v>537</v>
      </c>
      <c r="C30" t="s">
        <v>288</v>
      </c>
      <c r="D30" t="s">
        <v>289</v>
      </c>
      <c r="E30">
        <v>188</v>
      </c>
      <c r="F30">
        <v>0</v>
      </c>
      <c r="G30">
        <v>0</v>
      </c>
      <c r="H30">
        <v>34</v>
      </c>
      <c r="I30">
        <v>129</v>
      </c>
      <c r="J30">
        <v>0</v>
      </c>
      <c r="K30">
        <v>1</v>
      </c>
      <c r="L30">
        <v>24</v>
      </c>
    </row>
    <row r="31" spans="1:12" x14ac:dyDescent="0.3">
      <c r="A31" t="s">
        <v>364</v>
      </c>
      <c r="B31" t="s">
        <v>537</v>
      </c>
      <c r="C31" t="s">
        <v>252</v>
      </c>
      <c r="D31" t="s">
        <v>253</v>
      </c>
      <c r="E31">
        <v>74</v>
      </c>
      <c r="F31">
        <v>0</v>
      </c>
      <c r="G31">
        <v>0</v>
      </c>
      <c r="H31">
        <v>15</v>
      </c>
      <c r="I31">
        <v>45</v>
      </c>
      <c r="J31">
        <v>0</v>
      </c>
      <c r="K31">
        <v>0</v>
      </c>
      <c r="L31">
        <v>14</v>
      </c>
    </row>
    <row r="32" spans="1:12" x14ac:dyDescent="0.3">
      <c r="A32" t="s">
        <v>364</v>
      </c>
      <c r="B32" t="s">
        <v>537</v>
      </c>
      <c r="C32" t="s">
        <v>269</v>
      </c>
      <c r="D32" t="s">
        <v>270</v>
      </c>
      <c r="E32">
        <v>560</v>
      </c>
      <c r="F32">
        <v>0</v>
      </c>
      <c r="G32">
        <v>0</v>
      </c>
      <c r="H32">
        <v>119</v>
      </c>
      <c r="I32">
        <v>373</v>
      </c>
      <c r="J32">
        <v>0</v>
      </c>
      <c r="K32">
        <v>0</v>
      </c>
      <c r="L32">
        <v>68</v>
      </c>
    </row>
    <row r="33" spans="1:12" x14ac:dyDescent="0.3">
      <c r="A33" t="s">
        <v>364</v>
      </c>
      <c r="B33" t="s">
        <v>537</v>
      </c>
      <c r="C33" t="s">
        <v>266</v>
      </c>
      <c r="D33" t="s">
        <v>267</v>
      </c>
      <c r="E33">
        <v>289</v>
      </c>
      <c r="F33">
        <v>0</v>
      </c>
      <c r="G33">
        <v>0</v>
      </c>
      <c r="H33">
        <v>58</v>
      </c>
      <c r="I33">
        <v>208</v>
      </c>
      <c r="J33">
        <v>0</v>
      </c>
      <c r="K33">
        <v>0</v>
      </c>
      <c r="L33">
        <v>23</v>
      </c>
    </row>
    <row r="34" spans="1:12" x14ac:dyDescent="0.3">
      <c r="A34" t="s">
        <v>364</v>
      </c>
      <c r="B34" t="s">
        <v>540</v>
      </c>
      <c r="C34" t="s">
        <v>216</v>
      </c>
      <c r="D34" t="s">
        <v>215</v>
      </c>
      <c r="E34">
        <v>23</v>
      </c>
      <c r="F34">
        <v>1</v>
      </c>
      <c r="G34">
        <v>0</v>
      </c>
      <c r="H34">
        <v>0</v>
      </c>
      <c r="I34">
        <v>1</v>
      </c>
      <c r="J34">
        <v>7</v>
      </c>
      <c r="K34">
        <v>6</v>
      </c>
      <c r="L34">
        <v>8</v>
      </c>
    </row>
    <row r="35" spans="1:12" x14ac:dyDescent="0.3">
      <c r="A35" t="s">
        <v>364</v>
      </c>
      <c r="B35" t="s">
        <v>540</v>
      </c>
      <c r="C35" t="s">
        <v>221</v>
      </c>
      <c r="D35" t="s">
        <v>222</v>
      </c>
      <c r="E35">
        <v>15</v>
      </c>
      <c r="F35">
        <v>1</v>
      </c>
      <c r="G35">
        <v>0</v>
      </c>
      <c r="H35">
        <v>0</v>
      </c>
      <c r="I35">
        <v>0</v>
      </c>
      <c r="J35">
        <v>2</v>
      </c>
      <c r="K35">
        <v>4</v>
      </c>
      <c r="L35">
        <v>8</v>
      </c>
    </row>
    <row r="36" spans="1:12" x14ac:dyDescent="0.3">
      <c r="A36" t="s">
        <v>364</v>
      </c>
      <c r="B36" t="s">
        <v>540</v>
      </c>
      <c r="C36" t="s">
        <v>229</v>
      </c>
      <c r="D36" t="s">
        <v>230</v>
      </c>
      <c r="E36">
        <v>22</v>
      </c>
      <c r="F36">
        <v>1</v>
      </c>
      <c r="G36">
        <v>0</v>
      </c>
      <c r="H36">
        <v>1</v>
      </c>
      <c r="I36">
        <v>1</v>
      </c>
      <c r="J36">
        <v>3</v>
      </c>
      <c r="K36">
        <v>6</v>
      </c>
      <c r="L36">
        <v>10</v>
      </c>
    </row>
    <row r="37" spans="1:12" x14ac:dyDescent="0.3">
      <c r="A37" t="s">
        <v>364</v>
      </c>
      <c r="B37" t="s">
        <v>540</v>
      </c>
      <c r="C37" t="s">
        <v>245</v>
      </c>
      <c r="D37" t="s">
        <v>244</v>
      </c>
      <c r="E37">
        <v>16</v>
      </c>
      <c r="F37">
        <v>0</v>
      </c>
      <c r="G37">
        <v>0</v>
      </c>
      <c r="H37">
        <v>0</v>
      </c>
      <c r="I37">
        <v>0</v>
      </c>
      <c r="J37">
        <v>2</v>
      </c>
      <c r="K37">
        <v>5</v>
      </c>
      <c r="L37">
        <v>9</v>
      </c>
    </row>
    <row r="38" spans="1:12" x14ac:dyDescent="0.3">
      <c r="A38" t="s">
        <v>364</v>
      </c>
      <c r="B38" t="s">
        <v>540</v>
      </c>
      <c r="C38" t="s">
        <v>250</v>
      </c>
      <c r="D38" t="s">
        <v>251</v>
      </c>
      <c r="E38">
        <v>21</v>
      </c>
      <c r="F38">
        <v>1</v>
      </c>
      <c r="G38">
        <v>0</v>
      </c>
      <c r="H38">
        <v>0</v>
      </c>
      <c r="I38">
        <v>5</v>
      </c>
      <c r="J38">
        <v>7</v>
      </c>
      <c r="K38">
        <v>0</v>
      </c>
      <c r="L38">
        <v>8</v>
      </c>
    </row>
    <row r="39" spans="1:12" x14ac:dyDescent="0.3">
      <c r="A39" t="s">
        <v>364</v>
      </c>
      <c r="B39" t="s">
        <v>540</v>
      </c>
      <c r="C39" t="s">
        <v>256</v>
      </c>
      <c r="D39" t="s">
        <v>257</v>
      </c>
      <c r="E39">
        <v>12</v>
      </c>
      <c r="F39">
        <v>1</v>
      </c>
      <c r="G39">
        <v>0</v>
      </c>
      <c r="H39">
        <v>0</v>
      </c>
      <c r="I39">
        <v>1</v>
      </c>
      <c r="J39">
        <v>3</v>
      </c>
      <c r="K39">
        <v>5</v>
      </c>
      <c r="L39">
        <v>2</v>
      </c>
    </row>
    <row r="40" spans="1:12" x14ac:dyDescent="0.3">
      <c r="A40" t="s">
        <v>364</v>
      </c>
      <c r="B40" t="s">
        <v>540</v>
      </c>
      <c r="C40" t="s">
        <v>260</v>
      </c>
      <c r="D40" t="s">
        <v>261</v>
      </c>
      <c r="E40">
        <v>23</v>
      </c>
      <c r="F40">
        <v>1</v>
      </c>
      <c r="G40">
        <v>0</v>
      </c>
      <c r="H40">
        <v>0</v>
      </c>
      <c r="I40">
        <v>0</v>
      </c>
      <c r="J40">
        <v>9</v>
      </c>
      <c r="K40">
        <v>7</v>
      </c>
      <c r="L40">
        <v>6</v>
      </c>
    </row>
    <row r="41" spans="1:12" x14ac:dyDescent="0.3">
      <c r="A41" t="s">
        <v>364</v>
      </c>
      <c r="B41" t="s">
        <v>540</v>
      </c>
      <c r="C41" t="s">
        <v>235</v>
      </c>
      <c r="D41" t="s">
        <v>236</v>
      </c>
      <c r="E41">
        <v>26</v>
      </c>
      <c r="F41">
        <v>2</v>
      </c>
      <c r="G41">
        <v>0</v>
      </c>
      <c r="H41">
        <v>3</v>
      </c>
      <c r="I41">
        <v>2</v>
      </c>
      <c r="J41">
        <v>9</v>
      </c>
      <c r="K41">
        <v>3</v>
      </c>
      <c r="L41">
        <v>7</v>
      </c>
    </row>
    <row r="42" spans="1:12" x14ac:dyDescent="0.3">
      <c r="A42" t="s">
        <v>364</v>
      </c>
      <c r="B42" t="s">
        <v>540</v>
      </c>
      <c r="C42" t="s">
        <v>264</v>
      </c>
      <c r="D42" t="s">
        <v>265</v>
      </c>
      <c r="E42">
        <v>13</v>
      </c>
      <c r="F42">
        <v>1</v>
      </c>
      <c r="G42">
        <v>0</v>
      </c>
      <c r="H42">
        <v>0</v>
      </c>
      <c r="I42">
        <v>2</v>
      </c>
      <c r="J42">
        <v>2</v>
      </c>
      <c r="K42">
        <v>2</v>
      </c>
      <c r="L42">
        <v>6</v>
      </c>
    </row>
    <row r="43" spans="1:12" x14ac:dyDescent="0.3">
      <c r="A43" t="s">
        <v>364</v>
      </c>
      <c r="B43" t="s">
        <v>540</v>
      </c>
      <c r="C43" t="s">
        <v>271</v>
      </c>
      <c r="D43" t="s">
        <v>270</v>
      </c>
      <c r="E43">
        <v>28</v>
      </c>
      <c r="F43">
        <v>1</v>
      </c>
      <c r="G43">
        <v>0</v>
      </c>
      <c r="H43">
        <v>0</v>
      </c>
      <c r="I43">
        <v>3</v>
      </c>
      <c r="J43">
        <v>4</v>
      </c>
      <c r="K43">
        <v>10</v>
      </c>
      <c r="L43">
        <v>10</v>
      </c>
    </row>
    <row r="44" spans="1:12" x14ac:dyDescent="0.3">
      <c r="A44" t="s">
        <v>364</v>
      </c>
      <c r="B44" t="s">
        <v>540</v>
      </c>
      <c r="C44" t="s">
        <v>274</v>
      </c>
      <c r="D44" t="s">
        <v>275</v>
      </c>
      <c r="E44">
        <v>13</v>
      </c>
      <c r="F44">
        <v>1</v>
      </c>
      <c r="G44">
        <v>0</v>
      </c>
      <c r="H44">
        <v>0</v>
      </c>
      <c r="I44">
        <v>0</v>
      </c>
      <c r="J44">
        <v>4</v>
      </c>
      <c r="K44">
        <v>7</v>
      </c>
      <c r="L44">
        <v>1</v>
      </c>
    </row>
    <row r="45" spans="1:12" x14ac:dyDescent="0.3">
      <c r="A45" t="s">
        <v>364</v>
      </c>
      <c r="B45" t="s">
        <v>540</v>
      </c>
      <c r="C45" t="s">
        <v>290</v>
      </c>
      <c r="D45" t="s">
        <v>289</v>
      </c>
      <c r="E45">
        <v>14</v>
      </c>
      <c r="F45">
        <v>1</v>
      </c>
      <c r="G45">
        <v>0</v>
      </c>
      <c r="H45">
        <v>1</v>
      </c>
      <c r="I45">
        <v>0</v>
      </c>
      <c r="J45">
        <v>2</v>
      </c>
      <c r="K45">
        <v>6</v>
      </c>
      <c r="L45">
        <v>4</v>
      </c>
    </row>
    <row r="46" spans="1:12" x14ac:dyDescent="0.3">
      <c r="A46" t="s">
        <v>364</v>
      </c>
      <c r="B46" t="s">
        <v>540</v>
      </c>
      <c r="C46" t="s">
        <v>305</v>
      </c>
      <c r="D46" t="s">
        <v>304</v>
      </c>
      <c r="E46">
        <v>10</v>
      </c>
      <c r="F46">
        <v>1</v>
      </c>
      <c r="G46">
        <v>0</v>
      </c>
      <c r="H46">
        <v>0</v>
      </c>
      <c r="I46">
        <v>0</v>
      </c>
      <c r="J46">
        <v>3</v>
      </c>
      <c r="K46">
        <v>4</v>
      </c>
      <c r="L46">
        <v>2</v>
      </c>
    </row>
    <row r="47" spans="1:12" x14ac:dyDescent="0.3">
      <c r="A47" t="s">
        <v>364</v>
      </c>
      <c r="B47" t="s">
        <v>540</v>
      </c>
      <c r="C47" t="s">
        <v>241</v>
      </c>
      <c r="D47" t="s">
        <v>242</v>
      </c>
      <c r="E47">
        <v>8</v>
      </c>
      <c r="F47">
        <v>1</v>
      </c>
      <c r="G47">
        <v>0</v>
      </c>
      <c r="H47">
        <v>0</v>
      </c>
      <c r="I47">
        <v>0</v>
      </c>
      <c r="J47">
        <v>3</v>
      </c>
      <c r="K47">
        <v>4</v>
      </c>
      <c r="L47">
        <v>0</v>
      </c>
    </row>
    <row r="48" spans="1:12" x14ac:dyDescent="0.3">
      <c r="A48" t="s">
        <v>364</v>
      </c>
      <c r="B48" t="s">
        <v>540</v>
      </c>
      <c r="C48" t="s">
        <v>284</v>
      </c>
      <c r="D48" t="s">
        <v>285</v>
      </c>
      <c r="E48">
        <v>9</v>
      </c>
      <c r="F48">
        <v>1</v>
      </c>
      <c r="G48">
        <v>0</v>
      </c>
      <c r="H48">
        <v>0</v>
      </c>
      <c r="I48">
        <v>0</v>
      </c>
      <c r="J48">
        <v>3</v>
      </c>
      <c r="K48">
        <v>5</v>
      </c>
      <c r="L48">
        <v>0</v>
      </c>
    </row>
    <row r="49" spans="1:12" x14ac:dyDescent="0.3">
      <c r="A49" t="s">
        <v>364</v>
      </c>
      <c r="B49" t="s">
        <v>540</v>
      </c>
      <c r="C49" t="s">
        <v>225</v>
      </c>
      <c r="D49" t="s">
        <v>226</v>
      </c>
      <c r="E49">
        <v>11</v>
      </c>
      <c r="F49">
        <v>1</v>
      </c>
      <c r="G49">
        <v>0</v>
      </c>
      <c r="H49">
        <v>0</v>
      </c>
      <c r="I49">
        <v>0</v>
      </c>
      <c r="J49">
        <v>3</v>
      </c>
      <c r="K49">
        <v>5</v>
      </c>
      <c r="L49">
        <v>2</v>
      </c>
    </row>
    <row r="50" spans="1:12" x14ac:dyDescent="0.3">
      <c r="A50" t="s">
        <v>364</v>
      </c>
      <c r="B50" t="s">
        <v>540</v>
      </c>
      <c r="C50" t="s">
        <v>268</v>
      </c>
      <c r="D50" t="s">
        <v>267</v>
      </c>
      <c r="E50">
        <v>21</v>
      </c>
      <c r="F50">
        <v>1</v>
      </c>
      <c r="G50">
        <v>0</v>
      </c>
      <c r="H50">
        <v>0</v>
      </c>
      <c r="I50">
        <v>0</v>
      </c>
      <c r="J50">
        <v>3</v>
      </c>
      <c r="K50">
        <v>6</v>
      </c>
      <c r="L50">
        <v>11</v>
      </c>
    </row>
    <row r="51" spans="1:12" x14ac:dyDescent="0.3">
      <c r="A51" t="s">
        <v>364</v>
      </c>
      <c r="B51" t="s">
        <v>542</v>
      </c>
      <c r="C51" t="s">
        <v>231</v>
      </c>
      <c r="D51" t="s">
        <v>232</v>
      </c>
      <c r="E51">
        <v>111</v>
      </c>
      <c r="F51">
        <v>3</v>
      </c>
      <c r="G51">
        <v>1</v>
      </c>
      <c r="H51">
        <v>8</v>
      </c>
      <c r="I51">
        <v>0</v>
      </c>
      <c r="J51">
        <v>12</v>
      </c>
      <c r="K51">
        <v>8</v>
      </c>
      <c r="L51">
        <v>79</v>
      </c>
    </row>
    <row r="52" spans="1:12" x14ac:dyDescent="0.3">
      <c r="A52" t="s">
        <v>364</v>
      </c>
      <c r="B52" t="s">
        <v>542</v>
      </c>
      <c r="C52" t="s">
        <v>237</v>
      </c>
      <c r="D52" t="s">
        <v>238</v>
      </c>
      <c r="E52">
        <v>80</v>
      </c>
      <c r="F52">
        <v>1</v>
      </c>
      <c r="G52">
        <v>1</v>
      </c>
      <c r="H52">
        <v>8</v>
      </c>
      <c r="I52">
        <v>3</v>
      </c>
      <c r="J52">
        <v>3</v>
      </c>
      <c r="K52">
        <v>15</v>
      </c>
      <c r="L52">
        <v>49</v>
      </c>
    </row>
    <row r="53" spans="1:12" x14ac:dyDescent="0.3">
      <c r="A53" t="s">
        <v>364</v>
      </c>
      <c r="B53" t="s">
        <v>542</v>
      </c>
      <c r="C53" t="s">
        <v>217</v>
      </c>
      <c r="D53" t="s">
        <v>218</v>
      </c>
      <c r="E53">
        <v>77</v>
      </c>
      <c r="F53">
        <v>2</v>
      </c>
      <c r="G53">
        <v>1</v>
      </c>
      <c r="H53">
        <v>24</v>
      </c>
      <c r="I53">
        <v>1</v>
      </c>
      <c r="J53">
        <v>9</v>
      </c>
      <c r="K53">
        <v>10</v>
      </c>
      <c r="L53">
        <v>30</v>
      </c>
    </row>
    <row r="54" spans="1:12" x14ac:dyDescent="0.3">
      <c r="A54" t="s">
        <v>364</v>
      </c>
      <c r="B54" t="s">
        <v>544</v>
      </c>
      <c r="C54" t="s">
        <v>549</v>
      </c>
      <c r="D54" t="s">
        <v>545</v>
      </c>
      <c r="E54">
        <v>56</v>
      </c>
      <c r="F54">
        <v>5</v>
      </c>
      <c r="G54">
        <v>6</v>
      </c>
      <c r="H54">
        <v>7</v>
      </c>
      <c r="I54">
        <v>0</v>
      </c>
      <c r="J54">
        <v>22</v>
      </c>
      <c r="K54">
        <v>5</v>
      </c>
      <c r="L54">
        <v>11</v>
      </c>
    </row>
    <row r="55" spans="1:12" x14ac:dyDescent="0.3">
      <c r="A55" t="s">
        <v>364</v>
      </c>
      <c r="B55" t="s">
        <v>340</v>
      </c>
      <c r="C55" t="s">
        <v>549</v>
      </c>
      <c r="D55" t="s">
        <v>545</v>
      </c>
      <c r="E55">
        <v>4000.76</v>
      </c>
      <c r="F55">
        <v>28</v>
      </c>
      <c r="G55">
        <v>9</v>
      </c>
      <c r="H55">
        <v>660</v>
      </c>
      <c r="I55">
        <v>2373.7600000000002</v>
      </c>
      <c r="J55">
        <v>115</v>
      </c>
      <c r="K55">
        <v>136</v>
      </c>
      <c r="L55">
        <v>679</v>
      </c>
    </row>
    <row r="56" spans="1:12" x14ac:dyDescent="0.3">
      <c r="A56" t="s">
        <v>365</v>
      </c>
      <c r="B56" t="s">
        <v>537</v>
      </c>
      <c r="C56" t="s">
        <v>239</v>
      </c>
      <c r="D56" t="s">
        <v>240</v>
      </c>
      <c r="E56">
        <v>37</v>
      </c>
      <c r="H56">
        <v>8</v>
      </c>
      <c r="I56">
        <v>25</v>
      </c>
      <c r="K56">
        <v>0</v>
      </c>
      <c r="L56">
        <v>4</v>
      </c>
    </row>
    <row r="57" spans="1:12" x14ac:dyDescent="0.3">
      <c r="A57" t="s">
        <v>365</v>
      </c>
      <c r="B57" t="s">
        <v>537</v>
      </c>
      <c r="C57" t="s">
        <v>243</v>
      </c>
      <c r="D57" t="s">
        <v>244</v>
      </c>
      <c r="E57">
        <v>69</v>
      </c>
      <c r="H57">
        <v>11</v>
      </c>
      <c r="I57">
        <v>52</v>
      </c>
      <c r="K57">
        <v>0</v>
      </c>
      <c r="L57">
        <v>6</v>
      </c>
    </row>
    <row r="58" spans="1:12" x14ac:dyDescent="0.3">
      <c r="A58" t="s">
        <v>365</v>
      </c>
      <c r="B58" t="s">
        <v>537</v>
      </c>
      <c r="C58" t="s">
        <v>248</v>
      </c>
      <c r="D58" t="s">
        <v>249</v>
      </c>
      <c r="E58">
        <v>56</v>
      </c>
      <c r="H58">
        <v>9</v>
      </c>
      <c r="I58">
        <v>39</v>
      </c>
      <c r="K58">
        <v>0</v>
      </c>
      <c r="L58">
        <v>8</v>
      </c>
    </row>
    <row r="59" spans="1:12" x14ac:dyDescent="0.3">
      <c r="A59" t="s">
        <v>365</v>
      </c>
      <c r="B59" t="s">
        <v>537</v>
      </c>
      <c r="C59" t="s">
        <v>254</v>
      </c>
      <c r="D59" t="s">
        <v>255</v>
      </c>
      <c r="E59">
        <v>28</v>
      </c>
      <c r="H59">
        <v>3</v>
      </c>
      <c r="I59">
        <v>21</v>
      </c>
      <c r="K59">
        <v>0</v>
      </c>
      <c r="L59">
        <v>4</v>
      </c>
    </row>
    <row r="60" spans="1:12" x14ac:dyDescent="0.3">
      <c r="A60" t="s">
        <v>365</v>
      </c>
      <c r="B60" t="s">
        <v>537</v>
      </c>
      <c r="C60" t="s">
        <v>258</v>
      </c>
      <c r="D60" t="s">
        <v>259</v>
      </c>
      <c r="E60">
        <v>57</v>
      </c>
      <c r="H60">
        <v>13</v>
      </c>
      <c r="I60">
        <v>35</v>
      </c>
      <c r="K60">
        <v>0</v>
      </c>
      <c r="L60">
        <v>9</v>
      </c>
    </row>
    <row r="61" spans="1:12" x14ac:dyDescent="0.3">
      <c r="A61" t="s">
        <v>365</v>
      </c>
      <c r="B61" t="s">
        <v>537</v>
      </c>
      <c r="C61" t="s">
        <v>282</v>
      </c>
      <c r="D61" t="s">
        <v>283</v>
      </c>
      <c r="E61">
        <v>0</v>
      </c>
      <c r="H61">
        <v>0</v>
      </c>
      <c r="I61">
        <v>0</v>
      </c>
      <c r="K61">
        <v>0</v>
      </c>
      <c r="L61">
        <v>0</v>
      </c>
    </row>
    <row r="62" spans="1:12" x14ac:dyDescent="0.3">
      <c r="A62" t="s">
        <v>365</v>
      </c>
      <c r="B62" t="s">
        <v>537</v>
      </c>
      <c r="C62" t="s">
        <v>262</v>
      </c>
      <c r="D62" t="s">
        <v>263</v>
      </c>
      <c r="E62">
        <v>94</v>
      </c>
      <c r="H62">
        <v>17</v>
      </c>
      <c r="I62">
        <v>60</v>
      </c>
      <c r="K62">
        <v>2</v>
      </c>
      <c r="L62">
        <v>15</v>
      </c>
    </row>
    <row r="63" spans="1:12" x14ac:dyDescent="0.3">
      <c r="A63" t="s">
        <v>365</v>
      </c>
      <c r="B63" t="s">
        <v>537</v>
      </c>
      <c r="C63" t="s">
        <v>272</v>
      </c>
      <c r="D63" t="s">
        <v>273</v>
      </c>
      <c r="E63">
        <v>81</v>
      </c>
      <c r="H63">
        <v>11</v>
      </c>
      <c r="I63">
        <v>57</v>
      </c>
      <c r="K63">
        <v>1</v>
      </c>
      <c r="L63">
        <v>12</v>
      </c>
    </row>
    <row r="64" spans="1:12" x14ac:dyDescent="0.3">
      <c r="A64" t="s">
        <v>365</v>
      </c>
      <c r="B64" t="s">
        <v>537</v>
      </c>
      <c r="C64" t="s">
        <v>276</v>
      </c>
      <c r="D64" t="s">
        <v>277</v>
      </c>
      <c r="E64">
        <v>77</v>
      </c>
      <c r="H64">
        <v>16</v>
      </c>
      <c r="I64">
        <v>49</v>
      </c>
      <c r="K64">
        <v>0</v>
      </c>
      <c r="L64">
        <v>12</v>
      </c>
    </row>
    <row r="65" spans="1:12" x14ac:dyDescent="0.3">
      <c r="A65" t="s">
        <v>365</v>
      </c>
      <c r="B65" t="s">
        <v>537</v>
      </c>
      <c r="C65" t="s">
        <v>278</v>
      </c>
      <c r="D65" t="s">
        <v>279</v>
      </c>
      <c r="E65">
        <v>35</v>
      </c>
      <c r="H65">
        <v>4</v>
      </c>
      <c r="I65">
        <v>26</v>
      </c>
      <c r="K65">
        <v>0</v>
      </c>
      <c r="L65">
        <v>5</v>
      </c>
    </row>
    <row r="66" spans="1:12" x14ac:dyDescent="0.3">
      <c r="A66" t="s">
        <v>365</v>
      </c>
      <c r="B66" t="s">
        <v>537</v>
      </c>
      <c r="C66" t="s">
        <v>280</v>
      </c>
      <c r="D66" t="s">
        <v>281</v>
      </c>
      <c r="E66">
        <v>21</v>
      </c>
      <c r="H66">
        <v>3</v>
      </c>
      <c r="I66">
        <v>14</v>
      </c>
      <c r="K66">
        <v>0</v>
      </c>
      <c r="L66">
        <v>4</v>
      </c>
    </row>
    <row r="67" spans="1:12" x14ac:dyDescent="0.3">
      <c r="A67" t="s">
        <v>365</v>
      </c>
      <c r="B67" t="s">
        <v>537</v>
      </c>
      <c r="C67" t="s">
        <v>286</v>
      </c>
      <c r="D67" t="s">
        <v>287</v>
      </c>
      <c r="E67">
        <v>78</v>
      </c>
      <c r="H67">
        <v>14</v>
      </c>
      <c r="I67">
        <v>50</v>
      </c>
      <c r="K67">
        <v>0</v>
      </c>
      <c r="L67">
        <v>14</v>
      </c>
    </row>
    <row r="68" spans="1:12" x14ac:dyDescent="0.3">
      <c r="A68" t="s">
        <v>365</v>
      </c>
      <c r="B68" t="s">
        <v>537</v>
      </c>
      <c r="C68" t="s">
        <v>291</v>
      </c>
      <c r="D68" t="s">
        <v>292</v>
      </c>
      <c r="E68">
        <v>0</v>
      </c>
      <c r="H68">
        <v>0</v>
      </c>
      <c r="I68">
        <v>0</v>
      </c>
      <c r="K68">
        <v>0</v>
      </c>
      <c r="L68">
        <v>0</v>
      </c>
    </row>
    <row r="69" spans="1:12" x14ac:dyDescent="0.3">
      <c r="A69" t="s">
        <v>365</v>
      </c>
      <c r="B69" t="s">
        <v>537</v>
      </c>
      <c r="C69" t="s">
        <v>293</v>
      </c>
      <c r="D69" t="s">
        <v>294</v>
      </c>
      <c r="E69">
        <v>86</v>
      </c>
      <c r="H69">
        <v>16</v>
      </c>
      <c r="I69">
        <v>58</v>
      </c>
      <c r="K69">
        <v>1</v>
      </c>
      <c r="L69">
        <v>11</v>
      </c>
    </row>
    <row r="70" spans="1:12" x14ac:dyDescent="0.3">
      <c r="A70" t="s">
        <v>365</v>
      </c>
      <c r="B70" t="s">
        <v>537</v>
      </c>
      <c r="C70" t="s">
        <v>297</v>
      </c>
      <c r="D70" t="s">
        <v>298</v>
      </c>
      <c r="E70">
        <v>73</v>
      </c>
      <c r="H70">
        <v>11</v>
      </c>
      <c r="I70">
        <v>51</v>
      </c>
      <c r="K70">
        <v>0</v>
      </c>
      <c r="L70">
        <v>11</v>
      </c>
    </row>
    <row r="71" spans="1:12" x14ac:dyDescent="0.3">
      <c r="A71" t="s">
        <v>365</v>
      </c>
      <c r="B71" t="s">
        <v>537</v>
      </c>
      <c r="C71" t="s">
        <v>299</v>
      </c>
      <c r="D71" t="s">
        <v>300</v>
      </c>
      <c r="E71">
        <v>0</v>
      </c>
      <c r="H71">
        <v>0</v>
      </c>
      <c r="I71">
        <v>0</v>
      </c>
      <c r="K71">
        <v>0</v>
      </c>
      <c r="L71">
        <v>0</v>
      </c>
    </row>
    <row r="72" spans="1:12" x14ac:dyDescent="0.3">
      <c r="A72" t="s">
        <v>365</v>
      </c>
      <c r="B72" t="s">
        <v>537</v>
      </c>
      <c r="C72" t="s">
        <v>301</v>
      </c>
      <c r="D72" t="s">
        <v>302</v>
      </c>
      <c r="E72">
        <v>60</v>
      </c>
      <c r="H72">
        <v>9</v>
      </c>
      <c r="I72">
        <v>43</v>
      </c>
      <c r="K72">
        <v>0</v>
      </c>
      <c r="L72">
        <v>8</v>
      </c>
    </row>
    <row r="73" spans="1:12" x14ac:dyDescent="0.3">
      <c r="A73" t="s">
        <v>365</v>
      </c>
      <c r="B73" t="s">
        <v>537</v>
      </c>
      <c r="C73" t="s">
        <v>303</v>
      </c>
      <c r="D73" t="s">
        <v>304</v>
      </c>
      <c r="E73">
        <v>187</v>
      </c>
      <c r="H73">
        <v>35</v>
      </c>
      <c r="I73">
        <v>126</v>
      </c>
      <c r="K73">
        <v>2</v>
      </c>
      <c r="L73">
        <v>24</v>
      </c>
    </row>
    <row r="74" spans="1:12" x14ac:dyDescent="0.3">
      <c r="A74" t="s">
        <v>365</v>
      </c>
      <c r="B74" t="s">
        <v>537</v>
      </c>
      <c r="C74" t="s">
        <v>306</v>
      </c>
      <c r="D74" t="s">
        <v>307</v>
      </c>
      <c r="E74">
        <v>55</v>
      </c>
      <c r="H74">
        <v>10</v>
      </c>
      <c r="I74">
        <v>37</v>
      </c>
      <c r="K74">
        <v>0</v>
      </c>
      <c r="L74">
        <v>8</v>
      </c>
    </row>
    <row r="75" spans="1:12" x14ac:dyDescent="0.3">
      <c r="A75" t="s">
        <v>365</v>
      </c>
      <c r="B75" t="s">
        <v>537</v>
      </c>
      <c r="C75" t="s">
        <v>214</v>
      </c>
      <c r="D75" t="s">
        <v>215</v>
      </c>
      <c r="E75">
        <v>173</v>
      </c>
      <c r="H75">
        <v>25</v>
      </c>
      <c r="I75">
        <v>122</v>
      </c>
      <c r="K75">
        <v>0</v>
      </c>
      <c r="L75">
        <v>26</v>
      </c>
    </row>
    <row r="76" spans="1:12" x14ac:dyDescent="0.3">
      <c r="A76" t="s">
        <v>365</v>
      </c>
      <c r="B76" t="s">
        <v>537</v>
      </c>
      <c r="C76" t="s">
        <v>219</v>
      </c>
      <c r="D76" t="s">
        <v>220</v>
      </c>
      <c r="E76">
        <v>23</v>
      </c>
      <c r="H76">
        <v>3</v>
      </c>
      <c r="I76">
        <v>18</v>
      </c>
      <c r="K76">
        <v>0</v>
      </c>
      <c r="L76">
        <v>2</v>
      </c>
    </row>
    <row r="77" spans="1:12" x14ac:dyDescent="0.3">
      <c r="A77" t="s">
        <v>365</v>
      </c>
      <c r="B77" t="s">
        <v>537</v>
      </c>
      <c r="C77" t="s">
        <v>227</v>
      </c>
      <c r="D77" t="s">
        <v>228</v>
      </c>
      <c r="E77">
        <v>54</v>
      </c>
      <c r="H77">
        <v>10</v>
      </c>
      <c r="I77">
        <v>27</v>
      </c>
      <c r="K77">
        <v>2</v>
      </c>
      <c r="L77">
        <v>15</v>
      </c>
    </row>
    <row r="78" spans="1:12" x14ac:dyDescent="0.3">
      <c r="A78" t="s">
        <v>365</v>
      </c>
      <c r="B78" t="s">
        <v>537</v>
      </c>
      <c r="C78" t="s">
        <v>233</v>
      </c>
      <c r="D78" t="s">
        <v>234</v>
      </c>
      <c r="E78">
        <v>348</v>
      </c>
      <c r="H78">
        <v>64</v>
      </c>
      <c r="I78">
        <v>257</v>
      </c>
      <c r="K78">
        <v>1</v>
      </c>
      <c r="L78">
        <v>26</v>
      </c>
    </row>
    <row r="79" spans="1:12" x14ac:dyDescent="0.3">
      <c r="A79" t="s">
        <v>365</v>
      </c>
      <c r="B79" t="s">
        <v>537</v>
      </c>
      <c r="C79" t="s">
        <v>295</v>
      </c>
      <c r="D79" t="s">
        <v>296</v>
      </c>
      <c r="E79">
        <v>115</v>
      </c>
      <c r="H79">
        <v>23</v>
      </c>
      <c r="I79">
        <v>72</v>
      </c>
      <c r="K79">
        <v>0</v>
      </c>
      <c r="L79">
        <v>20</v>
      </c>
    </row>
    <row r="80" spans="1:12" x14ac:dyDescent="0.3">
      <c r="A80" t="s">
        <v>365</v>
      </c>
      <c r="B80" t="s">
        <v>537</v>
      </c>
      <c r="C80" t="s">
        <v>308</v>
      </c>
      <c r="D80" t="s">
        <v>309</v>
      </c>
      <c r="E80">
        <v>74</v>
      </c>
      <c r="H80">
        <v>20</v>
      </c>
      <c r="I80">
        <v>45</v>
      </c>
      <c r="K80">
        <v>0</v>
      </c>
      <c r="L80">
        <v>9</v>
      </c>
    </row>
    <row r="81" spans="1:12" x14ac:dyDescent="0.3">
      <c r="A81" t="s">
        <v>365</v>
      </c>
      <c r="B81" t="s">
        <v>537</v>
      </c>
      <c r="C81" t="s">
        <v>310</v>
      </c>
      <c r="D81" t="s">
        <v>311</v>
      </c>
      <c r="E81">
        <v>79</v>
      </c>
      <c r="H81">
        <v>9</v>
      </c>
      <c r="I81">
        <v>59</v>
      </c>
      <c r="K81">
        <v>1</v>
      </c>
      <c r="L81">
        <v>10</v>
      </c>
    </row>
    <row r="82" spans="1:12" x14ac:dyDescent="0.3">
      <c r="A82" t="s">
        <v>365</v>
      </c>
      <c r="B82" t="s">
        <v>537</v>
      </c>
      <c r="C82" t="s">
        <v>223</v>
      </c>
      <c r="D82" t="s">
        <v>224</v>
      </c>
      <c r="E82">
        <v>27</v>
      </c>
      <c r="H82">
        <v>0</v>
      </c>
      <c r="I82">
        <v>22</v>
      </c>
      <c r="K82">
        <v>1</v>
      </c>
      <c r="L82">
        <v>4</v>
      </c>
    </row>
    <row r="83" spans="1:12" x14ac:dyDescent="0.3">
      <c r="A83" t="s">
        <v>365</v>
      </c>
      <c r="B83" t="s">
        <v>537</v>
      </c>
      <c r="C83" t="s">
        <v>246</v>
      </c>
      <c r="D83" t="s">
        <v>247</v>
      </c>
      <c r="E83">
        <v>207</v>
      </c>
      <c r="H83">
        <v>27</v>
      </c>
      <c r="I83">
        <v>158</v>
      </c>
      <c r="K83">
        <v>1</v>
      </c>
      <c r="L83">
        <v>21</v>
      </c>
    </row>
    <row r="84" spans="1:12" x14ac:dyDescent="0.3">
      <c r="A84" t="s">
        <v>365</v>
      </c>
      <c r="B84" t="s">
        <v>537</v>
      </c>
      <c r="C84" t="s">
        <v>288</v>
      </c>
      <c r="D84" t="s">
        <v>289</v>
      </c>
      <c r="E84">
        <v>187</v>
      </c>
      <c r="H84">
        <v>37</v>
      </c>
      <c r="I84">
        <v>125</v>
      </c>
      <c r="K84">
        <v>1</v>
      </c>
      <c r="L84">
        <v>24</v>
      </c>
    </row>
    <row r="85" spans="1:12" x14ac:dyDescent="0.3">
      <c r="A85" t="s">
        <v>365</v>
      </c>
      <c r="B85" t="s">
        <v>537</v>
      </c>
      <c r="C85" t="s">
        <v>252</v>
      </c>
      <c r="D85" t="s">
        <v>253</v>
      </c>
      <c r="E85">
        <v>72</v>
      </c>
      <c r="H85">
        <v>14</v>
      </c>
      <c r="I85">
        <v>44</v>
      </c>
      <c r="K85">
        <v>0</v>
      </c>
      <c r="L85">
        <v>14</v>
      </c>
    </row>
    <row r="86" spans="1:12" x14ac:dyDescent="0.3">
      <c r="A86" t="s">
        <v>365</v>
      </c>
      <c r="B86" t="s">
        <v>537</v>
      </c>
      <c r="C86" t="s">
        <v>269</v>
      </c>
      <c r="D86" t="s">
        <v>270</v>
      </c>
      <c r="E86">
        <v>544</v>
      </c>
      <c r="H86">
        <v>116</v>
      </c>
      <c r="I86">
        <v>362</v>
      </c>
      <c r="K86">
        <v>1</v>
      </c>
      <c r="L86">
        <v>65</v>
      </c>
    </row>
    <row r="87" spans="1:12" x14ac:dyDescent="0.3">
      <c r="A87" t="s">
        <v>365</v>
      </c>
      <c r="B87" t="s">
        <v>537</v>
      </c>
      <c r="C87" t="s">
        <v>266</v>
      </c>
      <c r="D87" t="s">
        <v>267</v>
      </c>
      <c r="E87">
        <v>288</v>
      </c>
      <c r="H87">
        <v>54</v>
      </c>
      <c r="I87">
        <v>209</v>
      </c>
      <c r="K87">
        <v>0</v>
      </c>
      <c r="L87">
        <v>25</v>
      </c>
    </row>
    <row r="88" spans="1:12" x14ac:dyDescent="0.3">
      <c r="A88" t="s">
        <v>365</v>
      </c>
      <c r="B88" t="s">
        <v>540</v>
      </c>
      <c r="C88" t="s">
        <v>216</v>
      </c>
      <c r="D88" t="s">
        <v>215</v>
      </c>
      <c r="E88">
        <v>18</v>
      </c>
      <c r="F88">
        <v>1</v>
      </c>
      <c r="H88">
        <v>0</v>
      </c>
      <c r="I88">
        <v>0</v>
      </c>
      <c r="J88">
        <v>3</v>
      </c>
      <c r="K88">
        <v>7</v>
      </c>
      <c r="L88">
        <v>7</v>
      </c>
    </row>
    <row r="89" spans="1:12" x14ac:dyDescent="0.3">
      <c r="A89" t="s">
        <v>365</v>
      </c>
      <c r="B89" t="s">
        <v>540</v>
      </c>
      <c r="C89" t="s">
        <v>221</v>
      </c>
      <c r="D89" t="s">
        <v>222</v>
      </c>
      <c r="E89">
        <v>18</v>
      </c>
      <c r="F89">
        <v>1</v>
      </c>
      <c r="H89">
        <v>0</v>
      </c>
      <c r="I89">
        <v>2</v>
      </c>
      <c r="J89">
        <v>1</v>
      </c>
      <c r="K89">
        <v>4</v>
      </c>
      <c r="L89">
        <v>10</v>
      </c>
    </row>
    <row r="90" spans="1:12" x14ac:dyDescent="0.3">
      <c r="A90" t="s">
        <v>365</v>
      </c>
      <c r="B90" t="s">
        <v>540</v>
      </c>
      <c r="C90" t="s">
        <v>229</v>
      </c>
      <c r="D90" t="s">
        <v>230</v>
      </c>
      <c r="E90">
        <v>21</v>
      </c>
      <c r="F90">
        <v>1</v>
      </c>
      <c r="H90">
        <v>0</v>
      </c>
      <c r="I90">
        <v>1</v>
      </c>
      <c r="J90">
        <v>7</v>
      </c>
      <c r="K90">
        <v>5</v>
      </c>
      <c r="L90">
        <v>7</v>
      </c>
    </row>
    <row r="91" spans="1:12" x14ac:dyDescent="0.3">
      <c r="A91" t="s">
        <v>365</v>
      </c>
      <c r="B91" t="s">
        <v>540</v>
      </c>
      <c r="C91" t="s">
        <v>245</v>
      </c>
      <c r="D91" t="s">
        <v>244</v>
      </c>
      <c r="E91">
        <v>18</v>
      </c>
      <c r="F91">
        <v>0</v>
      </c>
      <c r="H91">
        <v>0</v>
      </c>
      <c r="I91">
        <v>1</v>
      </c>
      <c r="J91">
        <v>2</v>
      </c>
      <c r="K91">
        <v>5</v>
      </c>
      <c r="L91">
        <v>10</v>
      </c>
    </row>
    <row r="92" spans="1:12" x14ac:dyDescent="0.3">
      <c r="A92" t="s">
        <v>365</v>
      </c>
      <c r="B92" t="s">
        <v>540</v>
      </c>
      <c r="C92" t="s">
        <v>250</v>
      </c>
      <c r="D92" t="s">
        <v>251</v>
      </c>
      <c r="E92">
        <v>20</v>
      </c>
      <c r="F92">
        <v>1</v>
      </c>
      <c r="H92">
        <v>0</v>
      </c>
      <c r="I92">
        <v>0</v>
      </c>
      <c r="J92">
        <v>7</v>
      </c>
      <c r="K92">
        <v>7</v>
      </c>
      <c r="L92">
        <v>5</v>
      </c>
    </row>
    <row r="93" spans="1:12" x14ac:dyDescent="0.3">
      <c r="A93" t="s">
        <v>365</v>
      </c>
      <c r="B93" t="s">
        <v>540</v>
      </c>
      <c r="C93" t="s">
        <v>256</v>
      </c>
      <c r="D93" t="s">
        <v>257</v>
      </c>
      <c r="E93">
        <v>17</v>
      </c>
      <c r="F93">
        <v>1</v>
      </c>
      <c r="H93">
        <v>0</v>
      </c>
      <c r="I93">
        <v>4</v>
      </c>
      <c r="J93">
        <v>5</v>
      </c>
      <c r="K93">
        <v>1</v>
      </c>
      <c r="L93">
        <v>6</v>
      </c>
    </row>
    <row r="94" spans="1:12" x14ac:dyDescent="0.3">
      <c r="A94" t="s">
        <v>365</v>
      </c>
      <c r="B94" t="s">
        <v>540</v>
      </c>
      <c r="C94" t="s">
        <v>260</v>
      </c>
      <c r="D94" t="s">
        <v>261</v>
      </c>
      <c r="E94">
        <v>12</v>
      </c>
      <c r="F94">
        <v>1</v>
      </c>
      <c r="H94">
        <v>0</v>
      </c>
      <c r="I94">
        <v>0</v>
      </c>
      <c r="J94">
        <v>3</v>
      </c>
      <c r="K94">
        <v>5</v>
      </c>
      <c r="L94">
        <v>3</v>
      </c>
    </row>
    <row r="95" spans="1:12" x14ac:dyDescent="0.3">
      <c r="A95" t="s">
        <v>365</v>
      </c>
      <c r="B95" t="s">
        <v>540</v>
      </c>
      <c r="C95" t="s">
        <v>235</v>
      </c>
      <c r="D95" t="s">
        <v>236</v>
      </c>
      <c r="E95">
        <v>24</v>
      </c>
      <c r="F95">
        <v>2</v>
      </c>
      <c r="H95">
        <v>2</v>
      </c>
      <c r="I95">
        <v>2</v>
      </c>
      <c r="J95">
        <v>8</v>
      </c>
      <c r="K95">
        <v>4</v>
      </c>
      <c r="L95">
        <v>6</v>
      </c>
    </row>
    <row r="96" spans="1:12" x14ac:dyDescent="0.3">
      <c r="A96" t="s">
        <v>365</v>
      </c>
      <c r="B96" t="s">
        <v>540</v>
      </c>
      <c r="C96" t="s">
        <v>264</v>
      </c>
      <c r="D96" t="s">
        <v>265</v>
      </c>
      <c r="E96">
        <v>13</v>
      </c>
      <c r="F96">
        <v>1</v>
      </c>
      <c r="H96">
        <v>0</v>
      </c>
      <c r="I96">
        <v>1</v>
      </c>
      <c r="J96">
        <v>3</v>
      </c>
      <c r="K96">
        <v>3</v>
      </c>
      <c r="L96">
        <v>5</v>
      </c>
    </row>
    <row r="97" spans="1:12" x14ac:dyDescent="0.3">
      <c r="A97" t="s">
        <v>365</v>
      </c>
      <c r="B97" t="s">
        <v>540</v>
      </c>
      <c r="C97" t="s">
        <v>271</v>
      </c>
      <c r="D97" t="s">
        <v>270</v>
      </c>
      <c r="E97">
        <v>25</v>
      </c>
      <c r="F97">
        <v>1</v>
      </c>
      <c r="H97">
        <v>1</v>
      </c>
      <c r="I97">
        <v>2</v>
      </c>
      <c r="J97">
        <v>4</v>
      </c>
      <c r="K97">
        <v>8</v>
      </c>
      <c r="L97">
        <v>9</v>
      </c>
    </row>
    <row r="98" spans="1:12" x14ac:dyDescent="0.3">
      <c r="A98" t="s">
        <v>365</v>
      </c>
      <c r="B98" t="s">
        <v>540</v>
      </c>
      <c r="C98" t="s">
        <v>274</v>
      </c>
      <c r="D98" t="s">
        <v>275</v>
      </c>
      <c r="E98">
        <v>13</v>
      </c>
      <c r="F98">
        <v>1</v>
      </c>
      <c r="H98">
        <v>0</v>
      </c>
      <c r="I98">
        <v>0</v>
      </c>
      <c r="J98">
        <v>6</v>
      </c>
      <c r="K98">
        <v>5</v>
      </c>
      <c r="L98">
        <v>1</v>
      </c>
    </row>
    <row r="99" spans="1:12" x14ac:dyDescent="0.3">
      <c r="A99" t="s">
        <v>365</v>
      </c>
      <c r="B99" t="s">
        <v>540</v>
      </c>
      <c r="C99" t="s">
        <v>290</v>
      </c>
      <c r="D99" t="s">
        <v>289</v>
      </c>
      <c r="E99">
        <v>16</v>
      </c>
      <c r="F99">
        <v>2</v>
      </c>
      <c r="H99">
        <v>1</v>
      </c>
      <c r="I99">
        <v>1</v>
      </c>
      <c r="J99">
        <v>3</v>
      </c>
      <c r="K99">
        <v>5</v>
      </c>
      <c r="L99">
        <v>4</v>
      </c>
    </row>
    <row r="100" spans="1:12" x14ac:dyDescent="0.3">
      <c r="A100" t="s">
        <v>365</v>
      </c>
      <c r="B100" t="s">
        <v>540</v>
      </c>
      <c r="C100" t="s">
        <v>305</v>
      </c>
      <c r="D100" t="s">
        <v>304</v>
      </c>
      <c r="E100">
        <v>10</v>
      </c>
      <c r="F100">
        <v>1</v>
      </c>
      <c r="H100">
        <v>0</v>
      </c>
      <c r="I100">
        <v>0</v>
      </c>
      <c r="J100">
        <v>4</v>
      </c>
      <c r="K100">
        <v>2</v>
      </c>
      <c r="L100">
        <v>3</v>
      </c>
    </row>
    <row r="101" spans="1:12" x14ac:dyDescent="0.3">
      <c r="A101" t="s">
        <v>365</v>
      </c>
      <c r="B101" t="s">
        <v>540</v>
      </c>
      <c r="C101" t="s">
        <v>241</v>
      </c>
      <c r="D101" t="s">
        <v>242</v>
      </c>
      <c r="E101">
        <v>5</v>
      </c>
      <c r="F101">
        <v>0</v>
      </c>
      <c r="H101">
        <v>0</v>
      </c>
      <c r="I101">
        <v>0</v>
      </c>
      <c r="J101">
        <v>1</v>
      </c>
      <c r="K101">
        <v>4</v>
      </c>
      <c r="L101">
        <v>0</v>
      </c>
    </row>
    <row r="102" spans="1:12" x14ac:dyDescent="0.3">
      <c r="A102" t="s">
        <v>365</v>
      </c>
      <c r="B102" t="s">
        <v>540</v>
      </c>
      <c r="C102" t="s">
        <v>284</v>
      </c>
      <c r="D102" t="s">
        <v>285</v>
      </c>
      <c r="E102">
        <v>7</v>
      </c>
      <c r="F102">
        <v>1</v>
      </c>
      <c r="H102">
        <v>0</v>
      </c>
      <c r="I102">
        <v>0</v>
      </c>
      <c r="J102">
        <v>3</v>
      </c>
      <c r="K102">
        <v>3</v>
      </c>
      <c r="L102">
        <v>0</v>
      </c>
    </row>
    <row r="103" spans="1:12" x14ac:dyDescent="0.3">
      <c r="A103" t="s">
        <v>365</v>
      </c>
      <c r="B103" t="s">
        <v>540</v>
      </c>
      <c r="C103" t="s">
        <v>225</v>
      </c>
      <c r="D103" t="s">
        <v>226</v>
      </c>
      <c r="E103">
        <v>12</v>
      </c>
      <c r="F103">
        <v>1</v>
      </c>
      <c r="H103">
        <v>0</v>
      </c>
      <c r="I103">
        <v>0</v>
      </c>
      <c r="J103">
        <v>3</v>
      </c>
      <c r="K103">
        <v>5</v>
      </c>
      <c r="L103">
        <v>3</v>
      </c>
    </row>
    <row r="104" spans="1:12" x14ac:dyDescent="0.3">
      <c r="A104" t="s">
        <v>365</v>
      </c>
      <c r="B104" t="s">
        <v>540</v>
      </c>
      <c r="C104" t="s">
        <v>268</v>
      </c>
      <c r="D104" t="s">
        <v>267</v>
      </c>
      <c r="E104">
        <v>21</v>
      </c>
      <c r="F104">
        <v>2</v>
      </c>
      <c r="H104">
        <v>0</v>
      </c>
      <c r="I104">
        <v>0</v>
      </c>
      <c r="J104">
        <v>2</v>
      </c>
      <c r="K104">
        <v>6</v>
      </c>
      <c r="L104">
        <v>11</v>
      </c>
    </row>
    <row r="105" spans="1:12" x14ac:dyDescent="0.3">
      <c r="A105" t="s">
        <v>365</v>
      </c>
      <c r="B105" t="s">
        <v>542</v>
      </c>
      <c r="C105" t="s">
        <v>231</v>
      </c>
      <c r="D105" t="s">
        <v>232</v>
      </c>
      <c r="E105">
        <v>105</v>
      </c>
      <c r="F105">
        <v>2</v>
      </c>
      <c r="H105">
        <v>9</v>
      </c>
      <c r="I105">
        <v>0</v>
      </c>
      <c r="J105">
        <v>15</v>
      </c>
      <c r="K105">
        <v>4</v>
      </c>
      <c r="L105">
        <v>75</v>
      </c>
    </row>
    <row r="106" spans="1:12" x14ac:dyDescent="0.3">
      <c r="A106" t="s">
        <v>365</v>
      </c>
      <c r="B106" t="s">
        <v>542</v>
      </c>
      <c r="C106" t="s">
        <v>237</v>
      </c>
      <c r="D106" t="s">
        <v>238</v>
      </c>
      <c r="E106">
        <v>78</v>
      </c>
      <c r="F106">
        <v>1</v>
      </c>
      <c r="H106">
        <v>4</v>
      </c>
      <c r="I106">
        <v>6</v>
      </c>
      <c r="J106">
        <v>4</v>
      </c>
      <c r="K106">
        <v>17</v>
      </c>
      <c r="L106">
        <v>46</v>
      </c>
    </row>
    <row r="107" spans="1:12" x14ac:dyDescent="0.3">
      <c r="A107" t="s">
        <v>365</v>
      </c>
      <c r="B107" t="s">
        <v>542</v>
      </c>
      <c r="C107" t="s">
        <v>217</v>
      </c>
      <c r="D107" t="s">
        <v>218</v>
      </c>
      <c r="E107">
        <v>66</v>
      </c>
      <c r="F107">
        <v>1</v>
      </c>
      <c r="H107">
        <v>21</v>
      </c>
      <c r="I107">
        <v>1</v>
      </c>
      <c r="J107">
        <v>7</v>
      </c>
      <c r="K107">
        <v>10</v>
      </c>
      <c r="L107">
        <v>26</v>
      </c>
    </row>
    <row r="108" spans="1:12" x14ac:dyDescent="0.3">
      <c r="A108" t="s">
        <v>365</v>
      </c>
      <c r="B108" t="s">
        <v>544</v>
      </c>
      <c r="C108" t="s">
        <v>549</v>
      </c>
      <c r="D108" t="s">
        <v>545</v>
      </c>
      <c r="E108">
        <v>52</v>
      </c>
      <c r="F108">
        <v>11</v>
      </c>
      <c r="G108">
        <v>7</v>
      </c>
      <c r="H108">
        <v>4</v>
      </c>
      <c r="I108">
        <v>1</v>
      </c>
      <c r="J108">
        <v>12</v>
      </c>
      <c r="K108">
        <v>6</v>
      </c>
      <c r="L108">
        <v>11</v>
      </c>
    </row>
    <row r="109" spans="1:12" x14ac:dyDescent="0.3">
      <c r="A109" t="s">
        <v>365</v>
      </c>
      <c r="B109" t="s">
        <v>340</v>
      </c>
      <c r="C109" t="s">
        <v>549</v>
      </c>
      <c r="D109" t="s">
        <v>545</v>
      </c>
      <c r="E109">
        <v>3856</v>
      </c>
      <c r="F109">
        <v>33</v>
      </c>
      <c r="G109">
        <v>7</v>
      </c>
      <c r="H109">
        <v>634</v>
      </c>
      <c r="I109">
        <v>2285</v>
      </c>
      <c r="J109">
        <v>103</v>
      </c>
      <c r="K109">
        <v>130</v>
      </c>
      <c r="L109">
        <v>664</v>
      </c>
    </row>
    <row r="110" spans="1:12" x14ac:dyDescent="0.3">
      <c r="A110" t="s">
        <v>366</v>
      </c>
      <c r="B110" t="s">
        <v>537</v>
      </c>
      <c r="C110" t="s">
        <v>239</v>
      </c>
      <c r="D110" t="s">
        <v>240</v>
      </c>
      <c r="E110">
        <v>26</v>
      </c>
      <c r="H110">
        <v>5</v>
      </c>
      <c r="I110">
        <v>17</v>
      </c>
      <c r="K110">
        <v>0</v>
      </c>
      <c r="L110">
        <v>4</v>
      </c>
    </row>
    <row r="111" spans="1:12" x14ac:dyDescent="0.3">
      <c r="A111" t="s">
        <v>366</v>
      </c>
      <c r="B111" t="s">
        <v>537</v>
      </c>
      <c r="C111" t="s">
        <v>243</v>
      </c>
      <c r="D111" t="s">
        <v>244</v>
      </c>
      <c r="E111">
        <v>65</v>
      </c>
      <c r="H111">
        <v>14</v>
      </c>
      <c r="I111">
        <v>48</v>
      </c>
      <c r="K111">
        <v>0</v>
      </c>
      <c r="L111">
        <v>3</v>
      </c>
    </row>
    <row r="112" spans="1:12" x14ac:dyDescent="0.3">
      <c r="A112" t="s">
        <v>366</v>
      </c>
      <c r="B112" t="s">
        <v>537</v>
      </c>
      <c r="C112" t="s">
        <v>248</v>
      </c>
      <c r="D112" t="s">
        <v>249</v>
      </c>
      <c r="E112">
        <v>53</v>
      </c>
      <c r="H112">
        <v>7</v>
      </c>
      <c r="I112">
        <v>41</v>
      </c>
      <c r="K112">
        <v>0</v>
      </c>
      <c r="L112">
        <v>5</v>
      </c>
    </row>
    <row r="113" spans="1:12" x14ac:dyDescent="0.3">
      <c r="A113" t="s">
        <v>366</v>
      </c>
      <c r="B113" t="s">
        <v>537</v>
      </c>
      <c r="C113" t="s">
        <v>254</v>
      </c>
      <c r="D113" t="s">
        <v>255</v>
      </c>
      <c r="E113">
        <v>27</v>
      </c>
      <c r="H113">
        <v>4</v>
      </c>
      <c r="I113">
        <v>19</v>
      </c>
      <c r="K113">
        <v>0</v>
      </c>
      <c r="L113">
        <v>4</v>
      </c>
    </row>
    <row r="114" spans="1:12" x14ac:dyDescent="0.3">
      <c r="A114" t="s">
        <v>366</v>
      </c>
      <c r="B114" t="s">
        <v>537</v>
      </c>
      <c r="C114" t="s">
        <v>258</v>
      </c>
      <c r="D114" t="s">
        <v>259</v>
      </c>
      <c r="E114">
        <v>53</v>
      </c>
      <c r="H114">
        <v>10</v>
      </c>
      <c r="I114">
        <v>34</v>
      </c>
      <c r="K114">
        <v>0</v>
      </c>
      <c r="L114">
        <v>9</v>
      </c>
    </row>
    <row r="115" spans="1:12" x14ac:dyDescent="0.3">
      <c r="A115" t="s">
        <v>366</v>
      </c>
      <c r="B115" t="s">
        <v>537</v>
      </c>
      <c r="C115" t="s">
        <v>282</v>
      </c>
      <c r="D115" t="s">
        <v>283</v>
      </c>
      <c r="E115">
        <v>95</v>
      </c>
      <c r="H115">
        <v>17</v>
      </c>
      <c r="I115">
        <v>66</v>
      </c>
      <c r="K115">
        <v>0</v>
      </c>
      <c r="L115">
        <v>12</v>
      </c>
    </row>
    <row r="116" spans="1:12" x14ac:dyDescent="0.3">
      <c r="A116" t="s">
        <v>366</v>
      </c>
      <c r="B116" t="s">
        <v>537</v>
      </c>
      <c r="C116" t="s">
        <v>262</v>
      </c>
      <c r="D116" t="s">
        <v>263</v>
      </c>
      <c r="E116">
        <v>277.07499999999999</v>
      </c>
      <c r="H116">
        <v>47</v>
      </c>
      <c r="I116">
        <v>210.07499999999999</v>
      </c>
      <c r="K116">
        <v>0</v>
      </c>
      <c r="L116">
        <v>20</v>
      </c>
    </row>
    <row r="117" spans="1:12" x14ac:dyDescent="0.3">
      <c r="A117" t="s">
        <v>366</v>
      </c>
      <c r="B117" t="s">
        <v>537</v>
      </c>
      <c r="C117" t="s">
        <v>272</v>
      </c>
      <c r="D117" t="s">
        <v>273</v>
      </c>
      <c r="E117">
        <v>70</v>
      </c>
      <c r="H117">
        <v>12</v>
      </c>
      <c r="I117">
        <v>48</v>
      </c>
      <c r="K117">
        <v>1</v>
      </c>
      <c r="L117">
        <v>9</v>
      </c>
    </row>
    <row r="118" spans="1:12" x14ac:dyDescent="0.3">
      <c r="A118" t="s">
        <v>366</v>
      </c>
      <c r="B118" t="s">
        <v>537</v>
      </c>
      <c r="C118" t="s">
        <v>276</v>
      </c>
      <c r="D118" t="s">
        <v>277</v>
      </c>
      <c r="E118">
        <v>23</v>
      </c>
      <c r="H118">
        <v>4</v>
      </c>
      <c r="I118">
        <v>16</v>
      </c>
      <c r="K118">
        <v>0</v>
      </c>
      <c r="L118">
        <v>3</v>
      </c>
    </row>
    <row r="119" spans="1:12" x14ac:dyDescent="0.3">
      <c r="A119" t="s">
        <v>366</v>
      </c>
      <c r="B119" t="s">
        <v>537</v>
      </c>
      <c r="C119" t="s">
        <v>278</v>
      </c>
      <c r="D119" t="s">
        <v>279</v>
      </c>
      <c r="E119">
        <v>31</v>
      </c>
      <c r="H119">
        <v>5</v>
      </c>
      <c r="I119">
        <v>21</v>
      </c>
      <c r="K119">
        <v>0</v>
      </c>
      <c r="L119">
        <v>5</v>
      </c>
    </row>
    <row r="120" spans="1:12" x14ac:dyDescent="0.3">
      <c r="A120" t="s">
        <v>366</v>
      </c>
      <c r="B120" t="s">
        <v>537</v>
      </c>
      <c r="C120" t="s">
        <v>280</v>
      </c>
      <c r="D120" t="s">
        <v>281</v>
      </c>
      <c r="E120">
        <v>0</v>
      </c>
      <c r="H120">
        <v>0</v>
      </c>
      <c r="I120">
        <v>0</v>
      </c>
      <c r="K120">
        <v>0</v>
      </c>
      <c r="L120">
        <v>0</v>
      </c>
    </row>
    <row r="121" spans="1:12" x14ac:dyDescent="0.3">
      <c r="A121" t="s">
        <v>366</v>
      </c>
      <c r="B121" t="s">
        <v>537</v>
      </c>
      <c r="C121" t="s">
        <v>286</v>
      </c>
      <c r="D121" t="s">
        <v>287</v>
      </c>
      <c r="E121">
        <v>75.095238095238102</v>
      </c>
      <c r="H121">
        <v>13.095238095238095</v>
      </c>
      <c r="I121">
        <v>50</v>
      </c>
      <c r="K121">
        <v>0</v>
      </c>
      <c r="L121">
        <v>12</v>
      </c>
    </row>
    <row r="122" spans="1:12" x14ac:dyDescent="0.3">
      <c r="A122" t="s">
        <v>366</v>
      </c>
      <c r="B122" t="s">
        <v>537</v>
      </c>
      <c r="C122" t="s">
        <v>291</v>
      </c>
      <c r="D122" t="s">
        <v>292</v>
      </c>
      <c r="E122">
        <v>0</v>
      </c>
      <c r="H122">
        <v>0</v>
      </c>
      <c r="I122">
        <v>0</v>
      </c>
      <c r="K122">
        <v>0</v>
      </c>
      <c r="L122">
        <v>0</v>
      </c>
    </row>
    <row r="123" spans="1:12" x14ac:dyDescent="0.3">
      <c r="A123" t="s">
        <v>366</v>
      </c>
      <c r="B123" t="s">
        <v>537</v>
      </c>
      <c r="C123" t="s">
        <v>293</v>
      </c>
      <c r="D123" t="s">
        <v>294</v>
      </c>
      <c r="E123">
        <v>72.75</v>
      </c>
      <c r="H123">
        <v>13</v>
      </c>
      <c r="I123">
        <v>55.75</v>
      </c>
      <c r="K123">
        <v>0</v>
      </c>
      <c r="L123">
        <v>4</v>
      </c>
    </row>
    <row r="124" spans="1:12" x14ac:dyDescent="0.3">
      <c r="A124" t="s">
        <v>366</v>
      </c>
      <c r="B124" t="s">
        <v>537</v>
      </c>
      <c r="C124" t="s">
        <v>297</v>
      </c>
      <c r="D124" t="s">
        <v>298</v>
      </c>
      <c r="E124">
        <v>69.075000000000003</v>
      </c>
      <c r="H124">
        <v>12</v>
      </c>
      <c r="I124">
        <v>48.075000000000003</v>
      </c>
      <c r="K124">
        <v>0</v>
      </c>
      <c r="L124">
        <v>9</v>
      </c>
    </row>
    <row r="125" spans="1:12" x14ac:dyDescent="0.3">
      <c r="A125" t="s">
        <v>366</v>
      </c>
      <c r="B125" t="s">
        <v>537</v>
      </c>
      <c r="C125" t="s">
        <v>299</v>
      </c>
      <c r="D125" t="s">
        <v>300</v>
      </c>
      <c r="E125">
        <v>0</v>
      </c>
      <c r="H125">
        <v>0</v>
      </c>
      <c r="I125">
        <v>0</v>
      </c>
      <c r="K125">
        <v>0</v>
      </c>
      <c r="L125">
        <v>0</v>
      </c>
    </row>
    <row r="126" spans="1:12" x14ac:dyDescent="0.3">
      <c r="A126" t="s">
        <v>366</v>
      </c>
      <c r="B126" t="s">
        <v>537</v>
      </c>
      <c r="C126" t="s">
        <v>301</v>
      </c>
      <c r="D126" t="s">
        <v>302</v>
      </c>
      <c r="E126">
        <v>55</v>
      </c>
      <c r="H126">
        <v>10</v>
      </c>
      <c r="I126">
        <v>40</v>
      </c>
      <c r="K126">
        <v>0</v>
      </c>
      <c r="L126">
        <v>5</v>
      </c>
    </row>
    <row r="127" spans="1:12" x14ac:dyDescent="0.3">
      <c r="A127" t="s">
        <v>366</v>
      </c>
      <c r="B127" t="s">
        <v>537</v>
      </c>
      <c r="C127" t="s">
        <v>303</v>
      </c>
      <c r="D127" t="s">
        <v>304</v>
      </c>
      <c r="E127">
        <v>178</v>
      </c>
      <c r="H127">
        <v>28</v>
      </c>
      <c r="I127">
        <v>132</v>
      </c>
      <c r="K127">
        <v>0</v>
      </c>
      <c r="L127">
        <v>18</v>
      </c>
    </row>
    <row r="128" spans="1:12" x14ac:dyDescent="0.3">
      <c r="A128" t="s">
        <v>366</v>
      </c>
      <c r="B128" t="s">
        <v>537</v>
      </c>
      <c r="C128" t="s">
        <v>306</v>
      </c>
      <c r="D128" t="s">
        <v>307</v>
      </c>
      <c r="E128">
        <v>51</v>
      </c>
      <c r="H128">
        <v>9</v>
      </c>
      <c r="I128">
        <v>40</v>
      </c>
      <c r="K128">
        <v>0</v>
      </c>
      <c r="L128">
        <v>2</v>
      </c>
    </row>
    <row r="129" spans="1:12" x14ac:dyDescent="0.3">
      <c r="A129" t="s">
        <v>366</v>
      </c>
      <c r="B129" t="s">
        <v>537</v>
      </c>
      <c r="C129" t="s">
        <v>214</v>
      </c>
      <c r="D129" t="s">
        <v>215</v>
      </c>
      <c r="E129">
        <v>142</v>
      </c>
      <c r="H129">
        <v>22</v>
      </c>
      <c r="I129">
        <v>107</v>
      </c>
      <c r="K129">
        <v>0</v>
      </c>
      <c r="L129">
        <v>13</v>
      </c>
    </row>
    <row r="130" spans="1:12" x14ac:dyDescent="0.3">
      <c r="A130" t="s">
        <v>366</v>
      </c>
      <c r="B130" t="s">
        <v>537</v>
      </c>
      <c r="C130" t="s">
        <v>219</v>
      </c>
      <c r="D130" t="s">
        <v>220</v>
      </c>
      <c r="E130">
        <v>32</v>
      </c>
      <c r="H130">
        <v>6</v>
      </c>
      <c r="I130">
        <v>22</v>
      </c>
      <c r="K130">
        <v>0</v>
      </c>
      <c r="L130">
        <v>4</v>
      </c>
    </row>
    <row r="131" spans="1:12" x14ac:dyDescent="0.3">
      <c r="A131" t="s">
        <v>366</v>
      </c>
      <c r="B131" t="s">
        <v>537</v>
      </c>
      <c r="C131" t="s">
        <v>227</v>
      </c>
      <c r="D131" t="s">
        <v>228</v>
      </c>
      <c r="E131">
        <v>55</v>
      </c>
      <c r="H131">
        <v>8</v>
      </c>
      <c r="I131">
        <v>37</v>
      </c>
      <c r="K131">
        <v>0</v>
      </c>
      <c r="L131">
        <v>10</v>
      </c>
    </row>
    <row r="132" spans="1:12" x14ac:dyDescent="0.3">
      <c r="A132" t="s">
        <v>366</v>
      </c>
      <c r="B132" t="s">
        <v>537</v>
      </c>
      <c r="C132" t="s">
        <v>233</v>
      </c>
      <c r="D132" t="s">
        <v>234</v>
      </c>
      <c r="E132">
        <v>315</v>
      </c>
      <c r="H132">
        <v>48</v>
      </c>
      <c r="I132">
        <v>248</v>
      </c>
      <c r="K132">
        <v>0</v>
      </c>
      <c r="L132">
        <v>19</v>
      </c>
    </row>
    <row r="133" spans="1:12" x14ac:dyDescent="0.3">
      <c r="A133" t="s">
        <v>366</v>
      </c>
      <c r="B133" t="s">
        <v>537</v>
      </c>
      <c r="C133" t="s">
        <v>295</v>
      </c>
      <c r="D133" t="s">
        <v>296</v>
      </c>
      <c r="E133">
        <v>92</v>
      </c>
      <c r="H133">
        <v>15</v>
      </c>
      <c r="I133">
        <v>62</v>
      </c>
      <c r="K133">
        <v>0</v>
      </c>
      <c r="L133">
        <v>15</v>
      </c>
    </row>
    <row r="134" spans="1:12" x14ac:dyDescent="0.3">
      <c r="A134" t="s">
        <v>366</v>
      </c>
      <c r="B134" t="s">
        <v>537</v>
      </c>
      <c r="C134" t="s">
        <v>308</v>
      </c>
      <c r="D134" t="s">
        <v>309</v>
      </c>
      <c r="E134">
        <v>70</v>
      </c>
      <c r="H134">
        <v>11</v>
      </c>
      <c r="I134">
        <v>49</v>
      </c>
      <c r="K134">
        <v>0</v>
      </c>
      <c r="L134">
        <v>10</v>
      </c>
    </row>
    <row r="135" spans="1:12" x14ac:dyDescent="0.3">
      <c r="A135" t="s">
        <v>366</v>
      </c>
      <c r="B135" t="s">
        <v>537</v>
      </c>
      <c r="C135" t="s">
        <v>310</v>
      </c>
      <c r="D135" t="s">
        <v>311</v>
      </c>
      <c r="E135">
        <v>61</v>
      </c>
      <c r="H135">
        <v>9</v>
      </c>
      <c r="I135">
        <v>44</v>
      </c>
      <c r="K135">
        <v>0</v>
      </c>
      <c r="L135">
        <v>8</v>
      </c>
    </row>
    <row r="136" spans="1:12" x14ac:dyDescent="0.3">
      <c r="A136" t="s">
        <v>366</v>
      </c>
      <c r="B136" t="s">
        <v>537</v>
      </c>
      <c r="C136" t="s">
        <v>223</v>
      </c>
      <c r="D136" t="s">
        <v>224</v>
      </c>
      <c r="E136">
        <v>36</v>
      </c>
      <c r="H136">
        <v>8</v>
      </c>
      <c r="I136">
        <v>25</v>
      </c>
      <c r="K136">
        <v>0</v>
      </c>
      <c r="L136">
        <v>3</v>
      </c>
    </row>
    <row r="137" spans="1:12" x14ac:dyDescent="0.3">
      <c r="A137" t="s">
        <v>366</v>
      </c>
      <c r="B137" t="s">
        <v>537</v>
      </c>
      <c r="C137" t="s">
        <v>246</v>
      </c>
      <c r="D137" t="s">
        <v>247</v>
      </c>
      <c r="E137">
        <v>176</v>
      </c>
      <c r="H137">
        <v>26</v>
      </c>
      <c r="I137">
        <v>135</v>
      </c>
      <c r="K137">
        <v>1</v>
      </c>
      <c r="L137">
        <v>14</v>
      </c>
    </row>
    <row r="138" spans="1:12" x14ac:dyDescent="0.3">
      <c r="A138" t="s">
        <v>366</v>
      </c>
      <c r="B138" t="s">
        <v>537</v>
      </c>
      <c r="C138" t="s">
        <v>288</v>
      </c>
      <c r="D138" t="s">
        <v>289</v>
      </c>
      <c r="E138">
        <v>179.75</v>
      </c>
      <c r="H138">
        <v>27.75</v>
      </c>
      <c r="I138">
        <v>136</v>
      </c>
      <c r="K138">
        <v>0</v>
      </c>
      <c r="L138">
        <v>16</v>
      </c>
    </row>
    <row r="139" spans="1:12" x14ac:dyDescent="0.3">
      <c r="A139" t="s">
        <v>366</v>
      </c>
      <c r="B139" t="s">
        <v>537</v>
      </c>
      <c r="C139" t="s">
        <v>252</v>
      </c>
      <c r="D139" t="s">
        <v>253</v>
      </c>
      <c r="E139">
        <v>70</v>
      </c>
      <c r="H139">
        <v>9</v>
      </c>
      <c r="I139">
        <v>46</v>
      </c>
      <c r="K139">
        <v>0</v>
      </c>
      <c r="L139">
        <v>15</v>
      </c>
    </row>
    <row r="140" spans="1:12" x14ac:dyDescent="0.3">
      <c r="A140" t="s">
        <v>366</v>
      </c>
      <c r="B140" t="s">
        <v>537</v>
      </c>
      <c r="C140" t="s">
        <v>269</v>
      </c>
      <c r="D140" t="s">
        <v>270</v>
      </c>
      <c r="E140">
        <v>68</v>
      </c>
      <c r="H140">
        <v>11</v>
      </c>
      <c r="I140">
        <v>53</v>
      </c>
      <c r="K140">
        <v>0</v>
      </c>
      <c r="L140">
        <v>4</v>
      </c>
    </row>
    <row r="141" spans="1:12" x14ac:dyDescent="0.3">
      <c r="A141" t="s">
        <v>366</v>
      </c>
      <c r="B141" t="s">
        <v>537</v>
      </c>
      <c r="C141" t="s">
        <v>266</v>
      </c>
      <c r="D141" t="s">
        <v>267</v>
      </c>
      <c r="E141">
        <v>498.15952380952382</v>
      </c>
      <c r="H141">
        <v>98.5</v>
      </c>
      <c r="I141">
        <v>350</v>
      </c>
      <c r="K141">
        <v>0</v>
      </c>
      <c r="L141">
        <v>49.659523809523812</v>
      </c>
    </row>
    <row r="142" spans="1:12" x14ac:dyDescent="0.3">
      <c r="A142" t="s">
        <v>366</v>
      </c>
      <c r="B142" t="s">
        <v>540</v>
      </c>
      <c r="C142" t="s">
        <v>216</v>
      </c>
      <c r="D142" t="s">
        <v>215</v>
      </c>
      <c r="E142">
        <v>16</v>
      </c>
      <c r="F142">
        <v>1</v>
      </c>
      <c r="H142">
        <v>0</v>
      </c>
      <c r="I142">
        <v>3</v>
      </c>
      <c r="J142">
        <v>3</v>
      </c>
      <c r="K142">
        <v>2</v>
      </c>
      <c r="L142">
        <v>7</v>
      </c>
    </row>
    <row r="143" spans="1:12" x14ac:dyDescent="0.3">
      <c r="A143" t="s">
        <v>366</v>
      </c>
      <c r="B143" t="s">
        <v>540</v>
      </c>
      <c r="C143" t="s">
        <v>221</v>
      </c>
      <c r="D143" t="s">
        <v>222</v>
      </c>
      <c r="E143">
        <v>27</v>
      </c>
      <c r="F143">
        <v>1</v>
      </c>
      <c r="H143">
        <v>7</v>
      </c>
      <c r="I143">
        <v>1</v>
      </c>
      <c r="J143">
        <v>2</v>
      </c>
      <c r="K143">
        <v>6</v>
      </c>
      <c r="L143">
        <v>10</v>
      </c>
    </row>
    <row r="144" spans="1:12" x14ac:dyDescent="0.3">
      <c r="A144" t="s">
        <v>366</v>
      </c>
      <c r="B144" t="s">
        <v>540</v>
      </c>
      <c r="C144" t="s">
        <v>229</v>
      </c>
      <c r="D144" t="s">
        <v>230</v>
      </c>
      <c r="E144">
        <v>25</v>
      </c>
      <c r="F144">
        <v>1</v>
      </c>
      <c r="H144">
        <v>2</v>
      </c>
      <c r="I144">
        <v>4</v>
      </c>
      <c r="J144">
        <v>5</v>
      </c>
      <c r="K144">
        <v>7</v>
      </c>
      <c r="L144">
        <v>6</v>
      </c>
    </row>
    <row r="145" spans="1:12" x14ac:dyDescent="0.3">
      <c r="A145" t="s">
        <v>366</v>
      </c>
      <c r="B145" t="s">
        <v>540</v>
      </c>
      <c r="C145" t="s">
        <v>245</v>
      </c>
      <c r="D145" t="s">
        <v>244</v>
      </c>
      <c r="E145">
        <v>19</v>
      </c>
      <c r="F145">
        <v>0</v>
      </c>
      <c r="H145">
        <v>0</v>
      </c>
      <c r="I145">
        <v>2</v>
      </c>
      <c r="J145">
        <v>2</v>
      </c>
      <c r="K145">
        <v>5</v>
      </c>
      <c r="L145">
        <v>10</v>
      </c>
    </row>
    <row r="146" spans="1:12" x14ac:dyDescent="0.3">
      <c r="A146" t="s">
        <v>366</v>
      </c>
      <c r="B146" t="s">
        <v>540</v>
      </c>
      <c r="C146" t="s">
        <v>250</v>
      </c>
      <c r="D146" t="s">
        <v>251</v>
      </c>
      <c r="E146">
        <v>28.885714285714286</v>
      </c>
      <c r="F146">
        <v>1</v>
      </c>
      <c r="H146">
        <v>4</v>
      </c>
      <c r="I146">
        <v>1.8857142857142857</v>
      </c>
      <c r="J146">
        <v>6</v>
      </c>
      <c r="K146">
        <v>7</v>
      </c>
      <c r="L146">
        <v>9</v>
      </c>
    </row>
    <row r="147" spans="1:12" x14ac:dyDescent="0.3">
      <c r="A147" t="s">
        <v>366</v>
      </c>
      <c r="B147" t="s">
        <v>540</v>
      </c>
      <c r="C147" t="s">
        <v>256</v>
      </c>
      <c r="D147" t="s">
        <v>257</v>
      </c>
      <c r="E147">
        <v>38</v>
      </c>
      <c r="F147">
        <v>1</v>
      </c>
      <c r="H147">
        <v>10</v>
      </c>
      <c r="I147">
        <v>5</v>
      </c>
      <c r="J147">
        <v>5</v>
      </c>
      <c r="K147">
        <v>6</v>
      </c>
      <c r="L147">
        <v>11</v>
      </c>
    </row>
    <row r="148" spans="1:12" x14ac:dyDescent="0.3">
      <c r="A148" t="s">
        <v>366</v>
      </c>
      <c r="B148" t="s">
        <v>540</v>
      </c>
      <c r="C148" t="s">
        <v>260</v>
      </c>
      <c r="D148" t="s">
        <v>261</v>
      </c>
      <c r="E148">
        <v>17</v>
      </c>
      <c r="F148">
        <v>1</v>
      </c>
      <c r="H148">
        <v>1</v>
      </c>
      <c r="I148">
        <v>3</v>
      </c>
      <c r="J148">
        <v>2</v>
      </c>
      <c r="K148">
        <v>3</v>
      </c>
      <c r="L148">
        <v>7</v>
      </c>
    </row>
    <row r="149" spans="1:12" x14ac:dyDescent="0.3">
      <c r="A149" t="s">
        <v>366</v>
      </c>
      <c r="B149" t="s">
        <v>540</v>
      </c>
      <c r="C149" t="s">
        <v>235</v>
      </c>
      <c r="D149" t="s">
        <v>236</v>
      </c>
      <c r="E149">
        <v>27</v>
      </c>
      <c r="F149">
        <v>0</v>
      </c>
      <c r="H149">
        <v>5</v>
      </c>
      <c r="I149">
        <v>4</v>
      </c>
      <c r="J149">
        <v>7</v>
      </c>
      <c r="K149">
        <v>2</v>
      </c>
      <c r="L149">
        <v>9</v>
      </c>
    </row>
    <row r="150" spans="1:12" x14ac:dyDescent="0.3">
      <c r="A150" t="s">
        <v>366</v>
      </c>
      <c r="B150" t="s">
        <v>540</v>
      </c>
      <c r="C150" t="s">
        <v>264</v>
      </c>
      <c r="D150" t="s">
        <v>265</v>
      </c>
      <c r="E150">
        <v>25</v>
      </c>
      <c r="F150">
        <v>1</v>
      </c>
      <c r="H150">
        <v>1</v>
      </c>
      <c r="I150">
        <v>2</v>
      </c>
      <c r="J150">
        <v>2</v>
      </c>
      <c r="K150">
        <v>3</v>
      </c>
      <c r="L150">
        <v>16</v>
      </c>
    </row>
    <row r="151" spans="1:12" x14ac:dyDescent="0.3">
      <c r="A151" t="s">
        <v>366</v>
      </c>
      <c r="B151" t="s">
        <v>540</v>
      </c>
      <c r="C151" t="s">
        <v>271</v>
      </c>
      <c r="D151" t="s">
        <v>270</v>
      </c>
      <c r="E151">
        <v>31.659523809523812</v>
      </c>
      <c r="F151">
        <v>1</v>
      </c>
      <c r="H151">
        <v>1</v>
      </c>
      <c r="I151">
        <v>2</v>
      </c>
      <c r="J151">
        <v>5</v>
      </c>
      <c r="K151">
        <v>8</v>
      </c>
      <c r="L151">
        <v>14.65952380952381</v>
      </c>
    </row>
    <row r="152" spans="1:12" x14ac:dyDescent="0.3">
      <c r="A152" t="s">
        <v>366</v>
      </c>
      <c r="B152" t="s">
        <v>540</v>
      </c>
      <c r="C152" t="s">
        <v>274</v>
      </c>
      <c r="D152" t="s">
        <v>275</v>
      </c>
      <c r="E152">
        <v>29</v>
      </c>
      <c r="F152">
        <v>1</v>
      </c>
      <c r="H152">
        <v>7</v>
      </c>
      <c r="I152">
        <v>0</v>
      </c>
      <c r="J152">
        <v>6</v>
      </c>
      <c r="K152">
        <v>8</v>
      </c>
      <c r="L152">
        <v>7</v>
      </c>
    </row>
    <row r="153" spans="1:12" x14ac:dyDescent="0.3">
      <c r="A153" t="s">
        <v>366</v>
      </c>
      <c r="B153" t="s">
        <v>540</v>
      </c>
      <c r="C153" t="s">
        <v>290</v>
      </c>
      <c r="D153" t="s">
        <v>289</v>
      </c>
      <c r="E153">
        <v>20</v>
      </c>
      <c r="F153">
        <v>1</v>
      </c>
      <c r="H153">
        <v>3</v>
      </c>
      <c r="I153">
        <v>0</v>
      </c>
      <c r="J153">
        <v>3</v>
      </c>
      <c r="K153">
        <v>4</v>
      </c>
      <c r="L153">
        <v>9</v>
      </c>
    </row>
    <row r="154" spans="1:12" x14ac:dyDescent="0.3">
      <c r="A154" t="s">
        <v>366</v>
      </c>
      <c r="B154" t="s">
        <v>540</v>
      </c>
      <c r="C154" t="s">
        <v>305</v>
      </c>
      <c r="D154" t="s">
        <v>304</v>
      </c>
      <c r="E154">
        <v>16</v>
      </c>
      <c r="F154">
        <v>1</v>
      </c>
      <c r="H154">
        <v>3</v>
      </c>
      <c r="I154">
        <v>1</v>
      </c>
      <c r="J154">
        <v>3</v>
      </c>
      <c r="K154">
        <v>5</v>
      </c>
      <c r="L154">
        <v>3</v>
      </c>
    </row>
    <row r="155" spans="1:12" x14ac:dyDescent="0.3">
      <c r="A155" t="s">
        <v>366</v>
      </c>
      <c r="B155" t="s">
        <v>540</v>
      </c>
      <c r="C155" t="s">
        <v>241</v>
      </c>
      <c r="D155" t="s">
        <v>242</v>
      </c>
      <c r="E155">
        <v>13</v>
      </c>
      <c r="F155">
        <v>0</v>
      </c>
      <c r="H155">
        <v>2</v>
      </c>
      <c r="I155">
        <v>1</v>
      </c>
      <c r="J155">
        <v>2</v>
      </c>
      <c r="K155">
        <v>5</v>
      </c>
      <c r="L155">
        <v>3</v>
      </c>
    </row>
    <row r="156" spans="1:12" x14ac:dyDescent="0.3">
      <c r="A156" t="s">
        <v>366</v>
      </c>
      <c r="B156" t="s">
        <v>540</v>
      </c>
      <c r="C156" t="s">
        <v>284</v>
      </c>
      <c r="D156" t="s">
        <v>285</v>
      </c>
      <c r="E156">
        <v>11</v>
      </c>
      <c r="F156">
        <v>1</v>
      </c>
      <c r="H156">
        <v>1</v>
      </c>
      <c r="I156">
        <v>0</v>
      </c>
      <c r="J156">
        <v>3</v>
      </c>
      <c r="K156">
        <v>5</v>
      </c>
      <c r="L156">
        <v>1</v>
      </c>
    </row>
    <row r="157" spans="1:12" x14ac:dyDescent="0.3">
      <c r="A157" t="s">
        <v>366</v>
      </c>
      <c r="B157" t="s">
        <v>540</v>
      </c>
      <c r="C157" t="s">
        <v>225</v>
      </c>
      <c r="D157" t="s">
        <v>226</v>
      </c>
      <c r="E157">
        <v>24</v>
      </c>
      <c r="F157">
        <v>1</v>
      </c>
      <c r="H157">
        <v>0</v>
      </c>
      <c r="I157">
        <v>1</v>
      </c>
      <c r="J157">
        <v>4</v>
      </c>
      <c r="K157">
        <v>10</v>
      </c>
      <c r="L157">
        <v>8</v>
      </c>
    </row>
    <row r="158" spans="1:12" x14ac:dyDescent="0.3">
      <c r="A158" t="s">
        <v>366</v>
      </c>
      <c r="B158" t="s">
        <v>540</v>
      </c>
      <c r="C158" t="s">
        <v>268</v>
      </c>
      <c r="D158" t="s">
        <v>267</v>
      </c>
      <c r="E158">
        <v>26</v>
      </c>
      <c r="F158">
        <v>1</v>
      </c>
      <c r="H158">
        <v>3</v>
      </c>
      <c r="I158">
        <v>4</v>
      </c>
      <c r="J158">
        <v>2</v>
      </c>
      <c r="K158">
        <v>5</v>
      </c>
      <c r="L158">
        <v>11</v>
      </c>
    </row>
    <row r="159" spans="1:12" x14ac:dyDescent="0.3">
      <c r="A159" t="s">
        <v>366</v>
      </c>
      <c r="B159" t="s">
        <v>542</v>
      </c>
      <c r="C159" t="s">
        <v>231</v>
      </c>
      <c r="D159" t="s">
        <v>232</v>
      </c>
      <c r="E159">
        <v>16</v>
      </c>
      <c r="F159">
        <v>1</v>
      </c>
      <c r="H159">
        <v>3</v>
      </c>
      <c r="I159">
        <v>0</v>
      </c>
      <c r="J159">
        <v>5</v>
      </c>
      <c r="K159">
        <v>3</v>
      </c>
      <c r="L159">
        <v>4</v>
      </c>
    </row>
    <row r="160" spans="1:12" x14ac:dyDescent="0.3">
      <c r="A160" t="s">
        <v>366</v>
      </c>
      <c r="B160" t="s">
        <v>542</v>
      </c>
      <c r="C160" t="s">
        <v>237</v>
      </c>
      <c r="D160" t="s">
        <v>238</v>
      </c>
      <c r="E160">
        <v>25</v>
      </c>
      <c r="F160">
        <v>1</v>
      </c>
      <c r="H160">
        <v>2</v>
      </c>
      <c r="I160">
        <v>0</v>
      </c>
      <c r="J160">
        <v>2</v>
      </c>
      <c r="K160">
        <v>3</v>
      </c>
      <c r="L160">
        <v>17</v>
      </c>
    </row>
    <row r="161" spans="1:12" x14ac:dyDescent="0.3">
      <c r="A161" t="s">
        <v>366</v>
      </c>
      <c r="B161" t="s">
        <v>542</v>
      </c>
      <c r="C161" t="s">
        <v>217</v>
      </c>
      <c r="D161" t="s">
        <v>218</v>
      </c>
      <c r="E161">
        <v>44</v>
      </c>
      <c r="F161">
        <v>1</v>
      </c>
      <c r="H161">
        <v>8</v>
      </c>
      <c r="I161">
        <v>0</v>
      </c>
      <c r="J161">
        <v>2</v>
      </c>
      <c r="K161">
        <v>8</v>
      </c>
      <c r="L161">
        <v>25</v>
      </c>
    </row>
    <row r="162" spans="1:12" x14ac:dyDescent="0.3">
      <c r="A162" t="s">
        <v>366</v>
      </c>
      <c r="B162" t="s">
        <v>544</v>
      </c>
      <c r="C162" t="s">
        <v>549</v>
      </c>
      <c r="D162" t="s">
        <v>545</v>
      </c>
      <c r="E162">
        <v>195</v>
      </c>
      <c r="F162">
        <v>18</v>
      </c>
      <c r="G162">
        <v>10</v>
      </c>
      <c r="H162">
        <v>26</v>
      </c>
      <c r="I162">
        <v>16</v>
      </c>
      <c r="J162">
        <v>19</v>
      </c>
      <c r="K162">
        <v>19</v>
      </c>
      <c r="L162">
        <v>93</v>
      </c>
    </row>
    <row r="163" spans="1:12" x14ac:dyDescent="0.3">
      <c r="A163" t="s">
        <v>366</v>
      </c>
      <c r="B163" t="s">
        <v>340</v>
      </c>
      <c r="C163" t="s">
        <v>549</v>
      </c>
      <c r="D163" t="s">
        <v>545</v>
      </c>
      <c r="E163">
        <v>3690</v>
      </c>
      <c r="F163">
        <v>35</v>
      </c>
      <c r="G163">
        <v>4</v>
      </c>
      <c r="H163">
        <v>598.34523809523807</v>
      </c>
      <c r="I163">
        <v>2250.7857142857142</v>
      </c>
      <c r="J163">
        <v>90</v>
      </c>
      <c r="K163">
        <v>126</v>
      </c>
      <c r="L163">
        <v>585.31904761904764</v>
      </c>
    </row>
    <row r="164" spans="1:12" x14ac:dyDescent="0.3">
      <c r="A164" t="s">
        <v>341</v>
      </c>
      <c r="B164" t="s">
        <v>537</v>
      </c>
      <c r="C164" t="s">
        <v>239</v>
      </c>
      <c r="D164" t="s">
        <v>240</v>
      </c>
      <c r="E164">
        <v>22</v>
      </c>
      <c r="F164">
        <v>0</v>
      </c>
      <c r="G164">
        <v>0</v>
      </c>
      <c r="H164">
        <v>4</v>
      </c>
      <c r="I164">
        <v>14</v>
      </c>
      <c r="J164">
        <v>0</v>
      </c>
      <c r="K164">
        <v>0</v>
      </c>
      <c r="L164">
        <v>4</v>
      </c>
    </row>
    <row r="165" spans="1:12" x14ac:dyDescent="0.3">
      <c r="A165" t="s">
        <v>341</v>
      </c>
      <c r="B165" t="s">
        <v>537</v>
      </c>
      <c r="C165" t="s">
        <v>243</v>
      </c>
      <c r="D165" t="s">
        <v>244</v>
      </c>
      <c r="E165">
        <v>63</v>
      </c>
      <c r="F165">
        <v>0</v>
      </c>
      <c r="G165">
        <v>0</v>
      </c>
      <c r="H165">
        <v>11</v>
      </c>
      <c r="I165">
        <v>48</v>
      </c>
      <c r="J165">
        <v>0</v>
      </c>
      <c r="K165">
        <v>0</v>
      </c>
      <c r="L165">
        <v>4</v>
      </c>
    </row>
    <row r="166" spans="1:12" x14ac:dyDescent="0.3">
      <c r="A166" t="s">
        <v>341</v>
      </c>
      <c r="B166" t="s">
        <v>537</v>
      </c>
      <c r="C166" t="s">
        <v>248</v>
      </c>
      <c r="D166" t="s">
        <v>249</v>
      </c>
      <c r="E166">
        <v>46</v>
      </c>
      <c r="F166">
        <v>0</v>
      </c>
      <c r="G166">
        <v>0</v>
      </c>
      <c r="H166">
        <v>9</v>
      </c>
      <c r="I166">
        <v>32</v>
      </c>
      <c r="J166">
        <v>0</v>
      </c>
      <c r="K166">
        <v>0</v>
      </c>
      <c r="L166">
        <v>5</v>
      </c>
    </row>
    <row r="167" spans="1:12" x14ac:dyDescent="0.3">
      <c r="A167" t="s">
        <v>341</v>
      </c>
      <c r="B167" t="s">
        <v>537</v>
      </c>
      <c r="C167" t="s">
        <v>254</v>
      </c>
      <c r="D167" t="s">
        <v>255</v>
      </c>
      <c r="E167">
        <v>27</v>
      </c>
      <c r="F167">
        <v>0</v>
      </c>
      <c r="G167">
        <v>0</v>
      </c>
      <c r="H167">
        <v>4</v>
      </c>
      <c r="I167">
        <v>19</v>
      </c>
      <c r="J167">
        <v>0</v>
      </c>
      <c r="K167">
        <v>0</v>
      </c>
      <c r="L167">
        <v>4</v>
      </c>
    </row>
    <row r="168" spans="1:12" x14ac:dyDescent="0.3">
      <c r="A168" t="s">
        <v>341</v>
      </c>
      <c r="B168" t="s">
        <v>537</v>
      </c>
      <c r="C168" t="s">
        <v>258</v>
      </c>
      <c r="D168" t="s">
        <v>259</v>
      </c>
      <c r="E168">
        <v>50</v>
      </c>
      <c r="F168">
        <v>0</v>
      </c>
      <c r="G168">
        <v>0</v>
      </c>
      <c r="H168">
        <v>10</v>
      </c>
      <c r="I168">
        <v>30</v>
      </c>
      <c r="J168">
        <v>0</v>
      </c>
      <c r="K168">
        <v>0</v>
      </c>
      <c r="L168">
        <v>10</v>
      </c>
    </row>
    <row r="169" spans="1:12" x14ac:dyDescent="0.3">
      <c r="A169" t="s">
        <v>341</v>
      </c>
      <c r="B169" t="s">
        <v>537</v>
      </c>
      <c r="C169" t="s">
        <v>282</v>
      </c>
      <c r="D169" t="s">
        <v>283</v>
      </c>
      <c r="E169">
        <v>0</v>
      </c>
      <c r="F169">
        <v>0</v>
      </c>
      <c r="G169">
        <v>0</v>
      </c>
      <c r="H169">
        <v>0</v>
      </c>
      <c r="I169">
        <v>0</v>
      </c>
      <c r="J169">
        <v>0</v>
      </c>
      <c r="K169">
        <v>0</v>
      </c>
      <c r="L169">
        <v>0</v>
      </c>
    </row>
    <row r="170" spans="1:12" x14ac:dyDescent="0.3">
      <c r="A170" t="s">
        <v>341</v>
      </c>
      <c r="B170" t="s">
        <v>537</v>
      </c>
      <c r="C170" t="s">
        <v>262</v>
      </c>
      <c r="D170" t="s">
        <v>263</v>
      </c>
      <c r="E170">
        <v>86</v>
      </c>
      <c r="F170">
        <v>0</v>
      </c>
      <c r="G170">
        <v>0</v>
      </c>
      <c r="H170">
        <v>16</v>
      </c>
      <c r="I170">
        <v>57</v>
      </c>
      <c r="J170">
        <v>0</v>
      </c>
      <c r="K170">
        <v>0</v>
      </c>
      <c r="L170">
        <v>13</v>
      </c>
    </row>
    <row r="171" spans="1:12" x14ac:dyDescent="0.3">
      <c r="A171" t="s">
        <v>341</v>
      </c>
      <c r="B171" t="s">
        <v>537</v>
      </c>
      <c r="C171" t="s">
        <v>272</v>
      </c>
      <c r="D171" t="s">
        <v>273</v>
      </c>
      <c r="E171">
        <v>67</v>
      </c>
      <c r="F171">
        <v>0</v>
      </c>
      <c r="G171">
        <v>0</v>
      </c>
      <c r="H171">
        <v>11</v>
      </c>
      <c r="I171">
        <v>52</v>
      </c>
      <c r="J171">
        <v>0</v>
      </c>
      <c r="K171">
        <v>0</v>
      </c>
      <c r="L171">
        <v>4</v>
      </c>
    </row>
    <row r="172" spans="1:12" x14ac:dyDescent="0.3">
      <c r="A172" t="s">
        <v>341</v>
      </c>
      <c r="B172" t="s">
        <v>537</v>
      </c>
      <c r="C172" t="s">
        <v>276</v>
      </c>
      <c r="D172" t="s">
        <v>277</v>
      </c>
      <c r="E172">
        <v>68</v>
      </c>
      <c r="F172">
        <v>0</v>
      </c>
      <c r="G172">
        <v>0</v>
      </c>
      <c r="H172">
        <v>13</v>
      </c>
      <c r="I172">
        <v>43</v>
      </c>
      <c r="J172">
        <v>0</v>
      </c>
      <c r="K172">
        <v>1</v>
      </c>
      <c r="L172">
        <v>11</v>
      </c>
    </row>
    <row r="173" spans="1:12" x14ac:dyDescent="0.3">
      <c r="A173" t="s">
        <v>341</v>
      </c>
      <c r="B173" t="s">
        <v>537</v>
      </c>
      <c r="C173" t="s">
        <v>278</v>
      </c>
      <c r="D173" t="s">
        <v>279</v>
      </c>
      <c r="E173">
        <v>22</v>
      </c>
      <c r="F173">
        <v>0</v>
      </c>
      <c r="G173">
        <v>0</v>
      </c>
      <c r="H173">
        <v>4</v>
      </c>
      <c r="I173">
        <v>14</v>
      </c>
      <c r="J173">
        <v>0</v>
      </c>
      <c r="K173">
        <v>0</v>
      </c>
      <c r="L173">
        <v>4</v>
      </c>
    </row>
    <row r="174" spans="1:12" x14ac:dyDescent="0.3">
      <c r="A174" t="s">
        <v>341</v>
      </c>
      <c r="B174" t="s">
        <v>537</v>
      </c>
      <c r="C174" t="s">
        <v>280</v>
      </c>
      <c r="D174" t="s">
        <v>281</v>
      </c>
      <c r="E174">
        <v>27</v>
      </c>
      <c r="F174">
        <v>0</v>
      </c>
      <c r="G174">
        <v>0</v>
      </c>
      <c r="H174">
        <v>4</v>
      </c>
      <c r="I174">
        <v>19</v>
      </c>
      <c r="J174">
        <v>0</v>
      </c>
      <c r="K174">
        <v>0</v>
      </c>
      <c r="L174">
        <v>4</v>
      </c>
    </row>
    <row r="175" spans="1:12" x14ac:dyDescent="0.3">
      <c r="A175" t="s">
        <v>341</v>
      </c>
      <c r="B175" t="s">
        <v>537</v>
      </c>
      <c r="C175" t="s">
        <v>286</v>
      </c>
      <c r="D175" t="s">
        <v>287</v>
      </c>
      <c r="E175">
        <v>78</v>
      </c>
      <c r="F175">
        <v>0</v>
      </c>
      <c r="G175">
        <v>0</v>
      </c>
      <c r="H175">
        <v>17</v>
      </c>
      <c r="I175">
        <v>46</v>
      </c>
      <c r="J175">
        <v>0</v>
      </c>
      <c r="K175">
        <v>0</v>
      </c>
      <c r="L175">
        <v>15</v>
      </c>
    </row>
    <row r="176" spans="1:12" x14ac:dyDescent="0.3">
      <c r="A176" t="s">
        <v>341</v>
      </c>
      <c r="B176" t="s">
        <v>537</v>
      </c>
      <c r="C176" t="s">
        <v>291</v>
      </c>
      <c r="D176" t="s">
        <v>292</v>
      </c>
      <c r="E176">
        <v>0</v>
      </c>
      <c r="F176">
        <v>0</v>
      </c>
      <c r="G176">
        <v>0</v>
      </c>
      <c r="H176">
        <v>0</v>
      </c>
      <c r="I176">
        <v>0</v>
      </c>
      <c r="J176">
        <v>0</v>
      </c>
      <c r="K176">
        <v>0</v>
      </c>
      <c r="L176">
        <v>0</v>
      </c>
    </row>
    <row r="177" spans="1:12" x14ac:dyDescent="0.3">
      <c r="A177" t="s">
        <v>341</v>
      </c>
      <c r="B177" t="s">
        <v>537</v>
      </c>
      <c r="C177" t="s">
        <v>293</v>
      </c>
      <c r="D177" t="s">
        <v>294</v>
      </c>
      <c r="E177">
        <v>68</v>
      </c>
      <c r="F177">
        <v>0</v>
      </c>
      <c r="G177">
        <v>0</v>
      </c>
      <c r="H177">
        <v>12</v>
      </c>
      <c r="I177">
        <v>52</v>
      </c>
      <c r="J177">
        <v>0</v>
      </c>
      <c r="K177">
        <v>0</v>
      </c>
      <c r="L177">
        <v>4</v>
      </c>
    </row>
    <row r="178" spans="1:12" x14ac:dyDescent="0.3">
      <c r="A178" t="s">
        <v>341</v>
      </c>
      <c r="B178" t="s">
        <v>537</v>
      </c>
      <c r="C178" t="s">
        <v>297</v>
      </c>
      <c r="D178" t="s">
        <v>298</v>
      </c>
      <c r="E178">
        <v>56</v>
      </c>
      <c r="F178">
        <v>0</v>
      </c>
      <c r="G178">
        <v>0</v>
      </c>
      <c r="H178">
        <v>8</v>
      </c>
      <c r="I178">
        <v>40</v>
      </c>
      <c r="J178">
        <v>0</v>
      </c>
      <c r="K178">
        <v>0</v>
      </c>
      <c r="L178">
        <v>8</v>
      </c>
    </row>
    <row r="179" spans="1:12" x14ac:dyDescent="0.3">
      <c r="A179" t="s">
        <v>341</v>
      </c>
      <c r="B179" t="s">
        <v>537</v>
      </c>
      <c r="C179" t="s">
        <v>299</v>
      </c>
      <c r="D179" t="s">
        <v>300</v>
      </c>
      <c r="E179">
        <v>0</v>
      </c>
      <c r="F179">
        <v>0</v>
      </c>
      <c r="G179">
        <v>0</v>
      </c>
      <c r="H179">
        <v>0</v>
      </c>
      <c r="I179">
        <v>0</v>
      </c>
      <c r="J179">
        <v>0</v>
      </c>
      <c r="K179">
        <v>0</v>
      </c>
      <c r="L179">
        <v>0</v>
      </c>
    </row>
    <row r="180" spans="1:12" x14ac:dyDescent="0.3">
      <c r="A180" t="s">
        <v>341</v>
      </c>
      <c r="B180" t="s">
        <v>537</v>
      </c>
      <c r="C180" t="s">
        <v>301</v>
      </c>
      <c r="D180" t="s">
        <v>302</v>
      </c>
      <c r="E180">
        <v>54</v>
      </c>
      <c r="F180">
        <v>0</v>
      </c>
      <c r="G180">
        <v>0</v>
      </c>
      <c r="H180">
        <v>10</v>
      </c>
      <c r="I180">
        <v>39</v>
      </c>
      <c r="J180">
        <v>0</v>
      </c>
      <c r="K180">
        <v>0</v>
      </c>
      <c r="L180">
        <v>5</v>
      </c>
    </row>
    <row r="181" spans="1:12" x14ac:dyDescent="0.3">
      <c r="A181" t="s">
        <v>341</v>
      </c>
      <c r="B181" t="s">
        <v>537</v>
      </c>
      <c r="C181" t="s">
        <v>303</v>
      </c>
      <c r="D181" t="s">
        <v>304</v>
      </c>
      <c r="E181">
        <v>171</v>
      </c>
      <c r="F181">
        <v>0</v>
      </c>
      <c r="G181">
        <v>0</v>
      </c>
      <c r="H181">
        <v>34</v>
      </c>
      <c r="I181">
        <v>117</v>
      </c>
      <c r="J181">
        <v>0</v>
      </c>
      <c r="K181">
        <v>0</v>
      </c>
      <c r="L181">
        <v>20</v>
      </c>
    </row>
    <row r="182" spans="1:12" x14ac:dyDescent="0.3">
      <c r="A182" t="s">
        <v>341</v>
      </c>
      <c r="B182" t="s">
        <v>537</v>
      </c>
      <c r="C182" t="s">
        <v>306</v>
      </c>
      <c r="D182" t="s">
        <v>307</v>
      </c>
      <c r="E182">
        <v>53</v>
      </c>
      <c r="F182">
        <v>0</v>
      </c>
      <c r="G182">
        <v>0</v>
      </c>
      <c r="H182">
        <v>9</v>
      </c>
      <c r="I182">
        <v>40</v>
      </c>
      <c r="J182">
        <v>0</v>
      </c>
      <c r="K182">
        <v>0</v>
      </c>
      <c r="L182">
        <v>4</v>
      </c>
    </row>
    <row r="183" spans="1:12" x14ac:dyDescent="0.3">
      <c r="A183" t="s">
        <v>341</v>
      </c>
      <c r="B183" t="s">
        <v>537</v>
      </c>
      <c r="C183" t="s">
        <v>214</v>
      </c>
      <c r="D183" t="s">
        <v>215</v>
      </c>
      <c r="E183">
        <v>155</v>
      </c>
      <c r="F183">
        <v>0</v>
      </c>
      <c r="G183">
        <v>0</v>
      </c>
      <c r="H183">
        <v>26</v>
      </c>
      <c r="I183">
        <v>113</v>
      </c>
      <c r="J183">
        <v>0</v>
      </c>
      <c r="K183">
        <v>0</v>
      </c>
      <c r="L183">
        <v>16</v>
      </c>
    </row>
    <row r="184" spans="1:12" x14ac:dyDescent="0.3">
      <c r="A184" t="s">
        <v>341</v>
      </c>
      <c r="B184" t="s">
        <v>537</v>
      </c>
      <c r="C184" t="s">
        <v>219</v>
      </c>
      <c r="D184" t="s">
        <v>220</v>
      </c>
      <c r="E184">
        <v>25</v>
      </c>
      <c r="F184">
        <v>0</v>
      </c>
      <c r="G184">
        <v>0</v>
      </c>
      <c r="H184">
        <v>4</v>
      </c>
      <c r="I184">
        <v>17</v>
      </c>
      <c r="J184">
        <v>0</v>
      </c>
      <c r="K184">
        <v>0</v>
      </c>
      <c r="L184">
        <v>4</v>
      </c>
    </row>
    <row r="185" spans="1:12" x14ac:dyDescent="0.3">
      <c r="A185" t="s">
        <v>341</v>
      </c>
      <c r="B185" t="s">
        <v>537</v>
      </c>
      <c r="C185" t="s">
        <v>227</v>
      </c>
      <c r="D185" t="s">
        <v>228</v>
      </c>
      <c r="E185">
        <v>43</v>
      </c>
      <c r="F185">
        <v>0</v>
      </c>
      <c r="G185">
        <v>0</v>
      </c>
      <c r="H185">
        <v>9</v>
      </c>
      <c r="I185">
        <v>24</v>
      </c>
      <c r="J185">
        <v>0</v>
      </c>
      <c r="K185">
        <v>0</v>
      </c>
      <c r="L185">
        <v>10</v>
      </c>
    </row>
    <row r="186" spans="1:12" x14ac:dyDescent="0.3">
      <c r="A186" t="s">
        <v>341</v>
      </c>
      <c r="B186" t="s">
        <v>537</v>
      </c>
      <c r="C186" t="s">
        <v>233</v>
      </c>
      <c r="D186" t="s">
        <v>234</v>
      </c>
      <c r="E186">
        <v>313</v>
      </c>
      <c r="F186">
        <v>0</v>
      </c>
      <c r="G186">
        <v>0</v>
      </c>
      <c r="H186">
        <v>60</v>
      </c>
      <c r="I186">
        <v>227</v>
      </c>
      <c r="J186">
        <v>0</v>
      </c>
      <c r="K186">
        <v>0</v>
      </c>
      <c r="L186">
        <v>26</v>
      </c>
    </row>
    <row r="187" spans="1:12" x14ac:dyDescent="0.3">
      <c r="A187" t="s">
        <v>341</v>
      </c>
      <c r="B187" t="s">
        <v>537</v>
      </c>
      <c r="C187" t="s">
        <v>295</v>
      </c>
      <c r="D187" t="s">
        <v>296</v>
      </c>
      <c r="E187">
        <v>97</v>
      </c>
      <c r="F187">
        <v>0</v>
      </c>
      <c r="G187">
        <v>0</v>
      </c>
      <c r="H187">
        <v>21</v>
      </c>
      <c r="I187">
        <v>60</v>
      </c>
      <c r="J187">
        <v>0</v>
      </c>
      <c r="K187">
        <v>0</v>
      </c>
      <c r="L187">
        <v>16</v>
      </c>
    </row>
    <row r="188" spans="1:12" x14ac:dyDescent="0.3">
      <c r="A188" t="s">
        <v>341</v>
      </c>
      <c r="B188" t="s">
        <v>537</v>
      </c>
      <c r="C188" t="s">
        <v>308</v>
      </c>
      <c r="D188" t="s">
        <v>309</v>
      </c>
      <c r="E188">
        <v>69</v>
      </c>
      <c r="F188">
        <v>0</v>
      </c>
      <c r="G188">
        <v>0</v>
      </c>
      <c r="H188">
        <v>15</v>
      </c>
      <c r="I188">
        <v>44</v>
      </c>
      <c r="J188">
        <v>0</v>
      </c>
      <c r="K188">
        <v>0</v>
      </c>
      <c r="L188">
        <v>10</v>
      </c>
    </row>
    <row r="189" spans="1:12" x14ac:dyDescent="0.3">
      <c r="A189" t="s">
        <v>341</v>
      </c>
      <c r="B189" t="s">
        <v>537</v>
      </c>
      <c r="C189" t="s">
        <v>310</v>
      </c>
      <c r="D189" t="s">
        <v>311</v>
      </c>
      <c r="E189">
        <v>60</v>
      </c>
      <c r="F189">
        <v>0</v>
      </c>
      <c r="G189">
        <v>0</v>
      </c>
      <c r="H189">
        <v>10</v>
      </c>
      <c r="I189">
        <v>42</v>
      </c>
      <c r="J189">
        <v>0</v>
      </c>
      <c r="K189">
        <v>0</v>
      </c>
      <c r="L189">
        <v>8</v>
      </c>
    </row>
    <row r="190" spans="1:12" x14ac:dyDescent="0.3">
      <c r="A190" t="s">
        <v>341</v>
      </c>
      <c r="B190" t="s">
        <v>537</v>
      </c>
      <c r="C190" t="s">
        <v>223</v>
      </c>
      <c r="D190" t="s">
        <v>224</v>
      </c>
      <c r="E190">
        <v>25</v>
      </c>
      <c r="F190">
        <v>0</v>
      </c>
      <c r="G190">
        <v>0</v>
      </c>
      <c r="H190">
        <v>4</v>
      </c>
      <c r="I190">
        <v>18</v>
      </c>
      <c r="J190">
        <v>0</v>
      </c>
      <c r="K190">
        <v>0</v>
      </c>
      <c r="L190">
        <v>3</v>
      </c>
    </row>
    <row r="191" spans="1:12" x14ac:dyDescent="0.3">
      <c r="A191" t="s">
        <v>341</v>
      </c>
      <c r="B191" t="s">
        <v>537</v>
      </c>
      <c r="C191" t="s">
        <v>246</v>
      </c>
      <c r="D191" t="s">
        <v>247</v>
      </c>
      <c r="E191">
        <v>192</v>
      </c>
      <c r="F191">
        <v>0</v>
      </c>
      <c r="G191">
        <v>0</v>
      </c>
      <c r="H191">
        <v>30</v>
      </c>
      <c r="I191">
        <v>144</v>
      </c>
      <c r="J191">
        <v>0</v>
      </c>
      <c r="K191">
        <v>0</v>
      </c>
      <c r="L191">
        <v>18</v>
      </c>
    </row>
    <row r="192" spans="1:12" x14ac:dyDescent="0.3">
      <c r="A192" t="s">
        <v>341</v>
      </c>
      <c r="B192" t="s">
        <v>537</v>
      </c>
      <c r="C192" t="s">
        <v>288</v>
      </c>
      <c r="D192" t="s">
        <v>289</v>
      </c>
      <c r="E192">
        <v>173</v>
      </c>
      <c r="F192">
        <v>0</v>
      </c>
      <c r="G192">
        <v>0</v>
      </c>
      <c r="H192">
        <v>30</v>
      </c>
      <c r="I192">
        <v>123</v>
      </c>
      <c r="J192">
        <v>0</v>
      </c>
      <c r="K192">
        <v>0</v>
      </c>
      <c r="L192">
        <v>20</v>
      </c>
    </row>
    <row r="193" spans="1:12" x14ac:dyDescent="0.3">
      <c r="A193" t="s">
        <v>341</v>
      </c>
      <c r="B193" t="s">
        <v>537</v>
      </c>
      <c r="C193" t="s">
        <v>252</v>
      </c>
      <c r="D193" t="s">
        <v>253</v>
      </c>
      <c r="E193">
        <v>68</v>
      </c>
      <c r="F193">
        <v>0</v>
      </c>
      <c r="G193">
        <v>0</v>
      </c>
      <c r="H193">
        <v>14</v>
      </c>
      <c r="I193">
        <v>39</v>
      </c>
      <c r="J193">
        <v>0</v>
      </c>
      <c r="K193">
        <v>0</v>
      </c>
      <c r="L193">
        <v>15</v>
      </c>
    </row>
    <row r="194" spans="1:12" x14ac:dyDescent="0.3">
      <c r="A194" t="s">
        <v>341</v>
      </c>
      <c r="B194" t="s">
        <v>537</v>
      </c>
      <c r="C194" t="s">
        <v>269</v>
      </c>
      <c r="D194" t="s">
        <v>270</v>
      </c>
      <c r="E194">
        <v>475</v>
      </c>
      <c r="F194">
        <v>0</v>
      </c>
      <c r="G194">
        <v>0</v>
      </c>
      <c r="H194">
        <v>105</v>
      </c>
      <c r="I194">
        <v>313</v>
      </c>
      <c r="J194">
        <v>0</v>
      </c>
      <c r="K194">
        <v>0</v>
      </c>
      <c r="L194">
        <v>57</v>
      </c>
    </row>
    <row r="195" spans="1:12" x14ac:dyDescent="0.3">
      <c r="A195" t="s">
        <v>341</v>
      </c>
      <c r="B195" t="s">
        <v>537</v>
      </c>
      <c r="C195" t="s">
        <v>266</v>
      </c>
      <c r="D195" t="s">
        <v>267</v>
      </c>
      <c r="E195">
        <v>270</v>
      </c>
      <c r="F195">
        <v>0</v>
      </c>
      <c r="G195">
        <v>0</v>
      </c>
      <c r="H195">
        <v>48</v>
      </c>
      <c r="I195">
        <v>201</v>
      </c>
      <c r="J195">
        <v>0</v>
      </c>
      <c r="K195">
        <v>0</v>
      </c>
      <c r="L195">
        <v>21</v>
      </c>
    </row>
    <row r="196" spans="1:12" x14ac:dyDescent="0.3">
      <c r="A196" t="s">
        <v>341</v>
      </c>
      <c r="B196" t="s">
        <v>540</v>
      </c>
      <c r="C196" t="s">
        <v>216</v>
      </c>
      <c r="D196" t="s">
        <v>215</v>
      </c>
      <c r="E196">
        <v>14</v>
      </c>
      <c r="F196">
        <v>1</v>
      </c>
      <c r="G196">
        <v>0</v>
      </c>
      <c r="H196">
        <v>2</v>
      </c>
      <c r="I196">
        <v>2</v>
      </c>
      <c r="J196">
        <v>1</v>
      </c>
      <c r="K196">
        <v>3</v>
      </c>
      <c r="L196">
        <v>5</v>
      </c>
    </row>
    <row r="197" spans="1:12" x14ac:dyDescent="0.3">
      <c r="A197" t="s">
        <v>341</v>
      </c>
      <c r="B197" t="s">
        <v>540</v>
      </c>
      <c r="C197" t="s">
        <v>221</v>
      </c>
      <c r="D197" t="s">
        <v>222</v>
      </c>
      <c r="E197">
        <v>25</v>
      </c>
      <c r="F197">
        <v>1</v>
      </c>
      <c r="G197">
        <v>0</v>
      </c>
      <c r="H197">
        <v>5</v>
      </c>
      <c r="I197">
        <v>0</v>
      </c>
      <c r="J197">
        <v>2</v>
      </c>
      <c r="K197">
        <v>8</v>
      </c>
      <c r="L197">
        <v>9</v>
      </c>
    </row>
    <row r="198" spans="1:12" x14ac:dyDescent="0.3">
      <c r="A198" t="s">
        <v>341</v>
      </c>
      <c r="B198" t="s">
        <v>540</v>
      </c>
      <c r="C198" t="s">
        <v>229</v>
      </c>
      <c r="D198" t="s">
        <v>230</v>
      </c>
      <c r="E198">
        <v>26</v>
      </c>
      <c r="F198">
        <v>1</v>
      </c>
      <c r="G198">
        <v>0</v>
      </c>
      <c r="H198">
        <v>4</v>
      </c>
      <c r="I198">
        <v>2</v>
      </c>
      <c r="J198">
        <v>3</v>
      </c>
      <c r="K198">
        <v>9</v>
      </c>
      <c r="L198">
        <v>7</v>
      </c>
    </row>
    <row r="199" spans="1:12" x14ac:dyDescent="0.3">
      <c r="A199" t="s">
        <v>341</v>
      </c>
      <c r="B199" t="s">
        <v>540</v>
      </c>
      <c r="C199" t="s">
        <v>245</v>
      </c>
      <c r="D199" t="s">
        <v>244</v>
      </c>
      <c r="E199">
        <v>21</v>
      </c>
      <c r="F199">
        <v>1</v>
      </c>
      <c r="G199">
        <v>0</v>
      </c>
      <c r="H199">
        <v>3</v>
      </c>
      <c r="I199">
        <v>0</v>
      </c>
      <c r="J199">
        <v>2</v>
      </c>
      <c r="K199">
        <v>6</v>
      </c>
      <c r="L199">
        <v>9</v>
      </c>
    </row>
    <row r="200" spans="1:12" x14ac:dyDescent="0.3">
      <c r="A200" t="s">
        <v>341</v>
      </c>
      <c r="B200" t="s">
        <v>540</v>
      </c>
      <c r="C200" t="s">
        <v>250</v>
      </c>
      <c r="D200" t="s">
        <v>251</v>
      </c>
      <c r="E200">
        <v>29</v>
      </c>
      <c r="F200">
        <v>1</v>
      </c>
      <c r="G200">
        <v>0</v>
      </c>
      <c r="H200">
        <v>5</v>
      </c>
      <c r="I200">
        <v>1</v>
      </c>
      <c r="J200">
        <v>4</v>
      </c>
      <c r="K200">
        <v>9</v>
      </c>
      <c r="L200">
        <v>9</v>
      </c>
    </row>
    <row r="201" spans="1:12" x14ac:dyDescent="0.3">
      <c r="A201" t="s">
        <v>341</v>
      </c>
      <c r="B201" t="s">
        <v>540</v>
      </c>
      <c r="C201" t="s">
        <v>256</v>
      </c>
      <c r="D201" t="s">
        <v>257</v>
      </c>
      <c r="E201">
        <v>31</v>
      </c>
      <c r="F201">
        <v>1</v>
      </c>
      <c r="G201">
        <v>0</v>
      </c>
      <c r="H201">
        <v>5</v>
      </c>
      <c r="I201">
        <v>5</v>
      </c>
      <c r="J201">
        <v>4</v>
      </c>
      <c r="K201">
        <v>8</v>
      </c>
      <c r="L201">
        <v>8</v>
      </c>
    </row>
    <row r="202" spans="1:12" x14ac:dyDescent="0.3">
      <c r="A202" t="s">
        <v>341</v>
      </c>
      <c r="B202" t="s">
        <v>540</v>
      </c>
      <c r="C202" t="s">
        <v>260</v>
      </c>
      <c r="D202" t="s">
        <v>261</v>
      </c>
      <c r="E202">
        <v>18</v>
      </c>
      <c r="F202">
        <v>1</v>
      </c>
      <c r="G202">
        <v>0</v>
      </c>
      <c r="H202">
        <v>2</v>
      </c>
      <c r="I202">
        <v>1</v>
      </c>
      <c r="J202">
        <v>3</v>
      </c>
      <c r="K202">
        <v>4</v>
      </c>
      <c r="L202">
        <v>7</v>
      </c>
    </row>
    <row r="203" spans="1:12" x14ac:dyDescent="0.3">
      <c r="A203" t="s">
        <v>341</v>
      </c>
      <c r="B203" t="s">
        <v>540</v>
      </c>
      <c r="C203" t="s">
        <v>235</v>
      </c>
      <c r="D203" t="s">
        <v>236</v>
      </c>
      <c r="E203">
        <v>27</v>
      </c>
      <c r="F203">
        <v>1</v>
      </c>
      <c r="G203">
        <v>0</v>
      </c>
      <c r="H203">
        <v>2</v>
      </c>
      <c r="I203">
        <v>4</v>
      </c>
      <c r="J203">
        <v>3</v>
      </c>
      <c r="K203">
        <v>6</v>
      </c>
      <c r="L203">
        <v>11</v>
      </c>
    </row>
    <row r="204" spans="1:12" x14ac:dyDescent="0.3">
      <c r="A204" t="s">
        <v>341</v>
      </c>
      <c r="B204" t="s">
        <v>540</v>
      </c>
      <c r="C204" t="s">
        <v>264</v>
      </c>
      <c r="D204" t="s">
        <v>265</v>
      </c>
      <c r="E204">
        <v>21</v>
      </c>
      <c r="F204">
        <v>1</v>
      </c>
      <c r="G204">
        <v>0</v>
      </c>
      <c r="H204">
        <v>3</v>
      </c>
      <c r="I204">
        <v>2</v>
      </c>
      <c r="J204">
        <v>2</v>
      </c>
      <c r="K204">
        <v>6</v>
      </c>
      <c r="L204">
        <v>7</v>
      </c>
    </row>
    <row r="205" spans="1:12" x14ac:dyDescent="0.3">
      <c r="A205" t="s">
        <v>341</v>
      </c>
      <c r="B205" t="s">
        <v>540</v>
      </c>
      <c r="C205" t="s">
        <v>271</v>
      </c>
      <c r="D205" t="s">
        <v>270</v>
      </c>
      <c r="E205">
        <v>25</v>
      </c>
      <c r="F205">
        <v>1</v>
      </c>
      <c r="G205">
        <v>0</v>
      </c>
      <c r="H205">
        <v>3</v>
      </c>
      <c r="I205">
        <v>2</v>
      </c>
      <c r="J205">
        <v>4</v>
      </c>
      <c r="K205">
        <v>9</v>
      </c>
      <c r="L205">
        <v>6</v>
      </c>
    </row>
    <row r="206" spans="1:12" x14ac:dyDescent="0.3">
      <c r="A206" t="s">
        <v>341</v>
      </c>
      <c r="B206" t="s">
        <v>540</v>
      </c>
      <c r="C206" t="s">
        <v>274</v>
      </c>
      <c r="D206" t="s">
        <v>275</v>
      </c>
      <c r="E206">
        <v>36</v>
      </c>
      <c r="F206">
        <v>1</v>
      </c>
      <c r="G206">
        <v>0</v>
      </c>
      <c r="H206">
        <v>10</v>
      </c>
      <c r="I206">
        <v>0</v>
      </c>
      <c r="J206">
        <v>4</v>
      </c>
      <c r="K206">
        <v>13</v>
      </c>
      <c r="L206">
        <v>8</v>
      </c>
    </row>
    <row r="207" spans="1:12" x14ac:dyDescent="0.3">
      <c r="A207" t="s">
        <v>341</v>
      </c>
      <c r="B207" t="s">
        <v>540</v>
      </c>
      <c r="C207" t="s">
        <v>290</v>
      </c>
      <c r="D207" t="s">
        <v>289</v>
      </c>
      <c r="E207">
        <v>15</v>
      </c>
      <c r="F207">
        <v>1</v>
      </c>
      <c r="G207">
        <v>0</v>
      </c>
      <c r="H207">
        <v>1</v>
      </c>
      <c r="I207">
        <v>1</v>
      </c>
      <c r="J207">
        <v>2</v>
      </c>
      <c r="K207">
        <v>5</v>
      </c>
      <c r="L207">
        <v>5</v>
      </c>
    </row>
    <row r="208" spans="1:12" x14ac:dyDescent="0.3">
      <c r="A208" t="s">
        <v>341</v>
      </c>
      <c r="B208" t="s">
        <v>540</v>
      </c>
      <c r="C208" t="s">
        <v>305</v>
      </c>
      <c r="D208" t="s">
        <v>304</v>
      </c>
      <c r="E208">
        <v>15</v>
      </c>
      <c r="F208">
        <v>1</v>
      </c>
      <c r="G208">
        <v>0</v>
      </c>
      <c r="H208">
        <v>2</v>
      </c>
      <c r="I208">
        <v>1</v>
      </c>
      <c r="J208">
        <v>2</v>
      </c>
      <c r="K208">
        <v>5</v>
      </c>
      <c r="L208">
        <v>4</v>
      </c>
    </row>
    <row r="209" spans="1:12" x14ac:dyDescent="0.3">
      <c r="A209" t="s">
        <v>341</v>
      </c>
      <c r="B209" t="s">
        <v>540</v>
      </c>
      <c r="C209" t="s">
        <v>241</v>
      </c>
      <c r="D209" t="s">
        <v>242</v>
      </c>
      <c r="E209">
        <v>15</v>
      </c>
      <c r="F209">
        <v>0</v>
      </c>
      <c r="G209">
        <v>0</v>
      </c>
      <c r="H209">
        <v>3</v>
      </c>
      <c r="I209">
        <v>1</v>
      </c>
      <c r="J209">
        <v>2</v>
      </c>
      <c r="K209">
        <v>4</v>
      </c>
      <c r="L209">
        <v>5</v>
      </c>
    </row>
    <row r="210" spans="1:12" x14ac:dyDescent="0.3">
      <c r="A210" t="s">
        <v>341</v>
      </c>
      <c r="B210" t="s">
        <v>540</v>
      </c>
      <c r="C210" t="s">
        <v>284</v>
      </c>
      <c r="D210" t="s">
        <v>285</v>
      </c>
      <c r="E210">
        <v>16</v>
      </c>
      <c r="F210">
        <v>1</v>
      </c>
      <c r="G210">
        <v>0</v>
      </c>
      <c r="H210">
        <v>6</v>
      </c>
      <c r="I210">
        <v>0</v>
      </c>
      <c r="J210">
        <v>3</v>
      </c>
      <c r="K210">
        <v>5</v>
      </c>
      <c r="L210">
        <v>1</v>
      </c>
    </row>
    <row r="211" spans="1:12" x14ac:dyDescent="0.3">
      <c r="A211" t="s">
        <v>341</v>
      </c>
      <c r="B211" t="s">
        <v>540</v>
      </c>
      <c r="C211" t="s">
        <v>225</v>
      </c>
      <c r="D211" t="s">
        <v>226</v>
      </c>
      <c r="E211">
        <v>28</v>
      </c>
      <c r="F211">
        <v>1</v>
      </c>
      <c r="G211">
        <v>0</v>
      </c>
      <c r="H211">
        <v>2</v>
      </c>
      <c r="I211">
        <v>2</v>
      </c>
      <c r="J211">
        <v>4</v>
      </c>
      <c r="K211">
        <v>9</v>
      </c>
      <c r="L211">
        <v>10</v>
      </c>
    </row>
    <row r="212" spans="1:12" x14ac:dyDescent="0.3">
      <c r="A212" t="s">
        <v>341</v>
      </c>
      <c r="B212" t="s">
        <v>540</v>
      </c>
      <c r="C212" t="s">
        <v>268</v>
      </c>
      <c r="D212" t="s">
        <v>267</v>
      </c>
      <c r="E212">
        <v>24</v>
      </c>
      <c r="F212">
        <v>1</v>
      </c>
      <c r="G212">
        <v>0</v>
      </c>
      <c r="H212">
        <v>3</v>
      </c>
      <c r="I212">
        <v>3</v>
      </c>
      <c r="J212">
        <v>2</v>
      </c>
      <c r="K212">
        <v>7</v>
      </c>
      <c r="L212">
        <v>8</v>
      </c>
    </row>
    <row r="213" spans="1:12" x14ac:dyDescent="0.3">
      <c r="A213" t="s">
        <v>341</v>
      </c>
      <c r="B213" t="s">
        <v>542</v>
      </c>
      <c r="C213" t="s">
        <v>231</v>
      </c>
      <c r="D213" t="s">
        <v>232</v>
      </c>
      <c r="E213">
        <v>68</v>
      </c>
      <c r="F213">
        <v>1</v>
      </c>
      <c r="G213">
        <v>0</v>
      </c>
      <c r="H213">
        <v>10</v>
      </c>
      <c r="I213">
        <v>1</v>
      </c>
      <c r="J213">
        <v>3</v>
      </c>
      <c r="K213">
        <v>11</v>
      </c>
      <c r="L213">
        <v>42</v>
      </c>
    </row>
    <row r="214" spans="1:12" x14ac:dyDescent="0.3">
      <c r="A214" t="s">
        <v>341</v>
      </c>
      <c r="B214" t="s">
        <v>542</v>
      </c>
      <c r="C214" t="s">
        <v>237</v>
      </c>
      <c r="D214" t="s">
        <v>238</v>
      </c>
      <c r="E214">
        <v>38</v>
      </c>
      <c r="F214">
        <v>1</v>
      </c>
      <c r="G214">
        <v>0</v>
      </c>
      <c r="H214">
        <v>6</v>
      </c>
      <c r="I214">
        <v>1</v>
      </c>
      <c r="J214">
        <v>5</v>
      </c>
      <c r="K214">
        <v>5</v>
      </c>
      <c r="L214">
        <v>20</v>
      </c>
    </row>
    <row r="215" spans="1:12" x14ac:dyDescent="0.3">
      <c r="A215" t="s">
        <v>341</v>
      </c>
      <c r="B215" t="s">
        <v>542</v>
      </c>
      <c r="C215" t="s">
        <v>217</v>
      </c>
      <c r="D215" t="s">
        <v>218</v>
      </c>
      <c r="E215">
        <v>45</v>
      </c>
      <c r="F215">
        <v>1</v>
      </c>
      <c r="G215">
        <v>0</v>
      </c>
      <c r="H215">
        <v>6</v>
      </c>
      <c r="I215">
        <v>1</v>
      </c>
      <c r="J215">
        <v>4</v>
      </c>
      <c r="K215">
        <v>9</v>
      </c>
      <c r="L215">
        <v>24</v>
      </c>
    </row>
    <row r="216" spans="1:12" x14ac:dyDescent="0.3">
      <c r="A216" t="s">
        <v>341</v>
      </c>
      <c r="B216" t="s">
        <v>544</v>
      </c>
      <c r="C216" t="s">
        <v>549</v>
      </c>
      <c r="D216" t="s">
        <v>545</v>
      </c>
      <c r="E216">
        <v>182</v>
      </c>
      <c r="F216">
        <v>15</v>
      </c>
      <c r="G216">
        <v>4</v>
      </c>
      <c r="H216">
        <v>0</v>
      </c>
      <c r="I216">
        <v>101</v>
      </c>
      <c r="J216">
        <v>11</v>
      </c>
      <c r="K216">
        <v>9</v>
      </c>
      <c r="L216">
        <v>42</v>
      </c>
    </row>
    <row r="217" spans="1:12" x14ac:dyDescent="0.3">
      <c r="A217" t="s">
        <v>341</v>
      </c>
      <c r="B217" t="s">
        <v>340</v>
      </c>
      <c r="C217" t="s">
        <v>549</v>
      </c>
      <c r="D217" t="s">
        <v>545</v>
      </c>
      <c r="E217">
        <v>3644</v>
      </c>
      <c r="F217">
        <v>34</v>
      </c>
      <c r="G217">
        <v>4</v>
      </c>
      <c r="H217">
        <v>635</v>
      </c>
      <c r="I217">
        <v>2158</v>
      </c>
      <c r="J217">
        <v>70</v>
      </c>
      <c r="K217">
        <v>151</v>
      </c>
      <c r="L217">
        <v>590</v>
      </c>
    </row>
    <row r="218" spans="1:12" x14ac:dyDescent="0.3">
      <c r="A218" t="s">
        <v>342</v>
      </c>
      <c r="B218" t="s">
        <v>537</v>
      </c>
      <c r="C218" t="s">
        <v>239</v>
      </c>
      <c r="D218" t="s">
        <v>240</v>
      </c>
      <c r="E218">
        <v>25</v>
      </c>
      <c r="H218">
        <v>5</v>
      </c>
      <c r="I218">
        <v>15</v>
      </c>
      <c r="L218">
        <v>5</v>
      </c>
    </row>
    <row r="219" spans="1:12" x14ac:dyDescent="0.3">
      <c r="A219" t="s">
        <v>342</v>
      </c>
      <c r="B219" t="s">
        <v>537</v>
      </c>
      <c r="C219" t="s">
        <v>243</v>
      </c>
      <c r="D219" t="s">
        <v>244</v>
      </c>
      <c r="E219">
        <v>54</v>
      </c>
      <c r="H219">
        <v>11</v>
      </c>
      <c r="I219">
        <v>38</v>
      </c>
      <c r="L219">
        <v>5</v>
      </c>
    </row>
    <row r="220" spans="1:12" x14ac:dyDescent="0.3">
      <c r="A220" t="s">
        <v>342</v>
      </c>
      <c r="B220" t="s">
        <v>537</v>
      </c>
      <c r="C220" t="s">
        <v>248</v>
      </c>
      <c r="D220" t="s">
        <v>249</v>
      </c>
      <c r="E220">
        <v>49</v>
      </c>
      <c r="H220">
        <v>10</v>
      </c>
      <c r="I220">
        <v>34</v>
      </c>
      <c r="L220">
        <v>5</v>
      </c>
    </row>
    <row r="221" spans="1:12" x14ac:dyDescent="0.3">
      <c r="A221" t="s">
        <v>342</v>
      </c>
      <c r="B221" t="s">
        <v>537</v>
      </c>
      <c r="C221" t="s">
        <v>254</v>
      </c>
      <c r="D221" t="s">
        <v>255</v>
      </c>
      <c r="E221">
        <v>23</v>
      </c>
      <c r="H221">
        <v>5</v>
      </c>
      <c r="I221">
        <v>13</v>
      </c>
      <c r="L221">
        <v>5</v>
      </c>
    </row>
    <row r="222" spans="1:12" x14ac:dyDescent="0.3">
      <c r="A222" t="s">
        <v>342</v>
      </c>
      <c r="B222" t="s">
        <v>537</v>
      </c>
      <c r="C222" t="s">
        <v>258</v>
      </c>
      <c r="D222" t="s">
        <v>259</v>
      </c>
      <c r="E222">
        <v>51</v>
      </c>
      <c r="H222">
        <v>10</v>
      </c>
      <c r="I222">
        <v>30</v>
      </c>
      <c r="L222">
        <v>11</v>
      </c>
    </row>
    <row r="223" spans="1:12" x14ac:dyDescent="0.3">
      <c r="A223" t="s">
        <v>342</v>
      </c>
      <c r="B223" t="s">
        <v>537</v>
      </c>
      <c r="C223" t="s">
        <v>262</v>
      </c>
      <c r="D223" t="s">
        <v>263</v>
      </c>
      <c r="E223">
        <v>87</v>
      </c>
      <c r="H223">
        <v>22</v>
      </c>
      <c r="I223">
        <v>49</v>
      </c>
      <c r="L223">
        <v>16</v>
      </c>
    </row>
    <row r="224" spans="1:12" x14ac:dyDescent="0.3">
      <c r="A224" t="s">
        <v>342</v>
      </c>
      <c r="B224" t="s">
        <v>537</v>
      </c>
      <c r="C224" t="s">
        <v>272</v>
      </c>
      <c r="D224" t="s">
        <v>273</v>
      </c>
      <c r="E224">
        <v>68</v>
      </c>
      <c r="H224">
        <v>15</v>
      </c>
      <c r="I224">
        <v>49</v>
      </c>
      <c r="L224">
        <v>4</v>
      </c>
    </row>
    <row r="225" spans="1:12" x14ac:dyDescent="0.3">
      <c r="A225" t="s">
        <v>342</v>
      </c>
      <c r="B225" t="s">
        <v>537</v>
      </c>
      <c r="C225" t="s">
        <v>276</v>
      </c>
      <c r="D225" t="s">
        <v>277</v>
      </c>
      <c r="E225">
        <v>72</v>
      </c>
      <c r="H225">
        <v>15</v>
      </c>
      <c r="I225">
        <v>44</v>
      </c>
      <c r="L225">
        <v>13</v>
      </c>
    </row>
    <row r="226" spans="1:12" x14ac:dyDescent="0.3">
      <c r="A226" t="s">
        <v>342</v>
      </c>
      <c r="B226" t="s">
        <v>537</v>
      </c>
      <c r="C226" t="s">
        <v>278</v>
      </c>
      <c r="D226" t="s">
        <v>279</v>
      </c>
      <c r="E226">
        <v>28</v>
      </c>
      <c r="H226">
        <v>5</v>
      </c>
      <c r="I226">
        <v>18</v>
      </c>
      <c r="L226">
        <v>5</v>
      </c>
    </row>
    <row r="227" spans="1:12" x14ac:dyDescent="0.3">
      <c r="A227" t="s">
        <v>342</v>
      </c>
      <c r="B227" t="s">
        <v>537</v>
      </c>
      <c r="C227" t="s">
        <v>280</v>
      </c>
      <c r="D227" t="s">
        <v>281</v>
      </c>
      <c r="E227">
        <v>29</v>
      </c>
      <c r="H227">
        <v>5</v>
      </c>
      <c r="I227">
        <v>19</v>
      </c>
      <c r="L227">
        <v>5</v>
      </c>
    </row>
    <row r="228" spans="1:12" x14ac:dyDescent="0.3">
      <c r="A228" t="s">
        <v>342</v>
      </c>
      <c r="B228" t="s">
        <v>537</v>
      </c>
      <c r="C228" t="s">
        <v>286</v>
      </c>
      <c r="D228" t="s">
        <v>287</v>
      </c>
      <c r="E228">
        <v>76</v>
      </c>
      <c r="H228">
        <v>16</v>
      </c>
      <c r="I228">
        <v>45</v>
      </c>
      <c r="L228">
        <v>15</v>
      </c>
    </row>
    <row r="229" spans="1:12" x14ac:dyDescent="0.3">
      <c r="A229" t="s">
        <v>342</v>
      </c>
      <c r="B229" t="s">
        <v>537</v>
      </c>
      <c r="C229" t="s">
        <v>293</v>
      </c>
      <c r="D229" t="s">
        <v>294</v>
      </c>
      <c r="E229">
        <v>69</v>
      </c>
      <c r="H229">
        <v>10</v>
      </c>
      <c r="I229">
        <v>54</v>
      </c>
      <c r="L229">
        <v>5</v>
      </c>
    </row>
    <row r="230" spans="1:12" x14ac:dyDescent="0.3">
      <c r="A230" t="s">
        <v>342</v>
      </c>
      <c r="B230" t="s">
        <v>537</v>
      </c>
      <c r="C230" t="s">
        <v>297</v>
      </c>
      <c r="D230" t="s">
        <v>298</v>
      </c>
      <c r="E230">
        <v>51</v>
      </c>
      <c r="H230">
        <v>9</v>
      </c>
      <c r="I230">
        <v>32</v>
      </c>
      <c r="L230">
        <v>10</v>
      </c>
    </row>
    <row r="231" spans="1:12" x14ac:dyDescent="0.3">
      <c r="A231" t="s">
        <v>342</v>
      </c>
      <c r="B231" t="s">
        <v>537</v>
      </c>
      <c r="C231" t="s">
        <v>301</v>
      </c>
      <c r="D231" t="s">
        <v>302</v>
      </c>
      <c r="E231">
        <v>50</v>
      </c>
      <c r="H231">
        <v>10</v>
      </c>
      <c r="I231">
        <v>35</v>
      </c>
      <c r="L231">
        <v>5</v>
      </c>
    </row>
    <row r="232" spans="1:12" x14ac:dyDescent="0.3">
      <c r="A232" t="s">
        <v>342</v>
      </c>
      <c r="B232" t="s">
        <v>537</v>
      </c>
      <c r="C232" t="s">
        <v>303</v>
      </c>
      <c r="D232" t="s">
        <v>304</v>
      </c>
      <c r="E232">
        <v>166</v>
      </c>
      <c r="H232">
        <v>35</v>
      </c>
      <c r="I232">
        <v>111</v>
      </c>
      <c r="L232">
        <v>20</v>
      </c>
    </row>
    <row r="233" spans="1:12" x14ac:dyDescent="0.3">
      <c r="A233" t="s">
        <v>342</v>
      </c>
      <c r="B233" t="s">
        <v>537</v>
      </c>
      <c r="C233" t="s">
        <v>306</v>
      </c>
      <c r="D233" t="s">
        <v>307</v>
      </c>
      <c r="E233">
        <v>48</v>
      </c>
      <c r="H233">
        <v>9</v>
      </c>
      <c r="I233">
        <v>34</v>
      </c>
      <c r="L233">
        <v>5</v>
      </c>
    </row>
    <row r="234" spans="1:12" x14ac:dyDescent="0.3">
      <c r="A234" t="s">
        <v>342</v>
      </c>
      <c r="B234" t="s">
        <v>537</v>
      </c>
      <c r="C234" t="s">
        <v>214</v>
      </c>
      <c r="D234" t="s">
        <v>215</v>
      </c>
      <c r="E234">
        <v>145</v>
      </c>
      <c r="H234">
        <v>33</v>
      </c>
      <c r="I234">
        <v>97</v>
      </c>
      <c r="L234">
        <v>15</v>
      </c>
    </row>
    <row r="235" spans="1:12" x14ac:dyDescent="0.3">
      <c r="A235" t="s">
        <v>342</v>
      </c>
      <c r="B235" t="s">
        <v>537</v>
      </c>
      <c r="C235" t="s">
        <v>219</v>
      </c>
      <c r="D235" t="s">
        <v>220</v>
      </c>
      <c r="E235">
        <v>24</v>
      </c>
      <c r="H235">
        <v>5</v>
      </c>
      <c r="I235">
        <v>14</v>
      </c>
      <c r="L235">
        <v>5</v>
      </c>
    </row>
    <row r="236" spans="1:12" x14ac:dyDescent="0.3">
      <c r="A236" t="s">
        <v>342</v>
      </c>
      <c r="B236" t="s">
        <v>537</v>
      </c>
      <c r="C236" t="s">
        <v>227</v>
      </c>
      <c r="D236" t="s">
        <v>228</v>
      </c>
      <c r="E236">
        <v>50</v>
      </c>
      <c r="H236">
        <v>10</v>
      </c>
      <c r="I236">
        <v>30</v>
      </c>
      <c r="L236">
        <v>10</v>
      </c>
    </row>
    <row r="237" spans="1:12" x14ac:dyDescent="0.3">
      <c r="A237" t="s">
        <v>342</v>
      </c>
      <c r="B237" t="s">
        <v>537</v>
      </c>
      <c r="C237" t="s">
        <v>233</v>
      </c>
      <c r="D237" t="s">
        <v>234</v>
      </c>
      <c r="E237">
        <v>293</v>
      </c>
      <c r="H237">
        <v>54</v>
      </c>
      <c r="I237">
        <v>204</v>
      </c>
      <c r="L237">
        <v>35</v>
      </c>
    </row>
    <row r="238" spans="1:12" x14ac:dyDescent="0.3">
      <c r="A238" t="s">
        <v>342</v>
      </c>
      <c r="B238" t="s">
        <v>537</v>
      </c>
      <c r="C238" t="s">
        <v>295</v>
      </c>
      <c r="D238" t="s">
        <v>296</v>
      </c>
      <c r="E238">
        <v>94</v>
      </c>
      <c r="H238">
        <v>20</v>
      </c>
      <c r="I238">
        <v>59</v>
      </c>
      <c r="L238">
        <v>15</v>
      </c>
    </row>
    <row r="239" spans="1:12" x14ac:dyDescent="0.3">
      <c r="A239" t="s">
        <v>342</v>
      </c>
      <c r="B239" t="s">
        <v>537</v>
      </c>
      <c r="C239" t="s">
        <v>308</v>
      </c>
      <c r="D239" t="s">
        <v>309</v>
      </c>
      <c r="E239">
        <v>68</v>
      </c>
      <c r="H239">
        <v>15</v>
      </c>
      <c r="I239">
        <v>43</v>
      </c>
      <c r="L239">
        <v>10</v>
      </c>
    </row>
    <row r="240" spans="1:12" x14ac:dyDescent="0.3">
      <c r="A240" t="s">
        <v>342</v>
      </c>
      <c r="B240" t="s">
        <v>537</v>
      </c>
      <c r="C240" t="s">
        <v>310</v>
      </c>
      <c r="D240" t="s">
        <v>311</v>
      </c>
      <c r="E240">
        <v>58</v>
      </c>
      <c r="H240">
        <v>11</v>
      </c>
      <c r="I240">
        <v>37</v>
      </c>
      <c r="L240">
        <v>10</v>
      </c>
    </row>
    <row r="241" spans="1:12" x14ac:dyDescent="0.3">
      <c r="A241" t="s">
        <v>342</v>
      </c>
      <c r="B241" t="s">
        <v>537</v>
      </c>
      <c r="C241" t="s">
        <v>223</v>
      </c>
      <c r="D241" t="s">
        <v>224</v>
      </c>
      <c r="E241">
        <v>28</v>
      </c>
      <c r="H241">
        <v>5</v>
      </c>
      <c r="I241">
        <v>18</v>
      </c>
      <c r="L241">
        <v>5</v>
      </c>
    </row>
    <row r="242" spans="1:12" x14ac:dyDescent="0.3">
      <c r="A242" t="s">
        <v>342</v>
      </c>
      <c r="B242" t="s">
        <v>537</v>
      </c>
      <c r="C242" t="s">
        <v>246</v>
      </c>
      <c r="D242" t="s">
        <v>247</v>
      </c>
      <c r="E242">
        <v>178</v>
      </c>
      <c r="H242">
        <v>35</v>
      </c>
      <c r="I242">
        <v>122</v>
      </c>
      <c r="L242">
        <v>21</v>
      </c>
    </row>
    <row r="243" spans="1:12" x14ac:dyDescent="0.3">
      <c r="A243" t="s">
        <v>342</v>
      </c>
      <c r="B243" t="s">
        <v>537</v>
      </c>
      <c r="C243" t="s">
        <v>288</v>
      </c>
      <c r="D243" t="s">
        <v>289</v>
      </c>
      <c r="E243">
        <v>163</v>
      </c>
      <c r="H243">
        <v>31</v>
      </c>
      <c r="I243">
        <v>113</v>
      </c>
      <c r="L243">
        <v>19</v>
      </c>
    </row>
    <row r="244" spans="1:12" x14ac:dyDescent="0.3">
      <c r="A244" t="s">
        <v>342</v>
      </c>
      <c r="B244" t="s">
        <v>537</v>
      </c>
      <c r="C244" t="s">
        <v>252</v>
      </c>
      <c r="D244" t="s">
        <v>253</v>
      </c>
      <c r="E244">
        <v>78</v>
      </c>
      <c r="H244">
        <v>15</v>
      </c>
      <c r="I244">
        <v>48</v>
      </c>
      <c r="L244">
        <v>15</v>
      </c>
    </row>
    <row r="245" spans="1:12" x14ac:dyDescent="0.3">
      <c r="A245" t="s">
        <v>342</v>
      </c>
      <c r="B245" t="s">
        <v>537</v>
      </c>
      <c r="C245" t="s">
        <v>269</v>
      </c>
      <c r="D245" t="s">
        <v>270</v>
      </c>
      <c r="E245">
        <v>489</v>
      </c>
      <c r="H245">
        <v>113</v>
      </c>
      <c r="I245">
        <v>319</v>
      </c>
      <c r="L245">
        <v>57</v>
      </c>
    </row>
    <row r="246" spans="1:12" x14ac:dyDescent="0.3">
      <c r="A246" t="s">
        <v>342</v>
      </c>
      <c r="B246" t="s">
        <v>537</v>
      </c>
      <c r="C246" t="s">
        <v>266</v>
      </c>
      <c r="D246" t="s">
        <v>267</v>
      </c>
      <c r="E246">
        <v>254</v>
      </c>
      <c r="H246">
        <v>49</v>
      </c>
      <c r="I246">
        <v>181</v>
      </c>
      <c r="L246">
        <v>24</v>
      </c>
    </row>
    <row r="247" spans="1:12" x14ac:dyDescent="0.3">
      <c r="A247" t="s">
        <v>342</v>
      </c>
      <c r="B247" t="s">
        <v>540</v>
      </c>
      <c r="C247" t="s">
        <v>216</v>
      </c>
      <c r="D247" t="s">
        <v>215</v>
      </c>
      <c r="E247">
        <v>15</v>
      </c>
      <c r="F247">
        <v>1</v>
      </c>
      <c r="H247">
        <v>2</v>
      </c>
      <c r="I247">
        <v>2</v>
      </c>
      <c r="J247">
        <v>2</v>
      </c>
      <c r="K247">
        <v>3</v>
      </c>
      <c r="L247">
        <v>5</v>
      </c>
    </row>
    <row r="248" spans="1:12" x14ac:dyDescent="0.3">
      <c r="A248" t="s">
        <v>342</v>
      </c>
      <c r="B248" t="s">
        <v>540</v>
      </c>
      <c r="C248" t="s">
        <v>221</v>
      </c>
      <c r="D248" t="s">
        <v>222</v>
      </c>
      <c r="E248">
        <v>25</v>
      </c>
      <c r="F248">
        <v>1</v>
      </c>
      <c r="H248">
        <v>7</v>
      </c>
      <c r="J248">
        <v>2</v>
      </c>
      <c r="K248">
        <v>7</v>
      </c>
      <c r="L248">
        <v>8</v>
      </c>
    </row>
    <row r="249" spans="1:12" x14ac:dyDescent="0.3">
      <c r="A249" t="s">
        <v>342</v>
      </c>
      <c r="B249" t="s">
        <v>540</v>
      </c>
      <c r="C249" t="s">
        <v>229</v>
      </c>
      <c r="D249" t="s">
        <v>230</v>
      </c>
      <c r="E249">
        <v>26</v>
      </c>
      <c r="F249">
        <v>1</v>
      </c>
      <c r="H249">
        <v>6</v>
      </c>
      <c r="I249">
        <v>1</v>
      </c>
      <c r="J249">
        <v>3</v>
      </c>
      <c r="K249">
        <v>9</v>
      </c>
      <c r="L249">
        <v>6</v>
      </c>
    </row>
    <row r="250" spans="1:12" x14ac:dyDescent="0.3">
      <c r="A250" t="s">
        <v>342</v>
      </c>
      <c r="B250" t="s">
        <v>540</v>
      </c>
      <c r="C250" t="s">
        <v>245</v>
      </c>
      <c r="D250" t="s">
        <v>244</v>
      </c>
      <c r="E250">
        <v>22</v>
      </c>
      <c r="F250">
        <v>1</v>
      </c>
      <c r="H250">
        <v>4</v>
      </c>
      <c r="I250">
        <v>2</v>
      </c>
      <c r="J250">
        <v>2</v>
      </c>
      <c r="K250">
        <v>6</v>
      </c>
      <c r="L250">
        <v>7</v>
      </c>
    </row>
    <row r="251" spans="1:12" x14ac:dyDescent="0.3">
      <c r="A251" t="s">
        <v>342</v>
      </c>
      <c r="B251" t="s">
        <v>540</v>
      </c>
      <c r="C251" t="s">
        <v>250</v>
      </c>
      <c r="D251" t="s">
        <v>251</v>
      </c>
      <c r="E251">
        <v>27</v>
      </c>
      <c r="F251">
        <v>1</v>
      </c>
      <c r="H251">
        <v>5</v>
      </c>
      <c r="I251">
        <v>1</v>
      </c>
      <c r="J251">
        <v>3</v>
      </c>
      <c r="K251">
        <v>9</v>
      </c>
      <c r="L251">
        <v>8</v>
      </c>
    </row>
    <row r="252" spans="1:12" x14ac:dyDescent="0.3">
      <c r="A252" t="s">
        <v>342</v>
      </c>
      <c r="B252" t="s">
        <v>540</v>
      </c>
      <c r="C252" t="s">
        <v>256</v>
      </c>
      <c r="D252" t="s">
        <v>257</v>
      </c>
      <c r="E252">
        <v>27</v>
      </c>
      <c r="F252">
        <v>1</v>
      </c>
      <c r="H252">
        <v>3</v>
      </c>
      <c r="I252">
        <v>5</v>
      </c>
      <c r="J252">
        <v>3</v>
      </c>
      <c r="K252">
        <v>7</v>
      </c>
      <c r="L252">
        <v>8</v>
      </c>
    </row>
    <row r="253" spans="1:12" x14ac:dyDescent="0.3">
      <c r="A253" t="s">
        <v>342</v>
      </c>
      <c r="B253" t="s">
        <v>540</v>
      </c>
      <c r="C253" t="s">
        <v>260</v>
      </c>
      <c r="D253" t="s">
        <v>261</v>
      </c>
      <c r="E253">
        <v>16</v>
      </c>
      <c r="F253">
        <v>1</v>
      </c>
      <c r="H253">
        <v>2</v>
      </c>
      <c r="I253">
        <v>2</v>
      </c>
      <c r="J253">
        <v>3</v>
      </c>
      <c r="K253">
        <v>4</v>
      </c>
      <c r="L253">
        <v>4</v>
      </c>
    </row>
    <row r="254" spans="1:12" x14ac:dyDescent="0.3">
      <c r="A254" t="s">
        <v>342</v>
      </c>
      <c r="B254" t="s">
        <v>540</v>
      </c>
      <c r="C254" t="s">
        <v>235</v>
      </c>
      <c r="D254" t="s">
        <v>236</v>
      </c>
      <c r="E254">
        <v>31</v>
      </c>
      <c r="F254">
        <v>1</v>
      </c>
      <c r="H254">
        <v>6</v>
      </c>
      <c r="I254">
        <v>3</v>
      </c>
      <c r="J254">
        <v>3</v>
      </c>
      <c r="K254">
        <v>7</v>
      </c>
      <c r="L254">
        <v>11</v>
      </c>
    </row>
    <row r="255" spans="1:12" x14ac:dyDescent="0.3">
      <c r="A255" t="s">
        <v>342</v>
      </c>
      <c r="B255" t="s">
        <v>540</v>
      </c>
      <c r="C255" t="s">
        <v>264</v>
      </c>
      <c r="D255" t="s">
        <v>265</v>
      </c>
      <c r="E255">
        <v>19</v>
      </c>
      <c r="F255">
        <v>1</v>
      </c>
      <c r="H255">
        <v>3</v>
      </c>
      <c r="I255">
        <v>2</v>
      </c>
      <c r="J255">
        <v>2</v>
      </c>
      <c r="K255">
        <v>5</v>
      </c>
      <c r="L255">
        <v>6</v>
      </c>
    </row>
    <row r="256" spans="1:12" x14ac:dyDescent="0.3">
      <c r="A256" t="s">
        <v>342</v>
      </c>
      <c r="B256" t="s">
        <v>540</v>
      </c>
      <c r="C256" t="s">
        <v>271</v>
      </c>
      <c r="D256" t="s">
        <v>270</v>
      </c>
      <c r="E256">
        <v>22</v>
      </c>
      <c r="F256">
        <v>1</v>
      </c>
      <c r="H256">
        <v>2</v>
      </c>
      <c r="I256">
        <v>1</v>
      </c>
      <c r="J256">
        <v>4</v>
      </c>
      <c r="K256">
        <v>8</v>
      </c>
      <c r="L256">
        <v>6</v>
      </c>
    </row>
    <row r="257" spans="1:12" x14ac:dyDescent="0.3">
      <c r="A257" t="s">
        <v>342</v>
      </c>
      <c r="B257" t="s">
        <v>540</v>
      </c>
      <c r="C257" t="s">
        <v>274</v>
      </c>
      <c r="D257" t="s">
        <v>275</v>
      </c>
      <c r="E257">
        <v>32</v>
      </c>
      <c r="F257">
        <v>1</v>
      </c>
      <c r="H257">
        <v>7</v>
      </c>
      <c r="I257">
        <v>1</v>
      </c>
      <c r="J257">
        <v>4</v>
      </c>
      <c r="K257">
        <v>12</v>
      </c>
      <c r="L257">
        <v>7</v>
      </c>
    </row>
    <row r="258" spans="1:12" x14ac:dyDescent="0.3">
      <c r="A258" t="s">
        <v>342</v>
      </c>
      <c r="B258" t="s">
        <v>540</v>
      </c>
      <c r="C258" t="s">
        <v>290</v>
      </c>
      <c r="D258" t="s">
        <v>289</v>
      </c>
      <c r="E258">
        <v>17</v>
      </c>
      <c r="F258">
        <v>1</v>
      </c>
      <c r="H258">
        <v>2</v>
      </c>
      <c r="I258">
        <v>1</v>
      </c>
      <c r="J258">
        <v>2</v>
      </c>
      <c r="K258">
        <v>6</v>
      </c>
      <c r="L258">
        <v>5</v>
      </c>
    </row>
    <row r="259" spans="1:12" x14ac:dyDescent="0.3">
      <c r="A259" t="s">
        <v>342</v>
      </c>
      <c r="B259" t="s">
        <v>540</v>
      </c>
      <c r="C259" t="s">
        <v>305</v>
      </c>
      <c r="D259" t="s">
        <v>304</v>
      </c>
      <c r="E259">
        <v>16</v>
      </c>
      <c r="F259">
        <v>1</v>
      </c>
      <c r="H259">
        <v>2</v>
      </c>
      <c r="I259">
        <v>1</v>
      </c>
      <c r="J259">
        <v>2</v>
      </c>
      <c r="K259">
        <v>6</v>
      </c>
      <c r="L259">
        <v>4</v>
      </c>
    </row>
    <row r="260" spans="1:12" x14ac:dyDescent="0.3">
      <c r="A260" t="s">
        <v>342</v>
      </c>
      <c r="B260" t="s">
        <v>540</v>
      </c>
      <c r="C260" t="s">
        <v>241</v>
      </c>
      <c r="D260" t="s">
        <v>242</v>
      </c>
      <c r="E260">
        <v>18</v>
      </c>
      <c r="F260">
        <v>1</v>
      </c>
      <c r="H260">
        <v>3</v>
      </c>
      <c r="I260">
        <v>1</v>
      </c>
      <c r="J260">
        <v>3</v>
      </c>
      <c r="K260">
        <v>5</v>
      </c>
      <c r="L260">
        <v>5</v>
      </c>
    </row>
    <row r="261" spans="1:12" x14ac:dyDescent="0.3">
      <c r="A261" t="s">
        <v>342</v>
      </c>
      <c r="B261" t="s">
        <v>540</v>
      </c>
      <c r="C261" t="s">
        <v>284</v>
      </c>
      <c r="D261" t="s">
        <v>285</v>
      </c>
      <c r="E261">
        <v>18</v>
      </c>
      <c r="F261">
        <v>1</v>
      </c>
      <c r="H261">
        <v>5</v>
      </c>
      <c r="J261">
        <v>2</v>
      </c>
      <c r="K261">
        <v>6</v>
      </c>
      <c r="L261">
        <v>4</v>
      </c>
    </row>
    <row r="262" spans="1:12" x14ac:dyDescent="0.3">
      <c r="A262" t="s">
        <v>342</v>
      </c>
      <c r="B262" t="s">
        <v>540</v>
      </c>
      <c r="C262" t="s">
        <v>225</v>
      </c>
      <c r="D262" t="s">
        <v>226</v>
      </c>
      <c r="E262">
        <v>28</v>
      </c>
      <c r="F262">
        <v>1</v>
      </c>
      <c r="H262">
        <v>3</v>
      </c>
      <c r="I262">
        <v>2</v>
      </c>
      <c r="J262">
        <v>4</v>
      </c>
      <c r="K262">
        <v>9</v>
      </c>
      <c r="L262">
        <v>9</v>
      </c>
    </row>
    <row r="263" spans="1:12" x14ac:dyDescent="0.3">
      <c r="A263" t="s">
        <v>342</v>
      </c>
      <c r="B263" t="s">
        <v>540</v>
      </c>
      <c r="C263" t="s">
        <v>268</v>
      </c>
      <c r="D263" t="s">
        <v>267</v>
      </c>
      <c r="E263">
        <v>19</v>
      </c>
      <c r="H263">
        <v>1</v>
      </c>
      <c r="I263">
        <v>4</v>
      </c>
      <c r="J263">
        <v>2</v>
      </c>
      <c r="K263">
        <v>6</v>
      </c>
      <c r="L263">
        <v>6</v>
      </c>
    </row>
    <row r="264" spans="1:12" x14ac:dyDescent="0.3">
      <c r="A264" t="s">
        <v>342</v>
      </c>
      <c r="B264" t="s">
        <v>542</v>
      </c>
      <c r="C264" t="s">
        <v>231</v>
      </c>
      <c r="D264" t="s">
        <v>232</v>
      </c>
      <c r="E264">
        <v>73</v>
      </c>
      <c r="F264">
        <v>1</v>
      </c>
      <c r="H264">
        <v>18</v>
      </c>
      <c r="J264">
        <v>4</v>
      </c>
      <c r="K264">
        <v>13</v>
      </c>
      <c r="L264">
        <v>37</v>
      </c>
    </row>
    <row r="265" spans="1:12" x14ac:dyDescent="0.3">
      <c r="A265" t="s">
        <v>342</v>
      </c>
      <c r="B265" t="s">
        <v>542</v>
      </c>
      <c r="C265" t="s">
        <v>237</v>
      </c>
      <c r="D265" t="s">
        <v>238</v>
      </c>
      <c r="E265">
        <v>37</v>
      </c>
      <c r="F265">
        <v>1</v>
      </c>
      <c r="H265">
        <v>9</v>
      </c>
      <c r="J265">
        <v>5</v>
      </c>
      <c r="K265">
        <v>6</v>
      </c>
      <c r="L265">
        <v>16</v>
      </c>
    </row>
    <row r="266" spans="1:12" x14ac:dyDescent="0.3">
      <c r="A266" t="s">
        <v>342</v>
      </c>
      <c r="B266" t="s">
        <v>542</v>
      </c>
      <c r="C266" t="s">
        <v>217</v>
      </c>
      <c r="D266" t="s">
        <v>218</v>
      </c>
      <c r="E266">
        <v>46</v>
      </c>
      <c r="F266">
        <v>1</v>
      </c>
      <c r="H266">
        <v>11</v>
      </c>
      <c r="J266">
        <v>6</v>
      </c>
      <c r="K266">
        <v>10</v>
      </c>
      <c r="L266">
        <v>18</v>
      </c>
    </row>
    <row r="267" spans="1:12" x14ac:dyDescent="0.3">
      <c r="A267" t="s">
        <v>342</v>
      </c>
      <c r="B267" t="s">
        <v>544</v>
      </c>
      <c r="C267" t="s">
        <v>549</v>
      </c>
      <c r="D267" t="s">
        <v>545</v>
      </c>
      <c r="E267">
        <v>143</v>
      </c>
      <c r="F267">
        <v>15</v>
      </c>
      <c r="G267">
        <v>4</v>
      </c>
      <c r="I267">
        <v>55</v>
      </c>
      <c r="J267">
        <v>13</v>
      </c>
      <c r="K267">
        <v>9</v>
      </c>
      <c r="L267">
        <v>47</v>
      </c>
    </row>
    <row r="268" spans="1:12" x14ac:dyDescent="0.3">
      <c r="A268" t="s">
        <v>342</v>
      </c>
      <c r="B268" t="s">
        <v>340</v>
      </c>
      <c r="C268" t="s">
        <v>549</v>
      </c>
      <c r="D268" t="s">
        <v>545</v>
      </c>
      <c r="E268">
        <v>3544</v>
      </c>
      <c r="F268">
        <v>34</v>
      </c>
      <c r="G268">
        <v>4</v>
      </c>
      <c r="H268">
        <v>689</v>
      </c>
      <c r="I268">
        <v>1988</v>
      </c>
      <c r="J268">
        <v>74</v>
      </c>
      <c r="K268">
        <v>153</v>
      </c>
      <c r="L268">
        <v>602</v>
      </c>
    </row>
    <row r="269" spans="1:12" x14ac:dyDescent="0.3">
      <c r="A269" t="s">
        <v>213</v>
      </c>
      <c r="B269" t="s">
        <v>537</v>
      </c>
      <c r="C269" t="s">
        <v>239</v>
      </c>
      <c r="D269" t="s">
        <v>240</v>
      </c>
      <c r="H269">
        <v>5</v>
      </c>
      <c r="I269">
        <v>15</v>
      </c>
      <c r="L269">
        <v>5</v>
      </c>
    </row>
    <row r="270" spans="1:12" x14ac:dyDescent="0.3">
      <c r="A270" t="s">
        <v>213</v>
      </c>
      <c r="B270" t="s">
        <v>537</v>
      </c>
      <c r="C270" t="s">
        <v>243</v>
      </c>
      <c r="D270" t="s">
        <v>244</v>
      </c>
      <c r="H270">
        <v>10</v>
      </c>
      <c r="I270">
        <v>38</v>
      </c>
      <c r="L270">
        <v>5</v>
      </c>
    </row>
    <row r="271" spans="1:12" x14ac:dyDescent="0.3">
      <c r="A271" t="s">
        <v>213</v>
      </c>
      <c r="B271" t="s">
        <v>537</v>
      </c>
      <c r="C271" t="s">
        <v>248</v>
      </c>
      <c r="D271" t="s">
        <v>249</v>
      </c>
      <c r="H271">
        <v>10</v>
      </c>
      <c r="I271">
        <v>32</v>
      </c>
      <c r="L271">
        <v>5</v>
      </c>
    </row>
    <row r="272" spans="1:12" x14ac:dyDescent="0.3">
      <c r="A272" t="s">
        <v>213</v>
      </c>
      <c r="B272" t="s">
        <v>537</v>
      </c>
      <c r="C272" t="s">
        <v>254</v>
      </c>
      <c r="D272" t="s">
        <v>255</v>
      </c>
      <c r="H272">
        <v>5</v>
      </c>
      <c r="I272">
        <v>14</v>
      </c>
      <c r="L272">
        <v>5</v>
      </c>
    </row>
    <row r="273" spans="1:12" x14ac:dyDescent="0.3">
      <c r="A273" t="s">
        <v>213</v>
      </c>
      <c r="B273" t="s">
        <v>537</v>
      </c>
      <c r="C273" t="s">
        <v>258</v>
      </c>
      <c r="D273" t="s">
        <v>259</v>
      </c>
      <c r="H273">
        <v>10</v>
      </c>
      <c r="I273">
        <v>31</v>
      </c>
      <c r="L273">
        <v>11</v>
      </c>
    </row>
    <row r="274" spans="1:12" x14ac:dyDescent="0.3">
      <c r="A274" t="s">
        <v>213</v>
      </c>
      <c r="B274" t="s">
        <v>537</v>
      </c>
      <c r="C274" t="s">
        <v>262</v>
      </c>
      <c r="D274" t="s">
        <v>263</v>
      </c>
      <c r="H274">
        <v>20</v>
      </c>
      <c r="I274">
        <v>53</v>
      </c>
      <c r="L274">
        <v>15</v>
      </c>
    </row>
    <row r="275" spans="1:12" x14ac:dyDescent="0.3">
      <c r="A275" t="s">
        <v>213</v>
      </c>
      <c r="B275" t="s">
        <v>537</v>
      </c>
      <c r="C275" t="s">
        <v>272</v>
      </c>
      <c r="D275" t="s">
        <v>273</v>
      </c>
      <c r="H275">
        <v>15</v>
      </c>
      <c r="I275">
        <v>50</v>
      </c>
      <c r="L275">
        <v>5</v>
      </c>
    </row>
    <row r="276" spans="1:12" x14ac:dyDescent="0.3">
      <c r="A276" t="s">
        <v>213</v>
      </c>
      <c r="B276" t="s">
        <v>537</v>
      </c>
      <c r="C276" t="s">
        <v>276</v>
      </c>
      <c r="D276" t="s">
        <v>277</v>
      </c>
      <c r="H276">
        <v>15</v>
      </c>
      <c r="I276">
        <v>47</v>
      </c>
      <c r="L276">
        <v>10</v>
      </c>
    </row>
    <row r="277" spans="1:12" x14ac:dyDescent="0.3">
      <c r="A277" t="s">
        <v>213</v>
      </c>
      <c r="B277" t="s">
        <v>537</v>
      </c>
      <c r="C277" t="s">
        <v>278</v>
      </c>
      <c r="D277" t="s">
        <v>279</v>
      </c>
      <c r="H277">
        <v>4</v>
      </c>
      <c r="I277">
        <v>17</v>
      </c>
      <c r="L277">
        <v>5</v>
      </c>
    </row>
    <row r="278" spans="1:12" x14ac:dyDescent="0.3">
      <c r="A278" t="s">
        <v>213</v>
      </c>
      <c r="B278" t="s">
        <v>537</v>
      </c>
      <c r="C278" t="s">
        <v>280</v>
      </c>
      <c r="D278" t="s">
        <v>281</v>
      </c>
      <c r="H278">
        <v>5</v>
      </c>
      <c r="I278">
        <v>20</v>
      </c>
      <c r="L278">
        <v>5</v>
      </c>
    </row>
    <row r="279" spans="1:12" x14ac:dyDescent="0.3">
      <c r="A279" t="s">
        <v>213</v>
      </c>
      <c r="B279" t="s">
        <v>537</v>
      </c>
      <c r="C279" t="s">
        <v>286</v>
      </c>
      <c r="D279" t="s">
        <v>287</v>
      </c>
      <c r="H279">
        <v>15</v>
      </c>
      <c r="I279">
        <v>45</v>
      </c>
      <c r="L279">
        <v>16</v>
      </c>
    </row>
    <row r="280" spans="1:12" x14ac:dyDescent="0.3">
      <c r="A280" t="s">
        <v>213</v>
      </c>
      <c r="B280" t="s">
        <v>537</v>
      </c>
      <c r="C280" t="s">
        <v>297</v>
      </c>
      <c r="D280" t="s">
        <v>298</v>
      </c>
      <c r="H280">
        <v>10</v>
      </c>
      <c r="I280">
        <v>36</v>
      </c>
      <c r="L280">
        <v>10</v>
      </c>
    </row>
    <row r="281" spans="1:12" x14ac:dyDescent="0.3">
      <c r="A281" t="s">
        <v>213</v>
      </c>
      <c r="B281" t="s">
        <v>537</v>
      </c>
      <c r="C281" t="s">
        <v>301</v>
      </c>
      <c r="D281" t="s">
        <v>302</v>
      </c>
      <c r="H281">
        <v>11</v>
      </c>
      <c r="I281">
        <v>34</v>
      </c>
      <c r="L281">
        <v>5</v>
      </c>
    </row>
    <row r="282" spans="1:12" x14ac:dyDescent="0.3">
      <c r="A282" t="s">
        <v>213</v>
      </c>
      <c r="B282" t="s">
        <v>537</v>
      </c>
      <c r="C282" t="s">
        <v>303</v>
      </c>
      <c r="D282" t="s">
        <v>304</v>
      </c>
      <c r="H282">
        <v>36</v>
      </c>
      <c r="I282">
        <v>111</v>
      </c>
      <c r="L282">
        <v>20</v>
      </c>
    </row>
    <row r="283" spans="1:12" x14ac:dyDescent="0.3">
      <c r="A283" t="s">
        <v>213</v>
      </c>
      <c r="B283" t="s">
        <v>537</v>
      </c>
      <c r="C283" t="s">
        <v>306</v>
      </c>
      <c r="D283" t="s">
        <v>307</v>
      </c>
      <c r="H283">
        <v>10</v>
      </c>
      <c r="I283">
        <v>34</v>
      </c>
      <c r="L283">
        <v>5</v>
      </c>
    </row>
    <row r="284" spans="1:12" x14ac:dyDescent="0.3">
      <c r="A284" t="s">
        <v>213</v>
      </c>
      <c r="B284" t="s">
        <v>537</v>
      </c>
      <c r="C284" t="s">
        <v>214</v>
      </c>
      <c r="D284" t="s">
        <v>215</v>
      </c>
      <c r="H284">
        <v>35</v>
      </c>
      <c r="I284">
        <v>104</v>
      </c>
      <c r="L284">
        <v>15</v>
      </c>
    </row>
    <row r="285" spans="1:12" x14ac:dyDescent="0.3">
      <c r="A285" t="s">
        <v>213</v>
      </c>
      <c r="B285" t="s">
        <v>537</v>
      </c>
      <c r="C285" t="s">
        <v>219</v>
      </c>
      <c r="D285" t="s">
        <v>220</v>
      </c>
      <c r="H285">
        <v>5</v>
      </c>
      <c r="I285">
        <v>20</v>
      </c>
      <c r="L285">
        <v>5</v>
      </c>
    </row>
    <row r="286" spans="1:12" x14ac:dyDescent="0.3">
      <c r="A286" t="s">
        <v>213</v>
      </c>
      <c r="B286" t="s">
        <v>537</v>
      </c>
      <c r="C286" t="s">
        <v>227</v>
      </c>
      <c r="D286" t="s">
        <v>228</v>
      </c>
      <c r="H286">
        <v>11</v>
      </c>
      <c r="I286">
        <v>33</v>
      </c>
      <c r="L286">
        <v>10</v>
      </c>
    </row>
    <row r="287" spans="1:12" x14ac:dyDescent="0.3">
      <c r="A287" t="s">
        <v>213</v>
      </c>
      <c r="B287" t="s">
        <v>537</v>
      </c>
      <c r="C287" t="s">
        <v>233</v>
      </c>
      <c r="D287" t="s">
        <v>234</v>
      </c>
      <c r="H287">
        <v>59</v>
      </c>
      <c r="I287">
        <v>203</v>
      </c>
      <c r="L287">
        <v>35</v>
      </c>
    </row>
    <row r="288" spans="1:12" x14ac:dyDescent="0.3">
      <c r="A288" t="s">
        <v>213</v>
      </c>
      <c r="B288" t="s">
        <v>537</v>
      </c>
      <c r="C288" t="s">
        <v>295</v>
      </c>
      <c r="D288" t="s">
        <v>296</v>
      </c>
      <c r="H288">
        <v>18</v>
      </c>
      <c r="I288">
        <v>65</v>
      </c>
      <c r="L288">
        <v>16</v>
      </c>
    </row>
    <row r="289" spans="1:12" x14ac:dyDescent="0.3">
      <c r="A289" t="s">
        <v>213</v>
      </c>
      <c r="B289" t="s">
        <v>537</v>
      </c>
      <c r="C289" t="s">
        <v>308</v>
      </c>
      <c r="D289" t="s">
        <v>309</v>
      </c>
      <c r="H289">
        <v>15</v>
      </c>
      <c r="I289">
        <v>48</v>
      </c>
      <c r="L289">
        <v>10</v>
      </c>
    </row>
    <row r="290" spans="1:12" x14ac:dyDescent="0.3">
      <c r="A290" t="s">
        <v>213</v>
      </c>
      <c r="B290" t="s">
        <v>537</v>
      </c>
      <c r="C290" t="s">
        <v>310</v>
      </c>
      <c r="D290" t="s">
        <v>311</v>
      </c>
      <c r="H290">
        <v>10</v>
      </c>
      <c r="I290">
        <v>36</v>
      </c>
      <c r="L290">
        <v>10</v>
      </c>
    </row>
    <row r="291" spans="1:12" x14ac:dyDescent="0.3">
      <c r="A291" t="s">
        <v>213</v>
      </c>
      <c r="B291" t="s">
        <v>537</v>
      </c>
      <c r="C291" t="s">
        <v>223</v>
      </c>
      <c r="D291" t="s">
        <v>224</v>
      </c>
      <c r="H291">
        <v>5</v>
      </c>
      <c r="I291">
        <v>18</v>
      </c>
      <c r="L291">
        <v>5</v>
      </c>
    </row>
    <row r="292" spans="1:12" x14ac:dyDescent="0.3">
      <c r="A292" t="s">
        <v>213</v>
      </c>
      <c r="B292" t="s">
        <v>537</v>
      </c>
      <c r="C292" t="s">
        <v>246</v>
      </c>
      <c r="D292" t="s">
        <v>247</v>
      </c>
      <c r="H292">
        <v>35</v>
      </c>
      <c r="I292">
        <v>122</v>
      </c>
      <c r="L292">
        <v>20</v>
      </c>
    </row>
    <row r="293" spans="1:12" x14ac:dyDescent="0.3">
      <c r="A293" t="s">
        <v>213</v>
      </c>
      <c r="B293" t="s">
        <v>537</v>
      </c>
      <c r="C293" t="s">
        <v>288</v>
      </c>
      <c r="D293" t="s">
        <v>289</v>
      </c>
      <c r="H293">
        <v>35</v>
      </c>
      <c r="I293">
        <v>111</v>
      </c>
      <c r="L293">
        <v>20</v>
      </c>
    </row>
    <row r="294" spans="1:12" x14ac:dyDescent="0.3">
      <c r="A294" t="s">
        <v>213</v>
      </c>
      <c r="B294" t="s">
        <v>537</v>
      </c>
      <c r="C294" t="s">
        <v>252</v>
      </c>
      <c r="D294" t="s">
        <v>253</v>
      </c>
      <c r="H294">
        <v>15</v>
      </c>
      <c r="I294">
        <v>47</v>
      </c>
      <c r="L294">
        <v>16</v>
      </c>
    </row>
    <row r="295" spans="1:12" x14ac:dyDescent="0.3">
      <c r="A295" t="s">
        <v>213</v>
      </c>
      <c r="B295" t="s">
        <v>537</v>
      </c>
      <c r="C295" t="s">
        <v>269</v>
      </c>
      <c r="D295" t="s">
        <v>270</v>
      </c>
      <c r="H295">
        <v>110</v>
      </c>
      <c r="I295">
        <v>349</v>
      </c>
      <c r="L295">
        <v>56</v>
      </c>
    </row>
    <row r="296" spans="1:12" x14ac:dyDescent="0.3">
      <c r="A296" t="s">
        <v>213</v>
      </c>
      <c r="B296" t="s">
        <v>537</v>
      </c>
      <c r="C296" t="s">
        <v>266</v>
      </c>
      <c r="D296" t="s">
        <v>267</v>
      </c>
      <c r="H296">
        <v>48</v>
      </c>
      <c r="I296">
        <v>199</v>
      </c>
      <c r="L296">
        <v>27</v>
      </c>
    </row>
    <row r="297" spans="1:12" x14ac:dyDescent="0.3">
      <c r="A297" t="s">
        <v>213</v>
      </c>
      <c r="B297" t="s">
        <v>537</v>
      </c>
      <c r="C297" t="s">
        <v>496</v>
      </c>
      <c r="D297" t="s">
        <v>294</v>
      </c>
      <c r="H297">
        <v>10</v>
      </c>
      <c r="I297">
        <v>54</v>
      </c>
      <c r="L297">
        <v>5</v>
      </c>
    </row>
    <row r="298" spans="1:12" x14ac:dyDescent="0.3">
      <c r="A298" t="s">
        <v>213</v>
      </c>
      <c r="B298" t="s">
        <v>540</v>
      </c>
      <c r="C298" t="s">
        <v>216</v>
      </c>
      <c r="D298" t="s">
        <v>215</v>
      </c>
      <c r="F298">
        <v>1</v>
      </c>
      <c r="H298">
        <v>2</v>
      </c>
      <c r="I298">
        <v>1</v>
      </c>
      <c r="J298">
        <v>2</v>
      </c>
      <c r="K298">
        <v>4</v>
      </c>
      <c r="L298">
        <v>6</v>
      </c>
    </row>
    <row r="299" spans="1:12" x14ac:dyDescent="0.3">
      <c r="A299" t="s">
        <v>213</v>
      </c>
      <c r="B299" t="s">
        <v>540</v>
      </c>
      <c r="C299" t="s">
        <v>221</v>
      </c>
      <c r="D299" t="s">
        <v>222</v>
      </c>
      <c r="F299">
        <v>1</v>
      </c>
      <c r="H299">
        <v>6</v>
      </c>
      <c r="J299">
        <v>2</v>
      </c>
      <c r="K299">
        <v>8</v>
      </c>
      <c r="L299">
        <v>8</v>
      </c>
    </row>
    <row r="300" spans="1:12" x14ac:dyDescent="0.3">
      <c r="A300" t="s">
        <v>213</v>
      </c>
      <c r="B300" t="s">
        <v>540</v>
      </c>
      <c r="C300" t="s">
        <v>229</v>
      </c>
      <c r="D300" t="s">
        <v>230</v>
      </c>
      <c r="F300">
        <v>1</v>
      </c>
      <c r="H300">
        <v>6</v>
      </c>
      <c r="I300">
        <v>2</v>
      </c>
      <c r="J300">
        <v>3</v>
      </c>
      <c r="K300">
        <v>8</v>
      </c>
      <c r="L300">
        <v>6</v>
      </c>
    </row>
    <row r="301" spans="1:12" x14ac:dyDescent="0.3">
      <c r="A301" t="s">
        <v>213</v>
      </c>
      <c r="B301" t="s">
        <v>540</v>
      </c>
      <c r="C301" t="s">
        <v>245</v>
      </c>
      <c r="D301" t="s">
        <v>244</v>
      </c>
      <c r="F301">
        <v>1</v>
      </c>
      <c r="H301">
        <v>4</v>
      </c>
      <c r="I301">
        <v>1.83</v>
      </c>
      <c r="J301">
        <v>2</v>
      </c>
      <c r="K301">
        <v>6</v>
      </c>
      <c r="L301">
        <v>7</v>
      </c>
    </row>
    <row r="302" spans="1:12" x14ac:dyDescent="0.3">
      <c r="A302" t="s">
        <v>213</v>
      </c>
      <c r="B302" t="s">
        <v>540</v>
      </c>
      <c r="C302" t="s">
        <v>250</v>
      </c>
      <c r="D302" t="s">
        <v>251</v>
      </c>
      <c r="F302">
        <v>1</v>
      </c>
      <c r="H302">
        <v>2</v>
      </c>
      <c r="I302">
        <v>1.6</v>
      </c>
      <c r="J302">
        <v>3</v>
      </c>
      <c r="K302">
        <v>9</v>
      </c>
      <c r="L302">
        <v>8</v>
      </c>
    </row>
    <row r="303" spans="1:12" x14ac:dyDescent="0.3">
      <c r="A303" t="s">
        <v>213</v>
      </c>
      <c r="B303" t="s">
        <v>540</v>
      </c>
      <c r="C303" t="s">
        <v>256</v>
      </c>
      <c r="D303" t="s">
        <v>257</v>
      </c>
      <c r="F303">
        <v>1</v>
      </c>
      <c r="H303">
        <v>2</v>
      </c>
      <c r="I303">
        <v>3</v>
      </c>
      <c r="J303">
        <v>3</v>
      </c>
      <c r="K303">
        <v>7</v>
      </c>
      <c r="L303">
        <v>9</v>
      </c>
    </row>
    <row r="304" spans="1:12" x14ac:dyDescent="0.3">
      <c r="A304" t="s">
        <v>213</v>
      </c>
      <c r="B304" t="s">
        <v>540</v>
      </c>
      <c r="C304" t="s">
        <v>260</v>
      </c>
      <c r="D304" t="s">
        <v>261</v>
      </c>
      <c r="F304">
        <v>1</v>
      </c>
      <c r="I304">
        <v>2</v>
      </c>
      <c r="J304">
        <v>4</v>
      </c>
      <c r="K304">
        <v>4</v>
      </c>
      <c r="L304">
        <v>3</v>
      </c>
    </row>
    <row r="305" spans="1:12" x14ac:dyDescent="0.3">
      <c r="A305" t="s">
        <v>213</v>
      </c>
      <c r="B305" t="s">
        <v>540</v>
      </c>
      <c r="C305" t="s">
        <v>235</v>
      </c>
      <c r="D305" t="s">
        <v>236</v>
      </c>
      <c r="F305">
        <v>1</v>
      </c>
      <c r="H305">
        <v>5</v>
      </c>
      <c r="I305">
        <v>2.5</v>
      </c>
      <c r="J305">
        <v>5</v>
      </c>
      <c r="K305">
        <v>4</v>
      </c>
      <c r="L305">
        <v>12</v>
      </c>
    </row>
    <row r="306" spans="1:12" x14ac:dyDescent="0.3">
      <c r="A306" t="s">
        <v>213</v>
      </c>
      <c r="B306" t="s">
        <v>540</v>
      </c>
      <c r="C306" t="s">
        <v>264</v>
      </c>
      <c r="D306" t="s">
        <v>265</v>
      </c>
      <c r="F306">
        <v>1</v>
      </c>
      <c r="H306">
        <v>3</v>
      </c>
      <c r="I306">
        <v>2</v>
      </c>
      <c r="J306">
        <v>2</v>
      </c>
      <c r="K306">
        <v>6</v>
      </c>
      <c r="L306">
        <v>6</v>
      </c>
    </row>
    <row r="307" spans="1:12" x14ac:dyDescent="0.3">
      <c r="A307" t="s">
        <v>213</v>
      </c>
      <c r="B307" t="s">
        <v>540</v>
      </c>
      <c r="C307" t="s">
        <v>271</v>
      </c>
      <c r="D307" t="s">
        <v>270</v>
      </c>
      <c r="F307">
        <v>1</v>
      </c>
      <c r="H307">
        <v>2</v>
      </c>
      <c r="I307">
        <v>2</v>
      </c>
      <c r="J307">
        <v>4</v>
      </c>
      <c r="K307">
        <v>9</v>
      </c>
      <c r="L307">
        <v>7</v>
      </c>
    </row>
    <row r="308" spans="1:12" x14ac:dyDescent="0.3">
      <c r="A308" t="s">
        <v>213</v>
      </c>
      <c r="B308" t="s">
        <v>540</v>
      </c>
      <c r="C308" t="s">
        <v>274</v>
      </c>
      <c r="D308" t="s">
        <v>275</v>
      </c>
      <c r="F308">
        <v>1</v>
      </c>
      <c r="H308">
        <v>9</v>
      </c>
      <c r="I308">
        <v>1</v>
      </c>
      <c r="J308">
        <v>4</v>
      </c>
      <c r="K308">
        <v>14</v>
      </c>
      <c r="L308">
        <v>16</v>
      </c>
    </row>
    <row r="309" spans="1:12" x14ac:dyDescent="0.3">
      <c r="A309" t="s">
        <v>213</v>
      </c>
      <c r="B309" t="s">
        <v>540</v>
      </c>
      <c r="C309" t="s">
        <v>290</v>
      </c>
      <c r="D309" t="s">
        <v>289</v>
      </c>
      <c r="F309">
        <v>1</v>
      </c>
      <c r="H309">
        <v>2</v>
      </c>
      <c r="I309">
        <v>1</v>
      </c>
      <c r="J309">
        <v>2</v>
      </c>
      <c r="K309">
        <v>5</v>
      </c>
      <c r="L309">
        <v>6</v>
      </c>
    </row>
    <row r="310" spans="1:12" x14ac:dyDescent="0.3">
      <c r="A310" t="s">
        <v>213</v>
      </c>
      <c r="B310" t="s">
        <v>540</v>
      </c>
      <c r="C310" t="s">
        <v>305</v>
      </c>
      <c r="D310" t="s">
        <v>304</v>
      </c>
      <c r="F310">
        <v>1</v>
      </c>
      <c r="H310">
        <v>2</v>
      </c>
      <c r="I310">
        <v>1</v>
      </c>
      <c r="J310">
        <v>2</v>
      </c>
      <c r="K310">
        <v>6</v>
      </c>
      <c r="L310">
        <v>4</v>
      </c>
    </row>
    <row r="311" spans="1:12" x14ac:dyDescent="0.3">
      <c r="A311" t="s">
        <v>213</v>
      </c>
      <c r="B311" t="s">
        <v>540</v>
      </c>
      <c r="C311" t="s">
        <v>241</v>
      </c>
      <c r="D311" t="s">
        <v>242</v>
      </c>
      <c r="F311">
        <v>1</v>
      </c>
      <c r="H311">
        <v>3</v>
      </c>
      <c r="I311">
        <v>1</v>
      </c>
      <c r="J311">
        <v>2</v>
      </c>
      <c r="K311">
        <v>6</v>
      </c>
      <c r="L311">
        <v>5</v>
      </c>
    </row>
    <row r="312" spans="1:12" x14ac:dyDescent="0.3">
      <c r="A312" t="s">
        <v>213</v>
      </c>
      <c r="B312" t="s">
        <v>540</v>
      </c>
      <c r="C312" t="s">
        <v>284</v>
      </c>
      <c r="D312" t="s">
        <v>285</v>
      </c>
      <c r="F312">
        <v>1</v>
      </c>
      <c r="H312">
        <v>3</v>
      </c>
      <c r="J312">
        <v>3</v>
      </c>
      <c r="K312">
        <v>5</v>
      </c>
      <c r="L312">
        <v>4</v>
      </c>
    </row>
    <row r="313" spans="1:12" x14ac:dyDescent="0.3">
      <c r="A313" t="s">
        <v>213</v>
      </c>
      <c r="B313" t="s">
        <v>540</v>
      </c>
      <c r="C313" t="s">
        <v>225</v>
      </c>
      <c r="D313" t="s">
        <v>226</v>
      </c>
      <c r="F313">
        <v>1</v>
      </c>
      <c r="H313">
        <v>3</v>
      </c>
      <c r="I313">
        <v>2</v>
      </c>
      <c r="J313">
        <v>4</v>
      </c>
      <c r="K313">
        <v>8</v>
      </c>
      <c r="L313">
        <v>11</v>
      </c>
    </row>
    <row r="314" spans="1:12" x14ac:dyDescent="0.3">
      <c r="A314" t="s">
        <v>213</v>
      </c>
      <c r="B314" t="s">
        <v>540</v>
      </c>
      <c r="C314" t="s">
        <v>268</v>
      </c>
      <c r="D314" t="s">
        <v>267</v>
      </c>
      <c r="I314">
        <v>4</v>
      </c>
      <c r="J314">
        <v>2</v>
      </c>
      <c r="K314">
        <v>6</v>
      </c>
      <c r="L314">
        <v>6</v>
      </c>
    </row>
    <row r="315" spans="1:12" x14ac:dyDescent="0.3">
      <c r="A315" t="s">
        <v>213</v>
      </c>
      <c r="B315" t="s">
        <v>542</v>
      </c>
      <c r="C315" t="s">
        <v>231</v>
      </c>
      <c r="D315" t="s">
        <v>232</v>
      </c>
      <c r="F315">
        <v>1</v>
      </c>
      <c r="H315">
        <v>26</v>
      </c>
      <c r="J315">
        <v>5</v>
      </c>
      <c r="K315">
        <v>12</v>
      </c>
      <c r="L315">
        <v>35</v>
      </c>
    </row>
    <row r="316" spans="1:12" x14ac:dyDescent="0.3">
      <c r="A316" t="s">
        <v>213</v>
      </c>
      <c r="B316" t="s">
        <v>542</v>
      </c>
      <c r="C316" t="s">
        <v>237</v>
      </c>
      <c r="D316" t="s">
        <v>238</v>
      </c>
      <c r="F316">
        <v>1</v>
      </c>
      <c r="H316">
        <v>8</v>
      </c>
      <c r="J316">
        <v>5</v>
      </c>
      <c r="K316">
        <v>5</v>
      </c>
      <c r="L316">
        <v>18</v>
      </c>
    </row>
    <row r="317" spans="1:12" x14ac:dyDescent="0.3">
      <c r="A317" t="s">
        <v>213</v>
      </c>
      <c r="B317" t="s">
        <v>542</v>
      </c>
      <c r="C317" t="s">
        <v>217</v>
      </c>
      <c r="D317" t="s">
        <v>218</v>
      </c>
      <c r="F317">
        <v>1</v>
      </c>
      <c r="H317">
        <v>7</v>
      </c>
      <c r="J317">
        <v>4</v>
      </c>
      <c r="K317">
        <v>7</v>
      </c>
      <c r="L317">
        <v>11</v>
      </c>
    </row>
    <row r="318" spans="1:12" x14ac:dyDescent="0.3">
      <c r="A318" t="s">
        <v>213</v>
      </c>
      <c r="B318" t="s">
        <v>544</v>
      </c>
      <c r="C318" t="s">
        <v>549</v>
      </c>
      <c r="D318" t="s">
        <v>545</v>
      </c>
      <c r="F318">
        <v>14</v>
      </c>
      <c r="G318">
        <v>4</v>
      </c>
      <c r="I318">
        <v>60</v>
      </c>
      <c r="J318">
        <v>17</v>
      </c>
      <c r="K318">
        <v>8</v>
      </c>
      <c r="L318">
        <v>46</v>
      </c>
    </row>
    <row r="319" spans="1:12" x14ac:dyDescent="0.3">
      <c r="A319" t="s">
        <v>312</v>
      </c>
      <c r="B319" t="s">
        <v>537</v>
      </c>
      <c r="C319" t="s">
        <v>231</v>
      </c>
      <c r="D319" t="s">
        <v>228</v>
      </c>
      <c r="H319">
        <v>10</v>
      </c>
      <c r="I319">
        <v>33</v>
      </c>
      <c r="L319">
        <v>10</v>
      </c>
    </row>
    <row r="320" spans="1:12" x14ac:dyDescent="0.3">
      <c r="A320" t="s">
        <v>312</v>
      </c>
      <c r="B320" t="s">
        <v>537</v>
      </c>
      <c r="C320" t="s">
        <v>231</v>
      </c>
      <c r="D320" t="s">
        <v>244</v>
      </c>
      <c r="H320">
        <v>10</v>
      </c>
      <c r="I320">
        <v>37</v>
      </c>
      <c r="L320">
        <v>5</v>
      </c>
    </row>
    <row r="321" spans="1:12" x14ac:dyDescent="0.3">
      <c r="A321" t="s">
        <v>312</v>
      </c>
      <c r="B321" t="s">
        <v>537</v>
      </c>
      <c r="C321" t="s">
        <v>231</v>
      </c>
      <c r="D321" t="s">
        <v>249</v>
      </c>
      <c r="H321">
        <v>10</v>
      </c>
      <c r="I321">
        <v>34</v>
      </c>
      <c r="L321">
        <v>5</v>
      </c>
    </row>
    <row r="322" spans="1:12" x14ac:dyDescent="0.3">
      <c r="A322" t="s">
        <v>312</v>
      </c>
      <c r="B322" t="s">
        <v>537</v>
      </c>
      <c r="C322" t="s">
        <v>231</v>
      </c>
      <c r="D322" t="s">
        <v>253</v>
      </c>
      <c r="H322">
        <v>15</v>
      </c>
      <c r="I322">
        <v>49</v>
      </c>
      <c r="L322">
        <v>15</v>
      </c>
    </row>
    <row r="323" spans="1:12" x14ac:dyDescent="0.3">
      <c r="A323" t="s">
        <v>312</v>
      </c>
      <c r="B323" t="s">
        <v>537</v>
      </c>
      <c r="C323" t="s">
        <v>231</v>
      </c>
      <c r="D323" t="s">
        <v>259</v>
      </c>
      <c r="H323">
        <v>10</v>
      </c>
      <c r="I323">
        <v>30</v>
      </c>
      <c r="L323">
        <v>10</v>
      </c>
    </row>
    <row r="324" spans="1:12" x14ac:dyDescent="0.3">
      <c r="A324" t="s">
        <v>312</v>
      </c>
      <c r="B324" t="s">
        <v>537</v>
      </c>
      <c r="C324" t="s">
        <v>231</v>
      </c>
      <c r="D324" t="s">
        <v>270</v>
      </c>
      <c r="H324">
        <v>114</v>
      </c>
      <c r="I324">
        <v>346</v>
      </c>
      <c r="L324">
        <v>57</v>
      </c>
    </row>
    <row r="325" spans="1:12" x14ac:dyDescent="0.3">
      <c r="A325" t="s">
        <v>312</v>
      </c>
      <c r="B325" t="s">
        <v>537</v>
      </c>
      <c r="C325" t="s">
        <v>231</v>
      </c>
      <c r="D325" t="s">
        <v>277</v>
      </c>
      <c r="H325">
        <v>15</v>
      </c>
      <c r="I325">
        <v>45</v>
      </c>
      <c r="L325">
        <v>10</v>
      </c>
    </row>
    <row r="326" spans="1:12" x14ac:dyDescent="0.3">
      <c r="A326" t="s">
        <v>312</v>
      </c>
      <c r="B326" t="s">
        <v>537</v>
      </c>
      <c r="C326" t="s">
        <v>231</v>
      </c>
      <c r="D326" t="s">
        <v>287</v>
      </c>
      <c r="H326">
        <v>15</v>
      </c>
      <c r="I326">
        <v>45</v>
      </c>
      <c r="L326">
        <v>15</v>
      </c>
    </row>
    <row r="327" spans="1:12" x14ac:dyDescent="0.3">
      <c r="A327" t="s">
        <v>312</v>
      </c>
      <c r="B327" t="s">
        <v>537</v>
      </c>
      <c r="C327" t="s">
        <v>231</v>
      </c>
      <c r="D327" t="s">
        <v>289</v>
      </c>
      <c r="H327">
        <v>37</v>
      </c>
      <c r="I327">
        <v>105</v>
      </c>
      <c r="L327">
        <v>21</v>
      </c>
    </row>
    <row r="328" spans="1:12" x14ac:dyDescent="0.3">
      <c r="A328" t="s">
        <v>312</v>
      </c>
      <c r="B328" t="s">
        <v>537</v>
      </c>
      <c r="C328" t="s">
        <v>231</v>
      </c>
      <c r="D328" t="s">
        <v>296</v>
      </c>
      <c r="H328">
        <v>21</v>
      </c>
      <c r="I328">
        <v>66</v>
      </c>
      <c r="L328">
        <v>15</v>
      </c>
    </row>
    <row r="329" spans="1:12" x14ac:dyDescent="0.3">
      <c r="A329" t="s">
        <v>312</v>
      </c>
      <c r="B329" t="s">
        <v>537</v>
      </c>
      <c r="C329" t="s">
        <v>231</v>
      </c>
      <c r="D329" t="s">
        <v>302</v>
      </c>
      <c r="H329">
        <v>9</v>
      </c>
      <c r="I329">
        <v>36</v>
      </c>
      <c r="L329">
        <v>5</v>
      </c>
    </row>
    <row r="330" spans="1:12" x14ac:dyDescent="0.3">
      <c r="A330" t="s">
        <v>312</v>
      </c>
      <c r="B330" t="s">
        <v>537</v>
      </c>
      <c r="C330" t="s">
        <v>231</v>
      </c>
      <c r="D330" t="s">
        <v>304</v>
      </c>
      <c r="H330">
        <v>37</v>
      </c>
      <c r="I330">
        <v>111</v>
      </c>
      <c r="L330">
        <v>20</v>
      </c>
    </row>
    <row r="331" spans="1:12" x14ac:dyDescent="0.3">
      <c r="A331" t="s">
        <v>312</v>
      </c>
      <c r="B331" t="s">
        <v>537</v>
      </c>
      <c r="C331" t="s">
        <v>231</v>
      </c>
      <c r="D331" t="s">
        <v>309</v>
      </c>
      <c r="H331">
        <v>15</v>
      </c>
      <c r="I331">
        <v>48</v>
      </c>
      <c r="L331">
        <v>10</v>
      </c>
    </row>
    <row r="332" spans="1:12" x14ac:dyDescent="0.3">
      <c r="A332" t="s">
        <v>312</v>
      </c>
      <c r="B332" t="s">
        <v>537</v>
      </c>
      <c r="C332" t="s">
        <v>237</v>
      </c>
      <c r="D332" t="s">
        <v>234</v>
      </c>
      <c r="H332">
        <v>56</v>
      </c>
      <c r="I332">
        <v>214</v>
      </c>
      <c r="L332">
        <v>36</v>
      </c>
    </row>
    <row r="333" spans="1:12" x14ac:dyDescent="0.3">
      <c r="A333" t="s">
        <v>312</v>
      </c>
      <c r="B333" t="s">
        <v>537</v>
      </c>
      <c r="C333" t="s">
        <v>237</v>
      </c>
      <c r="D333" t="s">
        <v>240</v>
      </c>
      <c r="H333">
        <v>5</v>
      </c>
      <c r="I333">
        <v>15</v>
      </c>
      <c r="L333">
        <v>5</v>
      </c>
    </row>
    <row r="334" spans="1:12" x14ac:dyDescent="0.3">
      <c r="A334" t="s">
        <v>312</v>
      </c>
      <c r="B334" t="s">
        <v>537</v>
      </c>
      <c r="C334" t="s">
        <v>237</v>
      </c>
      <c r="D334" t="s">
        <v>255</v>
      </c>
      <c r="H334">
        <v>5</v>
      </c>
      <c r="I334">
        <v>15</v>
      </c>
      <c r="L334">
        <v>5</v>
      </c>
    </row>
    <row r="335" spans="1:12" x14ac:dyDescent="0.3">
      <c r="A335" t="s">
        <v>312</v>
      </c>
      <c r="B335" t="s">
        <v>537</v>
      </c>
      <c r="C335" t="s">
        <v>237</v>
      </c>
      <c r="D335" t="s">
        <v>263</v>
      </c>
      <c r="H335">
        <v>19</v>
      </c>
      <c r="I335">
        <v>54</v>
      </c>
      <c r="L335">
        <v>15</v>
      </c>
    </row>
    <row r="336" spans="1:12" x14ac:dyDescent="0.3">
      <c r="A336" t="s">
        <v>312</v>
      </c>
      <c r="B336" t="s">
        <v>537</v>
      </c>
      <c r="C336" t="s">
        <v>237</v>
      </c>
      <c r="D336" t="s">
        <v>267</v>
      </c>
      <c r="H336">
        <v>51</v>
      </c>
      <c r="I336">
        <v>192</v>
      </c>
      <c r="L336">
        <v>26</v>
      </c>
    </row>
    <row r="337" spans="1:12" x14ac:dyDescent="0.3">
      <c r="A337" t="s">
        <v>312</v>
      </c>
      <c r="B337" t="s">
        <v>537</v>
      </c>
      <c r="C337" t="s">
        <v>237</v>
      </c>
      <c r="D337" t="s">
        <v>279</v>
      </c>
      <c r="H337">
        <v>4</v>
      </c>
      <c r="I337">
        <v>17</v>
      </c>
      <c r="L337">
        <v>5</v>
      </c>
    </row>
    <row r="338" spans="1:12" x14ac:dyDescent="0.3">
      <c r="A338" t="s">
        <v>312</v>
      </c>
      <c r="B338" t="s">
        <v>537</v>
      </c>
      <c r="C338" t="s">
        <v>237</v>
      </c>
      <c r="D338" t="s">
        <v>298</v>
      </c>
      <c r="H338">
        <v>10</v>
      </c>
      <c r="I338">
        <v>33</v>
      </c>
      <c r="L338">
        <v>10</v>
      </c>
    </row>
    <row r="339" spans="1:12" x14ac:dyDescent="0.3">
      <c r="A339" t="s">
        <v>312</v>
      </c>
      <c r="B339" t="s">
        <v>537</v>
      </c>
      <c r="C339" t="s">
        <v>237</v>
      </c>
      <c r="D339" t="s">
        <v>307</v>
      </c>
      <c r="H339">
        <v>10</v>
      </c>
      <c r="I339">
        <v>36</v>
      </c>
      <c r="L339">
        <v>5</v>
      </c>
    </row>
    <row r="340" spans="1:12" x14ac:dyDescent="0.3">
      <c r="A340" t="s">
        <v>312</v>
      </c>
      <c r="B340" t="s">
        <v>537</v>
      </c>
      <c r="C340" t="s">
        <v>237</v>
      </c>
      <c r="D340" t="s">
        <v>311</v>
      </c>
      <c r="H340">
        <v>10</v>
      </c>
      <c r="I340">
        <v>37</v>
      </c>
      <c r="L340">
        <v>10</v>
      </c>
    </row>
    <row r="341" spans="1:12" x14ac:dyDescent="0.3">
      <c r="A341" t="s">
        <v>312</v>
      </c>
      <c r="B341" t="s">
        <v>537</v>
      </c>
      <c r="C341" t="s">
        <v>217</v>
      </c>
      <c r="D341" t="s">
        <v>215</v>
      </c>
      <c r="H341">
        <v>35</v>
      </c>
      <c r="I341">
        <v>105</v>
      </c>
      <c r="L341">
        <v>15</v>
      </c>
    </row>
    <row r="342" spans="1:12" x14ac:dyDescent="0.3">
      <c r="A342" t="s">
        <v>312</v>
      </c>
      <c r="B342" t="s">
        <v>537</v>
      </c>
      <c r="C342" t="s">
        <v>217</v>
      </c>
      <c r="D342" t="s">
        <v>220</v>
      </c>
      <c r="H342">
        <v>4</v>
      </c>
      <c r="I342">
        <v>22</v>
      </c>
      <c r="L342">
        <v>6</v>
      </c>
    </row>
    <row r="343" spans="1:12" x14ac:dyDescent="0.3">
      <c r="A343" t="s">
        <v>312</v>
      </c>
      <c r="B343" t="s">
        <v>537</v>
      </c>
      <c r="C343" t="s">
        <v>217</v>
      </c>
      <c r="D343" t="s">
        <v>224</v>
      </c>
      <c r="H343">
        <v>5</v>
      </c>
      <c r="I343">
        <v>17</v>
      </c>
      <c r="L343">
        <v>5</v>
      </c>
    </row>
    <row r="344" spans="1:12" x14ac:dyDescent="0.3">
      <c r="A344" t="s">
        <v>312</v>
      </c>
      <c r="B344" t="s">
        <v>537</v>
      </c>
      <c r="C344" t="s">
        <v>217</v>
      </c>
      <c r="D344" t="s">
        <v>247</v>
      </c>
      <c r="H344">
        <v>36</v>
      </c>
      <c r="I344">
        <v>126</v>
      </c>
      <c r="L344">
        <v>20</v>
      </c>
    </row>
    <row r="345" spans="1:12" x14ac:dyDescent="0.3">
      <c r="A345" t="s">
        <v>312</v>
      </c>
      <c r="B345" t="s">
        <v>537</v>
      </c>
      <c r="C345" t="s">
        <v>217</v>
      </c>
      <c r="D345" t="s">
        <v>273</v>
      </c>
      <c r="H345">
        <v>14</v>
      </c>
      <c r="I345">
        <v>52</v>
      </c>
      <c r="L345">
        <v>5</v>
      </c>
    </row>
    <row r="346" spans="1:12" x14ac:dyDescent="0.3">
      <c r="A346" t="s">
        <v>312</v>
      </c>
      <c r="B346" t="s">
        <v>537</v>
      </c>
      <c r="C346" t="s">
        <v>217</v>
      </c>
      <c r="D346" t="s">
        <v>281</v>
      </c>
      <c r="H346">
        <v>5</v>
      </c>
      <c r="I346">
        <v>20</v>
      </c>
      <c r="L346">
        <v>5</v>
      </c>
    </row>
    <row r="347" spans="1:12" x14ac:dyDescent="0.3">
      <c r="A347" t="s">
        <v>312</v>
      </c>
      <c r="B347" t="s">
        <v>537</v>
      </c>
      <c r="C347" t="s">
        <v>217</v>
      </c>
      <c r="D347" t="s">
        <v>294</v>
      </c>
      <c r="H347">
        <v>10</v>
      </c>
      <c r="I347">
        <v>52</v>
      </c>
      <c r="L347">
        <v>5</v>
      </c>
    </row>
    <row r="348" spans="1:12" x14ac:dyDescent="0.3">
      <c r="A348" t="s">
        <v>312</v>
      </c>
      <c r="B348" t="s">
        <v>540</v>
      </c>
      <c r="D348" t="s">
        <v>313</v>
      </c>
      <c r="F348">
        <v>1</v>
      </c>
      <c r="H348">
        <v>6</v>
      </c>
      <c r="I348">
        <v>4</v>
      </c>
      <c r="J348">
        <v>4</v>
      </c>
      <c r="K348">
        <v>12</v>
      </c>
      <c r="L348">
        <v>11</v>
      </c>
    </row>
    <row r="349" spans="1:12" x14ac:dyDescent="0.3">
      <c r="A349" t="s">
        <v>312</v>
      </c>
      <c r="B349" t="s">
        <v>540</v>
      </c>
      <c r="C349" t="s">
        <v>231</v>
      </c>
      <c r="D349" t="s">
        <v>230</v>
      </c>
      <c r="F349">
        <v>1</v>
      </c>
      <c r="H349">
        <v>7</v>
      </c>
      <c r="I349">
        <v>2</v>
      </c>
      <c r="J349">
        <v>3</v>
      </c>
      <c r="K349">
        <v>8</v>
      </c>
      <c r="L349">
        <v>7</v>
      </c>
    </row>
    <row r="350" spans="1:12" x14ac:dyDescent="0.3">
      <c r="A350" t="s">
        <v>312</v>
      </c>
      <c r="B350" t="s">
        <v>540</v>
      </c>
      <c r="C350" t="s">
        <v>231</v>
      </c>
      <c r="D350" t="s">
        <v>244</v>
      </c>
      <c r="F350">
        <v>1</v>
      </c>
      <c r="H350">
        <v>3</v>
      </c>
      <c r="I350">
        <v>1.83</v>
      </c>
      <c r="J350">
        <v>2</v>
      </c>
      <c r="K350">
        <v>6</v>
      </c>
      <c r="L350">
        <v>8</v>
      </c>
    </row>
    <row r="351" spans="1:12" x14ac:dyDescent="0.3">
      <c r="A351" t="s">
        <v>312</v>
      </c>
      <c r="B351" t="s">
        <v>540</v>
      </c>
      <c r="C351" t="s">
        <v>231</v>
      </c>
      <c r="D351" t="s">
        <v>251</v>
      </c>
      <c r="F351">
        <v>1</v>
      </c>
      <c r="H351">
        <v>5</v>
      </c>
      <c r="I351">
        <v>0.6</v>
      </c>
      <c r="J351">
        <v>3</v>
      </c>
      <c r="K351">
        <v>10</v>
      </c>
      <c r="L351">
        <v>8</v>
      </c>
    </row>
    <row r="352" spans="1:12" x14ac:dyDescent="0.3">
      <c r="A352" t="s">
        <v>312</v>
      </c>
      <c r="B352" t="s">
        <v>540</v>
      </c>
      <c r="C352" t="s">
        <v>231</v>
      </c>
      <c r="D352" t="s">
        <v>261</v>
      </c>
      <c r="F352">
        <v>1</v>
      </c>
      <c r="I352">
        <v>1</v>
      </c>
      <c r="J352">
        <v>4</v>
      </c>
      <c r="K352">
        <v>4</v>
      </c>
      <c r="L352">
        <v>3</v>
      </c>
    </row>
    <row r="353" spans="1:12" x14ac:dyDescent="0.3">
      <c r="A353" t="s">
        <v>312</v>
      </c>
      <c r="B353" t="s">
        <v>540</v>
      </c>
      <c r="C353" t="s">
        <v>231</v>
      </c>
      <c r="D353" t="s">
        <v>270</v>
      </c>
      <c r="F353">
        <v>1</v>
      </c>
      <c r="H353">
        <v>2</v>
      </c>
      <c r="I353">
        <v>2</v>
      </c>
      <c r="J353">
        <v>5</v>
      </c>
      <c r="K353">
        <v>10</v>
      </c>
      <c r="L353">
        <v>5</v>
      </c>
    </row>
    <row r="354" spans="1:12" x14ac:dyDescent="0.3">
      <c r="A354" t="s">
        <v>312</v>
      </c>
      <c r="B354" t="s">
        <v>540</v>
      </c>
      <c r="C354" t="s">
        <v>231</v>
      </c>
      <c r="D354" t="s">
        <v>289</v>
      </c>
      <c r="F354">
        <v>1</v>
      </c>
      <c r="H354">
        <v>2</v>
      </c>
      <c r="I354">
        <v>1</v>
      </c>
      <c r="J354">
        <v>2</v>
      </c>
      <c r="K354">
        <v>5</v>
      </c>
      <c r="L354">
        <v>5</v>
      </c>
    </row>
    <row r="355" spans="1:12" x14ac:dyDescent="0.3">
      <c r="A355" t="s">
        <v>312</v>
      </c>
      <c r="B355" t="s">
        <v>540</v>
      </c>
      <c r="C355" t="s">
        <v>231</v>
      </c>
      <c r="D355" t="s">
        <v>304</v>
      </c>
      <c r="F355">
        <v>1</v>
      </c>
      <c r="H355">
        <v>3</v>
      </c>
      <c r="J355">
        <v>2</v>
      </c>
      <c r="K355">
        <v>6</v>
      </c>
      <c r="L355">
        <v>4</v>
      </c>
    </row>
    <row r="356" spans="1:12" x14ac:dyDescent="0.3">
      <c r="A356" t="s">
        <v>312</v>
      </c>
      <c r="B356" t="s">
        <v>540</v>
      </c>
      <c r="C356" t="s">
        <v>237</v>
      </c>
      <c r="D356" t="s">
        <v>257</v>
      </c>
      <c r="F356">
        <v>1</v>
      </c>
      <c r="H356">
        <v>5</v>
      </c>
      <c r="I356">
        <v>4</v>
      </c>
      <c r="J356">
        <v>3</v>
      </c>
      <c r="K356">
        <v>7</v>
      </c>
      <c r="L356">
        <v>9</v>
      </c>
    </row>
    <row r="357" spans="1:12" x14ac:dyDescent="0.3">
      <c r="A357" t="s">
        <v>312</v>
      </c>
      <c r="B357" t="s">
        <v>540</v>
      </c>
      <c r="C357" t="s">
        <v>237</v>
      </c>
      <c r="D357" t="s">
        <v>236</v>
      </c>
      <c r="F357">
        <v>1</v>
      </c>
      <c r="H357">
        <v>4</v>
      </c>
      <c r="I357">
        <v>3.5</v>
      </c>
      <c r="J357">
        <v>4</v>
      </c>
      <c r="K357">
        <v>5</v>
      </c>
      <c r="L357">
        <v>10</v>
      </c>
    </row>
    <row r="358" spans="1:12" x14ac:dyDescent="0.3">
      <c r="A358" t="s">
        <v>312</v>
      </c>
      <c r="B358" t="s">
        <v>540</v>
      </c>
      <c r="C358" t="s">
        <v>237</v>
      </c>
      <c r="D358" t="s">
        <v>265</v>
      </c>
      <c r="F358">
        <v>1</v>
      </c>
      <c r="H358">
        <v>2</v>
      </c>
      <c r="I358">
        <v>2</v>
      </c>
      <c r="J358">
        <v>2</v>
      </c>
      <c r="K358">
        <v>6</v>
      </c>
      <c r="L358">
        <v>6</v>
      </c>
    </row>
    <row r="359" spans="1:12" x14ac:dyDescent="0.3">
      <c r="A359" t="s">
        <v>312</v>
      </c>
      <c r="B359" t="s">
        <v>540</v>
      </c>
      <c r="C359" t="s">
        <v>217</v>
      </c>
      <c r="D359" t="s">
        <v>215</v>
      </c>
      <c r="F359">
        <v>1</v>
      </c>
      <c r="H359">
        <v>2</v>
      </c>
      <c r="I359">
        <v>1</v>
      </c>
      <c r="J359">
        <v>2</v>
      </c>
      <c r="K359">
        <v>3</v>
      </c>
      <c r="L359">
        <v>4</v>
      </c>
    </row>
    <row r="360" spans="1:12" x14ac:dyDescent="0.3">
      <c r="A360" t="s">
        <v>312</v>
      </c>
      <c r="B360" t="s">
        <v>540</v>
      </c>
      <c r="C360" t="s">
        <v>217</v>
      </c>
      <c r="D360" t="s">
        <v>222</v>
      </c>
      <c r="F360">
        <v>1</v>
      </c>
      <c r="H360">
        <v>4</v>
      </c>
      <c r="I360">
        <v>1</v>
      </c>
      <c r="J360">
        <v>3</v>
      </c>
      <c r="K360">
        <v>9</v>
      </c>
      <c r="L360">
        <v>7</v>
      </c>
    </row>
    <row r="361" spans="1:12" x14ac:dyDescent="0.3">
      <c r="A361" t="s">
        <v>312</v>
      </c>
      <c r="B361" t="s">
        <v>540</v>
      </c>
      <c r="C361" t="s">
        <v>217</v>
      </c>
      <c r="D361" t="s">
        <v>226</v>
      </c>
      <c r="F361">
        <v>1</v>
      </c>
      <c r="H361">
        <v>4</v>
      </c>
      <c r="I361">
        <v>2</v>
      </c>
      <c r="J361">
        <v>4</v>
      </c>
      <c r="K361">
        <v>9</v>
      </c>
      <c r="L361">
        <v>11</v>
      </c>
    </row>
    <row r="362" spans="1:12" x14ac:dyDescent="0.3">
      <c r="A362" t="s">
        <v>312</v>
      </c>
      <c r="B362" t="s">
        <v>540</v>
      </c>
      <c r="C362" t="s">
        <v>217</v>
      </c>
      <c r="D362" t="s">
        <v>275</v>
      </c>
      <c r="F362">
        <v>1</v>
      </c>
      <c r="H362">
        <v>8</v>
      </c>
      <c r="I362">
        <v>1</v>
      </c>
      <c r="J362">
        <v>4</v>
      </c>
      <c r="K362">
        <v>13</v>
      </c>
      <c r="L362">
        <v>11</v>
      </c>
    </row>
    <row r="363" spans="1:12" x14ac:dyDescent="0.3">
      <c r="A363" t="s">
        <v>312</v>
      </c>
      <c r="B363" t="s">
        <v>540</v>
      </c>
      <c r="C363" t="s">
        <v>217</v>
      </c>
      <c r="D363" t="s">
        <v>285</v>
      </c>
      <c r="F363">
        <v>1</v>
      </c>
      <c r="H363">
        <v>1</v>
      </c>
      <c r="J363">
        <v>3</v>
      </c>
      <c r="K363">
        <v>5</v>
      </c>
      <c r="L363">
        <v>4</v>
      </c>
    </row>
    <row r="364" spans="1:12" x14ac:dyDescent="0.3">
      <c r="A364" t="s">
        <v>312</v>
      </c>
      <c r="B364" t="s">
        <v>542</v>
      </c>
      <c r="C364" t="s">
        <v>231</v>
      </c>
      <c r="D364" t="s">
        <v>232</v>
      </c>
      <c r="F364">
        <v>3</v>
      </c>
      <c r="H364">
        <v>21</v>
      </c>
      <c r="J364">
        <v>10</v>
      </c>
      <c r="K364">
        <v>14</v>
      </c>
      <c r="L364">
        <v>55</v>
      </c>
    </row>
    <row r="365" spans="1:12" x14ac:dyDescent="0.3">
      <c r="A365" t="s">
        <v>312</v>
      </c>
      <c r="B365" t="s">
        <v>542</v>
      </c>
      <c r="C365" t="s">
        <v>237</v>
      </c>
      <c r="D365" t="s">
        <v>238</v>
      </c>
      <c r="F365">
        <v>1</v>
      </c>
      <c r="H365">
        <v>6</v>
      </c>
      <c r="J365">
        <v>4</v>
      </c>
      <c r="K365">
        <v>8</v>
      </c>
      <c r="L365">
        <v>33</v>
      </c>
    </row>
    <row r="366" spans="1:12" x14ac:dyDescent="0.3">
      <c r="A366" t="s">
        <v>312</v>
      </c>
      <c r="B366" t="s">
        <v>542</v>
      </c>
      <c r="C366" t="s">
        <v>217</v>
      </c>
      <c r="D366" t="s">
        <v>218</v>
      </c>
      <c r="F366">
        <v>2</v>
      </c>
      <c r="H366">
        <v>6</v>
      </c>
      <c r="J366">
        <v>3</v>
      </c>
      <c r="K366">
        <v>7</v>
      </c>
      <c r="L366">
        <v>24</v>
      </c>
    </row>
    <row r="367" spans="1:12" x14ac:dyDescent="0.3">
      <c r="A367" t="s">
        <v>312</v>
      </c>
      <c r="B367" t="s">
        <v>544</v>
      </c>
      <c r="C367" t="s">
        <v>549</v>
      </c>
      <c r="D367" t="s">
        <v>545</v>
      </c>
      <c r="F367">
        <v>9</v>
      </c>
      <c r="G367">
        <v>6</v>
      </c>
      <c r="I367">
        <v>49</v>
      </c>
      <c r="J367">
        <v>13</v>
      </c>
      <c r="K367">
        <v>6</v>
      </c>
      <c r="L367">
        <v>7</v>
      </c>
    </row>
    <row r="368" spans="1:12" x14ac:dyDescent="0.3">
      <c r="A368" t="s">
        <v>318</v>
      </c>
      <c r="B368" t="s">
        <v>537</v>
      </c>
      <c r="C368" t="s">
        <v>617</v>
      </c>
      <c r="D368" t="s">
        <v>240</v>
      </c>
      <c r="H368">
        <v>5</v>
      </c>
      <c r="I368">
        <v>13</v>
      </c>
      <c r="L368">
        <v>6</v>
      </c>
    </row>
    <row r="369" spans="1:12" x14ac:dyDescent="0.3">
      <c r="A369" t="s">
        <v>318</v>
      </c>
      <c r="B369" t="s">
        <v>537</v>
      </c>
      <c r="C369" t="s">
        <v>617</v>
      </c>
      <c r="D369" t="s">
        <v>267</v>
      </c>
      <c r="H369">
        <v>50</v>
      </c>
      <c r="I369">
        <v>179</v>
      </c>
      <c r="L369">
        <v>25</v>
      </c>
    </row>
    <row r="370" spans="1:12" x14ac:dyDescent="0.3">
      <c r="A370" t="s">
        <v>318</v>
      </c>
      <c r="B370" t="s">
        <v>537</v>
      </c>
      <c r="C370" t="s">
        <v>617</v>
      </c>
      <c r="D370" t="s">
        <v>307</v>
      </c>
      <c r="H370">
        <v>10</v>
      </c>
      <c r="I370">
        <v>37</v>
      </c>
      <c r="L370">
        <v>5</v>
      </c>
    </row>
    <row r="371" spans="1:12" x14ac:dyDescent="0.3">
      <c r="A371" t="s">
        <v>318</v>
      </c>
      <c r="B371" t="s">
        <v>537</v>
      </c>
      <c r="C371" t="s">
        <v>231</v>
      </c>
      <c r="D371" t="s">
        <v>228</v>
      </c>
      <c r="H371">
        <v>10</v>
      </c>
      <c r="I371">
        <v>32</v>
      </c>
      <c r="L371">
        <v>10</v>
      </c>
    </row>
    <row r="372" spans="1:12" x14ac:dyDescent="0.3">
      <c r="A372" t="s">
        <v>318</v>
      </c>
      <c r="B372" t="s">
        <v>537</v>
      </c>
      <c r="C372" t="s">
        <v>231</v>
      </c>
      <c r="D372" t="s">
        <v>244</v>
      </c>
      <c r="H372">
        <v>10</v>
      </c>
      <c r="I372">
        <v>36</v>
      </c>
      <c r="L372">
        <v>5</v>
      </c>
    </row>
    <row r="373" spans="1:12" x14ac:dyDescent="0.3">
      <c r="A373" t="s">
        <v>318</v>
      </c>
      <c r="B373" t="s">
        <v>537</v>
      </c>
      <c r="C373" t="s">
        <v>231</v>
      </c>
      <c r="D373" t="s">
        <v>249</v>
      </c>
      <c r="H373">
        <v>10</v>
      </c>
      <c r="I373">
        <v>32</v>
      </c>
      <c r="L373">
        <v>5</v>
      </c>
    </row>
    <row r="374" spans="1:12" x14ac:dyDescent="0.3">
      <c r="A374" t="s">
        <v>318</v>
      </c>
      <c r="B374" t="s">
        <v>537</v>
      </c>
      <c r="C374" t="s">
        <v>231</v>
      </c>
      <c r="D374" t="s">
        <v>253</v>
      </c>
      <c r="H374">
        <v>14</v>
      </c>
      <c r="I374">
        <v>46</v>
      </c>
      <c r="L374">
        <v>16</v>
      </c>
    </row>
    <row r="375" spans="1:12" x14ac:dyDescent="0.3">
      <c r="A375" t="s">
        <v>318</v>
      </c>
      <c r="B375" t="s">
        <v>537</v>
      </c>
      <c r="C375" t="s">
        <v>231</v>
      </c>
      <c r="D375" t="s">
        <v>259</v>
      </c>
      <c r="H375">
        <v>10</v>
      </c>
      <c r="I375">
        <v>28</v>
      </c>
      <c r="L375">
        <v>10</v>
      </c>
    </row>
    <row r="376" spans="1:12" x14ac:dyDescent="0.3">
      <c r="A376" t="s">
        <v>318</v>
      </c>
      <c r="B376" t="s">
        <v>537</v>
      </c>
      <c r="C376" t="s">
        <v>231</v>
      </c>
      <c r="D376" t="s">
        <v>270</v>
      </c>
      <c r="H376">
        <v>109</v>
      </c>
      <c r="I376">
        <v>335</v>
      </c>
      <c r="L376">
        <v>55</v>
      </c>
    </row>
    <row r="377" spans="1:12" x14ac:dyDescent="0.3">
      <c r="A377" t="s">
        <v>318</v>
      </c>
      <c r="B377" t="s">
        <v>537</v>
      </c>
      <c r="C377" t="s">
        <v>231</v>
      </c>
      <c r="D377" t="s">
        <v>277</v>
      </c>
      <c r="H377">
        <v>15</v>
      </c>
      <c r="I377">
        <v>45</v>
      </c>
      <c r="L377">
        <v>10</v>
      </c>
    </row>
    <row r="378" spans="1:12" x14ac:dyDescent="0.3">
      <c r="A378" t="s">
        <v>318</v>
      </c>
      <c r="B378" t="s">
        <v>537</v>
      </c>
      <c r="C378" t="s">
        <v>231</v>
      </c>
      <c r="D378" t="s">
        <v>287</v>
      </c>
      <c r="H378">
        <v>15</v>
      </c>
      <c r="I378">
        <v>45</v>
      </c>
      <c r="L378">
        <v>15</v>
      </c>
    </row>
    <row r="379" spans="1:12" x14ac:dyDescent="0.3">
      <c r="A379" t="s">
        <v>318</v>
      </c>
      <c r="B379" t="s">
        <v>537</v>
      </c>
      <c r="C379" t="s">
        <v>231</v>
      </c>
      <c r="D379" t="s">
        <v>289</v>
      </c>
      <c r="H379">
        <v>35</v>
      </c>
      <c r="I379">
        <v>105</v>
      </c>
      <c r="L379">
        <v>20</v>
      </c>
    </row>
    <row r="380" spans="1:12" x14ac:dyDescent="0.3">
      <c r="A380" t="s">
        <v>318</v>
      </c>
      <c r="B380" t="s">
        <v>537</v>
      </c>
      <c r="C380" t="s">
        <v>231</v>
      </c>
      <c r="D380" t="s">
        <v>296</v>
      </c>
      <c r="H380">
        <v>21</v>
      </c>
      <c r="I380">
        <v>64</v>
      </c>
      <c r="L380">
        <v>15</v>
      </c>
    </row>
    <row r="381" spans="1:12" x14ac:dyDescent="0.3">
      <c r="A381" t="s">
        <v>318</v>
      </c>
      <c r="B381" t="s">
        <v>537</v>
      </c>
      <c r="C381" t="s">
        <v>231</v>
      </c>
      <c r="D381" t="s">
        <v>302</v>
      </c>
      <c r="H381">
        <v>10</v>
      </c>
      <c r="I381">
        <v>36</v>
      </c>
      <c r="L381">
        <v>5</v>
      </c>
    </row>
    <row r="382" spans="1:12" x14ac:dyDescent="0.3">
      <c r="A382" t="s">
        <v>318</v>
      </c>
      <c r="B382" t="s">
        <v>537</v>
      </c>
      <c r="C382" t="s">
        <v>231</v>
      </c>
      <c r="D382" t="s">
        <v>304</v>
      </c>
      <c r="H382">
        <v>37</v>
      </c>
      <c r="I382">
        <v>111</v>
      </c>
      <c r="L382">
        <v>20</v>
      </c>
    </row>
    <row r="383" spans="1:12" x14ac:dyDescent="0.3">
      <c r="A383" t="s">
        <v>318</v>
      </c>
      <c r="B383" t="s">
        <v>537</v>
      </c>
      <c r="C383" t="s">
        <v>231</v>
      </c>
      <c r="D383" t="s">
        <v>309</v>
      </c>
      <c r="H383">
        <v>17</v>
      </c>
      <c r="I383">
        <v>46</v>
      </c>
      <c r="L383">
        <v>10</v>
      </c>
    </row>
    <row r="384" spans="1:12" x14ac:dyDescent="0.3">
      <c r="A384" t="s">
        <v>318</v>
      </c>
      <c r="B384" t="s">
        <v>537</v>
      </c>
      <c r="C384" t="s">
        <v>237</v>
      </c>
      <c r="D384" t="s">
        <v>234</v>
      </c>
      <c r="H384">
        <v>58</v>
      </c>
      <c r="I384">
        <v>205.5</v>
      </c>
      <c r="L384">
        <v>36</v>
      </c>
    </row>
    <row r="385" spans="1:12" x14ac:dyDescent="0.3">
      <c r="A385" t="s">
        <v>318</v>
      </c>
      <c r="B385" t="s">
        <v>537</v>
      </c>
      <c r="C385" t="s">
        <v>237</v>
      </c>
      <c r="D385" t="s">
        <v>255</v>
      </c>
      <c r="H385">
        <v>5</v>
      </c>
      <c r="I385">
        <v>16</v>
      </c>
      <c r="L385">
        <v>5</v>
      </c>
    </row>
    <row r="386" spans="1:12" x14ac:dyDescent="0.3">
      <c r="A386" t="s">
        <v>318</v>
      </c>
      <c r="B386" t="s">
        <v>537</v>
      </c>
      <c r="C386" t="s">
        <v>237</v>
      </c>
      <c r="D386" t="s">
        <v>263</v>
      </c>
      <c r="H386">
        <v>20</v>
      </c>
      <c r="I386">
        <v>53</v>
      </c>
      <c r="L386">
        <v>15</v>
      </c>
    </row>
    <row r="387" spans="1:12" x14ac:dyDescent="0.3">
      <c r="A387" t="s">
        <v>318</v>
      </c>
      <c r="B387" t="s">
        <v>537</v>
      </c>
      <c r="C387" t="s">
        <v>237</v>
      </c>
      <c r="D387" t="s">
        <v>279</v>
      </c>
      <c r="H387">
        <v>5</v>
      </c>
      <c r="I387">
        <v>17</v>
      </c>
      <c r="L387">
        <v>5</v>
      </c>
    </row>
    <row r="388" spans="1:12" x14ac:dyDescent="0.3">
      <c r="A388" t="s">
        <v>318</v>
      </c>
      <c r="B388" t="s">
        <v>537</v>
      </c>
      <c r="C388" t="s">
        <v>237</v>
      </c>
      <c r="D388" t="s">
        <v>298</v>
      </c>
      <c r="H388">
        <v>8</v>
      </c>
      <c r="I388">
        <v>33</v>
      </c>
      <c r="L388">
        <v>10</v>
      </c>
    </row>
    <row r="389" spans="1:12" x14ac:dyDescent="0.3">
      <c r="A389" t="s">
        <v>318</v>
      </c>
      <c r="B389" t="s">
        <v>537</v>
      </c>
      <c r="C389" t="s">
        <v>237</v>
      </c>
      <c r="D389" t="s">
        <v>311</v>
      </c>
      <c r="H389">
        <v>11</v>
      </c>
      <c r="I389">
        <v>35</v>
      </c>
      <c r="L389">
        <v>10</v>
      </c>
    </row>
    <row r="390" spans="1:12" x14ac:dyDescent="0.3">
      <c r="A390" t="s">
        <v>318</v>
      </c>
      <c r="B390" t="s">
        <v>537</v>
      </c>
      <c r="C390" t="s">
        <v>217</v>
      </c>
      <c r="D390" t="s">
        <v>215</v>
      </c>
      <c r="H390">
        <v>35</v>
      </c>
      <c r="I390">
        <v>99</v>
      </c>
      <c r="L390">
        <v>15</v>
      </c>
    </row>
    <row r="391" spans="1:12" x14ac:dyDescent="0.3">
      <c r="A391" t="s">
        <v>318</v>
      </c>
      <c r="B391" t="s">
        <v>537</v>
      </c>
      <c r="C391" t="s">
        <v>217</v>
      </c>
      <c r="D391" t="s">
        <v>220</v>
      </c>
      <c r="H391">
        <v>5</v>
      </c>
      <c r="I391">
        <v>19</v>
      </c>
      <c r="L391">
        <v>5</v>
      </c>
    </row>
    <row r="392" spans="1:12" x14ac:dyDescent="0.3">
      <c r="A392" t="s">
        <v>318</v>
      </c>
      <c r="B392" t="s">
        <v>537</v>
      </c>
      <c r="C392" t="s">
        <v>217</v>
      </c>
      <c r="D392" t="s">
        <v>224</v>
      </c>
      <c r="H392">
        <v>5</v>
      </c>
      <c r="I392">
        <v>17</v>
      </c>
      <c r="L392">
        <v>5</v>
      </c>
    </row>
    <row r="393" spans="1:12" x14ac:dyDescent="0.3">
      <c r="A393" t="s">
        <v>318</v>
      </c>
      <c r="B393" t="s">
        <v>537</v>
      </c>
      <c r="C393" t="s">
        <v>217</v>
      </c>
      <c r="D393" t="s">
        <v>247</v>
      </c>
      <c r="H393">
        <v>36</v>
      </c>
      <c r="I393">
        <v>127</v>
      </c>
      <c r="L393">
        <v>19</v>
      </c>
    </row>
    <row r="394" spans="1:12" x14ac:dyDescent="0.3">
      <c r="A394" t="s">
        <v>318</v>
      </c>
      <c r="B394" t="s">
        <v>537</v>
      </c>
      <c r="C394" t="s">
        <v>217</v>
      </c>
      <c r="D394" t="s">
        <v>273</v>
      </c>
      <c r="H394">
        <v>15</v>
      </c>
      <c r="I394">
        <v>54</v>
      </c>
      <c r="L394">
        <v>5</v>
      </c>
    </row>
    <row r="395" spans="1:12" x14ac:dyDescent="0.3">
      <c r="A395" t="s">
        <v>318</v>
      </c>
      <c r="B395" t="s">
        <v>537</v>
      </c>
      <c r="C395" t="s">
        <v>217</v>
      </c>
      <c r="D395" t="s">
        <v>281</v>
      </c>
      <c r="H395">
        <v>5</v>
      </c>
      <c r="I395">
        <v>20</v>
      </c>
      <c r="L395">
        <v>5</v>
      </c>
    </row>
    <row r="396" spans="1:12" x14ac:dyDescent="0.3">
      <c r="A396" t="s">
        <v>318</v>
      </c>
      <c r="B396" t="s">
        <v>537</v>
      </c>
      <c r="C396" t="s">
        <v>217</v>
      </c>
      <c r="D396" t="s">
        <v>294</v>
      </c>
      <c r="H396">
        <v>10</v>
      </c>
      <c r="I396">
        <v>48</v>
      </c>
      <c r="L396">
        <v>5</v>
      </c>
    </row>
    <row r="397" spans="1:12" x14ac:dyDescent="0.3">
      <c r="A397" t="s">
        <v>318</v>
      </c>
      <c r="B397" t="s">
        <v>540</v>
      </c>
      <c r="D397" t="s">
        <v>313</v>
      </c>
      <c r="F397">
        <v>1</v>
      </c>
      <c r="H397">
        <v>6</v>
      </c>
      <c r="I397">
        <v>4</v>
      </c>
      <c r="J397">
        <v>4</v>
      </c>
      <c r="K397">
        <v>11</v>
      </c>
      <c r="L397">
        <v>11</v>
      </c>
    </row>
    <row r="398" spans="1:12" x14ac:dyDescent="0.3">
      <c r="A398" t="s">
        <v>318</v>
      </c>
      <c r="B398" t="s">
        <v>540</v>
      </c>
      <c r="C398" t="s">
        <v>231</v>
      </c>
      <c r="D398" t="s">
        <v>230</v>
      </c>
      <c r="F398">
        <v>1</v>
      </c>
      <c r="H398">
        <v>6</v>
      </c>
      <c r="I398">
        <v>2</v>
      </c>
      <c r="J398">
        <v>3</v>
      </c>
      <c r="K398">
        <v>7</v>
      </c>
      <c r="L398">
        <v>7</v>
      </c>
    </row>
    <row r="399" spans="1:12" x14ac:dyDescent="0.3">
      <c r="A399" t="s">
        <v>318</v>
      </c>
      <c r="B399" t="s">
        <v>540</v>
      </c>
      <c r="C399" t="s">
        <v>231</v>
      </c>
      <c r="D399" t="s">
        <v>244</v>
      </c>
      <c r="F399">
        <v>1</v>
      </c>
      <c r="H399">
        <v>4</v>
      </c>
      <c r="I399">
        <v>1.83</v>
      </c>
      <c r="J399">
        <v>2</v>
      </c>
      <c r="K399">
        <v>6</v>
      </c>
      <c r="L399">
        <v>6</v>
      </c>
    </row>
    <row r="400" spans="1:12" x14ac:dyDescent="0.3">
      <c r="A400" t="s">
        <v>318</v>
      </c>
      <c r="B400" t="s">
        <v>540</v>
      </c>
      <c r="C400" t="s">
        <v>231</v>
      </c>
      <c r="D400" t="s">
        <v>251</v>
      </c>
      <c r="F400">
        <v>1</v>
      </c>
      <c r="H400">
        <v>5</v>
      </c>
      <c r="I400">
        <v>0.6</v>
      </c>
      <c r="J400">
        <v>3</v>
      </c>
      <c r="K400">
        <v>9</v>
      </c>
      <c r="L400">
        <v>8</v>
      </c>
    </row>
    <row r="401" spans="1:12" x14ac:dyDescent="0.3">
      <c r="A401" t="s">
        <v>318</v>
      </c>
      <c r="B401" t="s">
        <v>540</v>
      </c>
      <c r="C401" t="s">
        <v>231</v>
      </c>
      <c r="D401" t="s">
        <v>261</v>
      </c>
      <c r="F401">
        <v>1</v>
      </c>
      <c r="H401">
        <v>2</v>
      </c>
      <c r="I401">
        <v>1</v>
      </c>
      <c r="J401">
        <v>4</v>
      </c>
      <c r="K401">
        <v>5</v>
      </c>
      <c r="L401">
        <v>4</v>
      </c>
    </row>
    <row r="402" spans="1:12" x14ac:dyDescent="0.3">
      <c r="A402" t="s">
        <v>318</v>
      </c>
      <c r="B402" t="s">
        <v>540</v>
      </c>
      <c r="C402" t="s">
        <v>231</v>
      </c>
      <c r="D402" t="s">
        <v>270</v>
      </c>
      <c r="F402">
        <v>1</v>
      </c>
      <c r="H402">
        <v>2</v>
      </c>
      <c r="I402">
        <v>2</v>
      </c>
      <c r="J402">
        <v>5</v>
      </c>
      <c r="K402">
        <v>9</v>
      </c>
      <c r="L402">
        <v>7</v>
      </c>
    </row>
    <row r="403" spans="1:12" x14ac:dyDescent="0.3">
      <c r="A403" t="s">
        <v>318</v>
      </c>
      <c r="B403" t="s">
        <v>540</v>
      </c>
      <c r="C403" t="s">
        <v>231</v>
      </c>
      <c r="D403" t="s">
        <v>289</v>
      </c>
      <c r="F403">
        <v>1</v>
      </c>
      <c r="H403">
        <v>2</v>
      </c>
      <c r="J403">
        <v>2</v>
      </c>
      <c r="K403">
        <v>5</v>
      </c>
      <c r="L403">
        <v>5</v>
      </c>
    </row>
    <row r="404" spans="1:12" x14ac:dyDescent="0.3">
      <c r="A404" t="s">
        <v>318</v>
      </c>
      <c r="B404" t="s">
        <v>540</v>
      </c>
      <c r="C404" t="s">
        <v>231</v>
      </c>
      <c r="D404" t="s">
        <v>304</v>
      </c>
      <c r="F404">
        <v>1</v>
      </c>
      <c r="H404">
        <v>3</v>
      </c>
      <c r="J404">
        <v>2</v>
      </c>
      <c r="K404">
        <v>6</v>
      </c>
      <c r="L404">
        <v>4</v>
      </c>
    </row>
    <row r="405" spans="1:12" x14ac:dyDescent="0.3">
      <c r="A405" t="s">
        <v>318</v>
      </c>
      <c r="B405" t="s">
        <v>540</v>
      </c>
      <c r="C405" t="s">
        <v>237</v>
      </c>
      <c r="D405" t="s">
        <v>257</v>
      </c>
      <c r="F405">
        <v>1</v>
      </c>
      <c r="H405">
        <v>3</v>
      </c>
      <c r="I405">
        <v>4</v>
      </c>
      <c r="J405">
        <v>3</v>
      </c>
      <c r="K405">
        <v>7</v>
      </c>
      <c r="L405">
        <v>10</v>
      </c>
    </row>
    <row r="406" spans="1:12" x14ac:dyDescent="0.3">
      <c r="A406" t="s">
        <v>318</v>
      </c>
      <c r="B406" t="s">
        <v>540</v>
      </c>
      <c r="C406" t="s">
        <v>237</v>
      </c>
      <c r="D406" t="s">
        <v>236</v>
      </c>
      <c r="F406">
        <v>1</v>
      </c>
      <c r="H406">
        <v>3</v>
      </c>
      <c r="I406">
        <v>3.5</v>
      </c>
      <c r="J406">
        <v>3</v>
      </c>
      <c r="K406">
        <v>7</v>
      </c>
      <c r="L406">
        <v>10</v>
      </c>
    </row>
    <row r="407" spans="1:12" x14ac:dyDescent="0.3">
      <c r="A407" t="s">
        <v>318</v>
      </c>
      <c r="B407" t="s">
        <v>540</v>
      </c>
      <c r="C407" t="s">
        <v>237</v>
      </c>
      <c r="D407" t="s">
        <v>265</v>
      </c>
      <c r="F407">
        <v>1</v>
      </c>
      <c r="H407">
        <v>3</v>
      </c>
      <c r="I407">
        <v>2</v>
      </c>
      <c r="J407">
        <v>2</v>
      </c>
      <c r="K407">
        <v>5</v>
      </c>
      <c r="L407">
        <v>6</v>
      </c>
    </row>
    <row r="408" spans="1:12" x14ac:dyDescent="0.3">
      <c r="A408" t="s">
        <v>318</v>
      </c>
      <c r="B408" t="s">
        <v>540</v>
      </c>
      <c r="C408" t="s">
        <v>217</v>
      </c>
      <c r="D408" t="s">
        <v>215</v>
      </c>
      <c r="F408">
        <v>1</v>
      </c>
      <c r="H408">
        <v>1</v>
      </c>
      <c r="I408">
        <v>1</v>
      </c>
      <c r="J408">
        <v>2</v>
      </c>
      <c r="K408">
        <v>3</v>
      </c>
      <c r="L408">
        <v>4</v>
      </c>
    </row>
    <row r="409" spans="1:12" x14ac:dyDescent="0.3">
      <c r="A409" t="s">
        <v>318</v>
      </c>
      <c r="B409" t="s">
        <v>540</v>
      </c>
      <c r="C409" t="s">
        <v>217</v>
      </c>
      <c r="D409" t="s">
        <v>222</v>
      </c>
      <c r="F409">
        <v>1</v>
      </c>
      <c r="H409">
        <v>4</v>
      </c>
      <c r="I409">
        <v>1</v>
      </c>
      <c r="J409">
        <v>3</v>
      </c>
      <c r="K409">
        <v>9</v>
      </c>
      <c r="L409">
        <v>8</v>
      </c>
    </row>
    <row r="410" spans="1:12" x14ac:dyDescent="0.3">
      <c r="A410" t="s">
        <v>318</v>
      </c>
      <c r="B410" t="s">
        <v>540</v>
      </c>
      <c r="C410" t="s">
        <v>217</v>
      </c>
      <c r="D410" t="s">
        <v>226</v>
      </c>
      <c r="F410">
        <v>1</v>
      </c>
      <c r="H410">
        <v>4</v>
      </c>
      <c r="I410">
        <v>1</v>
      </c>
      <c r="J410">
        <v>4</v>
      </c>
      <c r="K410">
        <v>8</v>
      </c>
      <c r="L410">
        <v>10</v>
      </c>
    </row>
    <row r="411" spans="1:12" x14ac:dyDescent="0.3">
      <c r="A411" t="s">
        <v>318</v>
      </c>
      <c r="B411" t="s">
        <v>540</v>
      </c>
      <c r="C411" t="s">
        <v>217</v>
      </c>
      <c r="D411" t="s">
        <v>275</v>
      </c>
      <c r="F411">
        <v>1</v>
      </c>
      <c r="H411">
        <v>7</v>
      </c>
      <c r="I411">
        <v>1</v>
      </c>
      <c r="J411">
        <v>4</v>
      </c>
      <c r="K411">
        <v>12</v>
      </c>
      <c r="L411">
        <v>10</v>
      </c>
    </row>
    <row r="412" spans="1:12" x14ac:dyDescent="0.3">
      <c r="A412" t="s">
        <v>318</v>
      </c>
      <c r="B412" t="s">
        <v>540</v>
      </c>
      <c r="C412" t="s">
        <v>217</v>
      </c>
      <c r="D412" t="s">
        <v>285</v>
      </c>
      <c r="F412">
        <v>1</v>
      </c>
      <c r="J412">
        <v>3</v>
      </c>
      <c r="K412">
        <v>7</v>
      </c>
      <c r="L412">
        <v>4</v>
      </c>
    </row>
    <row r="413" spans="1:12" x14ac:dyDescent="0.3">
      <c r="A413" t="s">
        <v>318</v>
      </c>
      <c r="B413" t="s">
        <v>542</v>
      </c>
      <c r="C413" t="s">
        <v>231</v>
      </c>
      <c r="D413" t="s">
        <v>232</v>
      </c>
      <c r="F413">
        <v>3</v>
      </c>
      <c r="H413">
        <v>17</v>
      </c>
      <c r="I413">
        <v>25</v>
      </c>
      <c r="J413">
        <v>5</v>
      </c>
      <c r="K413">
        <v>5</v>
      </c>
      <c r="L413">
        <v>36</v>
      </c>
    </row>
    <row r="414" spans="1:12" x14ac:dyDescent="0.3">
      <c r="A414" t="s">
        <v>318</v>
      </c>
      <c r="B414" t="s">
        <v>542</v>
      </c>
      <c r="C414" t="s">
        <v>237</v>
      </c>
      <c r="D414" t="s">
        <v>238</v>
      </c>
      <c r="F414">
        <v>1</v>
      </c>
      <c r="H414">
        <v>6</v>
      </c>
      <c r="I414">
        <v>20</v>
      </c>
      <c r="J414">
        <v>2</v>
      </c>
      <c r="K414">
        <v>5</v>
      </c>
      <c r="L414">
        <v>32</v>
      </c>
    </row>
    <row r="415" spans="1:12" x14ac:dyDescent="0.3">
      <c r="A415" t="s">
        <v>318</v>
      </c>
      <c r="B415" t="s">
        <v>542</v>
      </c>
      <c r="C415" t="s">
        <v>217</v>
      </c>
      <c r="D415" t="s">
        <v>218</v>
      </c>
      <c r="F415">
        <v>2</v>
      </c>
      <c r="H415">
        <v>13</v>
      </c>
      <c r="I415">
        <v>13</v>
      </c>
      <c r="J415">
        <v>2</v>
      </c>
      <c r="K415">
        <v>6</v>
      </c>
      <c r="L415">
        <v>19</v>
      </c>
    </row>
    <row r="416" spans="1:12" x14ac:dyDescent="0.3">
      <c r="A416" t="s">
        <v>318</v>
      </c>
      <c r="B416" t="s">
        <v>544</v>
      </c>
      <c r="C416" t="s">
        <v>549</v>
      </c>
      <c r="D416" t="s">
        <v>545</v>
      </c>
      <c r="F416">
        <v>13</v>
      </c>
      <c r="G416">
        <v>5</v>
      </c>
      <c r="I416">
        <v>1</v>
      </c>
      <c r="J416">
        <v>21</v>
      </c>
      <c r="K416">
        <v>20</v>
      </c>
      <c r="L416">
        <v>30</v>
      </c>
    </row>
    <row r="417" spans="1:12" x14ac:dyDescent="0.3">
      <c r="A417" t="s">
        <v>320</v>
      </c>
      <c r="B417" t="s">
        <v>537</v>
      </c>
      <c r="D417" t="s">
        <v>215</v>
      </c>
      <c r="H417">
        <v>35</v>
      </c>
      <c r="I417">
        <v>103</v>
      </c>
      <c r="L417">
        <v>16</v>
      </c>
    </row>
    <row r="418" spans="1:12" x14ac:dyDescent="0.3">
      <c r="A418" t="s">
        <v>320</v>
      </c>
      <c r="B418" t="s">
        <v>537</v>
      </c>
      <c r="D418" t="s">
        <v>220</v>
      </c>
      <c r="H418">
        <v>5</v>
      </c>
      <c r="I418">
        <v>18</v>
      </c>
      <c r="L418">
        <v>5</v>
      </c>
    </row>
    <row r="419" spans="1:12" x14ac:dyDescent="0.3">
      <c r="A419" t="s">
        <v>320</v>
      </c>
      <c r="B419" t="s">
        <v>537</v>
      </c>
      <c r="D419" t="s">
        <v>224</v>
      </c>
      <c r="H419">
        <v>5</v>
      </c>
      <c r="I419">
        <v>16</v>
      </c>
      <c r="L419">
        <v>5</v>
      </c>
    </row>
    <row r="420" spans="1:12" x14ac:dyDescent="0.3">
      <c r="A420" t="s">
        <v>320</v>
      </c>
      <c r="B420" t="s">
        <v>537</v>
      </c>
      <c r="D420" t="s">
        <v>228</v>
      </c>
      <c r="H420">
        <v>8</v>
      </c>
      <c r="I420">
        <v>28</v>
      </c>
      <c r="L420">
        <v>10</v>
      </c>
    </row>
    <row r="421" spans="1:12" x14ac:dyDescent="0.3">
      <c r="A421" t="s">
        <v>320</v>
      </c>
      <c r="B421" t="s">
        <v>537</v>
      </c>
      <c r="D421" t="s">
        <v>234</v>
      </c>
      <c r="H421">
        <v>58</v>
      </c>
      <c r="I421">
        <v>201.5</v>
      </c>
      <c r="L421">
        <v>35</v>
      </c>
    </row>
    <row r="422" spans="1:12" x14ac:dyDescent="0.3">
      <c r="A422" t="s">
        <v>320</v>
      </c>
      <c r="B422" t="s">
        <v>537</v>
      </c>
      <c r="D422" t="s">
        <v>240</v>
      </c>
      <c r="H422">
        <v>4</v>
      </c>
      <c r="I422">
        <v>15</v>
      </c>
      <c r="L422">
        <v>5</v>
      </c>
    </row>
    <row r="423" spans="1:12" x14ac:dyDescent="0.3">
      <c r="A423" t="s">
        <v>320</v>
      </c>
      <c r="B423" t="s">
        <v>537</v>
      </c>
      <c r="D423" t="s">
        <v>244</v>
      </c>
      <c r="H423">
        <v>10</v>
      </c>
      <c r="I423">
        <v>35</v>
      </c>
      <c r="L423">
        <v>5</v>
      </c>
    </row>
    <row r="424" spans="1:12" x14ac:dyDescent="0.3">
      <c r="A424" t="s">
        <v>320</v>
      </c>
      <c r="B424" t="s">
        <v>537</v>
      </c>
      <c r="D424" t="s">
        <v>247</v>
      </c>
      <c r="H424">
        <v>35</v>
      </c>
      <c r="I424">
        <v>119</v>
      </c>
      <c r="L424">
        <v>20</v>
      </c>
    </row>
    <row r="425" spans="1:12" x14ac:dyDescent="0.3">
      <c r="A425" t="s">
        <v>320</v>
      </c>
      <c r="B425" t="s">
        <v>537</v>
      </c>
      <c r="D425" t="s">
        <v>249</v>
      </c>
      <c r="H425">
        <v>10</v>
      </c>
      <c r="I425">
        <v>31</v>
      </c>
      <c r="L425">
        <v>5</v>
      </c>
    </row>
    <row r="426" spans="1:12" x14ac:dyDescent="0.3">
      <c r="A426" t="s">
        <v>320</v>
      </c>
      <c r="B426" t="s">
        <v>537</v>
      </c>
      <c r="D426" t="s">
        <v>253</v>
      </c>
      <c r="H426">
        <v>13</v>
      </c>
      <c r="I426">
        <v>46</v>
      </c>
      <c r="L426">
        <v>16</v>
      </c>
    </row>
    <row r="427" spans="1:12" x14ac:dyDescent="0.3">
      <c r="A427" t="s">
        <v>320</v>
      </c>
      <c r="B427" t="s">
        <v>537</v>
      </c>
      <c r="D427" t="s">
        <v>255</v>
      </c>
      <c r="H427">
        <v>4</v>
      </c>
      <c r="I427">
        <v>14</v>
      </c>
      <c r="L427">
        <v>6</v>
      </c>
    </row>
    <row r="428" spans="1:12" x14ac:dyDescent="0.3">
      <c r="A428" t="s">
        <v>320</v>
      </c>
      <c r="B428" t="s">
        <v>537</v>
      </c>
      <c r="D428" t="s">
        <v>259</v>
      </c>
      <c r="H428">
        <v>7</v>
      </c>
      <c r="I428">
        <v>30</v>
      </c>
      <c r="L428">
        <v>10</v>
      </c>
    </row>
    <row r="429" spans="1:12" x14ac:dyDescent="0.3">
      <c r="A429" t="s">
        <v>320</v>
      </c>
      <c r="B429" t="s">
        <v>537</v>
      </c>
      <c r="D429" t="s">
        <v>263</v>
      </c>
      <c r="H429">
        <v>19</v>
      </c>
      <c r="I429">
        <v>53</v>
      </c>
      <c r="L429">
        <v>15</v>
      </c>
    </row>
    <row r="430" spans="1:12" x14ac:dyDescent="0.3">
      <c r="A430" t="s">
        <v>320</v>
      </c>
      <c r="B430" t="s">
        <v>537</v>
      </c>
      <c r="D430" t="s">
        <v>267</v>
      </c>
      <c r="H430">
        <v>50</v>
      </c>
      <c r="I430">
        <v>179</v>
      </c>
      <c r="L430">
        <v>25</v>
      </c>
    </row>
    <row r="431" spans="1:12" x14ac:dyDescent="0.3">
      <c r="A431" t="s">
        <v>320</v>
      </c>
      <c r="B431" t="s">
        <v>537</v>
      </c>
      <c r="D431" t="s">
        <v>270</v>
      </c>
      <c r="H431">
        <v>106</v>
      </c>
      <c r="I431">
        <v>332</v>
      </c>
      <c r="L431">
        <v>55</v>
      </c>
    </row>
    <row r="432" spans="1:12" x14ac:dyDescent="0.3">
      <c r="A432" t="s">
        <v>320</v>
      </c>
      <c r="B432" t="s">
        <v>537</v>
      </c>
      <c r="D432" t="s">
        <v>273</v>
      </c>
      <c r="H432">
        <v>15</v>
      </c>
      <c r="I432">
        <v>50</v>
      </c>
      <c r="L432">
        <v>5</v>
      </c>
    </row>
    <row r="433" spans="1:12" x14ac:dyDescent="0.3">
      <c r="A433" t="s">
        <v>320</v>
      </c>
      <c r="B433" t="s">
        <v>537</v>
      </c>
      <c r="D433" t="s">
        <v>277</v>
      </c>
      <c r="H433">
        <v>12</v>
      </c>
      <c r="I433">
        <v>46</v>
      </c>
      <c r="L433">
        <v>10</v>
      </c>
    </row>
    <row r="434" spans="1:12" x14ac:dyDescent="0.3">
      <c r="A434" t="s">
        <v>320</v>
      </c>
      <c r="B434" t="s">
        <v>537</v>
      </c>
      <c r="D434" t="s">
        <v>279</v>
      </c>
      <c r="H434">
        <v>4</v>
      </c>
      <c r="I434">
        <v>17</v>
      </c>
      <c r="L434">
        <v>5</v>
      </c>
    </row>
    <row r="435" spans="1:12" x14ac:dyDescent="0.3">
      <c r="A435" t="s">
        <v>320</v>
      </c>
      <c r="B435" t="s">
        <v>537</v>
      </c>
      <c r="D435" t="s">
        <v>281</v>
      </c>
      <c r="H435">
        <v>5</v>
      </c>
      <c r="I435">
        <v>20</v>
      </c>
      <c r="L435">
        <v>5</v>
      </c>
    </row>
    <row r="436" spans="1:12" x14ac:dyDescent="0.3">
      <c r="A436" t="s">
        <v>320</v>
      </c>
      <c r="B436" t="s">
        <v>537</v>
      </c>
      <c r="D436" t="s">
        <v>287</v>
      </c>
      <c r="H436">
        <v>14</v>
      </c>
      <c r="I436">
        <v>46</v>
      </c>
      <c r="L436">
        <v>14</v>
      </c>
    </row>
    <row r="437" spans="1:12" x14ac:dyDescent="0.3">
      <c r="A437" t="s">
        <v>320</v>
      </c>
      <c r="B437" t="s">
        <v>537</v>
      </c>
      <c r="D437" t="s">
        <v>289</v>
      </c>
      <c r="H437">
        <v>37</v>
      </c>
      <c r="I437">
        <v>100</v>
      </c>
      <c r="L437">
        <v>19</v>
      </c>
    </row>
    <row r="438" spans="1:12" x14ac:dyDescent="0.3">
      <c r="A438" t="s">
        <v>320</v>
      </c>
      <c r="B438" t="s">
        <v>537</v>
      </c>
      <c r="D438" t="s">
        <v>294</v>
      </c>
      <c r="H438">
        <v>9</v>
      </c>
      <c r="I438">
        <v>53</v>
      </c>
      <c r="L438">
        <v>4</v>
      </c>
    </row>
    <row r="439" spans="1:12" x14ac:dyDescent="0.3">
      <c r="A439" t="s">
        <v>320</v>
      </c>
      <c r="B439" t="s">
        <v>537</v>
      </c>
      <c r="D439" t="s">
        <v>296</v>
      </c>
      <c r="H439">
        <v>19</v>
      </c>
      <c r="I439">
        <v>63</v>
      </c>
      <c r="L439">
        <v>17</v>
      </c>
    </row>
    <row r="440" spans="1:12" x14ac:dyDescent="0.3">
      <c r="A440" t="s">
        <v>320</v>
      </c>
      <c r="B440" t="s">
        <v>537</v>
      </c>
      <c r="D440" t="s">
        <v>298</v>
      </c>
      <c r="H440">
        <v>10</v>
      </c>
      <c r="I440">
        <v>33</v>
      </c>
      <c r="L440">
        <v>10</v>
      </c>
    </row>
    <row r="441" spans="1:12" x14ac:dyDescent="0.3">
      <c r="A441" t="s">
        <v>320</v>
      </c>
      <c r="B441" t="s">
        <v>537</v>
      </c>
      <c r="D441" t="s">
        <v>302</v>
      </c>
      <c r="H441">
        <v>10</v>
      </c>
      <c r="I441">
        <v>32</v>
      </c>
      <c r="L441">
        <v>5</v>
      </c>
    </row>
    <row r="442" spans="1:12" x14ac:dyDescent="0.3">
      <c r="A442" t="s">
        <v>320</v>
      </c>
      <c r="B442" t="s">
        <v>537</v>
      </c>
      <c r="D442" t="s">
        <v>304</v>
      </c>
      <c r="H442">
        <v>36</v>
      </c>
      <c r="I442">
        <v>99</v>
      </c>
      <c r="L442">
        <v>20</v>
      </c>
    </row>
    <row r="443" spans="1:12" x14ac:dyDescent="0.3">
      <c r="A443" t="s">
        <v>320</v>
      </c>
      <c r="B443" t="s">
        <v>537</v>
      </c>
      <c r="D443" t="s">
        <v>307</v>
      </c>
      <c r="H443">
        <v>11</v>
      </c>
      <c r="I443">
        <v>33</v>
      </c>
      <c r="L443">
        <v>5</v>
      </c>
    </row>
    <row r="444" spans="1:12" x14ac:dyDescent="0.3">
      <c r="A444" t="s">
        <v>320</v>
      </c>
      <c r="B444" t="s">
        <v>537</v>
      </c>
      <c r="D444" t="s">
        <v>309</v>
      </c>
      <c r="H444">
        <v>11</v>
      </c>
      <c r="I444">
        <v>47</v>
      </c>
      <c r="L444">
        <v>11</v>
      </c>
    </row>
    <row r="445" spans="1:12" x14ac:dyDescent="0.3">
      <c r="A445" t="s">
        <v>320</v>
      </c>
      <c r="B445" t="s">
        <v>537</v>
      </c>
      <c r="D445" t="s">
        <v>311</v>
      </c>
      <c r="H445">
        <v>10</v>
      </c>
      <c r="I445">
        <v>37.5</v>
      </c>
      <c r="L445">
        <v>10</v>
      </c>
    </row>
    <row r="446" spans="1:12" x14ac:dyDescent="0.3">
      <c r="A446" t="s">
        <v>320</v>
      </c>
      <c r="B446" t="s">
        <v>540</v>
      </c>
      <c r="D446" t="s">
        <v>322</v>
      </c>
      <c r="F446">
        <v>1</v>
      </c>
      <c r="H446">
        <v>5</v>
      </c>
      <c r="I446">
        <v>2</v>
      </c>
      <c r="J446">
        <v>4</v>
      </c>
      <c r="K446">
        <v>12</v>
      </c>
      <c r="L446">
        <v>12</v>
      </c>
    </row>
    <row r="447" spans="1:12" x14ac:dyDescent="0.3">
      <c r="A447" t="s">
        <v>320</v>
      </c>
      <c r="B447" t="s">
        <v>540</v>
      </c>
      <c r="D447" t="s">
        <v>230</v>
      </c>
      <c r="F447">
        <v>1</v>
      </c>
      <c r="H447">
        <v>6</v>
      </c>
      <c r="I447">
        <v>2</v>
      </c>
      <c r="J447">
        <v>4</v>
      </c>
      <c r="K447">
        <v>8</v>
      </c>
      <c r="L447">
        <v>7</v>
      </c>
    </row>
    <row r="448" spans="1:12" x14ac:dyDescent="0.3">
      <c r="A448" t="s">
        <v>320</v>
      </c>
      <c r="B448" t="s">
        <v>540</v>
      </c>
      <c r="D448" t="s">
        <v>244</v>
      </c>
      <c r="F448">
        <v>1</v>
      </c>
      <c r="H448">
        <v>4</v>
      </c>
      <c r="I448">
        <v>1.83</v>
      </c>
      <c r="J448">
        <v>2</v>
      </c>
      <c r="K448">
        <v>6</v>
      </c>
      <c r="L448">
        <v>7</v>
      </c>
    </row>
    <row r="449" spans="1:12" x14ac:dyDescent="0.3">
      <c r="A449" t="s">
        <v>320</v>
      </c>
      <c r="B449" t="s">
        <v>540</v>
      </c>
      <c r="D449" t="s">
        <v>226</v>
      </c>
      <c r="F449">
        <v>1</v>
      </c>
      <c r="H449">
        <v>5</v>
      </c>
      <c r="I449">
        <v>2</v>
      </c>
      <c r="J449">
        <v>4</v>
      </c>
      <c r="K449">
        <v>8</v>
      </c>
      <c r="L449">
        <v>11</v>
      </c>
    </row>
    <row r="450" spans="1:12" x14ac:dyDescent="0.3">
      <c r="A450" t="s">
        <v>320</v>
      </c>
      <c r="B450" t="s">
        <v>540</v>
      </c>
      <c r="D450" t="s">
        <v>251</v>
      </c>
      <c r="F450">
        <v>1</v>
      </c>
      <c r="H450">
        <v>3</v>
      </c>
      <c r="I450">
        <v>0.6</v>
      </c>
      <c r="J450">
        <v>3</v>
      </c>
      <c r="K450">
        <v>11</v>
      </c>
      <c r="L450">
        <v>8</v>
      </c>
    </row>
    <row r="451" spans="1:12" x14ac:dyDescent="0.3">
      <c r="A451" t="s">
        <v>320</v>
      </c>
      <c r="B451" t="s">
        <v>540</v>
      </c>
      <c r="D451" t="s">
        <v>257</v>
      </c>
      <c r="F451">
        <v>1</v>
      </c>
      <c r="H451">
        <v>6</v>
      </c>
      <c r="I451">
        <v>4</v>
      </c>
      <c r="J451">
        <v>3</v>
      </c>
      <c r="K451">
        <v>7</v>
      </c>
      <c r="L451">
        <v>8</v>
      </c>
    </row>
    <row r="452" spans="1:12" x14ac:dyDescent="0.3">
      <c r="A452" t="s">
        <v>320</v>
      </c>
      <c r="B452" t="s">
        <v>540</v>
      </c>
      <c r="D452" t="s">
        <v>261</v>
      </c>
      <c r="F452">
        <v>1</v>
      </c>
      <c r="H452">
        <v>3</v>
      </c>
      <c r="I452">
        <v>1</v>
      </c>
      <c r="J452">
        <v>3</v>
      </c>
      <c r="K452">
        <v>6</v>
      </c>
      <c r="L452">
        <v>5</v>
      </c>
    </row>
    <row r="453" spans="1:12" x14ac:dyDescent="0.3">
      <c r="A453" t="s">
        <v>320</v>
      </c>
      <c r="B453" t="s">
        <v>540</v>
      </c>
      <c r="D453" t="s">
        <v>236</v>
      </c>
      <c r="F453">
        <v>1</v>
      </c>
      <c r="H453">
        <v>3</v>
      </c>
      <c r="I453">
        <v>4</v>
      </c>
      <c r="J453">
        <v>3</v>
      </c>
      <c r="K453">
        <v>7</v>
      </c>
      <c r="L453">
        <v>9</v>
      </c>
    </row>
    <row r="454" spans="1:12" x14ac:dyDescent="0.3">
      <c r="A454" t="s">
        <v>320</v>
      </c>
      <c r="B454" t="s">
        <v>540</v>
      </c>
      <c r="D454" t="s">
        <v>265</v>
      </c>
      <c r="F454">
        <v>1</v>
      </c>
      <c r="H454">
        <v>3</v>
      </c>
      <c r="I454">
        <v>2</v>
      </c>
      <c r="J454">
        <v>2</v>
      </c>
      <c r="K454">
        <v>4</v>
      </c>
      <c r="L454">
        <v>6</v>
      </c>
    </row>
    <row r="455" spans="1:12" x14ac:dyDescent="0.3">
      <c r="A455" t="s">
        <v>320</v>
      </c>
      <c r="B455" t="s">
        <v>540</v>
      </c>
      <c r="D455" t="s">
        <v>270</v>
      </c>
      <c r="F455">
        <v>1</v>
      </c>
      <c r="H455">
        <v>1</v>
      </c>
      <c r="I455">
        <v>1</v>
      </c>
      <c r="J455">
        <v>4</v>
      </c>
      <c r="K455">
        <v>9</v>
      </c>
      <c r="L455">
        <v>7</v>
      </c>
    </row>
    <row r="456" spans="1:12" x14ac:dyDescent="0.3">
      <c r="A456" t="s">
        <v>320</v>
      </c>
      <c r="B456" t="s">
        <v>540</v>
      </c>
      <c r="D456" t="s">
        <v>275</v>
      </c>
      <c r="F456">
        <v>1</v>
      </c>
      <c r="H456">
        <v>6</v>
      </c>
      <c r="I456">
        <v>2</v>
      </c>
      <c r="J456">
        <v>4</v>
      </c>
      <c r="K456">
        <v>10</v>
      </c>
      <c r="L456">
        <v>10</v>
      </c>
    </row>
    <row r="457" spans="1:12" x14ac:dyDescent="0.3">
      <c r="A457" t="s">
        <v>320</v>
      </c>
      <c r="B457" t="s">
        <v>540</v>
      </c>
      <c r="D457" t="s">
        <v>324</v>
      </c>
      <c r="F457">
        <v>1</v>
      </c>
      <c r="H457">
        <v>4</v>
      </c>
      <c r="I457">
        <v>1</v>
      </c>
      <c r="J457">
        <v>3</v>
      </c>
      <c r="K457">
        <v>11</v>
      </c>
      <c r="L457">
        <v>10</v>
      </c>
    </row>
    <row r="458" spans="1:12" x14ac:dyDescent="0.3">
      <c r="A458" t="s">
        <v>320</v>
      </c>
      <c r="B458" t="s">
        <v>540</v>
      </c>
      <c r="D458" t="s">
        <v>313</v>
      </c>
      <c r="F458">
        <v>1</v>
      </c>
      <c r="H458">
        <v>7</v>
      </c>
      <c r="I458">
        <v>3</v>
      </c>
      <c r="J458">
        <v>4</v>
      </c>
      <c r="K458">
        <v>13</v>
      </c>
      <c r="L458">
        <v>10</v>
      </c>
    </row>
    <row r="459" spans="1:12" x14ac:dyDescent="0.3">
      <c r="A459" t="s">
        <v>320</v>
      </c>
      <c r="B459" t="s">
        <v>540</v>
      </c>
      <c r="D459" t="s">
        <v>285</v>
      </c>
      <c r="F459">
        <v>1</v>
      </c>
      <c r="J459">
        <v>4</v>
      </c>
      <c r="K459">
        <v>7</v>
      </c>
      <c r="L459">
        <v>5</v>
      </c>
    </row>
    <row r="460" spans="1:12" x14ac:dyDescent="0.3">
      <c r="A460" t="s">
        <v>320</v>
      </c>
      <c r="B460" t="s">
        <v>542</v>
      </c>
      <c r="D460" t="s">
        <v>218</v>
      </c>
      <c r="F460">
        <v>2</v>
      </c>
      <c r="H460">
        <v>10</v>
      </c>
      <c r="I460">
        <v>10</v>
      </c>
      <c r="J460">
        <v>2</v>
      </c>
      <c r="K460">
        <v>7</v>
      </c>
      <c r="L460">
        <v>17</v>
      </c>
    </row>
    <row r="461" spans="1:12" x14ac:dyDescent="0.3">
      <c r="A461" t="s">
        <v>320</v>
      </c>
      <c r="B461" t="s">
        <v>542</v>
      </c>
      <c r="D461" t="s">
        <v>232</v>
      </c>
      <c r="F461">
        <v>2</v>
      </c>
      <c r="H461">
        <v>16</v>
      </c>
      <c r="I461">
        <v>34</v>
      </c>
      <c r="J461">
        <v>5</v>
      </c>
      <c r="K461">
        <v>7</v>
      </c>
      <c r="L461">
        <v>43</v>
      </c>
    </row>
    <row r="462" spans="1:12" x14ac:dyDescent="0.3">
      <c r="A462" t="s">
        <v>320</v>
      </c>
      <c r="B462" t="s">
        <v>542</v>
      </c>
      <c r="C462" t="s">
        <v>237</v>
      </c>
      <c r="D462" t="s">
        <v>238</v>
      </c>
      <c r="F462">
        <v>1</v>
      </c>
      <c r="H462">
        <v>6</v>
      </c>
      <c r="I462">
        <v>21</v>
      </c>
      <c r="J462">
        <v>2</v>
      </c>
      <c r="K462">
        <v>5</v>
      </c>
      <c r="L462">
        <v>31</v>
      </c>
    </row>
    <row r="463" spans="1:12" x14ac:dyDescent="0.3">
      <c r="A463" t="s">
        <v>320</v>
      </c>
      <c r="B463" t="s">
        <v>544</v>
      </c>
      <c r="C463" t="s">
        <v>549</v>
      </c>
      <c r="D463" t="s">
        <v>545</v>
      </c>
      <c r="F463">
        <v>16</v>
      </c>
      <c r="G463">
        <v>5</v>
      </c>
      <c r="J463">
        <v>20</v>
      </c>
      <c r="K463">
        <v>19</v>
      </c>
      <c r="L463">
        <v>28</v>
      </c>
    </row>
    <row r="464" spans="1:12" x14ac:dyDescent="0.3">
      <c r="A464" t="s">
        <v>325</v>
      </c>
      <c r="B464" t="s">
        <v>537</v>
      </c>
      <c r="D464" t="s">
        <v>215</v>
      </c>
      <c r="H464">
        <v>32</v>
      </c>
      <c r="I464">
        <v>103</v>
      </c>
      <c r="L464">
        <v>20</v>
      </c>
    </row>
    <row r="465" spans="1:12" x14ac:dyDescent="0.3">
      <c r="A465" t="s">
        <v>325</v>
      </c>
      <c r="B465" t="s">
        <v>537</v>
      </c>
      <c r="D465" t="s">
        <v>220</v>
      </c>
      <c r="H465">
        <v>5</v>
      </c>
      <c r="I465">
        <v>18</v>
      </c>
      <c r="L465">
        <v>5</v>
      </c>
    </row>
    <row r="466" spans="1:12" x14ac:dyDescent="0.3">
      <c r="A466" t="s">
        <v>325</v>
      </c>
      <c r="B466" t="s">
        <v>537</v>
      </c>
      <c r="D466" t="s">
        <v>224</v>
      </c>
      <c r="H466">
        <v>5</v>
      </c>
      <c r="I466">
        <v>14</v>
      </c>
      <c r="L466">
        <v>5</v>
      </c>
    </row>
    <row r="467" spans="1:12" x14ac:dyDescent="0.3">
      <c r="A467" t="s">
        <v>325</v>
      </c>
      <c r="B467" t="s">
        <v>537</v>
      </c>
      <c r="D467" t="s">
        <v>228</v>
      </c>
      <c r="H467">
        <v>11</v>
      </c>
      <c r="I467">
        <v>29</v>
      </c>
      <c r="L467">
        <v>10</v>
      </c>
    </row>
    <row r="468" spans="1:12" x14ac:dyDescent="0.3">
      <c r="A468" t="s">
        <v>325</v>
      </c>
      <c r="B468" t="s">
        <v>537</v>
      </c>
      <c r="D468" t="s">
        <v>234</v>
      </c>
      <c r="H468">
        <v>53</v>
      </c>
      <c r="I468">
        <v>191.5</v>
      </c>
      <c r="L468">
        <v>38</v>
      </c>
    </row>
    <row r="469" spans="1:12" x14ac:dyDescent="0.3">
      <c r="A469" t="s">
        <v>325</v>
      </c>
      <c r="B469" t="s">
        <v>537</v>
      </c>
      <c r="D469" t="s">
        <v>240</v>
      </c>
      <c r="H469">
        <v>6</v>
      </c>
      <c r="I469">
        <v>14</v>
      </c>
      <c r="L469">
        <v>5</v>
      </c>
    </row>
    <row r="470" spans="1:12" x14ac:dyDescent="0.3">
      <c r="A470" t="s">
        <v>325</v>
      </c>
      <c r="B470" t="s">
        <v>537</v>
      </c>
      <c r="D470" t="s">
        <v>244</v>
      </c>
      <c r="H470">
        <v>9</v>
      </c>
      <c r="I470">
        <v>37</v>
      </c>
      <c r="L470">
        <v>5</v>
      </c>
    </row>
    <row r="471" spans="1:12" x14ac:dyDescent="0.3">
      <c r="A471" t="s">
        <v>325</v>
      </c>
      <c r="B471" t="s">
        <v>537</v>
      </c>
      <c r="D471" t="s">
        <v>247</v>
      </c>
      <c r="H471">
        <v>37</v>
      </c>
      <c r="I471">
        <v>112</v>
      </c>
      <c r="L471">
        <v>20</v>
      </c>
    </row>
    <row r="472" spans="1:12" x14ac:dyDescent="0.3">
      <c r="A472" t="s">
        <v>325</v>
      </c>
      <c r="B472" t="s">
        <v>537</v>
      </c>
      <c r="D472" t="s">
        <v>249</v>
      </c>
      <c r="H472">
        <v>8</v>
      </c>
      <c r="I472">
        <v>33.6</v>
      </c>
      <c r="L472">
        <v>5</v>
      </c>
    </row>
    <row r="473" spans="1:12" x14ac:dyDescent="0.3">
      <c r="A473" t="s">
        <v>325</v>
      </c>
      <c r="B473" t="s">
        <v>537</v>
      </c>
      <c r="D473" t="s">
        <v>253</v>
      </c>
      <c r="H473">
        <v>12</v>
      </c>
      <c r="I473">
        <v>44</v>
      </c>
      <c r="L473">
        <v>15</v>
      </c>
    </row>
    <row r="474" spans="1:12" x14ac:dyDescent="0.3">
      <c r="A474" t="s">
        <v>325</v>
      </c>
      <c r="B474" t="s">
        <v>537</v>
      </c>
      <c r="D474" t="s">
        <v>255</v>
      </c>
      <c r="H474">
        <v>4</v>
      </c>
      <c r="I474">
        <v>15</v>
      </c>
      <c r="L474">
        <v>5</v>
      </c>
    </row>
    <row r="475" spans="1:12" x14ac:dyDescent="0.3">
      <c r="A475" t="s">
        <v>325</v>
      </c>
      <c r="B475" t="s">
        <v>537</v>
      </c>
      <c r="D475" t="s">
        <v>259</v>
      </c>
      <c r="H475">
        <v>10</v>
      </c>
      <c r="I475">
        <v>27</v>
      </c>
      <c r="L475">
        <v>10</v>
      </c>
    </row>
    <row r="476" spans="1:12" x14ac:dyDescent="0.3">
      <c r="A476" t="s">
        <v>325</v>
      </c>
      <c r="B476" t="s">
        <v>537</v>
      </c>
      <c r="D476" t="s">
        <v>263</v>
      </c>
      <c r="H476">
        <v>19</v>
      </c>
      <c r="I476">
        <v>50</v>
      </c>
      <c r="L476">
        <v>15</v>
      </c>
    </row>
    <row r="477" spans="1:12" x14ac:dyDescent="0.3">
      <c r="A477" t="s">
        <v>325</v>
      </c>
      <c r="B477" t="s">
        <v>537</v>
      </c>
      <c r="D477" t="s">
        <v>267</v>
      </c>
      <c r="H477">
        <v>51</v>
      </c>
      <c r="I477">
        <v>163</v>
      </c>
      <c r="L477">
        <v>25</v>
      </c>
    </row>
    <row r="478" spans="1:12" x14ac:dyDescent="0.3">
      <c r="A478" t="s">
        <v>325</v>
      </c>
      <c r="B478" t="s">
        <v>537</v>
      </c>
      <c r="D478" t="s">
        <v>270</v>
      </c>
      <c r="H478">
        <v>108</v>
      </c>
      <c r="I478">
        <v>317</v>
      </c>
      <c r="L478">
        <v>66</v>
      </c>
    </row>
    <row r="479" spans="1:12" x14ac:dyDescent="0.3">
      <c r="A479" t="s">
        <v>325</v>
      </c>
      <c r="B479" t="s">
        <v>537</v>
      </c>
      <c r="D479" t="s">
        <v>273</v>
      </c>
      <c r="H479">
        <v>7</v>
      </c>
      <c r="L479">
        <v>4</v>
      </c>
    </row>
    <row r="480" spans="1:12" x14ac:dyDescent="0.3">
      <c r="A480" t="s">
        <v>325</v>
      </c>
      <c r="B480" t="s">
        <v>537</v>
      </c>
      <c r="D480" t="s">
        <v>273</v>
      </c>
      <c r="H480">
        <v>16</v>
      </c>
      <c r="I480">
        <v>51</v>
      </c>
      <c r="L480">
        <v>6</v>
      </c>
    </row>
    <row r="481" spans="1:12" x14ac:dyDescent="0.3">
      <c r="A481" t="s">
        <v>325</v>
      </c>
      <c r="B481" t="s">
        <v>537</v>
      </c>
      <c r="D481" t="s">
        <v>277</v>
      </c>
      <c r="H481">
        <v>14</v>
      </c>
      <c r="I481">
        <v>43</v>
      </c>
      <c r="L481">
        <v>10</v>
      </c>
    </row>
    <row r="482" spans="1:12" x14ac:dyDescent="0.3">
      <c r="A482" t="s">
        <v>325</v>
      </c>
      <c r="B482" t="s">
        <v>537</v>
      </c>
      <c r="D482" t="s">
        <v>279</v>
      </c>
      <c r="H482">
        <v>4</v>
      </c>
      <c r="I482">
        <v>15</v>
      </c>
      <c r="L482">
        <v>6</v>
      </c>
    </row>
    <row r="483" spans="1:12" x14ac:dyDescent="0.3">
      <c r="A483" t="s">
        <v>325</v>
      </c>
      <c r="B483" t="s">
        <v>537</v>
      </c>
      <c r="D483" t="s">
        <v>281</v>
      </c>
      <c r="H483">
        <v>4</v>
      </c>
      <c r="I483">
        <v>20</v>
      </c>
      <c r="L483">
        <v>5</v>
      </c>
    </row>
    <row r="484" spans="1:12" x14ac:dyDescent="0.3">
      <c r="A484" t="s">
        <v>325</v>
      </c>
      <c r="B484" t="s">
        <v>537</v>
      </c>
      <c r="D484" t="s">
        <v>283</v>
      </c>
      <c r="L484">
        <v>3</v>
      </c>
    </row>
    <row r="485" spans="1:12" x14ac:dyDescent="0.3">
      <c r="A485" t="s">
        <v>325</v>
      </c>
      <c r="B485" t="s">
        <v>537</v>
      </c>
      <c r="D485" t="s">
        <v>287</v>
      </c>
      <c r="H485">
        <v>16</v>
      </c>
      <c r="I485">
        <v>44</v>
      </c>
      <c r="L485">
        <v>15</v>
      </c>
    </row>
    <row r="486" spans="1:12" x14ac:dyDescent="0.3">
      <c r="A486" t="s">
        <v>325</v>
      </c>
      <c r="B486" t="s">
        <v>537</v>
      </c>
      <c r="D486" t="s">
        <v>289</v>
      </c>
      <c r="H486">
        <v>36</v>
      </c>
      <c r="I486">
        <v>102</v>
      </c>
      <c r="L486">
        <v>21</v>
      </c>
    </row>
    <row r="487" spans="1:12" x14ac:dyDescent="0.3">
      <c r="A487" t="s">
        <v>325</v>
      </c>
      <c r="B487" t="s">
        <v>537</v>
      </c>
      <c r="D487" t="s">
        <v>292</v>
      </c>
      <c r="L487">
        <v>1</v>
      </c>
    </row>
    <row r="488" spans="1:12" x14ac:dyDescent="0.3">
      <c r="A488" t="s">
        <v>325</v>
      </c>
      <c r="B488" t="s">
        <v>537</v>
      </c>
      <c r="D488" t="s">
        <v>294</v>
      </c>
      <c r="H488">
        <v>11</v>
      </c>
      <c r="I488">
        <v>53</v>
      </c>
      <c r="L488">
        <v>5</v>
      </c>
    </row>
    <row r="489" spans="1:12" x14ac:dyDescent="0.3">
      <c r="A489" t="s">
        <v>325</v>
      </c>
      <c r="B489" t="s">
        <v>537</v>
      </c>
      <c r="D489" t="s">
        <v>296</v>
      </c>
      <c r="H489">
        <v>20</v>
      </c>
      <c r="I489">
        <v>60</v>
      </c>
      <c r="L489">
        <v>15</v>
      </c>
    </row>
    <row r="490" spans="1:12" x14ac:dyDescent="0.3">
      <c r="A490" t="s">
        <v>325</v>
      </c>
      <c r="B490" t="s">
        <v>537</v>
      </c>
      <c r="D490" t="s">
        <v>298</v>
      </c>
      <c r="H490">
        <v>9</v>
      </c>
      <c r="I490">
        <v>37</v>
      </c>
      <c r="L490">
        <v>10</v>
      </c>
    </row>
    <row r="491" spans="1:12" x14ac:dyDescent="0.3">
      <c r="A491" t="s">
        <v>325</v>
      </c>
      <c r="B491" t="s">
        <v>537</v>
      </c>
      <c r="D491" t="s">
        <v>300</v>
      </c>
      <c r="L491">
        <v>1</v>
      </c>
    </row>
    <row r="492" spans="1:12" x14ac:dyDescent="0.3">
      <c r="A492" t="s">
        <v>325</v>
      </c>
      <c r="B492" t="s">
        <v>537</v>
      </c>
      <c r="D492" t="s">
        <v>302</v>
      </c>
      <c r="H492">
        <v>9</v>
      </c>
      <c r="I492">
        <v>34</v>
      </c>
      <c r="L492">
        <v>5</v>
      </c>
    </row>
    <row r="493" spans="1:12" x14ac:dyDescent="0.3">
      <c r="A493" t="s">
        <v>325</v>
      </c>
      <c r="B493" t="s">
        <v>537</v>
      </c>
      <c r="D493" t="s">
        <v>304</v>
      </c>
      <c r="H493">
        <v>35</v>
      </c>
      <c r="I493">
        <v>109</v>
      </c>
      <c r="L493">
        <v>20</v>
      </c>
    </row>
    <row r="494" spans="1:12" x14ac:dyDescent="0.3">
      <c r="A494" t="s">
        <v>325</v>
      </c>
      <c r="B494" t="s">
        <v>537</v>
      </c>
      <c r="D494" t="s">
        <v>307</v>
      </c>
      <c r="H494">
        <v>9</v>
      </c>
      <c r="I494">
        <v>32</v>
      </c>
      <c r="L494">
        <v>5</v>
      </c>
    </row>
    <row r="495" spans="1:12" x14ac:dyDescent="0.3">
      <c r="A495" t="s">
        <v>325</v>
      </c>
      <c r="B495" t="s">
        <v>537</v>
      </c>
      <c r="D495" t="s">
        <v>309</v>
      </c>
      <c r="H495">
        <v>15</v>
      </c>
      <c r="I495">
        <v>43</v>
      </c>
      <c r="L495">
        <v>10</v>
      </c>
    </row>
    <row r="496" spans="1:12" x14ac:dyDescent="0.3">
      <c r="A496" t="s">
        <v>325</v>
      </c>
      <c r="B496" t="s">
        <v>537</v>
      </c>
      <c r="D496" t="s">
        <v>311</v>
      </c>
      <c r="H496">
        <v>10</v>
      </c>
      <c r="I496">
        <v>35.5</v>
      </c>
      <c r="L496">
        <v>12</v>
      </c>
    </row>
    <row r="497" spans="1:12" x14ac:dyDescent="0.3">
      <c r="A497" t="s">
        <v>325</v>
      </c>
      <c r="B497" t="s">
        <v>540</v>
      </c>
      <c r="D497" t="s">
        <v>322</v>
      </c>
      <c r="F497">
        <v>1</v>
      </c>
      <c r="J497">
        <v>4</v>
      </c>
      <c r="K497">
        <v>10</v>
      </c>
      <c r="L497">
        <v>9</v>
      </c>
    </row>
    <row r="498" spans="1:12" x14ac:dyDescent="0.3">
      <c r="A498" t="s">
        <v>325</v>
      </c>
      <c r="B498" t="s">
        <v>540</v>
      </c>
      <c r="D498" t="s">
        <v>230</v>
      </c>
      <c r="F498">
        <v>1</v>
      </c>
      <c r="H498">
        <v>6</v>
      </c>
      <c r="I498">
        <v>2</v>
      </c>
      <c r="J498">
        <v>4</v>
      </c>
      <c r="K498">
        <v>10</v>
      </c>
      <c r="L498">
        <v>7</v>
      </c>
    </row>
    <row r="499" spans="1:12" x14ac:dyDescent="0.3">
      <c r="A499" t="s">
        <v>325</v>
      </c>
      <c r="B499" t="s">
        <v>540</v>
      </c>
      <c r="D499" t="s">
        <v>244</v>
      </c>
      <c r="F499">
        <v>1</v>
      </c>
      <c r="H499">
        <v>4</v>
      </c>
      <c r="I499">
        <v>1.83</v>
      </c>
      <c r="J499">
        <v>2</v>
      </c>
      <c r="K499">
        <v>6</v>
      </c>
      <c r="L499">
        <v>3</v>
      </c>
    </row>
    <row r="500" spans="1:12" x14ac:dyDescent="0.3">
      <c r="A500" t="s">
        <v>325</v>
      </c>
      <c r="B500" t="s">
        <v>540</v>
      </c>
      <c r="D500" t="s">
        <v>226</v>
      </c>
      <c r="F500">
        <v>1</v>
      </c>
      <c r="I500">
        <v>2</v>
      </c>
      <c r="J500">
        <v>4</v>
      </c>
      <c r="K500">
        <v>7</v>
      </c>
      <c r="L500">
        <v>9</v>
      </c>
    </row>
    <row r="501" spans="1:12" x14ac:dyDescent="0.3">
      <c r="A501" t="s">
        <v>325</v>
      </c>
      <c r="B501" t="s">
        <v>540</v>
      </c>
      <c r="D501" t="s">
        <v>251</v>
      </c>
      <c r="F501">
        <v>1</v>
      </c>
      <c r="H501">
        <v>4</v>
      </c>
      <c r="J501">
        <v>4</v>
      </c>
      <c r="K501">
        <v>10</v>
      </c>
      <c r="L501">
        <v>7</v>
      </c>
    </row>
    <row r="502" spans="1:12" x14ac:dyDescent="0.3">
      <c r="A502" t="s">
        <v>325</v>
      </c>
      <c r="B502" t="s">
        <v>540</v>
      </c>
      <c r="D502" t="s">
        <v>257</v>
      </c>
      <c r="F502">
        <v>1</v>
      </c>
      <c r="H502">
        <v>6</v>
      </c>
      <c r="I502">
        <v>4</v>
      </c>
      <c r="J502">
        <v>4</v>
      </c>
      <c r="K502">
        <v>6</v>
      </c>
      <c r="L502">
        <v>11</v>
      </c>
    </row>
    <row r="503" spans="1:12" x14ac:dyDescent="0.3">
      <c r="A503" t="s">
        <v>325</v>
      </c>
      <c r="B503" t="s">
        <v>540</v>
      </c>
      <c r="D503" t="s">
        <v>261</v>
      </c>
      <c r="F503">
        <v>1</v>
      </c>
      <c r="H503">
        <v>4</v>
      </c>
      <c r="I503">
        <v>1</v>
      </c>
      <c r="J503">
        <v>3</v>
      </c>
      <c r="K503">
        <v>6</v>
      </c>
      <c r="L503">
        <v>4</v>
      </c>
    </row>
    <row r="504" spans="1:12" x14ac:dyDescent="0.3">
      <c r="A504" t="s">
        <v>325</v>
      </c>
      <c r="B504" t="s">
        <v>540</v>
      </c>
      <c r="D504" t="s">
        <v>236</v>
      </c>
      <c r="F504">
        <v>1</v>
      </c>
      <c r="H504">
        <v>3</v>
      </c>
      <c r="I504">
        <v>3</v>
      </c>
      <c r="J504">
        <v>3</v>
      </c>
      <c r="K504">
        <v>8</v>
      </c>
      <c r="L504">
        <v>8</v>
      </c>
    </row>
    <row r="505" spans="1:12" x14ac:dyDescent="0.3">
      <c r="A505" t="s">
        <v>325</v>
      </c>
      <c r="B505" t="s">
        <v>540</v>
      </c>
      <c r="D505" t="s">
        <v>265</v>
      </c>
      <c r="F505">
        <v>1</v>
      </c>
      <c r="H505">
        <v>4</v>
      </c>
      <c r="I505">
        <v>1</v>
      </c>
      <c r="J505">
        <v>1</v>
      </c>
      <c r="K505">
        <v>6</v>
      </c>
      <c r="L505">
        <v>6</v>
      </c>
    </row>
    <row r="506" spans="1:12" x14ac:dyDescent="0.3">
      <c r="A506" t="s">
        <v>325</v>
      </c>
      <c r="B506" t="s">
        <v>540</v>
      </c>
      <c r="D506" t="s">
        <v>270</v>
      </c>
      <c r="F506">
        <v>1</v>
      </c>
      <c r="H506">
        <v>2</v>
      </c>
      <c r="I506">
        <v>1</v>
      </c>
      <c r="J506">
        <v>4</v>
      </c>
      <c r="K506">
        <v>9</v>
      </c>
      <c r="L506">
        <v>6</v>
      </c>
    </row>
    <row r="507" spans="1:12" x14ac:dyDescent="0.3">
      <c r="A507" t="s">
        <v>325</v>
      </c>
      <c r="B507" t="s">
        <v>540</v>
      </c>
      <c r="D507" t="s">
        <v>275</v>
      </c>
      <c r="F507">
        <v>1</v>
      </c>
      <c r="I507">
        <v>1</v>
      </c>
      <c r="J507">
        <v>4</v>
      </c>
      <c r="K507">
        <v>10</v>
      </c>
      <c r="L507">
        <v>4</v>
      </c>
    </row>
    <row r="508" spans="1:12" x14ac:dyDescent="0.3">
      <c r="A508" t="s">
        <v>325</v>
      </c>
      <c r="B508" t="s">
        <v>540</v>
      </c>
      <c r="D508" t="s">
        <v>324</v>
      </c>
      <c r="F508">
        <v>1</v>
      </c>
      <c r="H508">
        <v>4</v>
      </c>
      <c r="I508">
        <v>1</v>
      </c>
      <c r="J508">
        <v>3</v>
      </c>
      <c r="K508">
        <v>8</v>
      </c>
      <c r="L508">
        <v>10</v>
      </c>
    </row>
    <row r="509" spans="1:12" x14ac:dyDescent="0.3">
      <c r="A509" t="s">
        <v>325</v>
      </c>
      <c r="B509" t="s">
        <v>540</v>
      </c>
      <c r="D509" t="s">
        <v>313</v>
      </c>
      <c r="F509">
        <v>1</v>
      </c>
      <c r="H509">
        <v>6</v>
      </c>
      <c r="I509">
        <v>2</v>
      </c>
      <c r="J509">
        <v>4</v>
      </c>
      <c r="K509">
        <v>10</v>
      </c>
      <c r="L509">
        <v>8</v>
      </c>
    </row>
    <row r="510" spans="1:12" x14ac:dyDescent="0.3">
      <c r="A510" t="s">
        <v>325</v>
      </c>
      <c r="B510" t="s">
        <v>540</v>
      </c>
      <c r="D510" t="s">
        <v>285</v>
      </c>
      <c r="J510">
        <v>1</v>
      </c>
    </row>
    <row r="511" spans="1:12" x14ac:dyDescent="0.3">
      <c r="A511" t="s">
        <v>325</v>
      </c>
      <c r="B511" t="s">
        <v>540</v>
      </c>
      <c r="D511" t="s">
        <v>285</v>
      </c>
      <c r="F511">
        <v>1</v>
      </c>
      <c r="J511">
        <v>3</v>
      </c>
      <c r="K511">
        <v>5</v>
      </c>
    </row>
    <row r="512" spans="1:12" x14ac:dyDescent="0.3">
      <c r="A512" t="s">
        <v>325</v>
      </c>
      <c r="B512" t="s">
        <v>542</v>
      </c>
      <c r="D512" t="s">
        <v>218</v>
      </c>
      <c r="F512">
        <v>2</v>
      </c>
      <c r="H512">
        <v>12</v>
      </c>
      <c r="I512">
        <v>25</v>
      </c>
      <c r="J512">
        <v>3</v>
      </c>
      <c r="K512">
        <v>6</v>
      </c>
      <c r="L512">
        <v>22</v>
      </c>
    </row>
    <row r="513" spans="1:12" x14ac:dyDescent="0.3">
      <c r="A513" t="s">
        <v>325</v>
      </c>
      <c r="B513" t="s">
        <v>542</v>
      </c>
      <c r="D513" t="s">
        <v>232</v>
      </c>
      <c r="F513">
        <v>2</v>
      </c>
      <c r="H513">
        <v>10</v>
      </c>
      <c r="I513">
        <v>48</v>
      </c>
      <c r="J513">
        <v>5</v>
      </c>
      <c r="K513">
        <v>11</v>
      </c>
      <c r="L513">
        <v>43</v>
      </c>
    </row>
    <row r="514" spans="1:12" x14ac:dyDescent="0.3">
      <c r="A514" t="s">
        <v>325</v>
      </c>
      <c r="B514" t="s">
        <v>542</v>
      </c>
      <c r="C514" t="s">
        <v>237</v>
      </c>
      <c r="D514" t="s">
        <v>238</v>
      </c>
      <c r="F514">
        <v>1</v>
      </c>
      <c r="H514">
        <v>4</v>
      </c>
      <c r="I514">
        <v>30</v>
      </c>
      <c r="J514">
        <v>3</v>
      </c>
      <c r="K514">
        <v>4</v>
      </c>
      <c r="L514">
        <v>25</v>
      </c>
    </row>
    <row r="515" spans="1:12" x14ac:dyDescent="0.3">
      <c r="A515" t="s">
        <v>325</v>
      </c>
      <c r="B515" t="s">
        <v>544</v>
      </c>
      <c r="C515" t="s">
        <v>549</v>
      </c>
      <c r="D515" t="s">
        <v>545</v>
      </c>
      <c r="F515">
        <v>12</v>
      </c>
      <c r="G515">
        <v>5</v>
      </c>
      <c r="H515">
        <v>1</v>
      </c>
      <c r="J515">
        <v>19</v>
      </c>
      <c r="K515">
        <v>16</v>
      </c>
      <c r="L515">
        <v>16</v>
      </c>
    </row>
    <row r="516" spans="1:12" x14ac:dyDescent="0.3">
      <c r="A516" t="s">
        <v>326</v>
      </c>
      <c r="B516" t="s">
        <v>537</v>
      </c>
      <c r="D516" t="s">
        <v>215</v>
      </c>
      <c r="H516">
        <v>34</v>
      </c>
      <c r="I516">
        <v>106</v>
      </c>
      <c r="L516">
        <v>22</v>
      </c>
    </row>
    <row r="517" spans="1:12" x14ac:dyDescent="0.3">
      <c r="A517" t="s">
        <v>326</v>
      </c>
      <c r="B517" t="s">
        <v>537</v>
      </c>
      <c r="D517" t="s">
        <v>220</v>
      </c>
      <c r="H517">
        <v>6</v>
      </c>
      <c r="I517">
        <v>17</v>
      </c>
      <c r="L517">
        <v>5</v>
      </c>
    </row>
    <row r="518" spans="1:12" x14ac:dyDescent="0.3">
      <c r="A518" t="s">
        <v>326</v>
      </c>
      <c r="B518" t="s">
        <v>537</v>
      </c>
      <c r="D518" t="s">
        <v>224</v>
      </c>
      <c r="H518">
        <v>5</v>
      </c>
      <c r="I518">
        <v>17</v>
      </c>
      <c r="L518">
        <v>5</v>
      </c>
    </row>
    <row r="519" spans="1:12" x14ac:dyDescent="0.3">
      <c r="A519" t="s">
        <v>326</v>
      </c>
      <c r="B519" t="s">
        <v>537</v>
      </c>
      <c r="D519" t="s">
        <v>228</v>
      </c>
      <c r="H519">
        <v>10</v>
      </c>
      <c r="I519">
        <v>34</v>
      </c>
      <c r="L519">
        <v>11</v>
      </c>
    </row>
    <row r="520" spans="1:12" x14ac:dyDescent="0.3">
      <c r="A520" t="s">
        <v>326</v>
      </c>
      <c r="B520" t="s">
        <v>537</v>
      </c>
      <c r="D520" t="s">
        <v>234</v>
      </c>
      <c r="H520">
        <v>59</v>
      </c>
      <c r="I520">
        <v>198.5</v>
      </c>
      <c r="L520">
        <v>35</v>
      </c>
    </row>
    <row r="521" spans="1:12" x14ac:dyDescent="0.3">
      <c r="A521" t="s">
        <v>326</v>
      </c>
      <c r="B521" t="s">
        <v>537</v>
      </c>
      <c r="D521" t="s">
        <v>240</v>
      </c>
      <c r="H521">
        <v>5</v>
      </c>
      <c r="I521">
        <v>16</v>
      </c>
      <c r="L521">
        <v>6</v>
      </c>
    </row>
    <row r="522" spans="1:12" x14ac:dyDescent="0.3">
      <c r="A522" t="s">
        <v>326</v>
      </c>
      <c r="B522" t="s">
        <v>537</v>
      </c>
      <c r="D522" t="s">
        <v>244</v>
      </c>
      <c r="H522">
        <v>10</v>
      </c>
      <c r="I522">
        <v>38</v>
      </c>
      <c r="L522">
        <v>5</v>
      </c>
    </row>
    <row r="523" spans="1:12" x14ac:dyDescent="0.3">
      <c r="A523" t="s">
        <v>326</v>
      </c>
      <c r="B523" t="s">
        <v>537</v>
      </c>
      <c r="D523" t="s">
        <v>247</v>
      </c>
      <c r="H523">
        <v>30</v>
      </c>
      <c r="I523">
        <v>118</v>
      </c>
      <c r="L523">
        <v>20</v>
      </c>
    </row>
    <row r="524" spans="1:12" x14ac:dyDescent="0.3">
      <c r="A524" t="s">
        <v>326</v>
      </c>
      <c r="B524" t="s">
        <v>537</v>
      </c>
      <c r="D524" t="s">
        <v>249</v>
      </c>
      <c r="H524">
        <v>10</v>
      </c>
      <c r="I524">
        <v>32</v>
      </c>
      <c r="L524">
        <v>6</v>
      </c>
    </row>
    <row r="525" spans="1:12" x14ac:dyDescent="0.3">
      <c r="A525" t="s">
        <v>326</v>
      </c>
      <c r="B525" t="s">
        <v>537</v>
      </c>
      <c r="D525" t="s">
        <v>253</v>
      </c>
      <c r="H525">
        <v>15</v>
      </c>
      <c r="I525">
        <v>46</v>
      </c>
      <c r="L525">
        <v>15</v>
      </c>
    </row>
    <row r="526" spans="1:12" x14ac:dyDescent="0.3">
      <c r="A526" t="s">
        <v>326</v>
      </c>
      <c r="B526" t="s">
        <v>537</v>
      </c>
      <c r="D526" t="s">
        <v>255</v>
      </c>
      <c r="H526">
        <v>5</v>
      </c>
      <c r="I526">
        <v>15</v>
      </c>
      <c r="L526">
        <v>5</v>
      </c>
    </row>
    <row r="527" spans="1:12" x14ac:dyDescent="0.3">
      <c r="A527" t="s">
        <v>326</v>
      </c>
      <c r="B527" t="s">
        <v>537</v>
      </c>
      <c r="D527" t="s">
        <v>259</v>
      </c>
      <c r="H527">
        <v>10</v>
      </c>
      <c r="I527">
        <v>33</v>
      </c>
      <c r="L527">
        <v>10</v>
      </c>
    </row>
    <row r="528" spans="1:12" x14ac:dyDescent="0.3">
      <c r="A528" t="s">
        <v>326</v>
      </c>
      <c r="B528" t="s">
        <v>537</v>
      </c>
      <c r="D528" t="s">
        <v>263</v>
      </c>
      <c r="H528">
        <v>20</v>
      </c>
      <c r="I528">
        <v>56</v>
      </c>
      <c r="L528">
        <v>15</v>
      </c>
    </row>
    <row r="529" spans="1:12" x14ac:dyDescent="0.3">
      <c r="A529" t="s">
        <v>326</v>
      </c>
      <c r="B529" t="s">
        <v>537</v>
      </c>
      <c r="D529" t="s">
        <v>267</v>
      </c>
      <c r="H529">
        <v>43</v>
      </c>
      <c r="I529">
        <v>146</v>
      </c>
      <c r="L529">
        <v>27</v>
      </c>
    </row>
    <row r="530" spans="1:12" x14ac:dyDescent="0.3">
      <c r="A530" t="s">
        <v>326</v>
      </c>
      <c r="B530" t="s">
        <v>537</v>
      </c>
      <c r="D530" t="s">
        <v>270</v>
      </c>
      <c r="H530">
        <v>94</v>
      </c>
      <c r="I530">
        <v>302</v>
      </c>
      <c r="L530">
        <v>67</v>
      </c>
    </row>
    <row r="531" spans="1:12" x14ac:dyDescent="0.3">
      <c r="A531" t="s">
        <v>326</v>
      </c>
      <c r="B531" t="s">
        <v>537</v>
      </c>
      <c r="D531" t="s">
        <v>273</v>
      </c>
      <c r="H531">
        <v>20</v>
      </c>
      <c r="I531">
        <v>52</v>
      </c>
      <c r="L531">
        <v>8</v>
      </c>
    </row>
    <row r="532" spans="1:12" x14ac:dyDescent="0.3">
      <c r="A532" t="s">
        <v>326</v>
      </c>
      <c r="B532" t="s">
        <v>537</v>
      </c>
      <c r="D532" t="s">
        <v>277</v>
      </c>
      <c r="H532">
        <v>14</v>
      </c>
      <c r="I532">
        <v>39</v>
      </c>
      <c r="L532">
        <v>10</v>
      </c>
    </row>
    <row r="533" spans="1:12" x14ac:dyDescent="0.3">
      <c r="A533" t="s">
        <v>326</v>
      </c>
      <c r="B533" t="s">
        <v>537</v>
      </c>
      <c r="D533" t="s">
        <v>279</v>
      </c>
      <c r="H533">
        <v>7</v>
      </c>
      <c r="I533">
        <v>16</v>
      </c>
      <c r="L533">
        <v>6</v>
      </c>
    </row>
    <row r="534" spans="1:12" x14ac:dyDescent="0.3">
      <c r="A534" t="s">
        <v>326</v>
      </c>
      <c r="B534" t="s">
        <v>537</v>
      </c>
      <c r="D534" t="s">
        <v>281</v>
      </c>
      <c r="H534">
        <v>4</v>
      </c>
      <c r="I534">
        <v>21</v>
      </c>
      <c r="L534">
        <v>5</v>
      </c>
    </row>
    <row r="535" spans="1:12" x14ac:dyDescent="0.3">
      <c r="A535" t="s">
        <v>326</v>
      </c>
      <c r="B535" t="s">
        <v>537</v>
      </c>
      <c r="D535" t="s">
        <v>283</v>
      </c>
      <c r="L535">
        <v>3</v>
      </c>
    </row>
    <row r="536" spans="1:12" x14ac:dyDescent="0.3">
      <c r="A536" t="s">
        <v>326</v>
      </c>
      <c r="B536" t="s">
        <v>537</v>
      </c>
      <c r="D536" t="s">
        <v>287</v>
      </c>
      <c r="H536">
        <v>16</v>
      </c>
      <c r="I536">
        <v>54</v>
      </c>
      <c r="L536">
        <v>15</v>
      </c>
    </row>
    <row r="537" spans="1:12" x14ac:dyDescent="0.3">
      <c r="A537" t="s">
        <v>326</v>
      </c>
      <c r="B537" t="s">
        <v>537</v>
      </c>
      <c r="D537" t="s">
        <v>289</v>
      </c>
      <c r="H537">
        <v>36</v>
      </c>
      <c r="I537">
        <v>112</v>
      </c>
      <c r="L537">
        <v>21</v>
      </c>
    </row>
    <row r="538" spans="1:12" x14ac:dyDescent="0.3">
      <c r="A538" t="s">
        <v>326</v>
      </c>
      <c r="B538" t="s">
        <v>537</v>
      </c>
      <c r="D538" t="s">
        <v>294</v>
      </c>
      <c r="H538">
        <v>12</v>
      </c>
      <c r="I538">
        <v>49</v>
      </c>
      <c r="L538">
        <v>5</v>
      </c>
    </row>
    <row r="539" spans="1:12" x14ac:dyDescent="0.3">
      <c r="A539" t="s">
        <v>326</v>
      </c>
      <c r="B539" t="s">
        <v>537</v>
      </c>
      <c r="D539" t="s">
        <v>296</v>
      </c>
      <c r="H539">
        <v>21</v>
      </c>
      <c r="I539">
        <v>66</v>
      </c>
      <c r="L539">
        <v>15</v>
      </c>
    </row>
    <row r="540" spans="1:12" x14ac:dyDescent="0.3">
      <c r="A540" t="s">
        <v>326</v>
      </c>
      <c r="B540" t="s">
        <v>537</v>
      </c>
      <c r="D540" t="s">
        <v>298</v>
      </c>
      <c r="H540">
        <v>9</v>
      </c>
      <c r="I540">
        <v>38</v>
      </c>
      <c r="L540">
        <v>10</v>
      </c>
    </row>
    <row r="541" spans="1:12" x14ac:dyDescent="0.3">
      <c r="A541" t="s">
        <v>326</v>
      </c>
      <c r="B541" t="s">
        <v>537</v>
      </c>
      <c r="D541" t="s">
        <v>300</v>
      </c>
      <c r="L541">
        <v>1</v>
      </c>
    </row>
    <row r="542" spans="1:12" x14ac:dyDescent="0.3">
      <c r="A542" t="s">
        <v>326</v>
      </c>
      <c r="B542" t="s">
        <v>537</v>
      </c>
      <c r="D542" t="s">
        <v>302</v>
      </c>
      <c r="H542">
        <v>10</v>
      </c>
      <c r="I542">
        <v>36</v>
      </c>
      <c r="L542">
        <v>6</v>
      </c>
    </row>
    <row r="543" spans="1:12" x14ac:dyDescent="0.3">
      <c r="A543" t="s">
        <v>326</v>
      </c>
      <c r="B543" t="s">
        <v>537</v>
      </c>
      <c r="D543" t="s">
        <v>304</v>
      </c>
      <c r="H543">
        <v>30</v>
      </c>
      <c r="I543">
        <v>111</v>
      </c>
      <c r="L543">
        <v>20</v>
      </c>
    </row>
    <row r="544" spans="1:12" x14ac:dyDescent="0.3">
      <c r="A544" t="s">
        <v>326</v>
      </c>
      <c r="B544" t="s">
        <v>537</v>
      </c>
      <c r="D544" t="s">
        <v>307</v>
      </c>
      <c r="H544">
        <v>10</v>
      </c>
      <c r="I544">
        <v>34</v>
      </c>
      <c r="L544">
        <v>5</v>
      </c>
    </row>
    <row r="545" spans="1:12" x14ac:dyDescent="0.3">
      <c r="A545" t="s">
        <v>326</v>
      </c>
      <c r="B545" t="s">
        <v>537</v>
      </c>
      <c r="D545" t="s">
        <v>309</v>
      </c>
      <c r="H545">
        <v>13</v>
      </c>
      <c r="I545">
        <v>51</v>
      </c>
      <c r="L545">
        <v>11</v>
      </c>
    </row>
    <row r="546" spans="1:12" x14ac:dyDescent="0.3">
      <c r="A546" t="s">
        <v>326</v>
      </c>
      <c r="B546" t="s">
        <v>537</v>
      </c>
      <c r="D546" t="s">
        <v>311</v>
      </c>
      <c r="H546">
        <v>11</v>
      </c>
      <c r="I546">
        <v>36.979999999999997</v>
      </c>
      <c r="L546">
        <v>13</v>
      </c>
    </row>
    <row r="547" spans="1:12" x14ac:dyDescent="0.3">
      <c r="A547" t="s">
        <v>326</v>
      </c>
      <c r="B547" t="s">
        <v>540</v>
      </c>
      <c r="D547" t="s">
        <v>322</v>
      </c>
      <c r="F547">
        <v>1</v>
      </c>
      <c r="J547">
        <v>4</v>
      </c>
      <c r="K547">
        <v>11</v>
      </c>
      <c r="L547">
        <v>6</v>
      </c>
    </row>
    <row r="548" spans="1:12" x14ac:dyDescent="0.3">
      <c r="A548" t="s">
        <v>326</v>
      </c>
      <c r="B548" t="s">
        <v>540</v>
      </c>
      <c r="D548" t="s">
        <v>230</v>
      </c>
      <c r="F548">
        <v>1</v>
      </c>
      <c r="H548">
        <v>6</v>
      </c>
      <c r="I548">
        <v>2</v>
      </c>
      <c r="J548">
        <v>4</v>
      </c>
      <c r="K548">
        <v>9</v>
      </c>
      <c r="L548">
        <v>6</v>
      </c>
    </row>
    <row r="549" spans="1:12" x14ac:dyDescent="0.3">
      <c r="A549" t="s">
        <v>326</v>
      </c>
      <c r="B549" t="s">
        <v>540</v>
      </c>
      <c r="D549" t="s">
        <v>244</v>
      </c>
      <c r="F549">
        <v>1</v>
      </c>
      <c r="H549">
        <v>5</v>
      </c>
      <c r="I549">
        <v>1.83</v>
      </c>
      <c r="J549">
        <v>2</v>
      </c>
      <c r="K549">
        <v>5</v>
      </c>
      <c r="L549">
        <v>7</v>
      </c>
    </row>
    <row r="550" spans="1:12" x14ac:dyDescent="0.3">
      <c r="A550" t="s">
        <v>326</v>
      </c>
      <c r="B550" t="s">
        <v>540</v>
      </c>
      <c r="D550" t="s">
        <v>226</v>
      </c>
      <c r="F550">
        <v>2</v>
      </c>
      <c r="J550">
        <v>4</v>
      </c>
      <c r="K550">
        <v>8</v>
      </c>
      <c r="L550">
        <v>8.77</v>
      </c>
    </row>
    <row r="551" spans="1:12" x14ac:dyDescent="0.3">
      <c r="A551" t="s">
        <v>326</v>
      </c>
      <c r="B551" t="s">
        <v>540</v>
      </c>
      <c r="D551" t="s">
        <v>251</v>
      </c>
      <c r="F551">
        <v>1</v>
      </c>
      <c r="H551">
        <v>5</v>
      </c>
      <c r="J551">
        <v>3</v>
      </c>
      <c r="K551">
        <v>9</v>
      </c>
      <c r="L551">
        <v>7</v>
      </c>
    </row>
    <row r="552" spans="1:12" x14ac:dyDescent="0.3">
      <c r="A552" t="s">
        <v>326</v>
      </c>
      <c r="B552" t="s">
        <v>540</v>
      </c>
      <c r="D552" t="s">
        <v>257</v>
      </c>
      <c r="F552">
        <v>1</v>
      </c>
      <c r="H552">
        <v>3</v>
      </c>
      <c r="I552">
        <v>4</v>
      </c>
      <c r="J552">
        <v>3</v>
      </c>
      <c r="K552">
        <v>6</v>
      </c>
      <c r="L552">
        <v>9</v>
      </c>
    </row>
    <row r="553" spans="1:12" x14ac:dyDescent="0.3">
      <c r="A553" t="s">
        <v>326</v>
      </c>
      <c r="B553" t="s">
        <v>540</v>
      </c>
      <c r="D553" t="s">
        <v>261</v>
      </c>
      <c r="F553">
        <v>1</v>
      </c>
      <c r="H553">
        <v>3</v>
      </c>
      <c r="I553">
        <v>1</v>
      </c>
      <c r="J553">
        <v>3</v>
      </c>
      <c r="K553">
        <v>6</v>
      </c>
      <c r="L553">
        <v>4</v>
      </c>
    </row>
    <row r="554" spans="1:12" x14ac:dyDescent="0.3">
      <c r="A554" t="s">
        <v>326</v>
      </c>
      <c r="B554" t="s">
        <v>540</v>
      </c>
      <c r="D554" t="s">
        <v>236</v>
      </c>
      <c r="F554">
        <v>1</v>
      </c>
      <c r="H554">
        <v>4</v>
      </c>
      <c r="I554">
        <v>3</v>
      </c>
      <c r="J554">
        <v>3</v>
      </c>
      <c r="K554">
        <v>7</v>
      </c>
      <c r="L554">
        <v>9</v>
      </c>
    </row>
    <row r="555" spans="1:12" x14ac:dyDescent="0.3">
      <c r="A555" t="s">
        <v>326</v>
      </c>
      <c r="B555" t="s">
        <v>540</v>
      </c>
      <c r="D555" t="s">
        <v>265</v>
      </c>
      <c r="F555">
        <v>1</v>
      </c>
      <c r="H555">
        <v>3</v>
      </c>
      <c r="I555">
        <v>1</v>
      </c>
      <c r="J555">
        <v>2</v>
      </c>
      <c r="K555">
        <v>6</v>
      </c>
      <c r="L555">
        <v>6</v>
      </c>
    </row>
    <row r="556" spans="1:12" x14ac:dyDescent="0.3">
      <c r="A556" t="s">
        <v>326</v>
      </c>
      <c r="B556" t="s">
        <v>540</v>
      </c>
      <c r="D556" t="s">
        <v>270</v>
      </c>
      <c r="F556">
        <v>1</v>
      </c>
      <c r="H556">
        <v>2</v>
      </c>
      <c r="I556">
        <v>1</v>
      </c>
      <c r="J556">
        <v>4</v>
      </c>
      <c r="K556">
        <v>8</v>
      </c>
      <c r="L556">
        <v>7</v>
      </c>
    </row>
    <row r="557" spans="1:12" x14ac:dyDescent="0.3">
      <c r="A557" t="s">
        <v>326</v>
      </c>
      <c r="B557" t="s">
        <v>540</v>
      </c>
      <c r="D557" t="s">
        <v>275</v>
      </c>
      <c r="F557">
        <v>1</v>
      </c>
      <c r="H557">
        <v>1</v>
      </c>
      <c r="I557">
        <v>1</v>
      </c>
      <c r="J557">
        <v>4</v>
      </c>
      <c r="K557">
        <v>12</v>
      </c>
      <c r="L557">
        <v>4</v>
      </c>
    </row>
    <row r="558" spans="1:12" x14ac:dyDescent="0.3">
      <c r="A558" t="s">
        <v>326</v>
      </c>
      <c r="B558" t="s">
        <v>540</v>
      </c>
      <c r="D558" t="s">
        <v>324</v>
      </c>
      <c r="F558">
        <v>1</v>
      </c>
      <c r="H558">
        <v>3</v>
      </c>
      <c r="I558">
        <v>1</v>
      </c>
      <c r="J558">
        <v>3</v>
      </c>
      <c r="K558">
        <v>10</v>
      </c>
      <c r="L558">
        <v>9</v>
      </c>
    </row>
    <row r="559" spans="1:12" x14ac:dyDescent="0.3">
      <c r="A559" t="s">
        <v>326</v>
      </c>
      <c r="B559" t="s">
        <v>540</v>
      </c>
      <c r="D559" t="s">
        <v>313</v>
      </c>
      <c r="F559">
        <v>1</v>
      </c>
      <c r="H559">
        <v>7</v>
      </c>
      <c r="I559">
        <v>2</v>
      </c>
      <c r="J559">
        <v>4</v>
      </c>
      <c r="K559">
        <v>9</v>
      </c>
      <c r="L559">
        <v>10</v>
      </c>
    </row>
    <row r="560" spans="1:12" x14ac:dyDescent="0.3">
      <c r="A560" t="s">
        <v>326</v>
      </c>
      <c r="B560" t="s">
        <v>540</v>
      </c>
      <c r="D560" t="s">
        <v>285</v>
      </c>
      <c r="J560">
        <v>1</v>
      </c>
    </row>
    <row r="561" spans="1:12" x14ac:dyDescent="0.3">
      <c r="A561" t="s">
        <v>326</v>
      </c>
      <c r="B561" t="s">
        <v>540</v>
      </c>
      <c r="D561" t="s">
        <v>285</v>
      </c>
      <c r="F561">
        <v>1</v>
      </c>
      <c r="J561">
        <v>3</v>
      </c>
      <c r="K561">
        <v>6</v>
      </c>
    </row>
    <row r="562" spans="1:12" x14ac:dyDescent="0.3">
      <c r="A562" t="s">
        <v>326</v>
      </c>
      <c r="B562" t="s">
        <v>542</v>
      </c>
      <c r="D562" t="s">
        <v>218</v>
      </c>
      <c r="F562">
        <v>2</v>
      </c>
      <c r="H562">
        <v>17</v>
      </c>
      <c r="J562">
        <v>2</v>
      </c>
      <c r="K562">
        <v>8</v>
      </c>
      <c r="L562">
        <v>23</v>
      </c>
    </row>
    <row r="563" spans="1:12" x14ac:dyDescent="0.3">
      <c r="A563" t="s">
        <v>326</v>
      </c>
      <c r="B563" t="s">
        <v>542</v>
      </c>
      <c r="D563" t="s">
        <v>232</v>
      </c>
      <c r="F563">
        <v>2</v>
      </c>
      <c r="H563">
        <v>8</v>
      </c>
      <c r="I563">
        <v>1</v>
      </c>
      <c r="J563">
        <v>4</v>
      </c>
      <c r="K563">
        <v>7</v>
      </c>
      <c r="L563">
        <v>38</v>
      </c>
    </row>
    <row r="564" spans="1:12" x14ac:dyDescent="0.3">
      <c r="A564" t="s">
        <v>326</v>
      </c>
      <c r="B564" t="s">
        <v>542</v>
      </c>
      <c r="C564" t="s">
        <v>237</v>
      </c>
      <c r="D564" t="s">
        <v>238</v>
      </c>
      <c r="F564">
        <v>1</v>
      </c>
      <c r="H564">
        <v>3</v>
      </c>
      <c r="J564">
        <v>2</v>
      </c>
      <c r="K564">
        <v>5</v>
      </c>
      <c r="L564">
        <v>18</v>
      </c>
    </row>
    <row r="565" spans="1:12" x14ac:dyDescent="0.3">
      <c r="A565" t="s">
        <v>326</v>
      </c>
      <c r="B565" t="s">
        <v>544</v>
      </c>
      <c r="C565" t="s">
        <v>549</v>
      </c>
      <c r="D565" t="s">
        <v>545</v>
      </c>
      <c r="F565">
        <v>11</v>
      </c>
      <c r="G565">
        <v>5</v>
      </c>
      <c r="H565">
        <v>1</v>
      </c>
      <c r="J565">
        <v>16</v>
      </c>
      <c r="K565">
        <v>24</v>
      </c>
      <c r="L565">
        <v>27</v>
      </c>
    </row>
    <row r="566" spans="1:12" x14ac:dyDescent="0.3">
      <c r="A566" t="s">
        <v>328</v>
      </c>
      <c r="B566" t="s">
        <v>537</v>
      </c>
      <c r="D566" t="s">
        <v>215</v>
      </c>
      <c r="H566">
        <v>35</v>
      </c>
      <c r="I566">
        <v>102</v>
      </c>
      <c r="L566">
        <v>20</v>
      </c>
    </row>
    <row r="567" spans="1:12" x14ac:dyDescent="0.3">
      <c r="A567" t="s">
        <v>328</v>
      </c>
      <c r="B567" t="s">
        <v>537</v>
      </c>
      <c r="D567" t="s">
        <v>220</v>
      </c>
      <c r="H567">
        <v>6</v>
      </c>
      <c r="I567">
        <v>20</v>
      </c>
      <c r="L567">
        <v>5</v>
      </c>
    </row>
    <row r="568" spans="1:12" x14ac:dyDescent="0.3">
      <c r="A568" t="s">
        <v>328</v>
      </c>
      <c r="B568" t="s">
        <v>537</v>
      </c>
      <c r="D568" t="s">
        <v>224</v>
      </c>
      <c r="H568">
        <v>5</v>
      </c>
      <c r="I568">
        <v>15</v>
      </c>
      <c r="L568">
        <v>6</v>
      </c>
    </row>
    <row r="569" spans="1:12" x14ac:dyDescent="0.3">
      <c r="A569" t="s">
        <v>328</v>
      </c>
      <c r="B569" t="s">
        <v>537</v>
      </c>
      <c r="D569" t="s">
        <v>228</v>
      </c>
      <c r="H569">
        <v>10</v>
      </c>
      <c r="I569">
        <v>32</v>
      </c>
      <c r="L569">
        <v>11</v>
      </c>
    </row>
    <row r="570" spans="1:12" x14ac:dyDescent="0.3">
      <c r="A570" t="s">
        <v>328</v>
      </c>
      <c r="B570" t="s">
        <v>537</v>
      </c>
      <c r="D570" t="s">
        <v>234</v>
      </c>
      <c r="H570">
        <v>56</v>
      </c>
      <c r="I570">
        <v>197.5</v>
      </c>
      <c r="L570">
        <v>34</v>
      </c>
    </row>
    <row r="571" spans="1:12" x14ac:dyDescent="0.3">
      <c r="A571" t="s">
        <v>328</v>
      </c>
      <c r="B571" t="s">
        <v>537</v>
      </c>
      <c r="D571" t="s">
        <v>240</v>
      </c>
      <c r="H571">
        <v>5</v>
      </c>
      <c r="I571">
        <v>16</v>
      </c>
      <c r="L571">
        <v>5</v>
      </c>
    </row>
    <row r="572" spans="1:12" x14ac:dyDescent="0.3">
      <c r="A572" t="s">
        <v>328</v>
      </c>
      <c r="B572" t="s">
        <v>537</v>
      </c>
      <c r="D572" t="s">
        <v>244</v>
      </c>
      <c r="H572">
        <v>9</v>
      </c>
      <c r="I572">
        <v>37</v>
      </c>
      <c r="L572">
        <v>6</v>
      </c>
    </row>
    <row r="573" spans="1:12" x14ac:dyDescent="0.3">
      <c r="A573" t="s">
        <v>328</v>
      </c>
      <c r="B573" t="s">
        <v>537</v>
      </c>
      <c r="D573" t="s">
        <v>247</v>
      </c>
      <c r="H573">
        <v>29</v>
      </c>
      <c r="I573">
        <v>112</v>
      </c>
      <c r="L573">
        <v>21</v>
      </c>
    </row>
    <row r="574" spans="1:12" x14ac:dyDescent="0.3">
      <c r="A574" t="s">
        <v>328</v>
      </c>
      <c r="B574" t="s">
        <v>537</v>
      </c>
      <c r="D574" t="s">
        <v>249</v>
      </c>
      <c r="H574">
        <v>10</v>
      </c>
      <c r="I574">
        <v>39</v>
      </c>
      <c r="L574">
        <v>6</v>
      </c>
    </row>
    <row r="575" spans="1:12" x14ac:dyDescent="0.3">
      <c r="A575" t="s">
        <v>328</v>
      </c>
      <c r="B575" t="s">
        <v>537</v>
      </c>
      <c r="D575" t="s">
        <v>253</v>
      </c>
      <c r="H575">
        <v>14</v>
      </c>
      <c r="I575">
        <v>46</v>
      </c>
      <c r="L575">
        <v>15</v>
      </c>
    </row>
    <row r="576" spans="1:12" x14ac:dyDescent="0.3">
      <c r="A576" t="s">
        <v>328</v>
      </c>
      <c r="B576" t="s">
        <v>537</v>
      </c>
      <c r="D576" t="s">
        <v>255</v>
      </c>
      <c r="H576">
        <v>5</v>
      </c>
      <c r="I576">
        <v>16</v>
      </c>
      <c r="L576">
        <v>5</v>
      </c>
    </row>
    <row r="577" spans="1:12" x14ac:dyDescent="0.3">
      <c r="A577" t="s">
        <v>328</v>
      </c>
      <c r="B577" t="s">
        <v>537</v>
      </c>
      <c r="D577" t="s">
        <v>259</v>
      </c>
      <c r="H577">
        <v>10</v>
      </c>
      <c r="I577">
        <v>32</v>
      </c>
      <c r="L577">
        <v>10</v>
      </c>
    </row>
    <row r="578" spans="1:12" x14ac:dyDescent="0.3">
      <c r="A578" t="s">
        <v>328</v>
      </c>
      <c r="B578" t="s">
        <v>537</v>
      </c>
      <c r="D578" t="s">
        <v>263</v>
      </c>
      <c r="H578">
        <v>19</v>
      </c>
      <c r="I578">
        <v>50</v>
      </c>
      <c r="L578">
        <v>14</v>
      </c>
    </row>
    <row r="579" spans="1:12" x14ac:dyDescent="0.3">
      <c r="A579" t="s">
        <v>328</v>
      </c>
      <c r="B579" t="s">
        <v>537</v>
      </c>
      <c r="D579" t="s">
        <v>267</v>
      </c>
      <c r="H579">
        <v>43</v>
      </c>
      <c r="I579">
        <v>143</v>
      </c>
      <c r="L579">
        <v>25</v>
      </c>
    </row>
    <row r="580" spans="1:12" x14ac:dyDescent="0.3">
      <c r="A580" t="s">
        <v>328</v>
      </c>
      <c r="B580" t="s">
        <v>537</v>
      </c>
      <c r="D580" t="s">
        <v>270</v>
      </c>
      <c r="H580">
        <v>91</v>
      </c>
      <c r="I580">
        <v>290</v>
      </c>
      <c r="L580">
        <v>67</v>
      </c>
    </row>
    <row r="581" spans="1:12" x14ac:dyDescent="0.3">
      <c r="A581" t="s">
        <v>328</v>
      </c>
      <c r="B581" t="s">
        <v>537</v>
      </c>
      <c r="D581" t="s">
        <v>273</v>
      </c>
      <c r="H581">
        <v>17</v>
      </c>
      <c r="I581">
        <v>51</v>
      </c>
      <c r="L581">
        <v>5</v>
      </c>
    </row>
    <row r="582" spans="1:12" x14ac:dyDescent="0.3">
      <c r="A582" t="s">
        <v>328</v>
      </c>
      <c r="B582" t="s">
        <v>537</v>
      </c>
      <c r="D582" t="s">
        <v>277</v>
      </c>
      <c r="H582">
        <v>15</v>
      </c>
      <c r="I582">
        <v>39</v>
      </c>
      <c r="L582">
        <v>10</v>
      </c>
    </row>
    <row r="583" spans="1:12" x14ac:dyDescent="0.3">
      <c r="A583" t="s">
        <v>328</v>
      </c>
      <c r="B583" t="s">
        <v>537</v>
      </c>
      <c r="D583" t="s">
        <v>279</v>
      </c>
      <c r="H583">
        <v>4</v>
      </c>
      <c r="I583">
        <v>21</v>
      </c>
      <c r="L583">
        <v>4</v>
      </c>
    </row>
    <row r="584" spans="1:12" x14ac:dyDescent="0.3">
      <c r="A584" t="s">
        <v>328</v>
      </c>
      <c r="B584" t="s">
        <v>537</v>
      </c>
      <c r="D584" t="s">
        <v>281</v>
      </c>
      <c r="H584">
        <v>5</v>
      </c>
      <c r="I584">
        <v>20</v>
      </c>
      <c r="L584">
        <v>5</v>
      </c>
    </row>
    <row r="585" spans="1:12" x14ac:dyDescent="0.3">
      <c r="A585" t="s">
        <v>328</v>
      </c>
      <c r="B585" t="s">
        <v>537</v>
      </c>
      <c r="D585" t="s">
        <v>283</v>
      </c>
      <c r="L585">
        <v>3</v>
      </c>
    </row>
    <row r="586" spans="1:12" x14ac:dyDescent="0.3">
      <c r="A586" t="s">
        <v>328</v>
      </c>
      <c r="B586" t="s">
        <v>537</v>
      </c>
      <c r="D586" t="s">
        <v>287</v>
      </c>
      <c r="H586">
        <v>15</v>
      </c>
      <c r="I586">
        <v>42</v>
      </c>
      <c r="L586">
        <v>15</v>
      </c>
    </row>
    <row r="587" spans="1:12" x14ac:dyDescent="0.3">
      <c r="A587" t="s">
        <v>328</v>
      </c>
      <c r="B587" t="s">
        <v>537</v>
      </c>
      <c r="D587" t="s">
        <v>289</v>
      </c>
      <c r="H587">
        <v>31</v>
      </c>
      <c r="I587">
        <v>112</v>
      </c>
      <c r="L587">
        <v>20</v>
      </c>
    </row>
    <row r="588" spans="1:12" x14ac:dyDescent="0.3">
      <c r="A588" t="s">
        <v>328</v>
      </c>
      <c r="B588" t="s">
        <v>537</v>
      </c>
      <c r="D588" t="s">
        <v>294</v>
      </c>
      <c r="H588">
        <v>11</v>
      </c>
      <c r="I588">
        <v>43</v>
      </c>
      <c r="L588">
        <v>5</v>
      </c>
    </row>
    <row r="589" spans="1:12" x14ac:dyDescent="0.3">
      <c r="A589" t="s">
        <v>328</v>
      </c>
      <c r="B589" t="s">
        <v>537</v>
      </c>
      <c r="D589" t="s">
        <v>296</v>
      </c>
      <c r="H589">
        <v>21</v>
      </c>
      <c r="I589">
        <v>66</v>
      </c>
      <c r="L589">
        <v>15</v>
      </c>
    </row>
    <row r="590" spans="1:12" x14ac:dyDescent="0.3">
      <c r="A590" t="s">
        <v>328</v>
      </c>
      <c r="B590" t="s">
        <v>537</v>
      </c>
      <c r="D590" t="s">
        <v>298</v>
      </c>
      <c r="H590">
        <v>10</v>
      </c>
      <c r="I590">
        <v>38</v>
      </c>
      <c r="L590">
        <v>10</v>
      </c>
    </row>
    <row r="591" spans="1:12" x14ac:dyDescent="0.3">
      <c r="A591" t="s">
        <v>328</v>
      </c>
      <c r="B591" t="s">
        <v>537</v>
      </c>
      <c r="D591" t="s">
        <v>302</v>
      </c>
      <c r="H591">
        <v>11</v>
      </c>
      <c r="I591">
        <v>36</v>
      </c>
      <c r="L591">
        <v>6</v>
      </c>
    </row>
    <row r="592" spans="1:12" x14ac:dyDescent="0.3">
      <c r="A592" t="s">
        <v>328</v>
      </c>
      <c r="B592" t="s">
        <v>537</v>
      </c>
      <c r="D592" t="s">
        <v>304</v>
      </c>
      <c r="H592">
        <v>28</v>
      </c>
      <c r="I592">
        <v>108</v>
      </c>
      <c r="L592">
        <v>19</v>
      </c>
    </row>
    <row r="593" spans="1:12" x14ac:dyDescent="0.3">
      <c r="A593" t="s">
        <v>328</v>
      </c>
      <c r="B593" t="s">
        <v>537</v>
      </c>
      <c r="D593" t="s">
        <v>307</v>
      </c>
      <c r="H593">
        <v>10</v>
      </c>
      <c r="I593">
        <v>32</v>
      </c>
      <c r="L593">
        <v>5</v>
      </c>
    </row>
    <row r="594" spans="1:12" x14ac:dyDescent="0.3">
      <c r="A594" t="s">
        <v>328</v>
      </c>
      <c r="B594" t="s">
        <v>537</v>
      </c>
      <c r="D594" t="s">
        <v>309</v>
      </c>
      <c r="H594">
        <v>15</v>
      </c>
      <c r="I594">
        <v>50</v>
      </c>
      <c r="L594">
        <v>10</v>
      </c>
    </row>
    <row r="595" spans="1:12" x14ac:dyDescent="0.3">
      <c r="A595" t="s">
        <v>328</v>
      </c>
      <c r="B595" t="s">
        <v>537</v>
      </c>
      <c r="D595" t="s">
        <v>311</v>
      </c>
      <c r="H595">
        <v>11</v>
      </c>
      <c r="I595">
        <v>36.980000000000004</v>
      </c>
      <c r="L595">
        <v>14</v>
      </c>
    </row>
    <row r="596" spans="1:12" x14ac:dyDescent="0.3">
      <c r="A596" t="s">
        <v>328</v>
      </c>
      <c r="B596" t="s">
        <v>540</v>
      </c>
      <c r="D596" t="s">
        <v>322</v>
      </c>
      <c r="F596">
        <v>1</v>
      </c>
      <c r="J596">
        <v>4</v>
      </c>
      <c r="K596">
        <v>10</v>
      </c>
      <c r="L596">
        <v>5</v>
      </c>
    </row>
    <row r="597" spans="1:12" x14ac:dyDescent="0.3">
      <c r="A597" t="s">
        <v>328</v>
      </c>
      <c r="B597" t="s">
        <v>540</v>
      </c>
      <c r="D597" t="s">
        <v>230</v>
      </c>
      <c r="F597">
        <v>1</v>
      </c>
      <c r="I597">
        <v>2</v>
      </c>
      <c r="J597">
        <v>4</v>
      </c>
      <c r="K597">
        <v>9</v>
      </c>
      <c r="L597">
        <v>4</v>
      </c>
    </row>
    <row r="598" spans="1:12" x14ac:dyDescent="0.3">
      <c r="A598" t="s">
        <v>328</v>
      </c>
      <c r="B598" t="s">
        <v>540</v>
      </c>
      <c r="D598" t="s">
        <v>244</v>
      </c>
      <c r="K598">
        <v>1</v>
      </c>
    </row>
    <row r="599" spans="1:12" x14ac:dyDescent="0.3">
      <c r="A599" t="s">
        <v>328</v>
      </c>
      <c r="B599" t="s">
        <v>540</v>
      </c>
      <c r="D599" t="s">
        <v>244</v>
      </c>
      <c r="F599">
        <v>1</v>
      </c>
      <c r="I599">
        <v>1.83</v>
      </c>
      <c r="J599">
        <v>2</v>
      </c>
      <c r="K599">
        <v>5</v>
      </c>
      <c r="L599">
        <v>5</v>
      </c>
    </row>
    <row r="600" spans="1:12" x14ac:dyDescent="0.3">
      <c r="A600" t="s">
        <v>328</v>
      </c>
      <c r="B600" t="s">
        <v>540</v>
      </c>
      <c r="D600" t="s">
        <v>226</v>
      </c>
      <c r="F600">
        <v>1</v>
      </c>
      <c r="I600">
        <v>4</v>
      </c>
      <c r="J600">
        <v>4</v>
      </c>
      <c r="K600">
        <v>8</v>
      </c>
      <c r="L600">
        <v>7.77</v>
      </c>
    </row>
    <row r="601" spans="1:12" x14ac:dyDescent="0.3">
      <c r="A601" t="s">
        <v>328</v>
      </c>
      <c r="B601" t="s">
        <v>540</v>
      </c>
      <c r="D601" t="s">
        <v>251</v>
      </c>
      <c r="F601">
        <v>1</v>
      </c>
      <c r="J601">
        <v>3</v>
      </c>
      <c r="K601">
        <v>9</v>
      </c>
      <c r="L601">
        <v>5</v>
      </c>
    </row>
    <row r="602" spans="1:12" x14ac:dyDescent="0.3">
      <c r="A602" t="s">
        <v>328</v>
      </c>
      <c r="B602" t="s">
        <v>540</v>
      </c>
      <c r="D602" t="s">
        <v>257</v>
      </c>
      <c r="F602">
        <v>1</v>
      </c>
      <c r="I602">
        <v>4</v>
      </c>
      <c r="J602">
        <v>3</v>
      </c>
      <c r="K602">
        <v>6</v>
      </c>
      <c r="L602">
        <v>6</v>
      </c>
    </row>
    <row r="603" spans="1:12" x14ac:dyDescent="0.3">
      <c r="A603" t="s">
        <v>328</v>
      </c>
      <c r="B603" t="s">
        <v>540</v>
      </c>
      <c r="D603" t="s">
        <v>261</v>
      </c>
      <c r="F603">
        <v>1</v>
      </c>
      <c r="H603">
        <v>2</v>
      </c>
      <c r="I603">
        <v>1</v>
      </c>
      <c r="J603">
        <v>3</v>
      </c>
      <c r="K603">
        <v>5</v>
      </c>
      <c r="L603">
        <v>3</v>
      </c>
    </row>
    <row r="604" spans="1:12" x14ac:dyDescent="0.3">
      <c r="A604" t="s">
        <v>328</v>
      </c>
      <c r="B604" t="s">
        <v>540</v>
      </c>
      <c r="D604" t="s">
        <v>236</v>
      </c>
      <c r="F604">
        <v>1</v>
      </c>
      <c r="H604">
        <v>2</v>
      </c>
      <c r="I604">
        <v>3</v>
      </c>
      <c r="J604">
        <v>3</v>
      </c>
      <c r="K604">
        <v>6</v>
      </c>
      <c r="L604">
        <v>10</v>
      </c>
    </row>
    <row r="605" spans="1:12" x14ac:dyDescent="0.3">
      <c r="A605" t="s">
        <v>328</v>
      </c>
      <c r="B605" t="s">
        <v>540</v>
      </c>
      <c r="D605" t="s">
        <v>265</v>
      </c>
      <c r="F605">
        <v>1</v>
      </c>
      <c r="H605">
        <v>1</v>
      </c>
      <c r="J605">
        <v>2</v>
      </c>
      <c r="K605">
        <v>6</v>
      </c>
      <c r="L605">
        <v>5</v>
      </c>
    </row>
    <row r="606" spans="1:12" x14ac:dyDescent="0.3">
      <c r="A606" t="s">
        <v>328</v>
      </c>
      <c r="B606" t="s">
        <v>540</v>
      </c>
      <c r="D606" t="s">
        <v>270</v>
      </c>
      <c r="F606">
        <v>1</v>
      </c>
      <c r="I606">
        <v>1</v>
      </c>
      <c r="J606">
        <v>4</v>
      </c>
      <c r="K606">
        <v>8</v>
      </c>
      <c r="L606">
        <v>6</v>
      </c>
    </row>
    <row r="607" spans="1:12" x14ac:dyDescent="0.3">
      <c r="A607" t="s">
        <v>328</v>
      </c>
      <c r="B607" t="s">
        <v>540</v>
      </c>
      <c r="D607" t="s">
        <v>275</v>
      </c>
      <c r="F607">
        <v>1</v>
      </c>
      <c r="H607">
        <v>1</v>
      </c>
      <c r="J607">
        <v>4</v>
      </c>
      <c r="K607">
        <v>14</v>
      </c>
      <c r="L607">
        <v>5</v>
      </c>
    </row>
    <row r="608" spans="1:12" x14ac:dyDescent="0.3">
      <c r="A608" t="s">
        <v>328</v>
      </c>
      <c r="B608" t="s">
        <v>540</v>
      </c>
      <c r="D608" t="s">
        <v>324</v>
      </c>
      <c r="F608">
        <v>1</v>
      </c>
      <c r="H608">
        <v>1</v>
      </c>
      <c r="I608">
        <v>2</v>
      </c>
      <c r="J608">
        <v>3</v>
      </c>
      <c r="K608">
        <v>9</v>
      </c>
      <c r="L608">
        <v>7</v>
      </c>
    </row>
    <row r="609" spans="1:12" x14ac:dyDescent="0.3">
      <c r="A609" t="s">
        <v>328</v>
      </c>
      <c r="B609" t="s">
        <v>540</v>
      </c>
      <c r="D609" t="s">
        <v>313</v>
      </c>
      <c r="F609">
        <v>1</v>
      </c>
      <c r="H609">
        <v>1</v>
      </c>
      <c r="I609">
        <v>2</v>
      </c>
      <c r="J609">
        <v>4</v>
      </c>
      <c r="K609">
        <v>10</v>
      </c>
      <c r="L609">
        <v>8</v>
      </c>
    </row>
    <row r="610" spans="1:12" x14ac:dyDescent="0.3">
      <c r="A610" t="s">
        <v>328</v>
      </c>
      <c r="B610" t="s">
        <v>540</v>
      </c>
      <c r="D610" t="s">
        <v>285</v>
      </c>
      <c r="F610">
        <v>1</v>
      </c>
      <c r="J610">
        <v>4</v>
      </c>
      <c r="K610">
        <v>6</v>
      </c>
    </row>
    <row r="611" spans="1:12" x14ac:dyDescent="0.3">
      <c r="A611" t="s">
        <v>328</v>
      </c>
      <c r="B611" t="s">
        <v>542</v>
      </c>
      <c r="D611" t="s">
        <v>218</v>
      </c>
      <c r="F611">
        <v>2</v>
      </c>
      <c r="H611">
        <v>18</v>
      </c>
      <c r="I611">
        <v>6</v>
      </c>
      <c r="J611">
        <v>3</v>
      </c>
      <c r="K611">
        <v>9</v>
      </c>
      <c r="L611">
        <v>26</v>
      </c>
    </row>
    <row r="612" spans="1:12" x14ac:dyDescent="0.3">
      <c r="A612" t="s">
        <v>328</v>
      </c>
      <c r="B612" t="s">
        <v>542</v>
      </c>
      <c r="D612" t="s">
        <v>232</v>
      </c>
      <c r="F612">
        <v>1</v>
      </c>
      <c r="H612">
        <v>26</v>
      </c>
      <c r="I612">
        <v>47</v>
      </c>
      <c r="J612">
        <v>4</v>
      </c>
      <c r="K612">
        <v>7</v>
      </c>
      <c r="L612">
        <v>47</v>
      </c>
    </row>
    <row r="613" spans="1:12" x14ac:dyDescent="0.3">
      <c r="A613" t="s">
        <v>328</v>
      </c>
      <c r="B613" t="s">
        <v>542</v>
      </c>
      <c r="C613" t="s">
        <v>237</v>
      </c>
      <c r="D613" t="s">
        <v>238</v>
      </c>
      <c r="F613">
        <v>1</v>
      </c>
      <c r="H613">
        <v>18</v>
      </c>
      <c r="I613">
        <v>16</v>
      </c>
      <c r="J613">
        <v>2</v>
      </c>
      <c r="K613">
        <v>8</v>
      </c>
      <c r="L613">
        <v>28</v>
      </c>
    </row>
    <row r="614" spans="1:12" x14ac:dyDescent="0.3">
      <c r="A614" t="s">
        <v>328</v>
      </c>
      <c r="B614" t="s">
        <v>544</v>
      </c>
      <c r="C614" t="s">
        <v>549</v>
      </c>
      <c r="D614" t="s">
        <v>545</v>
      </c>
      <c r="E614">
        <v>90</v>
      </c>
      <c r="F614">
        <v>12</v>
      </c>
      <c r="G614">
        <v>5</v>
      </c>
      <c r="H614">
        <v>1</v>
      </c>
      <c r="I614">
        <v>1</v>
      </c>
      <c r="J614">
        <v>16</v>
      </c>
      <c r="K614">
        <v>24</v>
      </c>
      <c r="L614">
        <v>31</v>
      </c>
    </row>
    <row r="615" spans="1:12" x14ac:dyDescent="0.3">
      <c r="A615" t="s">
        <v>412</v>
      </c>
      <c r="B615" t="s">
        <v>537</v>
      </c>
      <c r="D615" t="s">
        <v>215</v>
      </c>
      <c r="H615">
        <v>25</v>
      </c>
      <c r="I615">
        <v>69</v>
      </c>
      <c r="L615">
        <v>15</v>
      </c>
    </row>
    <row r="616" spans="1:12" x14ac:dyDescent="0.3">
      <c r="A616" t="s">
        <v>412</v>
      </c>
      <c r="B616" t="s">
        <v>537</v>
      </c>
      <c r="D616" t="s">
        <v>220</v>
      </c>
      <c r="H616">
        <v>11</v>
      </c>
      <c r="I616">
        <v>16</v>
      </c>
      <c r="L616">
        <v>15</v>
      </c>
    </row>
    <row r="617" spans="1:12" x14ac:dyDescent="0.3">
      <c r="A617" t="s">
        <v>412</v>
      </c>
      <c r="B617" t="s">
        <v>537</v>
      </c>
      <c r="D617" t="s">
        <v>224</v>
      </c>
      <c r="H617">
        <v>5</v>
      </c>
      <c r="I617">
        <v>15</v>
      </c>
      <c r="K617">
        <v>1</v>
      </c>
      <c r="L617">
        <v>5</v>
      </c>
    </row>
    <row r="618" spans="1:12" x14ac:dyDescent="0.3">
      <c r="A618" t="s">
        <v>412</v>
      </c>
      <c r="B618" t="s">
        <v>537</v>
      </c>
      <c r="D618" t="s">
        <v>228</v>
      </c>
      <c r="H618">
        <v>10</v>
      </c>
      <c r="I618">
        <v>31</v>
      </c>
      <c r="L618">
        <v>11</v>
      </c>
    </row>
    <row r="619" spans="1:12" x14ac:dyDescent="0.3">
      <c r="A619" t="s">
        <v>412</v>
      </c>
      <c r="B619" t="s">
        <v>537</v>
      </c>
      <c r="D619" t="s">
        <v>234</v>
      </c>
      <c r="H619">
        <v>60</v>
      </c>
      <c r="I619">
        <v>191</v>
      </c>
      <c r="L619">
        <v>51</v>
      </c>
    </row>
    <row r="620" spans="1:12" x14ac:dyDescent="0.3">
      <c r="A620" t="s">
        <v>412</v>
      </c>
      <c r="B620" t="s">
        <v>537</v>
      </c>
      <c r="D620" t="s">
        <v>240</v>
      </c>
      <c r="H620">
        <v>5</v>
      </c>
      <c r="I620">
        <v>17</v>
      </c>
      <c r="L620">
        <v>5</v>
      </c>
    </row>
    <row r="621" spans="1:12" x14ac:dyDescent="0.3">
      <c r="A621" t="s">
        <v>412</v>
      </c>
      <c r="B621" t="s">
        <v>537</v>
      </c>
      <c r="D621" t="s">
        <v>244</v>
      </c>
      <c r="H621">
        <v>15</v>
      </c>
      <c r="I621">
        <v>35.83</v>
      </c>
      <c r="L621">
        <v>13</v>
      </c>
    </row>
    <row r="622" spans="1:12" x14ac:dyDescent="0.3">
      <c r="A622" t="s">
        <v>412</v>
      </c>
      <c r="B622" t="s">
        <v>537</v>
      </c>
      <c r="D622" t="s">
        <v>247</v>
      </c>
      <c r="H622">
        <v>31</v>
      </c>
      <c r="I622">
        <v>106</v>
      </c>
      <c r="J622">
        <v>1</v>
      </c>
      <c r="L622">
        <v>20</v>
      </c>
    </row>
    <row r="623" spans="1:12" x14ac:dyDescent="0.3">
      <c r="A623" t="s">
        <v>412</v>
      </c>
      <c r="B623" t="s">
        <v>537</v>
      </c>
      <c r="D623" t="s">
        <v>249</v>
      </c>
      <c r="H623">
        <v>11</v>
      </c>
      <c r="I623">
        <v>37</v>
      </c>
      <c r="L623">
        <v>5</v>
      </c>
    </row>
    <row r="624" spans="1:12" x14ac:dyDescent="0.3">
      <c r="A624" t="s">
        <v>412</v>
      </c>
      <c r="B624" t="s">
        <v>537</v>
      </c>
      <c r="D624" t="s">
        <v>253</v>
      </c>
      <c r="H624">
        <v>17</v>
      </c>
      <c r="I624">
        <v>49</v>
      </c>
      <c r="L624">
        <v>15</v>
      </c>
    </row>
    <row r="625" spans="1:12" x14ac:dyDescent="0.3">
      <c r="A625" t="s">
        <v>412</v>
      </c>
      <c r="B625" t="s">
        <v>537</v>
      </c>
      <c r="D625" t="s">
        <v>255</v>
      </c>
      <c r="H625">
        <v>5</v>
      </c>
      <c r="I625">
        <v>15</v>
      </c>
      <c r="L625">
        <v>5</v>
      </c>
    </row>
    <row r="626" spans="1:12" x14ac:dyDescent="0.3">
      <c r="A626" t="s">
        <v>412</v>
      </c>
      <c r="B626" t="s">
        <v>537</v>
      </c>
      <c r="D626" t="s">
        <v>259</v>
      </c>
      <c r="H626">
        <v>10</v>
      </c>
      <c r="I626">
        <v>30</v>
      </c>
      <c r="L626">
        <v>10</v>
      </c>
    </row>
    <row r="627" spans="1:12" x14ac:dyDescent="0.3">
      <c r="A627" t="s">
        <v>412</v>
      </c>
      <c r="B627" t="s">
        <v>537</v>
      </c>
      <c r="D627" t="s">
        <v>263</v>
      </c>
      <c r="H627">
        <v>20</v>
      </c>
      <c r="I627">
        <v>49</v>
      </c>
      <c r="L627">
        <v>15</v>
      </c>
    </row>
    <row r="628" spans="1:12" x14ac:dyDescent="0.3">
      <c r="A628" t="s">
        <v>412</v>
      </c>
      <c r="B628" t="s">
        <v>537</v>
      </c>
      <c r="D628" t="s">
        <v>267</v>
      </c>
      <c r="H628">
        <v>42</v>
      </c>
      <c r="I628">
        <v>137</v>
      </c>
      <c r="L628">
        <v>25</v>
      </c>
    </row>
    <row r="629" spans="1:12" x14ac:dyDescent="0.3">
      <c r="A629" t="s">
        <v>412</v>
      </c>
      <c r="B629" t="s">
        <v>537</v>
      </c>
      <c r="D629" t="s">
        <v>270</v>
      </c>
      <c r="H629">
        <v>94</v>
      </c>
      <c r="I629">
        <v>291</v>
      </c>
      <c r="L629">
        <v>67</v>
      </c>
    </row>
    <row r="630" spans="1:12" x14ac:dyDescent="0.3">
      <c r="A630" t="s">
        <v>412</v>
      </c>
      <c r="B630" t="s">
        <v>537</v>
      </c>
      <c r="D630" t="s">
        <v>273</v>
      </c>
      <c r="H630">
        <v>5</v>
      </c>
      <c r="L630">
        <v>6</v>
      </c>
    </row>
    <row r="631" spans="1:12" x14ac:dyDescent="0.3">
      <c r="A631" t="s">
        <v>412</v>
      </c>
      <c r="B631" t="s">
        <v>537</v>
      </c>
      <c r="D631" t="s">
        <v>273</v>
      </c>
      <c r="H631">
        <v>16</v>
      </c>
      <c r="I631">
        <v>50</v>
      </c>
      <c r="L631">
        <v>6</v>
      </c>
    </row>
    <row r="632" spans="1:12" x14ac:dyDescent="0.3">
      <c r="A632" t="s">
        <v>412</v>
      </c>
      <c r="B632" t="s">
        <v>537</v>
      </c>
      <c r="D632" t="s">
        <v>277</v>
      </c>
      <c r="H632">
        <v>15</v>
      </c>
      <c r="I632">
        <v>41</v>
      </c>
      <c r="L632">
        <v>10</v>
      </c>
    </row>
    <row r="633" spans="1:12" x14ac:dyDescent="0.3">
      <c r="A633" t="s">
        <v>412</v>
      </c>
      <c r="B633" t="s">
        <v>537</v>
      </c>
      <c r="D633" t="s">
        <v>279</v>
      </c>
      <c r="H633">
        <v>6</v>
      </c>
      <c r="I633">
        <v>18</v>
      </c>
      <c r="L633">
        <v>7</v>
      </c>
    </row>
    <row r="634" spans="1:12" x14ac:dyDescent="0.3">
      <c r="A634" t="s">
        <v>412</v>
      </c>
      <c r="B634" t="s">
        <v>537</v>
      </c>
      <c r="D634" t="s">
        <v>281</v>
      </c>
      <c r="H634">
        <v>5</v>
      </c>
      <c r="I634">
        <v>19</v>
      </c>
      <c r="L634">
        <v>5</v>
      </c>
    </row>
    <row r="635" spans="1:12" x14ac:dyDescent="0.3">
      <c r="A635" t="s">
        <v>412</v>
      </c>
      <c r="B635" t="s">
        <v>537</v>
      </c>
      <c r="D635" t="s">
        <v>283</v>
      </c>
      <c r="L635">
        <v>3</v>
      </c>
    </row>
    <row r="636" spans="1:12" x14ac:dyDescent="0.3">
      <c r="A636" t="s">
        <v>412</v>
      </c>
      <c r="B636" t="s">
        <v>537</v>
      </c>
      <c r="D636" t="s">
        <v>287</v>
      </c>
      <c r="H636">
        <v>15</v>
      </c>
      <c r="I636">
        <v>45</v>
      </c>
      <c r="L636">
        <v>16</v>
      </c>
    </row>
    <row r="637" spans="1:12" x14ac:dyDescent="0.3">
      <c r="A637" t="s">
        <v>412</v>
      </c>
      <c r="B637" t="s">
        <v>537</v>
      </c>
      <c r="D637" t="s">
        <v>289</v>
      </c>
      <c r="H637">
        <v>35</v>
      </c>
      <c r="I637">
        <v>114</v>
      </c>
      <c r="L637">
        <v>21</v>
      </c>
    </row>
    <row r="638" spans="1:12" x14ac:dyDescent="0.3">
      <c r="A638" t="s">
        <v>412</v>
      </c>
      <c r="B638" t="s">
        <v>537</v>
      </c>
      <c r="D638" t="s">
        <v>292</v>
      </c>
      <c r="L638">
        <v>1</v>
      </c>
    </row>
    <row r="639" spans="1:12" x14ac:dyDescent="0.3">
      <c r="A639" t="s">
        <v>412</v>
      </c>
      <c r="B639" t="s">
        <v>537</v>
      </c>
      <c r="D639" t="s">
        <v>294</v>
      </c>
      <c r="H639">
        <v>15</v>
      </c>
      <c r="I639">
        <v>41</v>
      </c>
      <c r="K639">
        <v>1</v>
      </c>
      <c r="L639">
        <v>13</v>
      </c>
    </row>
    <row r="640" spans="1:12" x14ac:dyDescent="0.3">
      <c r="A640" t="s">
        <v>412</v>
      </c>
      <c r="B640" t="s">
        <v>537</v>
      </c>
      <c r="D640" t="s">
        <v>296</v>
      </c>
      <c r="H640">
        <v>20</v>
      </c>
      <c r="I640">
        <v>66</v>
      </c>
      <c r="L640">
        <v>15</v>
      </c>
    </row>
    <row r="641" spans="1:12" x14ac:dyDescent="0.3">
      <c r="A641" t="s">
        <v>412</v>
      </c>
      <c r="B641" t="s">
        <v>537</v>
      </c>
      <c r="D641" t="s">
        <v>298</v>
      </c>
      <c r="H641">
        <v>10</v>
      </c>
      <c r="I641">
        <v>36</v>
      </c>
      <c r="L641">
        <v>12</v>
      </c>
    </row>
    <row r="642" spans="1:12" x14ac:dyDescent="0.3">
      <c r="A642" t="s">
        <v>412</v>
      </c>
      <c r="B642" t="s">
        <v>537</v>
      </c>
      <c r="D642" t="s">
        <v>302</v>
      </c>
      <c r="H642">
        <v>10</v>
      </c>
      <c r="I642">
        <v>35</v>
      </c>
      <c r="L642">
        <v>6</v>
      </c>
    </row>
    <row r="643" spans="1:12" x14ac:dyDescent="0.3">
      <c r="A643" t="s">
        <v>412</v>
      </c>
      <c r="B643" t="s">
        <v>537</v>
      </c>
      <c r="D643" t="s">
        <v>304</v>
      </c>
      <c r="H643">
        <v>29</v>
      </c>
      <c r="I643">
        <v>100</v>
      </c>
      <c r="J643">
        <v>1</v>
      </c>
      <c r="L643">
        <v>20</v>
      </c>
    </row>
    <row r="644" spans="1:12" x14ac:dyDescent="0.3">
      <c r="A644" t="s">
        <v>412</v>
      </c>
      <c r="B644" t="s">
        <v>537</v>
      </c>
      <c r="D644" t="s">
        <v>307</v>
      </c>
      <c r="H644">
        <v>11</v>
      </c>
      <c r="I644">
        <v>33</v>
      </c>
      <c r="L644">
        <v>5</v>
      </c>
    </row>
    <row r="645" spans="1:12" x14ac:dyDescent="0.3">
      <c r="A645" t="s">
        <v>412</v>
      </c>
      <c r="B645" t="s">
        <v>537</v>
      </c>
      <c r="D645" t="s">
        <v>309</v>
      </c>
      <c r="H645">
        <v>15</v>
      </c>
      <c r="I645">
        <v>51</v>
      </c>
      <c r="L645">
        <v>11</v>
      </c>
    </row>
    <row r="646" spans="1:12" x14ac:dyDescent="0.3">
      <c r="A646" t="s">
        <v>412</v>
      </c>
      <c r="B646" t="s">
        <v>537</v>
      </c>
      <c r="D646" t="s">
        <v>311</v>
      </c>
      <c r="H646">
        <v>11</v>
      </c>
      <c r="I646">
        <v>37.979999999999997</v>
      </c>
      <c r="L646">
        <v>14</v>
      </c>
    </row>
    <row r="647" spans="1:12" x14ac:dyDescent="0.3">
      <c r="A647" t="s">
        <v>412</v>
      </c>
      <c r="B647" t="s">
        <v>540</v>
      </c>
      <c r="D647" t="s">
        <v>322</v>
      </c>
      <c r="F647">
        <v>1</v>
      </c>
      <c r="H647">
        <v>12</v>
      </c>
      <c r="I647">
        <v>32</v>
      </c>
      <c r="J647">
        <v>5</v>
      </c>
      <c r="K647">
        <v>10</v>
      </c>
      <c r="L647">
        <v>13</v>
      </c>
    </row>
    <row r="648" spans="1:12" x14ac:dyDescent="0.3">
      <c r="A648" t="s">
        <v>412</v>
      </c>
      <c r="B648" t="s">
        <v>540</v>
      </c>
      <c r="D648" t="s">
        <v>230</v>
      </c>
      <c r="F648">
        <v>1</v>
      </c>
      <c r="H648">
        <v>4</v>
      </c>
      <c r="J648">
        <v>4</v>
      </c>
      <c r="K648">
        <v>9</v>
      </c>
      <c r="L648">
        <v>6</v>
      </c>
    </row>
    <row r="649" spans="1:12" x14ac:dyDescent="0.3">
      <c r="A649" t="s">
        <v>412</v>
      </c>
      <c r="B649" t="s">
        <v>540</v>
      </c>
      <c r="D649" t="s">
        <v>244</v>
      </c>
      <c r="F649">
        <v>1</v>
      </c>
      <c r="J649">
        <v>3</v>
      </c>
      <c r="K649">
        <v>6</v>
      </c>
      <c r="L649">
        <v>1</v>
      </c>
    </row>
    <row r="650" spans="1:12" x14ac:dyDescent="0.3">
      <c r="A650" t="s">
        <v>412</v>
      </c>
      <c r="B650" t="s">
        <v>540</v>
      </c>
      <c r="D650" t="s">
        <v>226</v>
      </c>
      <c r="F650">
        <v>1</v>
      </c>
      <c r="H650">
        <v>1</v>
      </c>
      <c r="I650">
        <v>1</v>
      </c>
      <c r="J650">
        <v>4</v>
      </c>
      <c r="K650">
        <v>6</v>
      </c>
      <c r="L650">
        <v>8.77</v>
      </c>
    </row>
    <row r="651" spans="1:12" x14ac:dyDescent="0.3">
      <c r="A651" t="s">
        <v>412</v>
      </c>
      <c r="B651" t="s">
        <v>540</v>
      </c>
      <c r="D651" t="s">
        <v>251</v>
      </c>
      <c r="F651">
        <v>1</v>
      </c>
      <c r="H651">
        <v>3</v>
      </c>
      <c r="J651">
        <v>3</v>
      </c>
      <c r="K651">
        <v>9</v>
      </c>
      <c r="L651">
        <v>9</v>
      </c>
    </row>
    <row r="652" spans="1:12" x14ac:dyDescent="0.3">
      <c r="A652" t="s">
        <v>412</v>
      </c>
      <c r="B652" t="s">
        <v>540</v>
      </c>
      <c r="D652" t="s">
        <v>257</v>
      </c>
      <c r="F652">
        <v>1</v>
      </c>
      <c r="H652">
        <v>4</v>
      </c>
      <c r="I652">
        <v>4</v>
      </c>
      <c r="J652">
        <v>3</v>
      </c>
      <c r="K652">
        <v>6</v>
      </c>
      <c r="L652">
        <v>8</v>
      </c>
    </row>
    <row r="653" spans="1:12" x14ac:dyDescent="0.3">
      <c r="A653" t="s">
        <v>412</v>
      </c>
      <c r="B653" t="s">
        <v>540</v>
      </c>
      <c r="D653" t="s">
        <v>261</v>
      </c>
      <c r="F653">
        <v>1</v>
      </c>
      <c r="H653">
        <v>3</v>
      </c>
      <c r="I653">
        <v>1</v>
      </c>
      <c r="J653">
        <v>3</v>
      </c>
      <c r="K653">
        <v>5</v>
      </c>
      <c r="L653">
        <v>5</v>
      </c>
    </row>
    <row r="654" spans="1:12" x14ac:dyDescent="0.3">
      <c r="A654" t="s">
        <v>412</v>
      </c>
      <c r="B654" t="s">
        <v>540</v>
      </c>
      <c r="D654" t="s">
        <v>236</v>
      </c>
      <c r="F654">
        <v>2</v>
      </c>
      <c r="H654">
        <v>3</v>
      </c>
      <c r="I654">
        <v>3</v>
      </c>
      <c r="J654">
        <v>5</v>
      </c>
      <c r="K654">
        <v>9</v>
      </c>
      <c r="L654">
        <v>9</v>
      </c>
    </row>
    <row r="655" spans="1:12" x14ac:dyDescent="0.3">
      <c r="A655" t="s">
        <v>412</v>
      </c>
      <c r="B655" t="s">
        <v>540</v>
      </c>
      <c r="D655" t="s">
        <v>265</v>
      </c>
      <c r="F655">
        <v>1</v>
      </c>
      <c r="H655">
        <v>3</v>
      </c>
      <c r="I655">
        <v>1</v>
      </c>
      <c r="J655">
        <v>2</v>
      </c>
      <c r="K655">
        <v>6</v>
      </c>
      <c r="L655">
        <v>6</v>
      </c>
    </row>
    <row r="656" spans="1:12" x14ac:dyDescent="0.3">
      <c r="A656" t="s">
        <v>412</v>
      </c>
      <c r="B656" t="s">
        <v>540</v>
      </c>
      <c r="D656" t="s">
        <v>270</v>
      </c>
      <c r="F656">
        <v>2</v>
      </c>
      <c r="H656">
        <v>5</v>
      </c>
      <c r="I656">
        <v>2</v>
      </c>
      <c r="J656">
        <v>4</v>
      </c>
      <c r="K656">
        <v>8</v>
      </c>
      <c r="L656">
        <v>9</v>
      </c>
    </row>
    <row r="657" spans="1:12" x14ac:dyDescent="0.3">
      <c r="A657" t="s">
        <v>412</v>
      </c>
      <c r="B657" t="s">
        <v>540</v>
      </c>
      <c r="D657" t="s">
        <v>275</v>
      </c>
      <c r="F657">
        <v>1</v>
      </c>
      <c r="H657">
        <v>0.81</v>
      </c>
      <c r="J657">
        <v>4</v>
      </c>
      <c r="K657">
        <v>13</v>
      </c>
      <c r="L657">
        <v>5</v>
      </c>
    </row>
    <row r="658" spans="1:12" x14ac:dyDescent="0.3">
      <c r="A658" t="s">
        <v>412</v>
      </c>
      <c r="B658" t="s">
        <v>540</v>
      </c>
      <c r="D658" t="s">
        <v>324</v>
      </c>
      <c r="F658">
        <v>1</v>
      </c>
      <c r="H658">
        <v>1</v>
      </c>
      <c r="I658">
        <v>1</v>
      </c>
      <c r="J658">
        <v>1</v>
      </c>
      <c r="K658">
        <v>9</v>
      </c>
      <c r="L658">
        <v>7</v>
      </c>
    </row>
    <row r="659" spans="1:12" x14ac:dyDescent="0.3">
      <c r="A659" t="s">
        <v>412</v>
      </c>
      <c r="B659" t="s">
        <v>540</v>
      </c>
      <c r="D659" t="s">
        <v>313</v>
      </c>
      <c r="F659">
        <v>1</v>
      </c>
      <c r="H659">
        <v>6</v>
      </c>
      <c r="I659">
        <v>2</v>
      </c>
      <c r="J659">
        <v>3</v>
      </c>
      <c r="K659">
        <v>10</v>
      </c>
      <c r="L659">
        <v>10</v>
      </c>
    </row>
    <row r="660" spans="1:12" x14ac:dyDescent="0.3">
      <c r="A660" t="s">
        <v>412</v>
      </c>
      <c r="B660" t="s">
        <v>540</v>
      </c>
      <c r="D660" t="s">
        <v>285</v>
      </c>
      <c r="F660">
        <v>1</v>
      </c>
      <c r="J660">
        <v>3</v>
      </c>
      <c r="K660">
        <v>6</v>
      </c>
    </row>
    <row r="661" spans="1:12" x14ac:dyDescent="0.3">
      <c r="A661" t="s">
        <v>412</v>
      </c>
      <c r="B661" t="s">
        <v>542</v>
      </c>
      <c r="D661" t="s">
        <v>218</v>
      </c>
      <c r="F661">
        <v>1</v>
      </c>
      <c r="H661">
        <v>2</v>
      </c>
      <c r="I661">
        <v>12</v>
      </c>
      <c r="J661">
        <v>2</v>
      </c>
      <c r="K661">
        <v>6</v>
      </c>
      <c r="L661">
        <v>4</v>
      </c>
    </row>
    <row r="662" spans="1:12" x14ac:dyDescent="0.3">
      <c r="A662" t="s">
        <v>412</v>
      </c>
      <c r="B662" t="s">
        <v>542</v>
      </c>
      <c r="D662" t="s">
        <v>232</v>
      </c>
      <c r="F662">
        <v>1</v>
      </c>
      <c r="H662">
        <v>12</v>
      </c>
      <c r="I662">
        <v>36</v>
      </c>
      <c r="J662">
        <v>4</v>
      </c>
      <c r="K662">
        <v>6</v>
      </c>
      <c r="L662">
        <v>35</v>
      </c>
    </row>
    <row r="663" spans="1:12" x14ac:dyDescent="0.3">
      <c r="A663" t="s">
        <v>412</v>
      </c>
      <c r="B663" t="s">
        <v>542</v>
      </c>
      <c r="C663" t="s">
        <v>237</v>
      </c>
      <c r="D663" t="s">
        <v>238</v>
      </c>
      <c r="H663">
        <v>1</v>
      </c>
      <c r="I663">
        <v>24</v>
      </c>
      <c r="J663">
        <v>2</v>
      </c>
      <c r="K663">
        <v>8</v>
      </c>
      <c r="L663">
        <v>5</v>
      </c>
    </row>
    <row r="664" spans="1:12" x14ac:dyDescent="0.3">
      <c r="A664" t="s">
        <v>412</v>
      </c>
      <c r="B664" t="s">
        <v>544</v>
      </c>
      <c r="C664" t="s">
        <v>549</v>
      </c>
      <c r="D664" t="s">
        <v>545</v>
      </c>
      <c r="E664">
        <v>93</v>
      </c>
      <c r="F664">
        <v>9</v>
      </c>
      <c r="G664">
        <v>5</v>
      </c>
      <c r="H664">
        <v>1</v>
      </c>
      <c r="I664">
        <v>1</v>
      </c>
      <c r="J664">
        <v>15</v>
      </c>
      <c r="K664">
        <v>26</v>
      </c>
      <c r="L664">
        <v>36</v>
      </c>
    </row>
  </sheetData>
  <pageMargins left="0.7" right="0.7" top="0.75" bottom="0.75" header="0.3" footer="0.3"/>
  <tableParts count="1">
    <tablePart r:id="rId1"/>
  </tableParts>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Sheet11">
    <tabColor theme="9" tint="0.39997558519241921"/>
    <pageSetUpPr fitToPage="1"/>
  </sheetPr>
  <dimension ref="A1:J84"/>
  <sheetViews>
    <sheetView showGridLines="0" zoomScaleNormal="100" workbookViewId="0">
      <pane ySplit="2" topLeftCell="A3" activePane="bottomLeft" state="frozen"/>
      <selection pane="bottomLeft" sqref="A1:G1"/>
    </sheetView>
  </sheetViews>
  <sheetFormatPr defaultRowHeight="14.4" x14ac:dyDescent="0.3"/>
  <cols>
    <col min="1" max="1" width="17" customWidth="1"/>
    <col min="2" max="2" width="58.109375" customWidth="1"/>
    <col min="3" max="4" width="13.88671875" customWidth="1"/>
    <col min="5" max="5" width="14.109375" customWidth="1"/>
    <col min="6" max="6" width="13.33203125" customWidth="1"/>
    <col min="7" max="7" width="13.44140625" customWidth="1"/>
    <col min="8" max="8" width="13.5546875" customWidth="1"/>
    <col min="9" max="9" width="12" customWidth="1"/>
    <col min="10" max="10" width="13" customWidth="1"/>
  </cols>
  <sheetData>
    <row r="1" spans="1:10" ht="15.6" x14ac:dyDescent="0.3">
      <c r="A1" s="1030" t="s">
        <v>515</v>
      </c>
      <c r="B1" s="1030"/>
      <c r="C1" s="1030"/>
      <c r="D1" s="1030"/>
      <c r="E1" s="1030"/>
      <c r="F1" s="1030"/>
      <c r="G1" s="1030"/>
    </row>
    <row r="2" spans="1:10" ht="27" customHeight="1" x14ac:dyDescent="0.3">
      <c r="A2" s="498" t="s">
        <v>202</v>
      </c>
      <c r="C2" s="440"/>
      <c r="D2" s="440"/>
      <c r="E2" s="440"/>
      <c r="F2" s="440"/>
      <c r="G2" s="440"/>
    </row>
    <row r="3" spans="1:10" ht="15.6" x14ac:dyDescent="0.3">
      <c r="C3" s="440"/>
      <c r="D3" s="440"/>
      <c r="E3" s="440"/>
      <c r="F3" s="440"/>
      <c r="G3" s="440"/>
    </row>
    <row r="4" spans="1:10" ht="37.5" customHeight="1" x14ac:dyDescent="0.3">
      <c r="A4" s="420" t="s">
        <v>696</v>
      </c>
      <c r="B4" s="420"/>
      <c r="C4" s="420"/>
      <c r="D4" s="420"/>
      <c r="E4" s="420"/>
      <c r="F4" s="420"/>
      <c r="G4" s="420"/>
      <c r="H4" s="420"/>
      <c r="I4" s="420"/>
    </row>
    <row r="5" spans="1:10" ht="15" customHeight="1" x14ac:dyDescent="0.3">
      <c r="A5" t="s">
        <v>203</v>
      </c>
      <c r="B5" t="s">
        <v>83</v>
      </c>
      <c r="C5" s="420"/>
      <c r="D5" s="420"/>
      <c r="E5" s="420"/>
      <c r="F5" s="420"/>
      <c r="G5" s="420"/>
      <c r="H5" s="420"/>
      <c r="I5" s="420"/>
    </row>
    <row r="6" spans="1:10" ht="15" customHeight="1" x14ac:dyDescent="0.3">
      <c r="A6" t="s">
        <v>204</v>
      </c>
      <c r="B6" t="s">
        <v>205</v>
      </c>
      <c r="C6" s="420"/>
      <c r="D6" s="420"/>
      <c r="E6" s="420"/>
      <c r="F6" s="420"/>
      <c r="G6" s="420"/>
      <c r="H6" s="420"/>
      <c r="I6" s="420"/>
    </row>
    <row r="7" spans="1:10" ht="15" customHeight="1" x14ac:dyDescent="0.3">
      <c r="A7" t="s">
        <v>206</v>
      </c>
      <c r="B7" t="s">
        <v>207</v>
      </c>
      <c r="C7" s="420"/>
      <c r="D7" s="420"/>
      <c r="E7" s="420"/>
      <c r="F7" s="420"/>
      <c r="G7" s="420"/>
      <c r="H7" s="420"/>
      <c r="I7" s="420"/>
    </row>
    <row r="8" spans="1:10" ht="40.5" customHeight="1" x14ac:dyDescent="0.3">
      <c r="A8" s="36" t="s">
        <v>208</v>
      </c>
      <c r="B8" s="36" t="s">
        <v>550</v>
      </c>
      <c r="C8" s="4" t="s">
        <v>638</v>
      </c>
      <c r="D8" s="43" t="s">
        <v>639</v>
      </c>
      <c r="E8" s="43" t="s">
        <v>640</v>
      </c>
      <c r="F8" s="43" t="s">
        <v>641</v>
      </c>
      <c r="G8" s="43" t="s">
        <v>642</v>
      </c>
      <c r="H8" s="43" t="s">
        <v>643</v>
      </c>
      <c r="I8" s="43" t="s">
        <v>627</v>
      </c>
      <c r="J8" s="43" t="s">
        <v>340</v>
      </c>
    </row>
    <row r="9" spans="1:10" ht="22.5" customHeight="1" thickBot="1" x14ac:dyDescent="0.35">
      <c r="A9" s="38" t="str">
        <f>WTFTERoleAreaPivot!$B$1</f>
        <v>2025-26</v>
      </c>
      <c r="B9" s="38" t="s">
        <v>551</v>
      </c>
      <c r="C9" s="316">
        <f>C44+C64+C70+C72</f>
        <v>5</v>
      </c>
      <c r="D9" s="316">
        <f t="shared" ref="D9:I9" si="0">D44+D64+D70+D72</f>
        <v>27</v>
      </c>
      <c r="E9" s="316">
        <f t="shared" si="0"/>
        <v>70</v>
      </c>
      <c r="F9" s="316">
        <f t="shared" si="0"/>
        <v>160</v>
      </c>
      <c r="G9" s="316">
        <f t="shared" si="0"/>
        <v>624.77</v>
      </c>
      <c r="H9" s="316">
        <f t="shared" si="0"/>
        <v>640.80999999999995</v>
      </c>
      <c r="I9" s="316">
        <f t="shared" si="0"/>
        <v>1895.81</v>
      </c>
      <c r="J9" s="316">
        <f>SUM(C9:I9)</f>
        <v>3423.39</v>
      </c>
    </row>
    <row r="10" spans="1:10" ht="21" customHeight="1" x14ac:dyDescent="0.3">
      <c r="B10" s="39"/>
      <c r="C10" s="630"/>
      <c r="D10" s="630"/>
      <c r="E10" s="630"/>
      <c r="F10" s="630"/>
      <c r="G10" s="630"/>
      <c r="H10" s="630"/>
      <c r="I10" s="630"/>
      <c r="J10" s="96"/>
    </row>
    <row r="11" spans="1:10" ht="13.5" customHeight="1" x14ac:dyDescent="0.3">
      <c r="A11" s="42" t="s">
        <v>209</v>
      </c>
      <c r="B11" s="42" t="s">
        <v>347</v>
      </c>
      <c r="C11" s="43"/>
      <c r="D11" s="43"/>
      <c r="E11" s="43"/>
      <c r="F11" s="43"/>
      <c r="G11" s="43"/>
      <c r="H11" s="43"/>
      <c r="I11" s="43"/>
      <c r="J11" s="75"/>
    </row>
    <row r="12" spans="1:10" ht="23.25" customHeight="1" x14ac:dyDescent="0.3">
      <c r="A12" s="390" t="s">
        <v>214</v>
      </c>
      <c r="B12" s="45" t="s">
        <v>215</v>
      </c>
      <c r="C12" s="677">
        <f>GETPIVOTDATA("Sum of Brigade Manager",WTFTERoleAreaPivot!$A$3,"ReportingLevel","1:LA","lvl","Aberdeen City")</f>
        <v>0</v>
      </c>
      <c r="D12" s="677" t="s">
        <v>619</v>
      </c>
      <c r="E12" s="677" t="s">
        <v>619</v>
      </c>
      <c r="F12" s="667">
        <f>GETPIVOTDATA("Sum of Station Manager",WTFTERoleAreaPivot!$A$3,"ReportingLevel","1:LA","lvl","Aberdeen City")</f>
        <v>0</v>
      </c>
      <c r="G12" s="298">
        <f>GETPIVOTDATA("Sum of Watch Manager",WTFTERoleAreaPivot!$A$3,"ReportingLevel","1:LA","lvl","Aberdeen City")</f>
        <v>15</v>
      </c>
      <c r="H12" s="298">
        <f>GETPIVOTDATA("Sum of Crew Manager",WTFTERoleAreaPivot!$A$3,"ReportingLevel","1:LA","lvl","Aberdeen City")</f>
        <v>25</v>
      </c>
      <c r="I12" s="298">
        <f>GETPIVOTDATA("Sum of Firefighter",WTFTERoleAreaPivot!$A$3,"ReportingLevel","1:LA","lvl","Aberdeen City")</f>
        <v>69</v>
      </c>
      <c r="J12" s="66">
        <f>SUM(C12:I12)</f>
        <v>109</v>
      </c>
    </row>
    <row r="13" spans="1:10" ht="15" customHeight="1" x14ac:dyDescent="0.3">
      <c r="A13" s="89" t="s">
        <v>219</v>
      </c>
      <c r="B13" s="48" t="s">
        <v>220</v>
      </c>
      <c r="C13" s="675">
        <f>GETPIVOTDATA("Sum of Brigade Manager",WTFTERoleAreaPivot!$A$3,"ReportingLevel","1:LA","lvl","Aberdeenshire")</f>
        <v>0</v>
      </c>
      <c r="D13" s="675" t="s">
        <v>619</v>
      </c>
      <c r="E13" s="675" t="s">
        <v>619</v>
      </c>
      <c r="F13" s="667">
        <f>GETPIVOTDATA("Sum of Station Manager",WTFTERoleAreaPivot!$A$3,"ReportingLevel","1:LA","lvl","Aberdeenshire")</f>
        <v>0</v>
      </c>
      <c r="G13" s="667">
        <f>GETPIVOTDATA("Sum of Watch Manager",WTFTERoleAreaPivot!$A$3,"ReportingLevel","1:LA","lvl","Aberdeenshire")</f>
        <v>15</v>
      </c>
      <c r="H13" s="667">
        <f>GETPIVOTDATA("Sum of Crew Manager",WTFTERoleAreaPivot!$A$3,"ReportingLevel","1:LA","lvl","Aberdeenshire")</f>
        <v>11</v>
      </c>
      <c r="I13" s="667">
        <f>GETPIVOTDATA("Sum of Firefighter",WTFTERoleAreaPivot!$A$3,"ReportingLevel","1:LA","lvl","Aberdeenshire")</f>
        <v>16</v>
      </c>
      <c r="J13" s="66">
        <f t="shared" ref="J13:J43" si="1">SUM(C13:I13)</f>
        <v>42</v>
      </c>
    </row>
    <row r="14" spans="1:10" ht="15" customHeight="1" x14ac:dyDescent="0.3">
      <c r="A14" s="89" t="s">
        <v>223</v>
      </c>
      <c r="B14" s="48" t="s">
        <v>224</v>
      </c>
      <c r="C14" s="675">
        <f>GETPIVOTDATA("Sum of Brigade Manager",WTFTERoleAreaPivot!$A$3,"ReportingLevel","1:LA","lvl","Angus")</f>
        <v>0</v>
      </c>
      <c r="D14" s="675" t="s">
        <v>619</v>
      </c>
      <c r="E14" s="675" t="s">
        <v>619</v>
      </c>
      <c r="F14" s="667">
        <f>GETPIVOTDATA("Sum of Station Manager",WTFTERoleAreaPivot!$A$3,"ReportingLevel","1:LA","lvl","Angus")</f>
        <v>1</v>
      </c>
      <c r="G14" s="667">
        <f>GETPIVOTDATA("Sum of Watch Manager",WTFTERoleAreaPivot!$A$3,"ReportingLevel","1:LA","lvl","Angus")</f>
        <v>5</v>
      </c>
      <c r="H14" s="667">
        <f>GETPIVOTDATA("Sum of Crew Manager",WTFTERoleAreaPivot!$A$3,"ReportingLevel","1:LA","lvl","Angus")</f>
        <v>5</v>
      </c>
      <c r="I14" s="667">
        <f>GETPIVOTDATA("Sum of Firefighter",WTFTERoleAreaPivot!$A$3,"ReportingLevel","1:LA","lvl","Angus")</f>
        <v>15</v>
      </c>
      <c r="J14" s="66">
        <f t="shared" si="1"/>
        <v>26</v>
      </c>
    </row>
    <row r="15" spans="1:10" ht="15" customHeight="1" x14ac:dyDescent="0.3">
      <c r="A15" s="89" t="s">
        <v>227</v>
      </c>
      <c r="B15" s="48" t="s">
        <v>228</v>
      </c>
      <c r="C15" s="675">
        <f>GETPIVOTDATA("Sum of Brigade Manager",WTFTERoleAreaPivot!$A$3,"ReportingLevel","1:LA","lvl","Argyll and Bute")</f>
        <v>0</v>
      </c>
      <c r="D15" s="675" t="s">
        <v>619</v>
      </c>
      <c r="E15" s="675" t="s">
        <v>619</v>
      </c>
      <c r="F15" s="667">
        <f>GETPIVOTDATA("Sum of Station Manager",WTFTERoleAreaPivot!$A$3,"ReportingLevel","1:LA","lvl","Argyll and Bute")</f>
        <v>0</v>
      </c>
      <c r="G15" s="667">
        <f>GETPIVOTDATA("Sum of Watch Manager",WTFTERoleAreaPivot!$A$3,"ReportingLevel","1:LA","lvl","Argyll and Bute")</f>
        <v>11</v>
      </c>
      <c r="H15" s="667">
        <f>GETPIVOTDATA("Sum of Crew Manager",WTFTERoleAreaPivot!$A$3,"ReportingLevel","1:LA","lvl","Argyll and Bute")</f>
        <v>10</v>
      </c>
      <c r="I15" s="667">
        <f>GETPIVOTDATA("Sum of Firefighter",WTFTERoleAreaPivot!$A$3,"ReportingLevel","1:LA","lvl","Argyll and Bute")</f>
        <v>31</v>
      </c>
      <c r="J15" s="66">
        <f t="shared" si="1"/>
        <v>52</v>
      </c>
    </row>
    <row r="16" spans="1:10" ht="15" customHeight="1" x14ac:dyDescent="0.3">
      <c r="A16" s="89" t="s">
        <v>233</v>
      </c>
      <c r="B16" s="48" t="s">
        <v>234</v>
      </c>
      <c r="C16" s="675">
        <f>GETPIVOTDATA("Sum of Brigade Manager",WTFTERoleAreaPivot!$A$3,"ReportingLevel","1:LA","lvl","City of Edinburgh")</f>
        <v>0</v>
      </c>
      <c r="D16" s="675" t="s">
        <v>619</v>
      </c>
      <c r="E16" s="675" t="s">
        <v>619</v>
      </c>
      <c r="F16" s="667">
        <f>GETPIVOTDATA("Sum of Station Manager",WTFTERoleAreaPivot!$A$3,"ReportingLevel","1:LA","lvl","City of Edinburgh")</f>
        <v>0</v>
      </c>
      <c r="G16" s="667">
        <f>GETPIVOTDATA("Sum of Watch Manager",WTFTERoleAreaPivot!$A$3,"ReportingLevel","1:LA","lvl","City of Edinburgh")</f>
        <v>51</v>
      </c>
      <c r="H16" s="667">
        <f>GETPIVOTDATA("Sum of Crew Manager",WTFTERoleAreaPivot!$A$3,"ReportingLevel","1:LA","lvl","City of Edinburgh")</f>
        <v>60</v>
      </c>
      <c r="I16" s="667">
        <f>GETPIVOTDATA("Sum of Firefighter",WTFTERoleAreaPivot!$A$3,"ReportingLevel","1:LA","lvl","City of Edinburgh")</f>
        <v>191</v>
      </c>
      <c r="J16" s="66">
        <f t="shared" si="1"/>
        <v>302</v>
      </c>
    </row>
    <row r="17" spans="1:10" ht="15" customHeight="1" x14ac:dyDescent="0.3">
      <c r="A17" s="89" t="s">
        <v>239</v>
      </c>
      <c r="B17" s="48" t="s">
        <v>240</v>
      </c>
      <c r="C17" s="675">
        <f>GETPIVOTDATA("Sum of Brigade Manager",WTFTERoleAreaPivot!$A$3,"ReportingLevel","1:LA","lvl","Clackmannanshire")</f>
        <v>0</v>
      </c>
      <c r="D17" s="675" t="s">
        <v>619</v>
      </c>
      <c r="E17" s="675" t="s">
        <v>619</v>
      </c>
      <c r="F17" s="667">
        <f>GETPIVOTDATA("Sum of Station Manager",WTFTERoleAreaPivot!$A$3,"ReportingLevel","1:LA","lvl","Clackmannanshire")</f>
        <v>0</v>
      </c>
      <c r="G17" s="667">
        <f>GETPIVOTDATA("Sum of Watch Manager",WTFTERoleAreaPivot!$A$3,"ReportingLevel","1:LA","lvl","Clackmannanshire")</f>
        <v>5</v>
      </c>
      <c r="H17" s="667">
        <f>GETPIVOTDATA("Sum of Crew Manager",WTFTERoleAreaPivot!$A$3,"ReportingLevel","1:LA","lvl","Clackmannanshire")</f>
        <v>5</v>
      </c>
      <c r="I17" s="667">
        <f>GETPIVOTDATA("Sum of Firefighter",WTFTERoleAreaPivot!$A$3,"ReportingLevel","1:LA","lvl","Clackmannanshire")</f>
        <v>17</v>
      </c>
      <c r="J17" s="66">
        <f t="shared" si="1"/>
        <v>27</v>
      </c>
    </row>
    <row r="18" spans="1:10" ht="15" customHeight="1" x14ac:dyDescent="0.3">
      <c r="A18" s="89" t="s">
        <v>243</v>
      </c>
      <c r="B18" s="48" t="s">
        <v>244</v>
      </c>
      <c r="C18" s="675">
        <f>GETPIVOTDATA("Sum of Brigade Manager",WTFTERoleAreaPivot!$A$3,"ReportingLevel","1:LA","lvl","Dumfries and Galloway")</f>
        <v>0</v>
      </c>
      <c r="D18" s="675" t="s">
        <v>619</v>
      </c>
      <c r="E18" s="675" t="s">
        <v>619</v>
      </c>
      <c r="F18" s="667">
        <f>GETPIVOTDATA("Sum of Station Manager",WTFTERoleAreaPivot!$A$3,"ReportingLevel","1:LA","lvl","Dumfries and Galloway")</f>
        <v>0</v>
      </c>
      <c r="G18" s="667">
        <f>GETPIVOTDATA("Sum of Watch Manager",WTFTERoleAreaPivot!$A$3,"ReportingLevel","1:LA","lvl","Dumfries and Galloway")</f>
        <v>13</v>
      </c>
      <c r="H18" s="667">
        <f>GETPIVOTDATA("Sum of Crew Manager",WTFTERoleAreaPivot!$A$3,"ReportingLevel","1:LA","lvl","Dumfries and Galloway")</f>
        <v>15</v>
      </c>
      <c r="I18" s="667">
        <f>GETPIVOTDATA("Sum of Firefighter",WTFTERoleAreaPivot!$A$3,"ReportingLevel","1:LA","lvl","Dumfries and Galloway")</f>
        <v>35.83</v>
      </c>
      <c r="J18" s="66">
        <f t="shared" si="1"/>
        <v>63.83</v>
      </c>
    </row>
    <row r="19" spans="1:10" ht="15" customHeight="1" x14ac:dyDescent="0.3">
      <c r="A19" s="89" t="s">
        <v>246</v>
      </c>
      <c r="B19" s="48" t="s">
        <v>247</v>
      </c>
      <c r="C19" s="675">
        <f>GETPIVOTDATA("Sum of Brigade Manager",WTFTERoleAreaPivot!$A$3,"ReportingLevel","1:LA","lvl","Dundee City")</f>
        <v>0</v>
      </c>
      <c r="D19" s="675" t="s">
        <v>619</v>
      </c>
      <c r="E19" s="675" t="s">
        <v>619</v>
      </c>
      <c r="F19" s="667">
        <f>GETPIVOTDATA("Sum of Station Manager",WTFTERoleAreaPivot!$A$3,"ReportingLevel","1:LA","lvl","Dundee City")</f>
        <v>0</v>
      </c>
      <c r="G19" s="667">
        <f>GETPIVOTDATA("Sum of Watch Manager",WTFTERoleAreaPivot!$A$3,"ReportingLevel","1:LA","lvl","Dundee City")</f>
        <v>20</v>
      </c>
      <c r="H19" s="667">
        <f>GETPIVOTDATA("Sum of Crew Manager",WTFTERoleAreaPivot!$A$3,"ReportingLevel","1:LA","lvl","Dundee City")</f>
        <v>31</v>
      </c>
      <c r="I19" s="667">
        <f>GETPIVOTDATA("Sum of Firefighter",WTFTERoleAreaPivot!$A$3,"ReportingLevel","1:LA","lvl","Dundee City")</f>
        <v>106</v>
      </c>
      <c r="J19" s="66">
        <f t="shared" si="1"/>
        <v>157</v>
      </c>
    </row>
    <row r="20" spans="1:10" ht="15" customHeight="1" x14ac:dyDescent="0.3">
      <c r="A20" s="89" t="s">
        <v>248</v>
      </c>
      <c r="B20" s="48" t="s">
        <v>249</v>
      </c>
      <c r="C20" s="675">
        <f>GETPIVOTDATA("Sum of Brigade Manager",WTFTERoleAreaPivot!$A$3,"ReportingLevel","1:LA","lvl","East Ayrshire")</f>
        <v>0</v>
      </c>
      <c r="D20" s="675" t="s">
        <v>619</v>
      </c>
      <c r="E20" s="675" t="s">
        <v>619</v>
      </c>
      <c r="F20" s="667">
        <f>GETPIVOTDATA("Sum of Station Manager",WTFTERoleAreaPivot!$A$3,"ReportingLevel","1:LA","lvl","East Ayrshire")</f>
        <v>0</v>
      </c>
      <c r="G20" s="667">
        <f>GETPIVOTDATA("Sum of Watch Manager",WTFTERoleAreaPivot!$A$3,"ReportingLevel","1:LA","lvl","East Ayrshire")</f>
        <v>5</v>
      </c>
      <c r="H20" s="667">
        <f>GETPIVOTDATA("Sum of Crew Manager",WTFTERoleAreaPivot!$A$3,"ReportingLevel","1:LA","lvl","East Ayrshire")</f>
        <v>11</v>
      </c>
      <c r="I20" s="667">
        <f>GETPIVOTDATA("Sum of Firefighter",WTFTERoleAreaPivot!$A$3,"ReportingLevel","1:LA","lvl","East Ayrshire")</f>
        <v>37</v>
      </c>
      <c r="J20" s="66">
        <f t="shared" si="1"/>
        <v>53</v>
      </c>
    </row>
    <row r="21" spans="1:10" ht="15" customHeight="1" x14ac:dyDescent="0.3">
      <c r="A21" s="89" t="s">
        <v>252</v>
      </c>
      <c r="B21" s="48" t="s">
        <v>253</v>
      </c>
      <c r="C21" s="675">
        <f>GETPIVOTDATA("Sum of Brigade Manager",WTFTERoleAreaPivot!$A$3,"ReportingLevel","1:LA","lvl","East Dunbartonshire")</f>
        <v>0</v>
      </c>
      <c r="D21" s="675" t="s">
        <v>619</v>
      </c>
      <c r="E21" s="675" t="s">
        <v>619</v>
      </c>
      <c r="F21" s="667">
        <f>GETPIVOTDATA("Sum of Station Manager",WTFTERoleAreaPivot!$A$3,"ReportingLevel","1:LA","lvl","East Dunbartonshire")</f>
        <v>0</v>
      </c>
      <c r="G21" s="667">
        <f>GETPIVOTDATA("Sum of Watch Manager",WTFTERoleAreaPivot!$A$3,"ReportingLevel","1:LA","lvl","East Dunbartonshire")</f>
        <v>15</v>
      </c>
      <c r="H21" s="667">
        <f>GETPIVOTDATA("Sum of Crew Manager",WTFTERoleAreaPivot!$A$3,"ReportingLevel","1:LA","lvl","East Dunbartonshire")</f>
        <v>17</v>
      </c>
      <c r="I21" s="667">
        <f>GETPIVOTDATA("Sum of Firefighter",WTFTERoleAreaPivot!$A$3,"ReportingLevel","1:LA","lvl","East Dunbartonshire")</f>
        <v>49</v>
      </c>
      <c r="J21" s="66">
        <f t="shared" si="1"/>
        <v>81</v>
      </c>
    </row>
    <row r="22" spans="1:10" ht="15" customHeight="1" x14ac:dyDescent="0.3">
      <c r="A22" s="89" t="s">
        <v>254</v>
      </c>
      <c r="B22" s="48" t="s">
        <v>255</v>
      </c>
      <c r="C22" s="675">
        <f>GETPIVOTDATA("Sum of Brigade Manager",WTFTERoleAreaPivot!$A$3,"ReportingLevel","1:LA","lvl","East Lothian")</f>
        <v>0</v>
      </c>
      <c r="D22" s="675" t="s">
        <v>619</v>
      </c>
      <c r="E22" s="675" t="s">
        <v>619</v>
      </c>
      <c r="F22" s="667">
        <f>GETPIVOTDATA("Sum of Station Manager",WTFTERoleAreaPivot!$A$3,"ReportingLevel","1:LA","lvl","East Lothian")</f>
        <v>0</v>
      </c>
      <c r="G22" s="667">
        <f>GETPIVOTDATA("Sum of Watch Manager",WTFTERoleAreaPivot!$A$3,"ReportingLevel","1:LA","lvl","East Lothian")</f>
        <v>5</v>
      </c>
      <c r="H22" s="667">
        <f>GETPIVOTDATA("Sum of Crew Manager",WTFTERoleAreaPivot!$A$3,"ReportingLevel","1:LA","lvl","East Lothian")</f>
        <v>5</v>
      </c>
      <c r="I22" s="667">
        <f>GETPIVOTDATA("Sum of Firefighter",WTFTERoleAreaPivot!$A$3,"ReportingLevel","1:LA","lvl","East Lothian")</f>
        <v>15</v>
      </c>
      <c r="J22" s="66">
        <f t="shared" si="1"/>
        <v>25</v>
      </c>
    </row>
    <row r="23" spans="1:10" ht="15" customHeight="1" x14ac:dyDescent="0.3">
      <c r="A23" s="89" t="s">
        <v>258</v>
      </c>
      <c r="B23" s="48" t="s">
        <v>259</v>
      </c>
      <c r="C23" s="675">
        <f>GETPIVOTDATA("Sum of Brigade Manager",WTFTERoleAreaPivot!$A$3,"ReportingLevel","1:LA","lvl","East Renfrewshire")</f>
        <v>0</v>
      </c>
      <c r="D23" s="675" t="s">
        <v>619</v>
      </c>
      <c r="E23" s="675" t="s">
        <v>619</v>
      </c>
      <c r="F23" s="667">
        <f>GETPIVOTDATA("Sum of Station Manager",WTFTERoleAreaPivot!$A$3,"ReportingLevel","1:LA","lvl","East Renfrewshire")</f>
        <v>0</v>
      </c>
      <c r="G23" s="667">
        <f>GETPIVOTDATA("Sum of Watch Manager",WTFTERoleAreaPivot!$A$3,"ReportingLevel","1:LA","lvl","East Renfrewshire")</f>
        <v>10</v>
      </c>
      <c r="H23" s="667">
        <f>GETPIVOTDATA("Sum of Crew Manager",WTFTERoleAreaPivot!$A$3,"ReportingLevel","1:LA","lvl","East Renfrewshire")</f>
        <v>10</v>
      </c>
      <c r="I23" s="667">
        <f>GETPIVOTDATA("Sum of Firefighter",WTFTERoleAreaPivot!$A$3,"ReportingLevel","1:LA","lvl","East Renfrewshire")</f>
        <v>30</v>
      </c>
      <c r="J23" s="66">
        <f t="shared" si="1"/>
        <v>50</v>
      </c>
    </row>
    <row r="24" spans="1:10" ht="15" customHeight="1" x14ac:dyDescent="0.3">
      <c r="A24" s="89" t="s">
        <v>262</v>
      </c>
      <c r="B24" s="48" t="s">
        <v>263</v>
      </c>
      <c r="C24" s="675">
        <f>GETPIVOTDATA("Sum of Brigade Manager",WTFTERoleAreaPivot!$A$3,"ReportingLevel","1:LA","lvl","Falkirk")</f>
        <v>0</v>
      </c>
      <c r="D24" s="675" t="s">
        <v>619</v>
      </c>
      <c r="E24" s="675" t="s">
        <v>619</v>
      </c>
      <c r="F24" s="667">
        <f>GETPIVOTDATA("Sum of Station Manager",WTFTERoleAreaPivot!$A$3,"ReportingLevel","1:LA","lvl","Falkirk")</f>
        <v>0</v>
      </c>
      <c r="G24" s="667">
        <f>GETPIVOTDATA("Sum of Watch Manager",WTFTERoleAreaPivot!$A$3,"ReportingLevel","1:LA","lvl","Falkirk")</f>
        <v>15</v>
      </c>
      <c r="H24" s="667">
        <f>GETPIVOTDATA("Sum of Crew Manager",WTFTERoleAreaPivot!$A$3,"ReportingLevel","1:LA","lvl","Falkirk")</f>
        <v>20</v>
      </c>
      <c r="I24" s="667">
        <f>GETPIVOTDATA("Sum of Firefighter",WTFTERoleAreaPivot!$A$3,"ReportingLevel","1:LA","lvl","Falkirk")</f>
        <v>49</v>
      </c>
      <c r="J24" s="66">
        <f t="shared" si="1"/>
        <v>84</v>
      </c>
    </row>
    <row r="25" spans="1:10" ht="15" customHeight="1" x14ac:dyDescent="0.3">
      <c r="A25" s="89" t="s">
        <v>266</v>
      </c>
      <c r="B25" s="48" t="s">
        <v>267</v>
      </c>
      <c r="C25" s="675">
        <f>GETPIVOTDATA("Sum of Brigade Manager",WTFTERoleAreaPivot!$A$3,"ReportingLevel","1:LA","lvl","Fife")</f>
        <v>0</v>
      </c>
      <c r="D25" s="675" t="s">
        <v>619</v>
      </c>
      <c r="E25" s="675" t="s">
        <v>619</v>
      </c>
      <c r="F25" s="667">
        <f>GETPIVOTDATA("Sum of Station Manager",WTFTERoleAreaPivot!$A$3,"ReportingLevel","1:LA","lvl","Fife")</f>
        <v>0</v>
      </c>
      <c r="G25" s="667">
        <f>GETPIVOTDATA("Sum of Watch Manager",WTFTERoleAreaPivot!$A$3,"ReportingLevel","1:LA","lvl","Fife")</f>
        <v>25</v>
      </c>
      <c r="H25" s="667">
        <f>GETPIVOTDATA("Sum of Crew Manager",WTFTERoleAreaPivot!$A$3,"ReportingLevel","1:LA","lvl","Fife")</f>
        <v>42</v>
      </c>
      <c r="I25" s="667">
        <f>GETPIVOTDATA("Sum of Firefighter",WTFTERoleAreaPivot!$A$3,"ReportingLevel","1:LA","lvl","Fife")</f>
        <v>137</v>
      </c>
      <c r="J25" s="66">
        <f t="shared" si="1"/>
        <v>204</v>
      </c>
    </row>
    <row r="26" spans="1:10" ht="15" customHeight="1" x14ac:dyDescent="0.3">
      <c r="A26" s="89" t="str">
        <f>IF(OR(A9 = "2018-19", A9 = "2017-18", A9 = "2016-17", A9 = "2015-16", A9 = "2014-15", A9 = "2013-14"),"S12000049","S12000046")</f>
        <v>S12000046</v>
      </c>
      <c r="B26" s="48" t="s">
        <v>270</v>
      </c>
      <c r="C26" s="675">
        <f>GETPIVOTDATA("Sum of Brigade Manager",WTFTERoleAreaPivot!$A$3,"ReportingLevel","1:LA","lvl","Glasgow City")</f>
        <v>0</v>
      </c>
      <c r="D26" s="675" t="s">
        <v>619</v>
      </c>
      <c r="E26" s="675" t="s">
        <v>619</v>
      </c>
      <c r="F26" s="667">
        <f>GETPIVOTDATA("Sum of Station Manager",WTFTERoleAreaPivot!$A$3,"ReportingLevel","1:LA","lvl","Glasgow City")</f>
        <v>0</v>
      </c>
      <c r="G26" s="667">
        <f>GETPIVOTDATA("Sum of Watch Manager",WTFTERoleAreaPivot!$A$3,"ReportingLevel","1:LA","lvl","Glasgow City")</f>
        <v>67</v>
      </c>
      <c r="H26" s="667">
        <f>GETPIVOTDATA("Sum of Crew Manager",WTFTERoleAreaPivot!$A$3,"ReportingLevel","1:LA","lvl","Glasgow City")</f>
        <v>94</v>
      </c>
      <c r="I26" s="667">
        <f>GETPIVOTDATA("Sum of Firefighter",WTFTERoleAreaPivot!$A$3,"ReportingLevel","1:LA","lvl","Glasgow City")</f>
        <v>291</v>
      </c>
      <c r="J26" s="66">
        <f t="shared" si="1"/>
        <v>452</v>
      </c>
    </row>
    <row r="27" spans="1:10" ht="15" customHeight="1" x14ac:dyDescent="0.3">
      <c r="A27" s="89" t="s">
        <v>272</v>
      </c>
      <c r="B27" s="48" t="s">
        <v>273</v>
      </c>
      <c r="C27" s="675">
        <f>GETPIVOTDATA("Sum of Brigade Manager",WTFTERoleAreaPivot!$A$3,"ReportingLevel","1:LA","lvl","Highland")</f>
        <v>0</v>
      </c>
      <c r="D27" s="675" t="s">
        <v>619</v>
      </c>
      <c r="E27" s="675" t="s">
        <v>619</v>
      </c>
      <c r="F27" s="667">
        <f>GETPIVOTDATA("Sum of Station Manager",WTFTERoleAreaPivot!$A$3,"ReportingLevel","1:LA","lvl","Highland")</f>
        <v>0</v>
      </c>
      <c r="G27" s="667">
        <f>GETPIVOTDATA("Sum of Watch Manager",WTFTERoleAreaPivot!$A$3,"ReportingLevel","1:LA","lvl","Highland")</f>
        <v>12</v>
      </c>
      <c r="H27" s="667">
        <f>GETPIVOTDATA("Sum of Crew Manager",WTFTERoleAreaPivot!$A$3,"ReportingLevel","1:LA","lvl","Highland")</f>
        <v>21</v>
      </c>
      <c r="I27" s="667">
        <f>GETPIVOTDATA("Sum of Firefighter",WTFTERoleAreaPivot!$A$3,"ReportingLevel","1:LA","lvl","Highland")</f>
        <v>50</v>
      </c>
      <c r="J27" s="66">
        <f t="shared" si="1"/>
        <v>83</v>
      </c>
    </row>
    <row r="28" spans="1:10" ht="15" customHeight="1" x14ac:dyDescent="0.3">
      <c r="A28" s="89" t="s">
        <v>276</v>
      </c>
      <c r="B28" s="48" t="s">
        <v>277</v>
      </c>
      <c r="C28" s="675">
        <f>GETPIVOTDATA("Sum of Brigade Manager",WTFTERoleAreaPivot!$A$3,"ReportingLevel","1:LA","lvl","Inverclyde")</f>
        <v>0</v>
      </c>
      <c r="D28" s="675" t="s">
        <v>619</v>
      </c>
      <c r="E28" s="675" t="s">
        <v>619</v>
      </c>
      <c r="F28" s="667">
        <f>GETPIVOTDATA("Sum of Station Manager",WTFTERoleAreaPivot!$A$3,"ReportingLevel","1:LA","lvl","Inverclyde")</f>
        <v>0</v>
      </c>
      <c r="G28" s="667">
        <f>GETPIVOTDATA("Sum of Watch Manager",WTFTERoleAreaPivot!$A$3,"ReportingLevel","1:LA","lvl","Inverclyde")</f>
        <v>10</v>
      </c>
      <c r="H28" s="667">
        <f>GETPIVOTDATA("Sum of Crew Manager",WTFTERoleAreaPivot!$A$3,"ReportingLevel","1:LA","lvl","Inverclyde")</f>
        <v>15</v>
      </c>
      <c r="I28" s="667">
        <f>GETPIVOTDATA("Sum of Firefighter",WTFTERoleAreaPivot!$A$3,"ReportingLevel","1:LA","lvl","Inverclyde")</f>
        <v>41</v>
      </c>
      <c r="J28" s="66">
        <f t="shared" si="1"/>
        <v>66</v>
      </c>
    </row>
    <row r="29" spans="1:10" ht="15" customHeight="1" x14ac:dyDescent="0.3">
      <c r="A29" s="89" t="s">
        <v>278</v>
      </c>
      <c r="B29" s="48" t="s">
        <v>279</v>
      </c>
      <c r="C29" s="675">
        <f>GETPIVOTDATA("Sum of Brigade Manager",WTFTERoleAreaPivot!$A$3,"ReportingLevel","1:LA","lvl","Midlothian")</f>
        <v>0</v>
      </c>
      <c r="D29" s="675" t="s">
        <v>619</v>
      </c>
      <c r="E29" s="675" t="s">
        <v>619</v>
      </c>
      <c r="F29" s="667">
        <f>GETPIVOTDATA("Sum of Station Manager",WTFTERoleAreaPivot!$A$3,"ReportingLevel","1:LA","lvl","Midlothian")</f>
        <v>0</v>
      </c>
      <c r="G29" s="667">
        <f>GETPIVOTDATA("Sum of Watch Manager",WTFTERoleAreaPivot!$A$3,"ReportingLevel","1:LA","lvl","Midlothian")</f>
        <v>7</v>
      </c>
      <c r="H29" s="667">
        <f>GETPIVOTDATA("Sum of Crew Manager",WTFTERoleAreaPivot!$A$3,"ReportingLevel","1:LA","lvl","Midlothian")</f>
        <v>6</v>
      </c>
      <c r="I29" s="667">
        <f>GETPIVOTDATA("Sum of Firefighter",WTFTERoleAreaPivot!$A$3,"ReportingLevel","1:LA","lvl","Midlothian")</f>
        <v>18</v>
      </c>
      <c r="J29" s="66">
        <f t="shared" si="1"/>
        <v>31</v>
      </c>
    </row>
    <row r="30" spans="1:10" ht="15" customHeight="1" x14ac:dyDescent="0.3">
      <c r="A30" s="89" t="s">
        <v>280</v>
      </c>
      <c r="B30" s="48" t="s">
        <v>281</v>
      </c>
      <c r="C30" s="675">
        <f>GETPIVOTDATA("Sum of Brigade Manager",WTFTERoleAreaPivot!$A$3,"ReportingLevel","1:LA","lvl","Moray")</f>
        <v>0</v>
      </c>
      <c r="D30" s="675" t="s">
        <v>619</v>
      </c>
      <c r="E30" s="675" t="s">
        <v>619</v>
      </c>
      <c r="F30" s="667">
        <f>GETPIVOTDATA("Sum of Station Manager",WTFTERoleAreaPivot!$A$3,"ReportingLevel","1:LA","lvl","Moray")</f>
        <v>0</v>
      </c>
      <c r="G30" s="667">
        <f>GETPIVOTDATA("Sum of Watch Manager",WTFTERoleAreaPivot!$A$3,"ReportingLevel","1:LA","lvl","Moray")</f>
        <v>5</v>
      </c>
      <c r="H30" s="667">
        <f>GETPIVOTDATA("Sum of Crew Manager",WTFTERoleAreaPivot!$A$3,"ReportingLevel","1:LA","lvl","Moray")</f>
        <v>5</v>
      </c>
      <c r="I30" s="667">
        <f>GETPIVOTDATA("Sum of Firefighter",WTFTERoleAreaPivot!$A$3,"ReportingLevel","1:LA","lvl","Moray")</f>
        <v>19</v>
      </c>
      <c r="J30" s="66">
        <f t="shared" si="1"/>
        <v>29</v>
      </c>
    </row>
    <row r="31" spans="1:10" ht="15" customHeight="1" x14ac:dyDescent="0.3">
      <c r="A31" s="89" t="s">
        <v>282</v>
      </c>
      <c r="B31" s="48" t="s">
        <v>283</v>
      </c>
      <c r="C31" s="675">
        <f>IFERROR(GETPIVOTDATA("Sum of Brigade Manager",WTFTERoleAreaPivot!$A$3,"ReportingLevel","1:LA","lvl","Na h-Eileanan Siar"), "-")</f>
        <v>0</v>
      </c>
      <c r="D31" s="675" t="s">
        <v>619</v>
      </c>
      <c r="E31" s="675" t="s">
        <v>619</v>
      </c>
      <c r="F31" s="667">
        <f>IFERROR(GETPIVOTDATA("Sum of Station Manager",WTFTERoleAreaPivot!$A$3,"ReportingLevel","1:LA","lvl","Na h-Eileanan Siar"), "-")</f>
        <v>0</v>
      </c>
      <c r="G31" s="667">
        <f>IFERROR(GETPIVOTDATA("Sum of Watch Manager",WTFTERoleAreaPivot!$A$3,"ReportingLevel","1:LA","lvl","Na h-Eileanan Siar"), "-")</f>
        <v>3</v>
      </c>
      <c r="H31" s="667">
        <f>IFERROR(GETPIVOTDATA("Sum of Crew Manager",WTFTERoleAreaPivot!$A$3,"ReportingLevel","1:LA","lvl","Na h-Eileanan Siar"), "-")</f>
        <v>0</v>
      </c>
      <c r="I31" s="667">
        <f>IFERROR(GETPIVOTDATA("Sum of Firefighter",WTFTERoleAreaPivot!$A$3,"ReportingLevel","1:LA","lvl","Na h-Eileanan Siar"), "-")</f>
        <v>0</v>
      </c>
      <c r="J31" s="66">
        <f t="shared" si="1"/>
        <v>3</v>
      </c>
    </row>
    <row r="32" spans="1:10" ht="15" customHeight="1" x14ac:dyDescent="0.3">
      <c r="A32" s="89" t="s">
        <v>286</v>
      </c>
      <c r="B32" s="48" t="s">
        <v>287</v>
      </c>
      <c r="C32" s="675">
        <f>GETPIVOTDATA("Sum of Brigade Manager",WTFTERoleAreaPivot!$A$3,"ReportingLevel","1:LA","lvl","North Ayrshire")</f>
        <v>0</v>
      </c>
      <c r="D32" s="675" t="s">
        <v>619</v>
      </c>
      <c r="E32" s="675" t="s">
        <v>619</v>
      </c>
      <c r="F32" s="667">
        <f>GETPIVOTDATA("Sum of Station Manager",WTFTERoleAreaPivot!$A$3,"ReportingLevel","1:LA","lvl","North Ayrshire")</f>
        <v>0</v>
      </c>
      <c r="G32" s="667">
        <f>GETPIVOTDATA("Sum of Watch Manager",WTFTERoleAreaPivot!$A$3,"ReportingLevel","1:LA","lvl","North Ayrshire")</f>
        <v>16</v>
      </c>
      <c r="H32" s="667">
        <f>GETPIVOTDATA("Sum of Crew Manager",WTFTERoleAreaPivot!$A$3,"ReportingLevel","1:LA","lvl","North Ayrshire")</f>
        <v>15</v>
      </c>
      <c r="I32" s="667">
        <f>GETPIVOTDATA("Sum of Firefighter",WTFTERoleAreaPivot!$A$3,"ReportingLevel","1:LA","lvl","North Ayrshire")</f>
        <v>45</v>
      </c>
      <c r="J32" s="66">
        <f t="shared" si="1"/>
        <v>76</v>
      </c>
    </row>
    <row r="33" spans="1:10" ht="15" customHeight="1" x14ac:dyDescent="0.3">
      <c r="A33" s="89" t="str">
        <f>IF(OR(A9 = "2018-19", A9 = "2017-18", A9 = "2016-17", A9 = "2015-16", A9 = "2014-15", A9 = "2013-14"),"S12000050","S12000044")</f>
        <v>S12000044</v>
      </c>
      <c r="B33" s="48" t="s">
        <v>289</v>
      </c>
      <c r="C33" s="675">
        <f>GETPIVOTDATA("Sum of Brigade Manager",WTFTERoleAreaPivot!$A$3,"ReportingLevel","1:LA","lvl","North Lanarkshire")</f>
        <v>0</v>
      </c>
      <c r="D33" s="675" t="s">
        <v>619</v>
      </c>
      <c r="E33" s="675" t="s">
        <v>619</v>
      </c>
      <c r="F33" s="667">
        <f>GETPIVOTDATA("Sum of Station Manager",WTFTERoleAreaPivot!$A$3,"ReportingLevel","1:LA","lvl","North Lanarkshire")</f>
        <v>0</v>
      </c>
      <c r="G33" s="667">
        <f>GETPIVOTDATA("Sum of Watch Manager",WTFTERoleAreaPivot!$A$3,"ReportingLevel","1:LA","lvl","North Lanarkshire")</f>
        <v>21</v>
      </c>
      <c r="H33" s="667">
        <f>GETPIVOTDATA("Sum of Crew Manager",WTFTERoleAreaPivot!$A$3,"ReportingLevel","1:LA","lvl","North Lanarkshire")</f>
        <v>35</v>
      </c>
      <c r="I33" s="667">
        <f>GETPIVOTDATA("Sum of Firefighter",WTFTERoleAreaPivot!$A$3,"ReportingLevel","1:LA","lvl","North Lanarkshire")</f>
        <v>114</v>
      </c>
      <c r="J33" s="66">
        <f t="shared" si="1"/>
        <v>170</v>
      </c>
    </row>
    <row r="34" spans="1:10" ht="15" customHeight="1" x14ac:dyDescent="0.3">
      <c r="A34" s="89" t="s">
        <v>291</v>
      </c>
      <c r="B34" s="48" t="s">
        <v>292</v>
      </c>
      <c r="C34" s="675">
        <f>IFERROR(GETPIVOTDATA("Sum of Brigade Manager",WTFTERoleAreaPivot!$A$3,"ReportingLevel","1:LA","lvl","Orkney Islands"),"-")</f>
        <v>0</v>
      </c>
      <c r="D34" s="675" t="s">
        <v>619</v>
      </c>
      <c r="E34" s="675" t="s">
        <v>619</v>
      </c>
      <c r="F34" s="667">
        <f>IFERROR(GETPIVOTDATA("Sum of Station Manager",WTFTERoleAreaPivot!$A$3,"ReportingLevel","1:LA","lvl","Orkney Islands"),"-")</f>
        <v>0</v>
      </c>
      <c r="G34" s="667">
        <f>IFERROR(GETPIVOTDATA("Sum of Watch Manager",WTFTERoleAreaPivot!$A$3,"ReportingLevel","1:LA","lvl","Orkney Islands"),"-")</f>
        <v>1</v>
      </c>
      <c r="H34" s="667">
        <f>IFERROR(GETPIVOTDATA("Sum of Crew Manager",WTFTERoleAreaPivot!$A$3,"ReportingLevel","1:LA","lvl","Orkney Islands"),"-")</f>
        <v>0</v>
      </c>
      <c r="I34" s="667">
        <f>IFERROR(GETPIVOTDATA("Sum of Firefighter",WTFTERoleAreaPivot!$A$3,"ReportingLevel","1:LA","lvl","Orkney Islands"),"-")</f>
        <v>0</v>
      </c>
      <c r="J34" s="66">
        <f t="shared" si="1"/>
        <v>1</v>
      </c>
    </row>
    <row r="35" spans="1:10" ht="15" customHeight="1" x14ac:dyDescent="0.3">
      <c r="A35" s="89" t="s">
        <v>293</v>
      </c>
      <c r="B35" s="48" t="s">
        <v>294</v>
      </c>
      <c r="C35" s="675">
        <f>GETPIVOTDATA("Sum of Brigade Manager",WTFTERoleAreaPivot!$A$3,"ReportingLevel","1:LA","lvl","Perth and Kinross")</f>
        <v>0</v>
      </c>
      <c r="D35" s="675" t="s">
        <v>619</v>
      </c>
      <c r="E35" s="675" t="s">
        <v>619</v>
      </c>
      <c r="F35" s="667">
        <f>GETPIVOTDATA("Sum of Station Manager",WTFTERoleAreaPivot!$A$3,"ReportingLevel","1:LA","lvl","Perth and Kinross")</f>
        <v>1</v>
      </c>
      <c r="G35" s="667">
        <f>GETPIVOTDATA("Sum of Watch Manager",WTFTERoleAreaPivot!$A$3,"ReportingLevel","1:LA","lvl","Perth and Kinross")</f>
        <v>13</v>
      </c>
      <c r="H35" s="667">
        <f>GETPIVOTDATA("Sum of Crew Manager",WTFTERoleAreaPivot!$A$3,"ReportingLevel","1:LA","lvl","Perth and Kinross")</f>
        <v>15</v>
      </c>
      <c r="I35" s="667">
        <f>GETPIVOTDATA("Sum of Firefighter",WTFTERoleAreaPivot!$A$3,"ReportingLevel","1:LA","lvl","Perth and Kinross")</f>
        <v>41</v>
      </c>
      <c r="J35" s="66">
        <f t="shared" si="1"/>
        <v>70</v>
      </c>
    </row>
    <row r="36" spans="1:10" ht="15" customHeight="1" x14ac:dyDescent="0.3">
      <c r="A36" s="89" t="s">
        <v>295</v>
      </c>
      <c r="B36" s="48" t="s">
        <v>296</v>
      </c>
      <c r="C36" s="675">
        <f>GETPIVOTDATA("Sum of Brigade Manager",WTFTERoleAreaPivot!$A$3,"ReportingLevel","1:LA","lvl","Renfrewshire")</f>
        <v>0</v>
      </c>
      <c r="D36" s="675" t="s">
        <v>619</v>
      </c>
      <c r="E36" s="675" t="s">
        <v>619</v>
      </c>
      <c r="F36" s="667">
        <f>GETPIVOTDATA("Sum of Station Manager",WTFTERoleAreaPivot!$A$3,"ReportingLevel","1:LA","lvl","Renfrewshire")</f>
        <v>0</v>
      </c>
      <c r="G36" s="667">
        <f>GETPIVOTDATA("Sum of Watch Manager",WTFTERoleAreaPivot!$A$3,"ReportingLevel","1:LA","lvl","Renfrewshire")</f>
        <v>15</v>
      </c>
      <c r="H36" s="667">
        <f>GETPIVOTDATA("Sum of Crew Manager",WTFTERoleAreaPivot!$A$3,"ReportingLevel","1:LA","lvl","Renfrewshire")</f>
        <v>20</v>
      </c>
      <c r="I36" s="667">
        <f>GETPIVOTDATA("Sum of Firefighter",WTFTERoleAreaPivot!$A$3,"ReportingLevel","1:LA","lvl","Renfrewshire")</f>
        <v>66</v>
      </c>
      <c r="J36" s="66">
        <f t="shared" si="1"/>
        <v>101</v>
      </c>
    </row>
    <row r="37" spans="1:10" ht="15" customHeight="1" x14ac:dyDescent="0.3">
      <c r="A37" s="89" t="s">
        <v>297</v>
      </c>
      <c r="B37" s="48" t="s">
        <v>298</v>
      </c>
      <c r="C37" s="675">
        <f>GETPIVOTDATA("Sum of Brigade Manager",WTFTERoleAreaPivot!$A$3,"ReportingLevel","1:LA","lvl","Scottish Borders")</f>
        <v>0</v>
      </c>
      <c r="D37" s="675" t="s">
        <v>619</v>
      </c>
      <c r="E37" s="675" t="s">
        <v>619</v>
      </c>
      <c r="F37" s="667">
        <f>GETPIVOTDATA("Sum of Station Manager",WTFTERoleAreaPivot!$A$3,"ReportingLevel","1:LA","lvl","Scottish Borders")</f>
        <v>0</v>
      </c>
      <c r="G37" s="667">
        <f>GETPIVOTDATA("Sum of Watch Manager",WTFTERoleAreaPivot!$A$3,"ReportingLevel","1:LA","lvl","Scottish Borders")</f>
        <v>12</v>
      </c>
      <c r="H37" s="667">
        <f>GETPIVOTDATA("Sum of Crew Manager",WTFTERoleAreaPivot!$A$3,"ReportingLevel","1:LA","lvl","Scottish Borders")</f>
        <v>10</v>
      </c>
      <c r="I37" s="667">
        <f>GETPIVOTDATA("Sum of Firefighter",WTFTERoleAreaPivot!$A$3,"ReportingLevel","1:LA","lvl","Scottish Borders")</f>
        <v>36</v>
      </c>
      <c r="J37" s="66">
        <f t="shared" si="1"/>
        <v>58</v>
      </c>
    </row>
    <row r="38" spans="1:10" ht="15" customHeight="1" x14ac:dyDescent="0.3">
      <c r="A38" s="89" t="s">
        <v>299</v>
      </c>
      <c r="B38" s="48" t="s">
        <v>300</v>
      </c>
      <c r="C38" s="675" t="str">
        <f>IFERROR(GETPIVOTDATA("Sum of Brigade Manager",WTFTERoleAreaPivot!$A$3,"ReportingLevel","1:LA","lvl","Shetland Islands"),"-")</f>
        <v>-</v>
      </c>
      <c r="D38" s="675" t="s">
        <v>619</v>
      </c>
      <c r="E38" s="675" t="s">
        <v>619</v>
      </c>
      <c r="F38" s="667" t="str">
        <f>IFERROR(GETPIVOTDATA("Sum of Station Manager",WTFTERoleAreaPivot!$A$3,"ReportingLevel","1:LA","lvl","Shetland Islands"),"-")</f>
        <v>-</v>
      </c>
      <c r="G38" s="667" t="str">
        <f>IFERROR(GETPIVOTDATA("Sum of Watch Manager",WTFTERoleAreaPivot!$A$3,"ReportingLevel","1:LA","lvl","Shetland Islands"),"-")</f>
        <v>-</v>
      </c>
      <c r="H38" s="667" t="str">
        <f>IFERROR(GETPIVOTDATA("Sum of Crew Manager",WTFTERoleAreaPivot!$A$3,"ReportingLevel","1:LA","lvl","Shetland Islands"),"-")</f>
        <v>-</v>
      </c>
      <c r="I38" s="667" t="str">
        <f>IFERROR(GETPIVOTDATA("Sum of Firefighter",WTFTERoleAreaPivot!$A$3,"ReportingLevel","1:LA","lvl","Shetland Islands"),"-")</f>
        <v>-</v>
      </c>
      <c r="J38" s="66">
        <f t="shared" si="1"/>
        <v>0</v>
      </c>
    </row>
    <row r="39" spans="1:10" ht="15" customHeight="1" x14ac:dyDescent="0.3">
      <c r="A39" s="89" t="s">
        <v>301</v>
      </c>
      <c r="B39" s="48" t="s">
        <v>302</v>
      </c>
      <c r="C39" s="675">
        <f>GETPIVOTDATA("Sum of Brigade Manager",WTFTERoleAreaPivot!$A$3,"ReportingLevel","1:LA","lvl","South Ayrshire")</f>
        <v>0</v>
      </c>
      <c r="D39" s="675" t="s">
        <v>619</v>
      </c>
      <c r="E39" s="675" t="s">
        <v>619</v>
      </c>
      <c r="F39" s="667">
        <f>GETPIVOTDATA("Sum of Station Manager",WTFTERoleAreaPivot!$A$3,"ReportingLevel","1:LA","lvl","South Ayrshire")</f>
        <v>0</v>
      </c>
      <c r="G39" s="667">
        <f>GETPIVOTDATA("Sum of Watch Manager",WTFTERoleAreaPivot!$A$3,"ReportingLevel","1:LA","lvl","South Ayrshire")</f>
        <v>6</v>
      </c>
      <c r="H39" s="667">
        <f>GETPIVOTDATA("Sum of Crew Manager",WTFTERoleAreaPivot!$A$3,"ReportingLevel","1:LA","lvl","South Ayrshire")</f>
        <v>10</v>
      </c>
      <c r="I39" s="667">
        <f>GETPIVOTDATA("Sum of Firefighter",WTFTERoleAreaPivot!$A$3,"ReportingLevel","1:LA","lvl","South Ayrshire")</f>
        <v>35</v>
      </c>
      <c r="J39" s="66">
        <f t="shared" si="1"/>
        <v>51</v>
      </c>
    </row>
    <row r="40" spans="1:10" ht="15" customHeight="1" x14ac:dyDescent="0.3">
      <c r="A40" s="89" t="s">
        <v>303</v>
      </c>
      <c r="B40" s="48" t="s">
        <v>304</v>
      </c>
      <c r="C40" s="675">
        <f>GETPIVOTDATA("Sum of Brigade Manager",WTFTERoleAreaPivot!$A$3,"ReportingLevel","1:LA","lvl","South Lanarkshire")</f>
        <v>0</v>
      </c>
      <c r="D40" s="675" t="s">
        <v>619</v>
      </c>
      <c r="E40" s="675" t="s">
        <v>619</v>
      </c>
      <c r="F40" s="667">
        <f>GETPIVOTDATA("Sum of Station Manager",WTFTERoleAreaPivot!$A$3,"ReportingLevel","1:LA","lvl","South Lanarkshire")</f>
        <v>0</v>
      </c>
      <c r="G40" s="667">
        <f>GETPIVOTDATA("Sum of Watch Manager",WTFTERoleAreaPivot!$A$3,"ReportingLevel","1:LA","lvl","South Lanarkshire")</f>
        <v>20</v>
      </c>
      <c r="H40" s="667">
        <f>GETPIVOTDATA("Sum of Crew Manager",WTFTERoleAreaPivot!$A$3,"ReportingLevel","1:LA","lvl","South Lanarkshire")</f>
        <v>29</v>
      </c>
      <c r="I40" s="667">
        <f>GETPIVOTDATA("Sum of Firefighter",WTFTERoleAreaPivot!$A$3,"ReportingLevel","1:LA","lvl","South Lanarkshire")</f>
        <v>100</v>
      </c>
      <c r="J40" s="66">
        <f t="shared" si="1"/>
        <v>149</v>
      </c>
    </row>
    <row r="41" spans="1:10" ht="15" customHeight="1" x14ac:dyDescent="0.3">
      <c r="A41" s="89" t="s">
        <v>306</v>
      </c>
      <c r="B41" s="48" t="s">
        <v>307</v>
      </c>
      <c r="C41" s="675">
        <f>GETPIVOTDATA("Sum of Brigade Manager",WTFTERoleAreaPivot!$A$3,"ReportingLevel","1:LA","lvl","Stirling")</f>
        <v>0</v>
      </c>
      <c r="D41" s="675" t="s">
        <v>619</v>
      </c>
      <c r="E41" s="675" t="s">
        <v>619</v>
      </c>
      <c r="F41" s="667">
        <f>GETPIVOTDATA("Sum of Station Manager",WTFTERoleAreaPivot!$A$3,"ReportingLevel","1:LA","lvl","Stirling")</f>
        <v>0</v>
      </c>
      <c r="G41" s="667">
        <f>GETPIVOTDATA("Sum of Watch Manager",WTFTERoleAreaPivot!$A$3,"ReportingLevel","1:LA","lvl","Stirling")</f>
        <v>5</v>
      </c>
      <c r="H41" s="667">
        <f>GETPIVOTDATA("Sum of Crew Manager",WTFTERoleAreaPivot!$A$3,"ReportingLevel","1:LA","lvl","Stirling")</f>
        <v>11</v>
      </c>
      <c r="I41" s="667">
        <f>GETPIVOTDATA("Sum of Firefighter",WTFTERoleAreaPivot!$A$3,"ReportingLevel","1:LA","lvl","Stirling")</f>
        <v>33</v>
      </c>
      <c r="J41" s="66">
        <f t="shared" si="1"/>
        <v>49</v>
      </c>
    </row>
    <row r="42" spans="1:10" ht="15" customHeight="1" x14ac:dyDescent="0.3">
      <c r="A42" s="89" t="s">
        <v>308</v>
      </c>
      <c r="B42" s="48" t="s">
        <v>309</v>
      </c>
      <c r="C42" s="675">
        <f>GETPIVOTDATA("Sum of Brigade Manager",WTFTERoleAreaPivot!$A$3,"ReportingLevel","1:LA","lvl","West Dunbartonshire")</f>
        <v>0</v>
      </c>
      <c r="D42" s="675" t="s">
        <v>619</v>
      </c>
      <c r="E42" s="675" t="s">
        <v>619</v>
      </c>
      <c r="F42" s="667">
        <f>GETPIVOTDATA("Sum of Station Manager",WTFTERoleAreaPivot!$A$3,"ReportingLevel","1:LA","lvl","West Dunbartonshire")</f>
        <v>0</v>
      </c>
      <c r="G42" s="667">
        <f>GETPIVOTDATA("Sum of Watch Manager",WTFTERoleAreaPivot!$A$3,"ReportingLevel","1:LA","lvl","West Dunbartonshire")</f>
        <v>11</v>
      </c>
      <c r="H42" s="667">
        <f>GETPIVOTDATA("Sum of Crew Manager",WTFTERoleAreaPivot!$A$3,"ReportingLevel","1:LA","lvl","West Dunbartonshire")</f>
        <v>15</v>
      </c>
      <c r="I42" s="667">
        <f>GETPIVOTDATA("Sum of Firefighter",WTFTERoleAreaPivot!$A$3,"ReportingLevel","1:LA","lvl","West Dunbartonshire")</f>
        <v>51</v>
      </c>
      <c r="J42" s="66">
        <f t="shared" si="1"/>
        <v>77</v>
      </c>
    </row>
    <row r="43" spans="1:10" ht="15" customHeight="1" x14ac:dyDescent="0.3">
      <c r="A43" s="89" t="s">
        <v>310</v>
      </c>
      <c r="B43" s="48" t="s">
        <v>311</v>
      </c>
      <c r="C43" s="675">
        <f>GETPIVOTDATA("Sum of Brigade Manager",WTFTERoleAreaPivot!$A$3,"ReportingLevel","1:LA","lvl","West Lothian")</f>
        <v>0</v>
      </c>
      <c r="D43" s="675" t="s">
        <v>619</v>
      </c>
      <c r="E43" s="675" t="s">
        <v>619</v>
      </c>
      <c r="F43" s="667">
        <f>GETPIVOTDATA("Sum of Station Manager",WTFTERoleAreaPivot!$A$3,"ReportingLevel","1:LA","lvl","West Lothian")</f>
        <v>0</v>
      </c>
      <c r="G43" s="667">
        <f>GETPIVOTDATA("Sum of Watch Manager",WTFTERoleAreaPivot!$A$3,"ReportingLevel","1:LA","lvl","West Lothian")</f>
        <v>14</v>
      </c>
      <c r="H43" s="667">
        <f>GETPIVOTDATA("Sum of Crew Manager",WTFTERoleAreaPivot!$A$3,"ReportingLevel","1:LA","lvl","West Lothian")</f>
        <v>11</v>
      </c>
      <c r="I43" s="667">
        <f>GETPIVOTDATA("Sum of Firefighter",WTFTERoleAreaPivot!$A$3,"ReportingLevel","1:LA","lvl","West Lothian")</f>
        <v>37.979999999999997</v>
      </c>
      <c r="J43" s="66">
        <f t="shared" si="1"/>
        <v>62.98</v>
      </c>
    </row>
    <row r="44" spans="1:10" ht="30" customHeight="1" thickBot="1" x14ac:dyDescent="0.35">
      <c r="A44" s="52"/>
      <c r="B44" s="52" t="s">
        <v>552</v>
      </c>
      <c r="C44" s="436">
        <f t="shared" ref="C44:E44" si="2">SUM(C12:C43)</f>
        <v>0</v>
      </c>
      <c r="D44" s="436">
        <f t="shared" si="2"/>
        <v>0</v>
      </c>
      <c r="E44" s="436">
        <f t="shared" si="2"/>
        <v>0</v>
      </c>
      <c r="F44" s="70">
        <f>GETPIVOTDATA("Sum of Station Manager",WTFTERoleAreaPivot!$A$3,"ReportingLevel","1:LA")</f>
        <v>2</v>
      </c>
      <c r="G44" s="629">
        <f>GETPIVOTDATA("Sum of Watch Manager",WTFTERoleAreaPivot!$A$3,"ReportingLevel","1:LA")</f>
        <v>448</v>
      </c>
      <c r="H44" s="629">
        <f>GETPIVOTDATA("Sum of Crew Manager",WTFTERoleAreaPivot!$A$3,"ReportingLevel","1:LA")</f>
        <v>579</v>
      </c>
      <c r="I44" s="629">
        <f>GETPIVOTDATA("Sum of Firefighter",WTFTERoleAreaPivot!$A$3,"ReportingLevel","1:LA")</f>
        <v>1775.81</v>
      </c>
      <c r="J44" s="629">
        <f>SUM(F44:I44)</f>
        <v>2804.81</v>
      </c>
    </row>
    <row r="45" spans="1:10" ht="13.5" customHeight="1" x14ac:dyDescent="0.3">
      <c r="A45" s="82"/>
      <c r="B45" s="82"/>
      <c r="J45" s="456"/>
    </row>
    <row r="46" spans="1:10" ht="30" customHeight="1" x14ac:dyDescent="0.3">
      <c r="A46" s="54" t="s">
        <v>210</v>
      </c>
      <c r="B46" s="54" t="s">
        <v>553</v>
      </c>
      <c r="C46" s="43"/>
      <c r="D46" s="43"/>
      <c r="E46" s="43"/>
      <c r="F46" s="43"/>
      <c r="G46" s="43"/>
      <c r="H46" s="43"/>
      <c r="I46" s="43"/>
      <c r="J46" s="75"/>
    </row>
    <row r="47" spans="1:10" ht="22.5" customHeight="1" x14ac:dyDescent="0.3">
      <c r="A47" s="391" t="str">
        <f>IF(OR(A9="2021-22", A9 = "2022-23", A9 = "2023-24", A9 = "2024-25"), "S39000023", "S39000001")</f>
        <v>S39000001</v>
      </c>
      <c r="B47" s="669" t="str">
        <f>IF(OR(A9="2021-22", A9 = "2022-23", A9 = "2023-24", A9 = "2024-25", A9 = "2025-26"), "Abderdeen City, Aberdeenshire and Moray", "Aberdeen City")</f>
        <v>Abderdeen City, Aberdeenshire and Moray</v>
      </c>
      <c r="C47" s="435">
        <f>IF(OR(A9="2021-22", A9 = "2022-23", A9 = "2023-24", A9 = "2024-25", A9 = "2025-26"),GETPIVOTDATA("Sum of Brigade Manager",WTFTERoleAreaPivot!$A$3,"ReportingLevel","2:LSO","lvl","Aberdeen City, Aberdeenshire and Moray"), GETPIVOTDATA("Sum of Brigade Manager",WTFTERoleAreaPivot!$A$3,"ReportingLevel","2:LSO","lvl","Aberdeen City"))</f>
        <v>0</v>
      </c>
      <c r="D47" s="298">
        <f>IF(OR(A9="2021-22", A9 = "2022-23", A9 = "2023-24", A9 = "2024-25", A9 = "2025-26"),GETPIVOTDATA("Sum of Area Manager",WTFTERoleAreaPivot!$A$3,"ReportingLevel","2:LSO","lvl","Aberdeen City, Aberdeenshire and Moray"), GETPIVOTDATA("Sum of Area Manager",WTFTERoleAreaPivot!$A$3,"ReportingLevel","2:LSO","lvl","Aberdeen City"))</f>
        <v>1</v>
      </c>
      <c r="E47" s="298">
        <f>IF(OR(A9="2021-22", A9 = "2022-23", A9 = "2023-24", A9 = "2024-25", A9 = "2025-26"),GETPIVOTDATA("Sum of Group Manager",WTFTERoleAreaPivot!$A$3,"ReportingLevel","2:LSO","lvl","Aberdeen City, Aberdeenshire and Moray"), GETPIVOTDATA("Sum of Group Manager",WTFTERoleAreaPivot!$A$3,"ReportingLevel","2:LSO","lvl","Aberdeen City"))</f>
        <v>5</v>
      </c>
      <c r="F47" s="298">
        <f>IF(OR(A9="2021-22", A9 = "2022-23", A9 = "2023-24", A9 = "2024-25", A9 = "2025-26"),GETPIVOTDATA("Sum of Station Manager",WTFTERoleAreaPivot!$A$3,"ReportingLevel","2:LSO","lvl","Aberdeen City, Aberdeenshire and Moray"), GETPIVOTDATA("Sum of Station Manager",WTFTERoleAreaPivot!$A$3,"ReportingLevel","2:LSO","lvl","Aberdeen City"))</f>
        <v>10</v>
      </c>
      <c r="G47" s="298">
        <f>IF(OR(A9="2021-22", A9 = "2022-23", A9 = "2023-24", A9 = "2024-25", A9 = "2025-26"),GETPIVOTDATA("Sum of Watch Manager",WTFTERoleAreaPivot!$A$3,"ReportingLevel","2:LSO","lvl","Aberdeen City, Aberdeenshire and Moray"), GETPIVOTDATA("Sum of Watch Manager",WTFTERoleAreaPivot!$A$3,"ReportingLevel","2:LSO","lvl","Aberdeen City"))</f>
        <v>13</v>
      </c>
      <c r="H47" s="298">
        <f>IF(OR(A9="2021-22", A9 = "2022-23", A9 = "2023-24", A9 = "2024-25", A9 = "2025-26"),GETPIVOTDATA("Sum of Crew Manager",WTFTERoleAreaPivot!$A$3,"ReportingLevel","2:LSO","lvl","Aberdeen City, Aberdeenshire and Moray"), GETPIVOTDATA("Sum of Crew Manager",WTFTERoleAreaPivot!$A$3,"ReportingLevel","2:LSO","lvl","Aberdeen City"))</f>
        <v>12</v>
      </c>
      <c r="I47" s="298">
        <f>IF(OR(A9="2021-22", A9 = "2022-23", A9 = "2023-24", A9 = "2024-25", A9 = "2025-26"),GETPIVOTDATA("Sum of Firefighter",wtroleareapivot!$A$3,"ReportingLevel","2:LSO","lvl","Aberdeen City, Aberdeenshire and Moray"), GETPIVOTDATA("Sum of Firefighter",WTFTERoleAreaPivot!$A$3,"ReportingLevel","2:LSO","lvl","Aberdeen City"))</f>
        <v>32</v>
      </c>
      <c r="J47" s="67">
        <f>SUM(C47:I47)</f>
        <v>73</v>
      </c>
    </row>
    <row r="48" spans="1:10" ht="13.5" customHeight="1" x14ac:dyDescent="0.3">
      <c r="A48" s="671" t="str">
        <f>IF(OR(A9="2021-22", A9 = "2022-23", A9 = "2023-24", A9 = "2024-25"), "", "S39000002")</f>
        <v>S39000002</v>
      </c>
      <c r="B48" s="666" t="str">
        <f>IF(OR(A9="2021-22", A9 = "2022-23", A9 = "2023-24", A9 = "2024-25", A9 = "2025-26"), "", "Aberdeenshire and Moray")</f>
        <v/>
      </c>
      <c r="C48" s="435" t="str">
        <f>IF(OR(A9="2021-22", A9 = "2022-23", A9 = "2023-24", A9 = "2024-25", A9 = "2025-26"),"", GETPIVOTDATA("Sum of Brigade Manager",WTFTERoleAreaPivot!$A$3,"ReportingLevel","2:LSO","lvl","Aberdeenshire and Moray"))</f>
        <v/>
      </c>
      <c r="D48" s="66" t="str">
        <f>IF(OR(A9="2021-22", A9 = "2022-23", A9 = "2023-24", A9 = "2024-25", A9 = "2025-26"),"", GETPIVOTDATA("Sum of Area Manager",WTFTERoleAreaPivot!$A$3,"ReportingLevel","2:LSO","lvl","Aberdeenshire and Moray"))</f>
        <v/>
      </c>
      <c r="E48" s="66" t="str">
        <f>IF(OR(A9="2021-22", A9 = "2022-23", A9 = "2023-24", A9 = "2024-25", A9 = "2025-26"),"", GETPIVOTDATA("Sum of Group Manager",WTFTERoleAreaPivot!$A$3,"ReportingLevel","2:LSO","lvl","Aberdeenshire and Moray"))</f>
        <v/>
      </c>
      <c r="F48" s="66" t="str">
        <f>IF(OR(A9="2021-22", A9 = "2022-23", A9 = "2023-24", A9 = "2024-25", A9 = "2025-26"),"", GETPIVOTDATA("Sum of Station Manager",WTFTERoleAreaPivot!$A$3,"ReportingLevel","2:LSO","lvl","Aberdeenshire and Moray"))</f>
        <v/>
      </c>
      <c r="G48" s="66" t="str">
        <f>IF(OR(A9="2021-22", A9 = "2022-23", A9 = "2023-24", A9 = "2024-25", A9 = "2025-26"),"", GETPIVOTDATA("Sum of Watch Manager",WTFTERoleAreaPivot!$A$3,"ReportingLevel","2:LSO","lvl","Aberdeenshire and Moray"))</f>
        <v/>
      </c>
      <c r="H48" s="66" t="str">
        <f>IF(OR(A9="2021-22", A9 = "2022-23", A9 = "2023-24", A9 = "2024-25", A9 = "2025-26"),"", GETPIVOTDATA("Sum of Crew Manager",WTFTERoleAreaPivot!$A$3,"ReportingLevel","2:LSO","lvl","Aberdeenshire and Moray"))</f>
        <v/>
      </c>
      <c r="I48" s="66" t="str">
        <f>IF(OR(A9="2021-22", A9 = "2022-23", A9 = "2023-24", A9 = "2024-25", A9 = "2025-26"),"", GETPIVOTDATA("Sum of Firefighter",WTFTERoleAreaPivot!$A$3,"ReportingLevel","2:LSO","lvl","Aberdeenshire and Moray"))</f>
        <v/>
      </c>
      <c r="J48" s="67">
        <f t="shared" ref="J48:J63" si="3">SUM(C48:I48)</f>
        <v>0</v>
      </c>
    </row>
    <row r="49" spans="1:10" ht="13.5" customHeight="1" x14ac:dyDescent="0.3">
      <c r="A49" s="392" t="s">
        <v>229</v>
      </c>
      <c r="B49" s="666" t="s">
        <v>230</v>
      </c>
      <c r="C49" s="435">
        <f>GETPIVOTDATA("Sum of Brigade Manager",WTFTERoleAreaPivot!$A$3,"ReportingLevel","2:LSO","lvl","Argyll and Bute, East Dunbartonshire and West Dunbartonshire")</f>
        <v>0</v>
      </c>
      <c r="D49" s="66">
        <f>GETPIVOTDATA("Sum of Area Manager",WTFTERoleAreaPivot!$A$3,"ReportingLevel","2:LSO","lvl","Argyll and Bute, East Dunbartonshire and West Dunbartonshire")</f>
        <v>1</v>
      </c>
      <c r="E49" s="66">
        <f>GETPIVOTDATA("Sum of Group Manager",WTFTERoleAreaPivot!$A$3,"ReportingLevel","2:LSO","lvl","Argyll and Bute, East Dunbartonshire and West Dunbartonshire")</f>
        <v>4</v>
      </c>
      <c r="F49" s="66">
        <f>GETPIVOTDATA("Sum of Station Manager",WTFTERoleAreaPivot!$A$3,"ReportingLevel","2:LSO","lvl","Argyll and Bute, East Dunbartonshire and West Dunbartonshire")</f>
        <v>9</v>
      </c>
      <c r="G49" s="66">
        <f>GETPIVOTDATA("Sum of Watch Manager",WTFTERoleAreaPivot!$A$3,"ReportingLevel","2:LSO","lvl","Argyll and Bute, East Dunbartonshire and West Dunbartonshire")</f>
        <v>6</v>
      </c>
      <c r="H49" s="66">
        <f>GETPIVOTDATA("Sum of Crew Manager",WTFTERoleAreaPivot!$A$3,"ReportingLevel","2:LSO","lvl","Argyll and Bute, East Dunbartonshire and West Dunbartonshire")</f>
        <v>4</v>
      </c>
      <c r="I49" s="66">
        <f>GETPIVOTDATA("Sum of Firefighter",WTFTERoleAreaPivot!$A$3,"ReportingLevel","2:LSO","lvl","Argyll and Bute, East Dunbartonshire and West Dunbartonshire")</f>
        <v>0</v>
      </c>
      <c r="J49" s="67">
        <f t="shared" si="3"/>
        <v>24</v>
      </c>
    </row>
    <row r="50" spans="1:10" ht="13.5" customHeight="1" x14ac:dyDescent="0.3">
      <c r="A50" s="392" t="s">
        <v>245</v>
      </c>
      <c r="B50" s="666" t="s">
        <v>244</v>
      </c>
      <c r="C50" s="435">
        <f>GETPIVOTDATA("Sum of Brigade Manager",WTFTERoleAreaPivot!$A$3,"ReportingLevel","2:LSO","lvl","Dumfries and Galloway")</f>
        <v>0</v>
      </c>
      <c r="D50" s="66">
        <f>GETPIVOTDATA("Sum of Area Manager",WTFTERoleAreaPivot!$A$3,"ReportingLevel","2:LSO","lvl","Dumfries and Galloway")</f>
        <v>1</v>
      </c>
      <c r="E50" s="66">
        <f>GETPIVOTDATA("Sum of Group Manager",WTFTERoleAreaPivot!$A$3,"ReportingLevel","2:LSO","lvl","Dumfries and Galloway")</f>
        <v>3</v>
      </c>
      <c r="F50" s="66">
        <f>GETPIVOTDATA("Sum of Station Manager",WTFTERoleAreaPivot!$A$3,"ReportingLevel","2:LSO","lvl","Dumfries and Galloway")</f>
        <v>6</v>
      </c>
      <c r="G50" s="66">
        <f>GETPIVOTDATA("Sum of Watch Manager",WTFTERoleAreaPivot!$A$3,"ReportingLevel","2:LSO","lvl","Dumfries and Galloway")</f>
        <v>1</v>
      </c>
      <c r="H50" s="66">
        <f>GETPIVOTDATA("Sum of Crew Manager",WTFTERoleAreaPivot!$A$3,"ReportingLevel","2:LSO","lvl","Dumfries and Galloway")</f>
        <v>0</v>
      </c>
      <c r="I50" s="66">
        <f>GETPIVOTDATA("Sum of Firefighter",WTFTERoleAreaPivot!$A$3,"ReportingLevel","2:LSO","lvl","Dumfries and Galloway")</f>
        <v>0</v>
      </c>
      <c r="J50" s="67">
        <f t="shared" si="3"/>
        <v>11</v>
      </c>
    </row>
    <row r="51" spans="1:10" ht="13.5" customHeight="1" x14ac:dyDescent="0.3">
      <c r="A51" s="392" t="s">
        <v>225</v>
      </c>
      <c r="B51" s="666" t="s">
        <v>226</v>
      </c>
      <c r="C51" s="435">
        <f>GETPIVOTDATA("Sum of Brigade Manager",WTFTERoleAreaPivot!$A$3,"ReportingLevel","2:LSO","lvl","Dundee, Angus, Perth and Kinross")</f>
        <v>0</v>
      </c>
      <c r="D51" s="66">
        <f>GETPIVOTDATA("Sum of Area Manager",WTFTERoleAreaPivot!$A$3,"ReportingLevel","2:LSO","lvl","Dundee, Angus, Perth and Kinross")</f>
        <v>1</v>
      </c>
      <c r="E51" s="66">
        <f>GETPIVOTDATA("Sum of Group Manager",WTFTERoleAreaPivot!$A$3,"ReportingLevel","2:LSO","lvl","Dundee, Angus, Perth and Kinross")</f>
        <v>4</v>
      </c>
      <c r="F51" s="66">
        <f>GETPIVOTDATA("Sum of Station Manager",WTFTERoleAreaPivot!$A$3,"ReportingLevel","2:LSO","lvl","Dundee, Angus, Perth and Kinross")</f>
        <v>6</v>
      </c>
      <c r="G51" s="66">
        <f>GETPIVOTDATA("Sum of Watch Manager",WTFTERoleAreaPivot!$A$3,"ReportingLevel","2:LSO","lvl","Dundee, Angus, Perth and Kinross")</f>
        <v>8.77</v>
      </c>
      <c r="H51" s="66">
        <f>GETPIVOTDATA("Sum of Crew Manager",WTFTERoleAreaPivot!$A$3,"ReportingLevel","2:LSO","lvl","Dundee, Angus, Perth and Kinross")</f>
        <v>1</v>
      </c>
      <c r="I51" s="66">
        <f>GETPIVOTDATA("Sum of Firefighter",WTFTERoleAreaPivot!$A$3,"ReportingLevel","2:LSO","lvl","Dundee, Angus, Perth and Kinross")</f>
        <v>1</v>
      </c>
      <c r="J51" s="67">
        <f t="shared" si="3"/>
        <v>21.77</v>
      </c>
    </row>
    <row r="52" spans="1:10" ht="13.5" customHeight="1" x14ac:dyDescent="0.3">
      <c r="A52" s="392" t="s">
        <v>250</v>
      </c>
      <c r="B52" s="666" t="s">
        <v>251</v>
      </c>
      <c r="C52" s="435">
        <f>GETPIVOTDATA("Sum of Brigade Manager",WTFTERoleAreaPivot!$A$3,"ReportingLevel","2:LSO","lvl","East Ayrshire, North Ayrshire and South Ayrshire")</f>
        <v>0</v>
      </c>
      <c r="D52" s="66">
        <f>GETPIVOTDATA("Sum of Area Manager",WTFTERoleAreaPivot!$A$3,"ReportingLevel","2:LSO","lvl","East Ayrshire, North Ayrshire and South Ayrshire")</f>
        <v>1</v>
      </c>
      <c r="E52" s="66">
        <f>GETPIVOTDATA("Sum of Group Manager",WTFTERoleAreaPivot!$A$3,"ReportingLevel","2:LSO","lvl","East Ayrshire, North Ayrshire and South Ayrshire")</f>
        <v>3</v>
      </c>
      <c r="F52" s="66">
        <f>GETPIVOTDATA("Sum of Station Manager",WTFTERoleAreaPivot!$A$3,"ReportingLevel","2:LSO","lvl","East Ayrshire, North Ayrshire and South Ayrshire")</f>
        <v>9</v>
      </c>
      <c r="G52" s="66">
        <f>GETPIVOTDATA("Sum of Watch Manager",WTFTERoleAreaPivot!$A$3,"ReportingLevel","2:LSO","lvl","East Ayrshire, North Ayrshire and South Ayrshire")</f>
        <v>9</v>
      </c>
      <c r="H52" s="66">
        <f>GETPIVOTDATA("Sum of Crew Manager",WTFTERoleAreaPivot!$A$3,"ReportingLevel","2:LSO","lvl","East Ayrshire, North Ayrshire and South Ayrshire")</f>
        <v>3</v>
      </c>
      <c r="I52" s="66">
        <f>GETPIVOTDATA("Sum of Firefighter",WTFTERoleAreaPivot!$A$3,"ReportingLevel","2:LSO","lvl","East Ayrshire, North Ayrshire and South Ayrshire")</f>
        <v>0</v>
      </c>
      <c r="J52" s="67">
        <f t="shared" si="3"/>
        <v>25</v>
      </c>
    </row>
    <row r="53" spans="1:10" ht="13.5" customHeight="1" x14ac:dyDescent="0.3">
      <c r="A53" s="392" t="s">
        <v>256</v>
      </c>
      <c r="B53" s="666" t="s">
        <v>257</v>
      </c>
      <c r="C53" s="435">
        <f>GETPIVOTDATA("Sum of Brigade Manager",WTFTERoleAreaPivot!$A$3,"ReportingLevel","2:LSO","lvl","East Lothian, Midlothian and the Scottish Borders")</f>
        <v>0</v>
      </c>
      <c r="D53" s="66">
        <f>GETPIVOTDATA("Sum of Area Manager",WTFTERoleAreaPivot!$A$3,"ReportingLevel","2:LSO","lvl","East Lothian, Midlothian and the Scottish Borders")</f>
        <v>1</v>
      </c>
      <c r="E53" s="66">
        <f>GETPIVOTDATA("Sum of Group Manager",WTFTERoleAreaPivot!$A$3,"ReportingLevel","2:LSO","lvl","East Lothian, Midlothian and the Scottish Borders")</f>
        <v>3</v>
      </c>
      <c r="F53" s="66">
        <f>GETPIVOTDATA("Sum of Station Manager",WTFTERoleAreaPivot!$A$3,"ReportingLevel","2:LSO","lvl","East Lothian, Midlothian and the Scottish Borders")</f>
        <v>6</v>
      </c>
      <c r="G53" s="66">
        <f>GETPIVOTDATA("Sum of Watch Manager",WTFTERoleAreaPivot!$A$3,"ReportingLevel","2:LSO","lvl","East Lothian, Midlothian and the Scottish Borders")</f>
        <v>8</v>
      </c>
      <c r="H53" s="66">
        <f>GETPIVOTDATA("Sum of Crew Manager",WTFTERoleAreaPivot!$A$3,"ReportingLevel","2:LSO","lvl","East Lothian, Midlothian and the Scottish Borders")</f>
        <v>4</v>
      </c>
      <c r="I53" s="66">
        <f>GETPIVOTDATA("Sum of Firefighter",WTFTERoleAreaPivot!$A$3,"ReportingLevel","2:LSO","lvl","East Lothian, Midlothian and the Scottish Borders")</f>
        <v>4</v>
      </c>
      <c r="J53" s="67">
        <f t="shared" si="3"/>
        <v>26</v>
      </c>
    </row>
    <row r="54" spans="1:10" ht="13.5" customHeight="1" x14ac:dyDescent="0.3">
      <c r="A54" s="338" t="s">
        <v>260</v>
      </c>
      <c r="B54" s="666" t="s">
        <v>261</v>
      </c>
      <c r="C54" s="435">
        <f>GETPIVOTDATA("Sum of Brigade Manager",WTFTERoleAreaPivot!$A$3,"ReportingLevel","2:LSO","lvl","East Renfrewshire, Renfrewshire and Inverclyde")</f>
        <v>0</v>
      </c>
      <c r="D54" s="66">
        <f>GETPIVOTDATA("Sum of Area Manager",WTFTERoleAreaPivot!$A$3,"ReportingLevel","2:LSO","lvl","East Renfrewshire, Renfrewshire and Inverclyde")</f>
        <v>1</v>
      </c>
      <c r="E54" s="66">
        <f>GETPIVOTDATA("Sum of Group Manager",WTFTERoleAreaPivot!$A$3,"ReportingLevel","2:LSO","lvl","East Renfrewshire, Renfrewshire and Inverclyde")</f>
        <v>3</v>
      </c>
      <c r="F54" s="66">
        <f>GETPIVOTDATA("Sum of Station Manager",WTFTERoleAreaPivot!$A$3,"ReportingLevel","2:LSO","lvl","East Renfrewshire, Renfrewshire and Inverclyde")</f>
        <v>5</v>
      </c>
      <c r="G54" s="66">
        <f>GETPIVOTDATA("Sum of Watch Manager",WTFTERoleAreaPivot!$A$3,"ReportingLevel","2:LSO","lvl","East Renfrewshire, Renfrewshire and Inverclyde")</f>
        <v>5</v>
      </c>
      <c r="H54" s="66">
        <f>GETPIVOTDATA("Sum of Crew Manager",WTFTERoleAreaPivot!$A$3,"ReportingLevel","2:LSO","lvl","East Renfrewshire, Renfrewshire and Inverclyde")</f>
        <v>3</v>
      </c>
      <c r="I54" s="66">
        <f>GETPIVOTDATA("Sum of Firefighter",WTFTERoleAreaPivot!$A$3,"ReportingLevel","2:LSO","lvl","East Renfrewshire, Renfrewshire and Inverclyde")</f>
        <v>1</v>
      </c>
      <c r="J54" s="67">
        <f t="shared" si="3"/>
        <v>18</v>
      </c>
    </row>
    <row r="55" spans="1:10" ht="13.5" customHeight="1" x14ac:dyDescent="0.3">
      <c r="A55" s="392" t="s">
        <v>235</v>
      </c>
      <c r="B55" s="666" t="s">
        <v>236</v>
      </c>
      <c r="C55" s="435">
        <f>GETPIVOTDATA("Sum of Brigade Manager",WTFTERoleAreaPivot!$A$3,"ReportingLevel","2:LSO","lvl","Edinburgh City")</f>
        <v>0</v>
      </c>
      <c r="D55" s="66">
        <f>GETPIVOTDATA("Sum of Area Manager",WTFTERoleAreaPivot!$A$3,"ReportingLevel","2:LSO","lvl","Edinburgh City")</f>
        <v>2</v>
      </c>
      <c r="E55" s="66">
        <f>GETPIVOTDATA("Sum of Group Manager",WTFTERoleAreaPivot!$A$3,"ReportingLevel","2:LSO","lvl","Edinburgh City")</f>
        <v>5</v>
      </c>
      <c r="F55" s="66">
        <f>GETPIVOTDATA("Sum of Station Manager",WTFTERoleAreaPivot!$A$3,"ReportingLevel","2:LSO","lvl","Edinburgh City")</f>
        <v>9</v>
      </c>
      <c r="G55" s="66">
        <f>GETPIVOTDATA("Sum of Watch Manager",WTFTERoleAreaPivot!$A$3,"ReportingLevel","2:LSO","lvl","Edinburgh City")</f>
        <v>9</v>
      </c>
      <c r="H55" s="66">
        <f>GETPIVOTDATA("Sum of Crew Manager",WTFTERoleAreaPivot!$A$3,"ReportingLevel","2:LSO","lvl","Edinburgh City")</f>
        <v>3</v>
      </c>
      <c r="I55" s="66">
        <f>GETPIVOTDATA("Sum of Firefighter",WTFTERoleAreaPivot!$A$3,"ReportingLevel","2:LSO","lvl","Edinburgh City")</f>
        <v>3</v>
      </c>
      <c r="J55" s="67">
        <f t="shared" si="3"/>
        <v>31</v>
      </c>
    </row>
    <row r="56" spans="1:10" ht="13.5" customHeight="1" x14ac:dyDescent="0.3">
      <c r="A56" s="392" t="s">
        <v>264</v>
      </c>
      <c r="B56" s="666" t="s">
        <v>265</v>
      </c>
      <c r="C56" s="435">
        <f>GETPIVOTDATA("Sum of Brigade Manager",WTFTERoleAreaPivot!$A$3,"ReportingLevel","2:LSO","lvl","Falkirk and West Lothian")</f>
        <v>0</v>
      </c>
      <c r="D56" s="66">
        <f>GETPIVOTDATA("Sum of Area Manager",WTFTERoleAreaPivot!$A$3,"ReportingLevel","2:LSO","lvl","Falkirk and West Lothian")</f>
        <v>1</v>
      </c>
      <c r="E56" s="66">
        <f>GETPIVOTDATA("Sum of Group Manager",WTFTERoleAreaPivot!$A$3,"ReportingLevel","2:LSO","lvl","Falkirk and West Lothian")</f>
        <v>2</v>
      </c>
      <c r="F56" s="66">
        <f>GETPIVOTDATA("Sum of Station Manager",WTFTERoleAreaPivot!$A$3,"ReportingLevel","2:LSO","lvl","Falkirk and West Lothian")</f>
        <v>6</v>
      </c>
      <c r="G56" s="66">
        <f>GETPIVOTDATA("Sum of Watch Manager",WTFTERoleAreaPivot!$A$3,"ReportingLevel","2:LSO","lvl","Falkirk and West Lothian")</f>
        <v>6</v>
      </c>
      <c r="H56" s="66">
        <f>GETPIVOTDATA("Sum of Crew Manager",WTFTERoleAreaPivot!$A$3,"ReportingLevel","2:LSO","lvl","Falkirk and West Lothian")</f>
        <v>3</v>
      </c>
      <c r="I56" s="66">
        <f>GETPIVOTDATA("Sum of Firefighter",WTFTERoleAreaPivot!$A$3,"ReportingLevel","2:LSO","lvl","Falkirk and West Lothian")</f>
        <v>1</v>
      </c>
      <c r="J56" s="67">
        <f t="shared" si="3"/>
        <v>19</v>
      </c>
    </row>
    <row r="57" spans="1:10" ht="13.5" customHeight="1" x14ac:dyDescent="0.3">
      <c r="A57" s="392" t="str">
        <f>IF(OR(A9 = "2018-19", A9 = "2017-18", A9 = "2016-17", A9 = "2015-16", A9 = "2014-15", A9 = "2013-14"),"S39000019","")</f>
        <v/>
      </c>
      <c r="B57" s="312" t="str">
        <f>IF(OR(A9 = "2018-19", A9 = "2017-18", A9 = "2016-17", A9 = "2015-16", A9 = "2014-15", A9 = "2013-14"), "Fife", "")</f>
        <v/>
      </c>
      <c r="C57" s="435" t="str">
        <f>IF(OR(A9 = "2018-19", A9 = "2017-18", A9 = "2016-17", A9 = "2015-16", A9 = "2014-15", A9 = "2013-14"),GETPIVOTDATA("Sum of Brigade Manager",WTFTERoleAreaPivot!$A$3,"ReportingLevel","2:LSO","lvl","Fife"), "")</f>
        <v/>
      </c>
      <c r="D57" s="66" t="str">
        <f>IF(OR(A9 = "2018-19", A9 = "2017-18", A9 = "2016-17", A9 = "2015-16", A9 = "2014-15", A9 = "2013-14"),GETPIVOTDATA("Sum of Area Manager",WTFTERoleAreaPivot!$A$3,"ReportingLevel","2:LSO","lvl","Fife"), "")</f>
        <v/>
      </c>
      <c r="E57" s="66" t="str">
        <f>IF(OR(A9 = "2018-19", A9 = "2017-18", A9 = "2016-17", A9 = "2015-16", A9 = "2014-15", A9 = "2013-14"),GETPIVOTDATA("Sum of Group Manager",WTFTERoleAreaPivot!$A$3,"ReportingLevel","2:LSO","lvl","Fife"), "")</f>
        <v/>
      </c>
      <c r="F57" s="66" t="str">
        <f>IF(OR(A9 = "2018-19", A9 = "2017-18", A9 = "2016-17", A9 = "2015-16", A9 = "2014-15", A9 = "2013-14"),GETPIVOTDATA("Sum of Station Manager",WTFTERoleAreaPivot!$A$3,"ReportingLevel","2:LSO","lvl","Fife"), "")</f>
        <v/>
      </c>
      <c r="G57" s="66" t="str">
        <f>IF(OR(A9 = "2018-19", A9 = "2017-18", A9 = "2016-17", A9 = "2015-16", A9 = "2014-15", A9 = "2013-14"),GETPIVOTDATA("Sum of Watch Manager",WTFTERoleAreaPivot!$A$3,"ReportingLevel","2:LSO","lvl","Fife"), "")</f>
        <v/>
      </c>
      <c r="H57" s="66" t="str">
        <f>IF(OR(A9 = "2018-19", A9 = "2017-18", A9 = "2016-17", A9 = "2015-16", A9 = "2014-15", A9 = "2013-14"),GETPIVOTDATA("Sum of Crew Manager",WTFTERoleAreaPivot!$A$3,"ReportingLevel","2:LSO","lvl","Fife"), "")</f>
        <v/>
      </c>
      <c r="I57" s="66" t="str">
        <f>IF(OR(A9 = "2018-19", A9 = "2017-18", A9 = "2016-17", A9 = "2015-16", A9 = "2014-15", A9 = "2013-14"),GETPIVOTDATA("Sum of Firefighter",WTFTERoleAreaPivot!$A$3,"ReportingLevel","2:LSO","lvl","Fife"), "")</f>
        <v/>
      </c>
      <c r="J57" s="67">
        <f t="shared" si="3"/>
        <v>0</v>
      </c>
    </row>
    <row r="58" spans="1:10" ht="13.5" customHeight="1" x14ac:dyDescent="0.3">
      <c r="A58" s="392" t="str">
        <f>IF(A9="2018-19","S39000012","S39000020")</f>
        <v>S39000020</v>
      </c>
      <c r="B58" s="666" t="s">
        <v>270</v>
      </c>
      <c r="C58" s="435">
        <f>GETPIVOTDATA("Sum of Brigade Manager",WTFTERoleAreaPivot!$A$3,"ReportingLevel","2:LSO","lvl","Glasgow City")</f>
        <v>0</v>
      </c>
      <c r="D58" s="66">
        <f>GETPIVOTDATA("Sum of Area Manager",WTFTERoleAreaPivot!$A$3,"ReportingLevel","2:LSO","lvl","Glasgow City")</f>
        <v>2</v>
      </c>
      <c r="E58" s="66">
        <f>GETPIVOTDATA("Sum of Group Manager",WTFTERoleAreaPivot!$A$3,"ReportingLevel","2:LSO","lvl","Glasgow City")</f>
        <v>4</v>
      </c>
      <c r="F58" s="66">
        <f>GETPIVOTDATA("Sum of Station Manager",WTFTERoleAreaPivot!$A$3,"ReportingLevel","2:LSO","lvl","Glasgow City")</f>
        <v>8</v>
      </c>
      <c r="G58" s="66">
        <f>GETPIVOTDATA("Sum of Watch Manager",WTFTERoleAreaPivot!$A$3,"ReportingLevel","2:LSO","lvl","Glasgow City")</f>
        <v>9</v>
      </c>
      <c r="H58" s="66">
        <f>GETPIVOTDATA("Sum of Crew Manager",WTFTERoleAreaPivot!$A$3,"ReportingLevel","2:LSO","lvl","Glasgow City")</f>
        <v>5</v>
      </c>
      <c r="I58" s="66">
        <f>GETPIVOTDATA("Sum of Firefighter",WTFTERoleAreaPivot!$A$3,"ReportingLevel","2:LSO","lvl","Glasgow City")</f>
        <v>2</v>
      </c>
      <c r="J58" s="67">
        <f t="shared" si="3"/>
        <v>30</v>
      </c>
    </row>
    <row r="59" spans="1:10" ht="13.5" customHeight="1" x14ac:dyDescent="0.3">
      <c r="A59" s="392" t="s">
        <v>274</v>
      </c>
      <c r="B59" s="666" t="s">
        <v>275</v>
      </c>
      <c r="C59" s="435">
        <f>GETPIVOTDATA("Sum of Brigade Manager",WTFTERoleAreaPivot!$A$3,"ReportingLevel","2:LSO","lvl","Highlands")</f>
        <v>0</v>
      </c>
      <c r="D59" s="66">
        <f>GETPIVOTDATA("Sum of Area Manager",WTFTERoleAreaPivot!$A$3,"ReportingLevel","2:LSO","lvl","Highlands")</f>
        <v>1</v>
      </c>
      <c r="E59" s="66">
        <f>GETPIVOTDATA("Sum of Group Manager",WTFTERoleAreaPivot!$A$3,"ReportingLevel","2:LSO","lvl","Highlands")</f>
        <v>4</v>
      </c>
      <c r="F59" s="66">
        <f>GETPIVOTDATA("Sum of Station Manager",WTFTERoleAreaPivot!$A$3,"ReportingLevel","2:LSO","lvl","Highlands")</f>
        <v>13</v>
      </c>
      <c r="G59" s="66">
        <f>GETPIVOTDATA("Sum of Watch Manager",WTFTERoleAreaPivot!$A$3,"ReportingLevel","2:LSO","lvl","Highlands")</f>
        <v>5</v>
      </c>
      <c r="H59" s="66">
        <f>GETPIVOTDATA("Sum of Crew Manager",WTFTERoleAreaPivot!$A$3,"ReportingLevel","2:LSO","lvl","Highlands")</f>
        <v>0.81</v>
      </c>
      <c r="I59" s="66">
        <f>GETPIVOTDATA("Sum of Firefighter",WTFTERoleAreaPivot!$A$3,"ReportingLevel","2:LSO","lvl","Highlands")</f>
        <v>0</v>
      </c>
      <c r="J59" s="67">
        <f t="shared" si="3"/>
        <v>23.81</v>
      </c>
    </row>
    <row r="60" spans="1:10" ht="13.5" customHeight="1" x14ac:dyDescent="0.3">
      <c r="A60" s="392" t="str">
        <f>IF(OR(A9="2021-22", A9 = "2022-23", A9 = "2023-24", , A9 = "2024-25"), "S39000021","S39000014")</f>
        <v>S39000014</v>
      </c>
      <c r="B60" s="666" t="str">
        <f>IF(OR(A9="2021-22", A9 = "2022-23", A9 = "2023-24", A9 = "2024-25", A9 = "2025-26"), "Lanarkshire", "North Lanarkshire")</f>
        <v>Lanarkshire</v>
      </c>
      <c r="C60" s="435">
        <f>IF(OR(A9="2021-22", A9 = "2022-23", A9 = "2023-24", A9 = "2024-25", A9 = "2025-26"), GETPIVOTDATA("Sum of Brigade Manager",WTFTERoleAreaPivot!$A$3,"ReportingLevel","2:LSO","lvl","Lanarkshire"), GETPIVOTDATA("Sum of Brigade Manager",WTFTERoleAreaPivot!$A$3,"ReportingLevel","2:LSO","lvl","North Lanarkshire"))</f>
        <v>0</v>
      </c>
      <c r="D60" s="66">
        <f>IF(OR(A9="2021-22", A9 = "2022-23", A9 = "2023-24", A9 = "2024-25", A9 = "2025-26"), GETPIVOTDATA("Sum of Area Manager",WTFTERoleAreaPivot!$A$3,"ReportingLevel","2:LSO","lvl","Lanarkshire"), GETPIVOTDATA("Sum of Area Manager",WTFTERoleAreaPivot!$A$3,"ReportingLevel","2:LSO","lvl","North Lanarkshire"))</f>
        <v>1</v>
      </c>
      <c r="E60" s="66">
        <f>IF(OR(A9="2021-22", A9 = "2022-23", A9 = "2023-24", A9 = "2024-25", A9 = "2025-26"), GETPIVOTDATA("Sum of Group Manager",WTFTERoleAreaPivot!$A$3,"ReportingLevel","2:LSO","lvl","Lanarkshire"), GETPIVOTDATA("Sum of Group Manager",WTFTERoleAreaPivot!$A$3,"ReportingLevel","2:LSO","lvl","North Lanarkshire"))</f>
        <v>1</v>
      </c>
      <c r="F60" s="66">
        <f>IF(OR(A9="2021-22", A9 = "2022-23", A9 = "2023-24", A9 = "2024-25", A9 = "2025-26"), GETPIVOTDATA("Sum of Station Manager",WTFTERoleAreaPivot!$A$3,"ReportingLevel","2:LSO","lvl","Lanarkshire"), GETPIVOTDATA("Sum of Station Manager",WTFTERoleAreaPivot!$A$3,"ReportingLevel","2:LSO","lvl","North Lanarkshire"))</f>
        <v>9</v>
      </c>
      <c r="G60" s="66">
        <f>IF(OR(A9="2021-22", A9 = "2022-23", A9 = "2023-24", A9 = "2024-25", A9 = "2025-26"), GETPIVOTDATA("Sum of Watch Manager",WTFTERoleAreaPivot!$A$3,"ReportingLevel","2:LSO","lvl","Lanarkshire"), GETPIVOTDATA("Sum of Watch Manager",WTFTERoleAreaPivot!$A$3,"ReportingLevel","2:LSO","lvl","North Lanarkshire"))</f>
        <v>7</v>
      </c>
      <c r="H60" s="66">
        <f>IF(OR(A9="2021-22", A9 = "2022-23", A9 = "2023-24", A9 = "2024-25", A9 = "2025-26"), GETPIVOTDATA("Sum of Crew Manager",wtroleareapivot!$A$3,"ReportingLevel","2:LSO","lvl","Lanarkshire"), GETPIVOTDATA("Sum of Crew Manager",WTFTERoleAreaPivot!$A$3,"ReportingLevel","2:LSO","lvl","North Lanarkshire"))</f>
        <v>1</v>
      </c>
      <c r="I60" s="66">
        <f>IF(OR(A9="2021-22", A9 = "2022-23", A9 = "2023-24", A9 = "2024-25", A9 = "2025-26"), GETPIVOTDATA("Sum of Firefighter",WTFTERoleAreaPivot!$A$3,"ReportingLevel","2:LSO","lvl","Lanarkshire"), GETPIVOTDATA("Sum of Firefighter",WTFTERoleAreaPivot!$A$3,"ReportingLevel","2:LSO","lvl","North Lanarkshire"))</f>
        <v>1</v>
      </c>
      <c r="J60" s="67">
        <f t="shared" si="3"/>
        <v>20</v>
      </c>
    </row>
    <row r="61" spans="1:10" ht="13.5" customHeight="1" x14ac:dyDescent="0.3">
      <c r="A61" s="392" t="s">
        <v>305</v>
      </c>
      <c r="B61" s="666" t="str">
        <f>IF(OR(A9="2021-22", A9 = "2022-23", A9 = "2023-24", A9 = "2024-25", A9 = "2025-26"),"","South Lanarkshire")</f>
        <v/>
      </c>
      <c r="C61" s="435" t="str">
        <f>IF(OR(A9="2021-22", A9 = "2022-23", A9 = "2023-24", A9 = "2024-25", A9 = "2025-26"), "",GETPIVOTDATA("Sum of Brigade Manager",WTFTERoleAreaPivot!$A$3,"ReportingLevel","2:LSO","lvl","South Lanarkshire"))</f>
        <v/>
      </c>
      <c r="D61" s="66" t="str">
        <f>IF(OR(A9="2021-22", A9 = "2022-23", A9 = "2023-24", A9 = "2024-25", A9 = "2025-26"), "",GETPIVOTDATA("Sum of Area Manager",WTFTERoleAreaPivot!$A$3,"ReportingLevel","2:LSO","lvl","South Lanarkshire"))</f>
        <v/>
      </c>
      <c r="E61" s="66" t="str">
        <f>IF(OR(A9="2021-22", A9 = "2022-23", A9 = "2023-24", A9 = "2024-25", A9 = "2025-26"), "",GETPIVOTDATA("Sum of Group Manager",WTFTERoleAreaPivot!$A$3,"ReportingLevel","2:LSO","lvl","South Lanarkshire"))</f>
        <v/>
      </c>
      <c r="F61" s="66" t="str">
        <f>IF(OR(A9="2021-22", A9 = "2022-23", A9 = "2023-24", A9 = "2024-25", A9 = "2025-26"), "",GETPIVOTDATA("Sum of Station Manager",WTFTERoleAreaPivot!$A$3,"ReportingLevel","2:LSO","lvl","South Lanarkshire"))</f>
        <v/>
      </c>
      <c r="G61" s="66" t="str">
        <f>IF(OR(A9="2021-22", A9 = "2022-23", A9 = "2023-24", A9 = "2024-25", A9 = "2025-26"), "",GETPIVOTDATA("Sum of Watch Manager",WTFTERoleAreaPivot!$A$3,"ReportingLevel","2:LSO","lvl","South Lanarkshire"))</f>
        <v/>
      </c>
      <c r="H61" s="66" t="str">
        <f>IF(OR(A9="2021-22", A9 = "2022-23", A9 = "2023-24", A9 = "2024-25", A9 = "2025-26"), "",GETPIVOTDATA("Sum of Crew Manager",WTFTERoleAreaPivot!$A$3,"ReportingLevel","2:LSO","lvl","South Lanarkshire"))</f>
        <v/>
      </c>
      <c r="I61" s="66" t="str">
        <f>IF(OR(A9="2021-22", A9 = "2022-23", A9 = "2023-24", A9 = "2024-25", A9 = "2025-26"), "",GETPIVOTDATA("Sum of Firefighter",WTFTERoleAreaPivot!$A$3,"ReportingLevel","2:LSO","lvl","South Lanarkshire"))</f>
        <v/>
      </c>
      <c r="J61" s="67">
        <f t="shared" si="3"/>
        <v>0</v>
      </c>
    </row>
    <row r="62" spans="1:10" ht="13.5" customHeight="1" x14ac:dyDescent="0.3">
      <c r="A62" s="392" t="str">
        <f>IF(OR(A9 = "2018-19", A9 = "2017-18", A9 = "2016-17", A9 = "2015-16", A9 = "2014-15", A9 = "2013-14"),"S39000016","S39000022")</f>
        <v>S39000022</v>
      </c>
      <c r="B62" s="582" t="str">
        <f>IF(OR(A9 = "2018-19", A9 = "2017-18", A9 = "2016-17", A9 = "2015-16", A9 = "2014-15", A9 = "2013-14"), "Stirling and Clackmannanshire", "Stirling, Clackmannanshire and Fife")</f>
        <v>Stirling, Clackmannanshire and Fife</v>
      </c>
      <c r="C62" s="435">
        <f>IF(OR(A9 = "2018-19", A9 = "2017-18", A9 = "2016-17", A9 = "2015-16", A9 = "2014-15", A9 = "2013-14"),GETPIVOTDATA("Sum of Brigade Manager",WTFTERoleAreaPivot!$A$3,"ReportingLevel","2:LSO","lvl","Stirling and Clackmannanshire"), GETPIVOTDATA("Sum of Brigade Manager",WTFTERoleAreaPivot!$A$3,"ReportingLevel","2:LSO","lvl","Stirling, Clackmannanshire and Fife"))</f>
        <v>0</v>
      </c>
      <c r="D62" s="66">
        <f>IF(OR(A9 = "2018-19", A9 = "2017-18", A9 = "2016-17", A9 = "2015-16", A9 = "2014-15", A9 = "2013-14"),GETPIVOTDATA("Sum of Area Manager",WTFTERoleAreaPivot!$A$3,"ReportingLevel","2:LSO","lvl","Stirling and Clackmannanshire"), GETPIVOTDATA("Sum of Area Manager",WTFTERoleAreaPivot!$A$3,"ReportingLevel","2:LSO","lvl","Stirling, Clackmannanshire and Fife"))</f>
        <v>1</v>
      </c>
      <c r="E62" s="66">
        <f>IF(OR(A9 = "2018-19", A9 = "2017-18", A9 = "2016-17", A9 = "2015-16", A9 = "2014-15", A9 = "2013-14"),GETPIVOTDATA("Sum of Group Manager",WTFTERoleAreaPivot!$A$3,"ReportingLevel","2:LSO","lvl","Stirling and Clackmannanshire"), GETPIVOTDATA("Sum of Group Manager",WTFTERoleAreaPivot!$A$3,"ReportingLevel","2:LSO","lvl","Stirling, Clackmannanshire and Fife"))</f>
        <v>3</v>
      </c>
      <c r="F62" s="66">
        <f>IF(OR(A9 = "2018-19", A9 = "2017-18", A9 = "2016-17", A9 = "2015-16", A9 = "2014-15", A9 = "2013-14"),GETPIVOTDATA("Sum of Station Manager",WTFTERoleAreaPivot!$A$3,"ReportingLevel","2:LSO","lvl","Stirling and Clackmannanshire"), GETPIVOTDATA("Sum of Station Manager",WTFTERoleAreaPivot!$A$3,"ReportingLevel","2:LSO","lvl","Stirling, Clackmannanshire and Fife"))</f>
        <v>10</v>
      </c>
      <c r="G62" s="66">
        <f>IF(OR(A9 = "2018-19", A9 = "2017-18", A9 = "2016-17", A9 = "2015-16", A9 = "2014-15", A9 = "2013-14"),GETPIVOTDATA("Sum of Watch Manager",WTFTERoleAreaPivot!$A$3,"ReportingLevel","2:LSO","lvl","Stirling and Clackmannanshire"), GETPIVOTDATA("Sum of Watch Manager",WTFTERoleAreaPivot!$A$3,"ReportingLevel","2:LSO","lvl","Stirling, Clackmannanshire and Fife"))</f>
        <v>10</v>
      </c>
      <c r="H62" s="66">
        <f>IF(OR(A9 = "2018-19", A9 = "2017-18", A9 = "2016-17", A9 = "2015-16", A9 = "2014-15", A9 = "2013-14"),GETPIVOTDATA("Sum of Crew Manager",WTFTERoleAreaPivot!$A$3,"ReportingLevel","2:LSO","lvl","Stirling and Clackmannanshire"), GETPIVOTDATA("Sum of Crew Manager",WTFTERoleAreaPivot!$A$3,"ReportingLevel","2:LSO","lvl","Stirling, Clackmannanshire and Fife"))</f>
        <v>6</v>
      </c>
      <c r="I62" s="66">
        <f>IF(OR(A9 = "2018-19", A9 = "2017-18", A9 = "2016-17", A9 = "2015-16", A9 = "2014-15", A9 = "2013-14"),GETPIVOTDATA("Sum of Firefighter",WTFTERoleAreaPivot!$A$3,"ReportingLevel","2:LSO","lvl","Stirling and Clackmannanshire"), GETPIVOTDATA("Sum of Firefighter",WTFTERoleAreaPivot!$A$3,"ReportingLevel","2:LSO","lvl","Stirling, Clackmannanshire and Fife"))</f>
        <v>2</v>
      </c>
      <c r="J62" s="67">
        <f t="shared" si="3"/>
        <v>32</v>
      </c>
    </row>
    <row r="63" spans="1:10" ht="13.5" customHeight="1" x14ac:dyDescent="0.3">
      <c r="A63" s="392" t="s">
        <v>284</v>
      </c>
      <c r="B63" s="666" t="s">
        <v>285</v>
      </c>
      <c r="C63" s="435">
        <f>GETPIVOTDATA("Sum of Brigade Manager",WTFTERoleAreaPivot!$A$3,"ReportingLevel","2:LSO","lvl","Western Isles, Orkney and Shetland Islands")</f>
        <v>0</v>
      </c>
      <c r="D63" s="66">
        <f>GETPIVOTDATA("Sum of Area Manager",WTFTERoleAreaPivot!$A$3,"ReportingLevel","2:LSO","lvl","Western Isles, Orkney and Shetland Islands")</f>
        <v>1</v>
      </c>
      <c r="E63" s="66">
        <f>GETPIVOTDATA("Sum of Group Manager",WTFTERoleAreaPivot!$A$3,"ReportingLevel","2:LSO","lvl","Western Isles, Orkney and Shetland Islands")</f>
        <v>3</v>
      </c>
      <c r="F63" s="66">
        <f>GETPIVOTDATA("Sum of Station Manager",WTFTERoleAreaPivot!$A$3,"ReportingLevel","2:LSO","lvl","Western Isles, Orkney and Shetland Islands")</f>
        <v>6</v>
      </c>
      <c r="G63" s="66">
        <f>GETPIVOTDATA("Sum of Watch Manager",WTFTERoleAreaPivot!$A$3,"ReportingLevel","2:LSO","lvl","Western Isles, Orkney and Shetland Islands")</f>
        <v>0</v>
      </c>
      <c r="H63" s="66">
        <f>GETPIVOTDATA("Sum of Crew Manager",WTFTERoleAreaPivot!$A$3,"ReportingLevel","2:LSO","lvl","Western Isles, Orkney and Shetland Islands")</f>
        <v>0</v>
      </c>
      <c r="I63" s="66">
        <f>GETPIVOTDATA("Sum of Firefighter",WTFTERoleAreaPivot!$A$3,"ReportingLevel","2:LSO","lvl","Western Isles, Orkney and Shetland Islands")</f>
        <v>0</v>
      </c>
      <c r="J63" s="67">
        <f t="shared" si="3"/>
        <v>10</v>
      </c>
    </row>
    <row r="64" spans="1:10" ht="30" customHeight="1" thickBot="1" x14ac:dyDescent="0.35">
      <c r="A64" s="58"/>
      <c r="B64" s="58" t="s">
        <v>554</v>
      </c>
      <c r="C64" s="436">
        <f t="shared" ref="C64" si="4">SUM(C47:C63)</f>
        <v>0</v>
      </c>
      <c r="D64" s="629">
        <f>GETPIVOTDATA("Sum of Area Manager",WTFTERoleAreaPivot!$A$3,"ReportingLevel","2:LSO")</f>
        <v>16</v>
      </c>
      <c r="E64" s="629">
        <f>GETPIVOTDATA("Sum of Group Manager",WTFTERoleAreaPivot!$A$3,"ReportingLevel","2:LSO")</f>
        <v>47</v>
      </c>
      <c r="F64" s="629">
        <f>GETPIVOTDATA("Sum of Station Manager",WTFTERoleAreaPivot!$A$3,"ReportingLevel","2:LSO")</f>
        <v>112</v>
      </c>
      <c r="G64" s="629">
        <f>GETPIVOTDATA("Sum of Watch Manager",WTFTERoleAreaPivot!$A$3,"ReportingLevel","2:LSO")</f>
        <v>96.77</v>
      </c>
      <c r="H64" s="629">
        <f>GETPIVOTDATA("Sum of Crew Manager",WTFTERoleAreaPivot!$A$3,"ReportingLevel","2:LSO")</f>
        <v>45.81</v>
      </c>
      <c r="I64" s="629">
        <f>GETPIVOTDATA("Sum of Firefighter",WTFTERoleAreaPivot!$A$3,"ReportingLevel","2:LSO")</f>
        <v>47</v>
      </c>
      <c r="J64" s="70">
        <f>SUM(J47:J63)</f>
        <v>364.58</v>
      </c>
    </row>
    <row r="65" spans="1:10" ht="13.5" customHeight="1" x14ac:dyDescent="0.3">
      <c r="A65" s="48"/>
      <c r="B65" s="48"/>
      <c r="C65" s="68"/>
      <c r="D65" s="68"/>
      <c r="E65" s="68"/>
      <c r="F65" s="68"/>
      <c r="G65" s="68"/>
      <c r="H65" s="68"/>
      <c r="I65" s="68"/>
      <c r="J65" s="68"/>
    </row>
    <row r="66" spans="1:10" ht="18.75" customHeight="1" x14ac:dyDescent="0.3">
      <c r="A66" s="78" t="s">
        <v>211</v>
      </c>
      <c r="B66" s="36" t="s">
        <v>212</v>
      </c>
      <c r="C66" s="43"/>
      <c r="D66" s="43"/>
      <c r="E66" s="43"/>
      <c r="F66" s="43"/>
      <c r="G66" s="43"/>
      <c r="H66" s="43"/>
      <c r="I66" s="43"/>
      <c r="J66" s="75"/>
    </row>
    <row r="67" spans="1:10" ht="22.5" customHeight="1" x14ac:dyDescent="0.3">
      <c r="A67" s="50" t="s">
        <v>237</v>
      </c>
      <c r="B67" s="60" t="s">
        <v>238</v>
      </c>
      <c r="C67" s="435">
        <f>GETPIVOTDATA("Sum of Brigade Manager",WTFTERoleAreaPivot!$A$3,"ReportingLevel","3:SDA","lvl","East")</f>
        <v>0</v>
      </c>
      <c r="D67" s="66">
        <f>GETPIVOTDATA("Sum of Area Manager",WTFTERoleAreaPivot!$A$3,"ReportingLevel","3:SDA","lvl","East")</f>
        <v>0</v>
      </c>
      <c r="E67" s="66">
        <f>GETPIVOTDATA("Sum of Group Manager",WTFTERoleAreaPivot!$A$3,"ReportingLevel","3:SDA","lvl","East")</f>
        <v>2</v>
      </c>
      <c r="F67" s="66">
        <f>GETPIVOTDATA("Sum of Station Manager",WTFTERoleAreaPivot!$A$3,"ReportingLevel","3:SDA","lvl","East")</f>
        <v>8</v>
      </c>
      <c r="G67" s="66">
        <f>GETPIVOTDATA("Sum of Watch Manager",WTFTERoleAreaPivot!$A$3,"ReportingLevel","3:SDA","lvl","East")</f>
        <v>5</v>
      </c>
      <c r="H67" s="66">
        <f>GETPIVOTDATA("Sum of Crew Manager",WTFTERoleAreaPivot!$A$3,"ReportingLevel","3:SDA","lvl","East")</f>
        <v>1</v>
      </c>
      <c r="I67" s="66">
        <f>GETPIVOTDATA("Sum of Firefighter",WTFTERoleAreaPivot!$A$3,"ReportingLevel","3:SDA","lvl","East")</f>
        <v>24</v>
      </c>
      <c r="J67" s="67">
        <f>SUM(C67:I67)</f>
        <v>40</v>
      </c>
    </row>
    <row r="68" spans="1:10" ht="13.5" customHeight="1" x14ac:dyDescent="0.3">
      <c r="A68" s="50" t="s">
        <v>217</v>
      </c>
      <c r="B68" s="48" t="s">
        <v>218</v>
      </c>
      <c r="C68" s="435">
        <f>GETPIVOTDATA("Sum of Brigade Manager",WTFTERoleAreaPivot!$A$3,"ReportingLevel","3:SDA","lvl","North")</f>
        <v>0</v>
      </c>
      <c r="D68" s="66">
        <f>GETPIVOTDATA("Sum of Area Manager",WTFTERoleAreaPivot!$A$3,"ReportingLevel","3:SDA","lvl","North")</f>
        <v>1</v>
      </c>
      <c r="E68" s="66">
        <f>GETPIVOTDATA("Sum of Group Manager",WTFTERoleAreaPivot!$A$3,"ReportingLevel","3:SDA","lvl","North")</f>
        <v>2</v>
      </c>
      <c r="F68" s="66">
        <f>GETPIVOTDATA("Sum of Station Manager",WTFTERoleAreaPivot!$A$3,"ReportingLevel","3:SDA","lvl","North")</f>
        <v>6</v>
      </c>
      <c r="G68" s="66">
        <f>GETPIVOTDATA("Sum of Watch Manager",WTFTERoleAreaPivot!$A$3,"ReportingLevel","3:SDA","lvl","North")</f>
        <v>4</v>
      </c>
      <c r="H68" s="66">
        <f>GETPIVOTDATA("Sum of Crew Manager",WTFTERoleAreaPivot!$A$3,"ReportingLevel","3:SDA","lvl","North")</f>
        <v>2</v>
      </c>
      <c r="I68" s="66">
        <f>GETPIVOTDATA("Sum of Firefighter",WTFTERoleAreaPivot!$A$3,"ReportingLevel","3:SDA","lvl","North")</f>
        <v>12</v>
      </c>
      <c r="J68" s="67">
        <f>SUM(C68:I68)</f>
        <v>27</v>
      </c>
    </row>
    <row r="69" spans="1:10" ht="13.5" customHeight="1" x14ac:dyDescent="0.3">
      <c r="A69" s="453" t="s">
        <v>231</v>
      </c>
      <c r="B69" s="48" t="s">
        <v>232</v>
      </c>
      <c r="C69" s="435">
        <f>GETPIVOTDATA("Sum of Brigade Manager",WTFTERoleAreaPivot!$A$3,"ReportingLevel","3:SDA","lvl","West")</f>
        <v>0</v>
      </c>
      <c r="D69" s="66">
        <f>GETPIVOTDATA("Sum of Area Manager",WTFTERoleAreaPivot!$A$3,"ReportingLevel","3:SDA","lvl","West")</f>
        <v>1</v>
      </c>
      <c r="E69" s="66">
        <f>GETPIVOTDATA("Sum of Group Manager",WTFTERoleAreaPivot!$A$3,"ReportingLevel","3:SDA","lvl","West")</f>
        <v>4</v>
      </c>
      <c r="F69" s="66">
        <f>GETPIVOTDATA("Sum of Station Manager",WTFTERoleAreaPivot!$A$3,"ReportingLevel","3:SDA","lvl","West")</f>
        <v>6</v>
      </c>
      <c r="G69" s="66">
        <f>GETPIVOTDATA("Sum of Watch Manager",WTFTERoleAreaPivot!$A$3,"ReportingLevel","3:SDA","lvl","West")</f>
        <v>35</v>
      </c>
      <c r="H69" s="66">
        <f>GETPIVOTDATA("Sum of Crew Manager",WTFTERoleAreaPivot!$A$3,"ReportingLevel","3:SDA","lvl","West")</f>
        <v>12</v>
      </c>
      <c r="I69" s="66">
        <f>GETPIVOTDATA("Sum of Firefighter",WTFTERoleAreaPivot!$A$3,"ReportingLevel","3:SDA","lvl","West")</f>
        <v>36</v>
      </c>
      <c r="J69" s="67">
        <f>SUM(C69:I69)</f>
        <v>94</v>
      </c>
    </row>
    <row r="70" spans="1:10" ht="30" customHeight="1" thickBot="1" x14ac:dyDescent="0.35">
      <c r="A70" s="52"/>
      <c r="B70" s="52" t="s">
        <v>555</v>
      </c>
      <c r="C70" s="455">
        <f t="shared" ref="C70:J70" si="5">SUM(C67:C69)</f>
        <v>0</v>
      </c>
      <c r="D70" s="299">
        <f>SUM(D67:D69)</f>
        <v>2</v>
      </c>
      <c r="E70" s="299">
        <f t="shared" ref="E70:I70" si="6">SUM(E67:E69)</f>
        <v>8</v>
      </c>
      <c r="F70" s="299">
        <f t="shared" si="6"/>
        <v>20</v>
      </c>
      <c r="G70" s="299">
        <f t="shared" si="6"/>
        <v>44</v>
      </c>
      <c r="H70" s="299">
        <f t="shared" si="6"/>
        <v>15</v>
      </c>
      <c r="I70" s="299">
        <f t="shared" si="6"/>
        <v>72</v>
      </c>
      <c r="J70" s="317">
        <f t="shared" si="5"/>
        <v>161</v>
      </c>
    </row>
    <row r="71" spans="1:10" ht="18.75" customHeight="1" x14ac:dyDescent="0.3">
      <c r="A71" s="36" t="s">
        <v>556</v>
      </c>
      <c r="B71" s="48"/>
      <c r="C71" s="15"/>
      <c r="D71" s="15"/>
      <c r="E71" s="15"/>
      <c r="F71" s="15"/>
      <c r="G71" s="15"/>
      <c r="H71" s="15"/>
      <c r="I71" s="15"/>
      <c r="J71" s="15"/>
    </row>
    <row r="72" spans="1:10" ht="18.75" customHeight="1" thickBot="1" x14ac:dyDescent="0.35">
      <c r="A72" s="52" t="s">
        <v>549</v>
      </c>
      <c r="B72" s="76" t="s">
        <v>557</v>
      </c>
      <c r="C72" s="299">
        <f>GETPIVOTDATA("Sum of Brigade Manager",WTFTERoleAreaPivot!$A$3,"ReportingLevel","4:National","lvl","Scotland")</f>
        <v>5</v>
      </c>
      <c r="D72" s="299">
        <f>GETPIVOTDATA("Sum of Area Manager",WTFTERoleAreaPivot!$A$3,"ReportingLevel","4:National","lvl","Scotland")</f>
        <v>9</v>
      </c>
      <c r="E72" s="299">
        <f>GETPIVOTDATA("Sum of Group Manager",WTFTERoleAreaPivot!$A$3,"ReportingLevel","4:National","lvl","Scotland")</f>
        <v>15</v>
      </c>
      <c r="F72" s="299">
        <f>GETPIVOTDATA("Sum of Station Manager",WTFTERoleAreaPivot!$A$3,"ReportingLevel","4:National","lvl","Scotland")</f>
        <v>26</v>
      </c>
      <c r="G72" s="299">
        <f>GETPIVOTDATA("Sum of Watch Manager",WTFTERoleAreaPivot!$A$3,"ReportingLevel","4:National","lvl","Scotland")</f>
        <v>36</v>
      </c>
      <c r="H72" s="299">
        <f>GETPIVOTDATA("Sum of Crew Manager",WTFTERoleAreaPivot!$A$3,"ReportingLevel","4:National","lvl","Scotland")</f>
        <v>1</v>
      </c>
      <c r="I72" s="299">
        <f>GETPIVOTDATA("Sum of Firefighter",WTFTERoleAreaPivot!$A$3,"ReportingLevel","4:National","lvl","Scotland")</f>
        <v>1</v>
      </c>
      <c r="J72" s="70">
        <f>SUM(C72:I72)</f>
        <v>93</v>
      </c>
    </row>
    <row r="73" spans="1:10" x14ac:dyDescent="0.3">
      <c r="C73" s="68"/>
      <c r="D73" s="68"/>
      <c r="E73" s="68"/>
      <c r="F73" s="68"/>
      <c r="G73" s="68"/>
      <c r="H73" s="68"/>
      <c r="I73" s="68"/>
      <c r="J73" s="68"/>
    </row>
    <row r="74" spans="1:10" x14ac:dyDescent="0.3">
      <c r="A74" s="348" t="s">
        <v>329</v>
      </c>
    </row>
    <row r="75" spans="1:10" x14ac:dyDescent="0.3">
      <c r="A75" s="345" t="s">
        <v>558</v>
      </c>
    </row>
    <row r="76" spans="1:10" ht="30" customHeight="1" x14ac:dyDescent="0.3">
      <c r="A76" s="1040" t="s">
        <v>654</v>
      </c>
      <c r="B76" s="1040"/>
      <c r="C76" s="1040"/>
      <c r="D76" s="1040"/>
      <c r="E76" s="1040"/>
      <c r="F76" s="1040"/>
      <c r="G76" s="1040"/>
      <c r="H76" s="1040"/>
      <c r="I76" s="1040"/>
    </row>
    <row r="77" spans="1:10" ht="30" customHeight="1" x14ac:dyDescent="0.3">
      <c r="A77" s="1048" t="s">
        <v>697</v>
      </c>
      <c r="B77" s="1048"/>
      <c r="C77" s="1048"/>
      <c r="D77" s="1048"/>
      <c r="E77" s="1048"/>
      <c r="F77" s="1048"/>
      <c r="G77" s="1048"/>
      <c r="H77" s="1048"/>
      <c r="I77" s="1048"/>
      <c r="J77" s="1048"/>
    </row>
    <row r="78" spans="1:10" x14ac:dyDescent="0.3">
      <c r="A78" s="345" t="s">
        <v>698</v>
      </c>
    </row>
    <row r="79" spans="1:10" x14ac:dyDescent="0.3">
      <c r="A79" s="457" t="s">
        <v>524</v>
      </c>
    </row>
    <row r="80" spans="1:10" x14ac:dyDescent="0.3">
      <c r="A80" s="369" t="s">
        <v>699</v>
      </c>
    </row>
    <row r="82" spans="1:1" x14ac:dyDescent="0.3">
      <c r="A82" s="345"/>
    </row>
    <row r="84" spans="1:1" x14ac:dyDescent="0.3">
      <c r="A84" s="345"/>
    </row>
  </sheetData>
  <sheetProtection algorithmName="SHA-512" hashValue="7M6tEp5mbPi5caSmmTVsYOIZ+2SlrNcUpE0yTTwZ9XRhEq8EBBktEsxYijeAC64ro5FJ1kjOW1URa52tJAM/HQ==" saltValue="jvw6DB8rOMuSTBeayTSiiA==" spinCount="100000" sheet="1" scenarios="1" formatCells="0" sort="0" autoFilter="0" pivotTables="0"/>
  <mergeCells count="3">
    <mergeCell ref="A1:G1"/>
    <mergeCell ref="A77:J77"/>
    <mergeCell ref="A76:I76"/>
  </mergeCells>
  <hyperlinks>
    <hyperlink ref="A2" location="'Table of Contents'!A1" display="Back to Table of Contents" xr:uid="{00000000-0004-0000-4600-000000000000}"/>
  </hyperlinks>
  <pageMargins left="0.70866141732283472" right="0.70866141732283472" top="0.74803149606299213" bottom="0.74803149606299213" header="0.31496062992125984" footer="0.31496062992125984"/>
  <pageSetup paperSize="9" scale="57" orientation="portrait" r:id="rId1"/>
  <drawing r:id="rId2"/>
  <extLst>
    <ext xmlns:x14="http://schemas.microsoft.com/office/spreadsheetml/2009/9/main" uri="{A8765BA9-456A-4dab-B4F3-ACF838C121DE}">
      <x14:slicerList>
        <x14:slicer r:id="rId3"/>
      </x14:slicerList>
    </ext>
  </extLst>
</worksheet>
</file>

<file path=xl/worksheets/sheet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tabColor theme="9" tint="0.39997558519241921"/>
  </sheetPr>
  <dimension ref="A1:D36"/>
  <sheetViews>
    <sheetView zoomScale="90" zoomScaleNormal="90" workbookViewId="0">
      <selection activeCell="E36" sqref="E36"/>
    </sheetView>
  </sheetViews>
  <sheetFormatPr defaultRowHeight="14.4" x14ac:dyDescent="0.3"/>
  <cols>
    <col min="1" max="1" width="25.44140625" bestFit="1" customWidth="1"/>
    <col min="2" max="2" width="21.109375" bestFit="1" customWidth="1"/>
    <col min="3" max="3" width="20" bestFit="1" customWidth="1"/>
    <col min="4" max="4" width="16.5546875" bestFit="1" customWidth="1"/>
  </cols>
  <sheetData>
    <row r="1" spans="1:4" x14ac:dyDescent="0.3">
      <c r="A1" s="386" t="s">
        <v>208</v>
      </c>
      <c r="B1" t="s">
        <v>412</v>
      </c>
    </row>
    <row r="3" spans="1:4" x14ac:dyDescent="0.3">
      <c r="A3" s="386" t="s">
        <v>350</v>
      </c>
      <c r="B3" t="s">
        <v>634</v>
      </c>
      <c r="C3" t="s">
        <v>635</v>
      </c>
      <c r="D3" t="s">
        <v>636</v>
      </c>
    </row>
    <row r="4" spans="1:4" x14ac:dyDescent="0.3">
      <c r="A4" s="387" t="s">
        <v>537</v>
      </c>
    </row>
    <row r="5" spans="1:4" x14ac:dyDescent="0.3">
      <c r="A5" s="388" t="s">
        <v>215</v>
      </c>
      <c r="B5">
        <v>1.25</v>
      </c>
      <c r="C5">
        <v>3.5</v>
      </c>
      <c r="D5">
        <v>6</v>
      </c>
    </row>
    <row r="6" spans="1:4" x14ac:dyDescent="0.3">
      <c r="A6" s="388" t="s">
        <v>220</v>
      </c>
      <c r="B6">
        <v>28.5</v>
      </c>
      <c r="C6">
        <v>84.25</v>
      </c>
      <c r="D6">
        <v>241.5</v>
      </c>
    </row>
    <row r="7" spans="1:4" x14ac:dyDescent="0.3">
      <c r="A7" s="388" t="s">
        <v>700</v>
      </c>
      <c r="B7">
        <v>325.25</v>
      </c>
      <c r="C7">
        <v>659.5</v>
      </c>
      <c r="D7">
        <v>2446.25</v>
      </c>
    </row>
    <row r="8" spans="1:4" x14ac:dyDescent="0.3">
      <c r="A8" s="388" t="s">
        <v>224</v>
      </c>
      <c r="B8">
        <v>7</v>
      </c>
      <c r="C8">
        <v>18.5</v>
      </c>
      <c r="D8">
        <v>84.5</v>
      </c>
    </row>
    <row r="9" spans="1:4" x14ac:dyDescent="0.3">
      <c r="A9" s="388" t="s">
        <v>228</v>
      </c>
      <c r="B9">
        <v>19.75</v>
      </c>
      <c r="C9">
        <v>34.5</v>
      </c>
      <c r="D9">
        <v>178.75</v>
      </c>
    </row>
    <row r="10" spans="1:4" x14ac:dyDescent="0.3">
      <c r="A10" s="388" t="s">
        <v>234</v>
      </c>
      <c r="B10">
        <v>2</v>
      </c>
      <c r="C10">
        <v>1</v>
      </c>
      <c r="D10">
        <v>7</v>
      </c>
    </row>
    <row r="11" spans="1:4" x14ac:dyDescent="0.3">
      <c r="A11" s="388" t="s">
        <v>240</v>
      </c>
      <c r="B11">
        <v>2</v>
      </c>
      <c r="C11">
        <v>4.25</v>
      </c>
      <c r="D11">
        <v>18.75</v>
      </c>
    </row>
    <row r="12" spans="1:4" x14ac:dyDescent="0.3">
      <c r="A12" s="388" t="s">
        <v>244</v>
      </c>
      <c r="B12">
        <v>24.25</v>
      </c>
      <c r="C12">
        <v>40.25</v>
      </c>
      <c r="D12">
        <v>167.5</v>
      </c>
    </row>
    <row r="13" spans="1:4" x14ac:dyDescent="0.3">
      <c r="A13" s="388" t="s">
        <v>247</v>
      </c>
      <c r="B13">
        <v>1.5</v>
      </c>
      <c r="C13">
        <v>2.5</v>
      </c>
      <c r="D13">
        <v>12.75</v>
      </c>
    </row>
    <row r="14" spans="1:4" x14ac:dyDescent="0.3">
      <c r="A14" s="388" t="s">
        <v>249</v>
      </c>
      <c r="B14">
        <v>6.5</v>
      </c>
      <c r="C14">
        <v>13</v>
      </c>
      <c r="D14">
        <v>65.25</v>
      </c>
    </row>
    <row r="15" spans="1:4" x14ac:dyDescent="0.3">
      <c r="A15" s="388" t="s">
        <v>255</v>
      </c>
      <c r="B15">
        <v>7</v>
      </c>
      <c r="C15">
        <v>14</v>
      </c>
      <c r="D15">
        <v>42.75</v>
      </c>
    </row>
    <row r="16" spans="1:4" x14ac:dyDescent="0.3">
      <c r="A16" s="388" t="s">
        <v>263</v>
      </c>
      <c r="B16">
        <v>6</v>
      </c>
      <c r="C16">
        <v>7.75</v>
      </c>
      <c r="D16">
        <v>48.25</v>
      </c>
    </row>
    <row r="17" spans="1:4" x14ac:dyDescent="0.3">
      <c r="A17" s="388" t="s">
        <v>267</v>
      </c>
      <c r="B17">
        <v>10.25</v>
      </c>
      <c r="C17">
        <v>26.25</v>
      </c>
      <c r="D17">
        <v>78.75</v>
      </c>
    </row>
    <row r="18" spans="1:4" x14ac:dyDescent="0.3">
      <c r="A18" s="388" t="s">
        <v>273</v>
      </c>
      <c r="B18">
        <v>65.25</v>
      </c>
      <c r="C18">
        <v>132.75</v>
      </c>
      <c r="D18">
        <v>404.75</v>
      </c>
    </row>
    <row r="19" spans="1:4" x14ac:dyDescent="0.3">
      <c r="A19" s="388" t="s">
        <v>277</v>
      </c>
      <c r="B19">
        <v>4.75</v>
      </c>
      <c r="C19">
        <v>7.75</v>
      </c>
      <c r="D19">
        <v>35.25</v>
      </c>
    </row>
    <row r="20" spans="1:4" x14ac:dyDescent="0.3">
      <c r="A20" s="388" t="s">
        <v>279</v>
      </c>
      <c r="B20">
        <v>1</v>
      </c>
      <c r="C20">
        <v>3</v>
      </c>
      <c r="D20">
        <v>10.25</v>
      </c>
    </row>
    <row r="21" spans="1:4" x14ac:dyDescent="0.3">
      <c r="A21" s="388" t="s">
        <v>281</v>
      </c>
      <c r="B21">
        <v>12</v>
      </c>
      <c r="C21">
        <v>35.75</v>
      </c>
      <c r="D21">
        <v>88.75</v>
      </c>
    </row>
    <row r="22" spans="1:4" x14ac:dyDescent="0.3">
      <c r="A22" s="388" t="s">
        <v>283</v>
      </c>
      <c r="B22">
        <v>19.25</v>
      </c>
      <c r="C22">
        <v>34.5</v>
      </c>
      <c r="D22">
        <v>126.5</v>
      </c>
    </row>
    <row r="23" spans="1:4" x14ac:dyDescent="0.3">
      <c r="A23" s="388" t="s">
        <v>287</v>
      </c>
      <c r="B23">
        <v>11.5</v>
      </c>
      <c r="C23">
        <v>16.5</v>
      </c>
      <c r="D23">
        <v>97.25</v>
      </c>
    </row>
    <row r="24" spans="1:4" x14ac:dyDescent="0.3">
      <c r="A24" s="388" t="s">
        <v>289</v>
      </c>
      <c r="B24">
        <v>3</v>
      </c>
      <c r="C24">
        <v>5</v>
      </c>
      <c r="D24">
        <v>25</v>
      </c>
    </row>
    <row r="25" spans="1:4" x14ac:dyDescent="0.3">
      <c r="A25" s="388" t="s">
        <v>292</v>
      </c>
      <c r="B25">
        <v>16</v>
      </c>
      <c r="C25">
        <v>26.5</v>
      </c>
      <c r="D25">
        <v>108.5</v>
      </c>
    </row>
    <row r="26" spans="1:4" x14ac:dyDescent="0.3">
      <c r="A26" s="388" t="s">
        <v>294</v>
      </c>
      <c r="B26">
        <v>10.5</v>
      </c>
      <c r="C26">
        <v>27</v>
      </c>
      <c r="D26">
        <v>99</v>
      </c>
    </row>
    <row r="27" spans="1:4" x14ac:dyDescent="0.3">
      <c r="A27" s="388" t="s">
        <v>296</v>
      </c>
      <c r="B27">
        <v>1.25</v>
      </c>
      <c r="C27">
        <v>2</v>
      </c>
      <c r="D27">
        <v>12</v>
      </c>
    </row>
    <row r="28" spans="1:4" x14ac:dyDescent="0.3">
      <c r="A28" s="388" t="s">
        <v>298</v>
      </c>
      <c r="B28">
        <v>16.75</v>
      </c>
      <c r="C28">
        <v>34.25</v>
      </c>
      <c r="D28">
        <v>134.5</v>
      </c>
    </row>
    <row r="29" spans="1:4" x14ac:dyDescent="0.3">
      <c r="A29" s="388" t="s">
        <v>300</v>
      </c>
      <c r="B29">
        <v>17.25</v>
      </c>
      <c r="C29">
        <v>32.5</v>
      </c>
      <c r="D29">
        <v>110.25</v>
      </c>
    </row>
    <row r="30" spans="1:4" x14ac:dyDescent="0.3">
      <c r="A30" s="388" t="s">
        <v>302</v>
      </c>
      <c r="B30">
        <v>5.75</v>
      </c>
      <c r="C30">
        <v>6.75</v>
      </c>
      <c r="D30">
        <v>41</v>
      </c>
    </row>
    <row r="31" spans="1:4" x14ac:dyDescent="0.3">
      <c r="A31" s="388" t="s">
        <v>304</v>
      </c>
      <c r="B31">
        <v>7.25</v>
      </c>
      <c r="C31">
        <v>15.25</v>
      </c>
      <c r="D31">
        <v>70.5</v>
      </c>
    </row>
    <row r="32" spans="1:4" x14ac:dyDescent="0.3">
      <c r="A32" s="388" t="s">
        <v>307</v>
      </c>
      <c r="B32">
        <v>9</v>
      </c>
      <c r="C32">
        <v>16.5</v>
      </c>
      <c r="D32">
        <v>63.25</v>
      </c>
    </row>
    <row r="33" spans="1:4" x14ac:dyDescent="0.3">
      <c r="A33" s="388" t="s">
        <v>309</v>
      </c>
      <c r="B33">
        <v>2.25</v>
      </c>
      <c r="C33">
        <v>3</v>
      </c>
      <c r="D33">
        <v>20.25</v>
      </c>
    </row>
    <row r="34" spans="1:4" x14ac:dyDescent="0.3">
      <c r="A34" s="388" t="s">
        <v>311</v>
      </c>
      <c r="B34">
        <v>6.5</v>
      </c>
      <c r="C34">
        <v>10.75</v>
      </c>
      <c r="D34">
        <v>47.5</v>
      </c>
    </row>
    <row r="35" spans="1:4" x14ac:dyDescent="0.3">
      <c r="A35" s="387" t="s">
        <v>539</v>
      </c>
      <c r="B35">
        <v>650.5</v>
      </c>
      <c r="C35">
        <v>1319</v>
      </c>
      <c r="D35">
        <v>4892.5</v>
      </c>
    </row>
    <row r="36" spans="1:4" x14ac:dyDescent="0.3">
      <c r="A36" s="387" t="s">
        <v>357</v>
      </c>
      <c r="B36">
        <v>650.5</v>
      </c>
      <c r="C36">
        <v>1319</v>
      </c>
      <c r="D36">
        <v>4892.5</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tabColor theme="9" tint="0.39997558519241921"/>
  </sheetPr>
  <dimension ref="A1:H404"/>
  <sheetViews>
    <sheetView topLeftCell="A386" workbookViewId="0">
      <selection activeCell="E390" sqref="E390"/>
    </sheetView>
  </sheetViews>
  <sheetFormatPr defaultRowHeight="14.4" x14ac:dyDescent="0.3"/>
  <cols>
    <col min="1" max="1" width="7.6640625" bestFit="1" customWidth="1"/>
    <col min="2" max="2" width="16.33203125" bestFit="1" customWidth="1"/>
    <col min="3" max="3" width="9.88671875" bestFit="1" customWidth="1"/>
    <col min="4" max="4" width="21.21875" bestFit="1" customWidth="1"/>
    <col min="5" max="5" width="12" bestFit="1" customWidth="1"/>
    <col min="6" max="6" width="16.88671875" bestFit="1" customWidth="1"/>
    <col min="7" max="7" width="15.77734375" bestFit="1" customWidth="1"/>
    <col min="8" max="8" width="12.33203125" bestFit="1" customWidth="1"/>
  </cols>
  <sheetData>
    <row r="1" spans="1:8" x14ac:dyDescent="0.3">
      <c r="A1" t="s">
        <v>208</v>
      </c>
      <c r="B1" t="s">
        <v>547</v>
      </c>
      <c r="C1" t="s">
        <v>25</v>
      </c>
      <c r="D1" t="s">
        <v>548</v>
      </c>
      <c r="E1" t="s">
        <v>340</v>
      </c>
      <c r="F1" t="s">
        <v>625</v>
      </c>
      <c r="G1" t="s">
        <v>626</v>
      </c>
      <c r="H1" t="s">
        <v>627</v>
      </c>
    </row>
    <row r="2" spans="1:8" hidden="1" x14ac:dyDescent="0.3"/>
    <row r="3" spans="1:8" hidden="1" x14ac:dyDescent="0.3">
      <c r="A3" t="s">
        <v>364</v>
      </c>
      <c r="B3" t="s">
        <v>537</v>
      </c>
      <c r="C3" t="s">
        <v>411</v>
      </c>
      <c r="D3" t="s">
        <v>700</v>
      </c>
      <c r="E3">
        <v>2665.13</v>
      </c>
      <c r="F3">
        <v>262.12</v>
      </c>
      <c r="G3">
        <v>489.46</v>
      </c>
      <c r="H3">
        <v>1913.55</v>
      </c>
    </row>
    <row r="4" spans="1:8" hidden="1" x14ac:dyDescent="0.3">
      <c r="A4" t="s">
        <v>364</v>
      </c>
      <c r="B4" t="s">
        <v>537</v>
      </c>
      <c r="C4" t="s">
        <v>239</v>
      </c>
      <c r="D4" t="s">
        <v>240</v>
      </c>
      <c r="E4">
        <v>16.71</v>
      </c>
      <c r="F4">
        <v>1.52</v>
      </c>
      <c r="G4">
        <v>3.29</v>
      </c>
      <c r="H4">
        <v>11.9</v>
      </c>
    </row>
    <row r="5" spans="1:8" hidden="1" x14ac:dyDescent="0.3">
      <c r="A5" t="s">
        <v>364</v>
      </c>
      <c r="B5" t="s">
        <v>537</v>
      </c>
      <c r="C5" t="s">
        <v>243</v>
      </c>
      <c r="D5" t="s">
        <v>244</v>
      </c>
      <c r="E5">
        <v>177.25</v>
      </c>
      <c r="F5">
        <v>15.25</v>
      </c>
      <c r="G5">
        <v>31.25</v>
      </c>
      <c r="H5">
        <v>130.75</v>
      </c>
    </row>
    <row r="6" spans="1:8" hidden="1" x14ac:dyDescent="0.3">
      <c r="A6" t="s">
        <v>364</v>
      </c>
      <c r="B6" t="s">
        <v>537</v>
      </c>
      <c r="C6" t="s">
        <v>248</v>
      </c>
      <c r="D6" t="s">
        <v>249</v>
      </c>
      <c r="E6">
        <v>66.86</v>
      </c>
      <c r="F6">
        <v>8.25</v>
      </c>
      <c r="G6">
        <v>8.5</v>
      </c>
      <c r="H6">
        <v>50.11</v>
      </c>
    </row>
    <row r="7" spans="1:8" hidden="1" x14ac:dyDescent="0.3">
      <c r="A7" t="s">
        <v>364</v>
      </c>
      <c r="B7" t="s">
        <v>537</v>
      </c>
      <c r="C7" t="s">
        <v>254</v>
      </c>
      <c r="D7" t="s">
        <v>255</v>
      </c>
      <c r="E7">
        <v>46.75</v>
      </c>
      <c r="F7">
        <v>5</v>
      </c>
      <c r="G7">
        <v>8.75</v>
      </c>
      <c r="H7">
        <v>33</v>
      </c>
    </row>
    <row r="8" spans="1:8" hidden="1" x14ac:dyDescent="0.3">
      <c r="A8" t="s">
        <v>364</v>
      </c>
      <c r="B8" t="s">
        <v>537</v>
      </c>
      <c r="C8" t="s">
        <v>258</v>
      </c>
      <c r="D8" t="s">
        <v>259</v>
      </c>
    </row>
    <row r="9" spans="1:8" hidden="1" x14ac:dyDescent="0.3">
      <c r="A9" t="s">
        <v>364</v>
      </c>
      <c r="B9" t="s">
        <v>537</v>
      </c>
      <c r="C9" t="s">
        <v>282</v>
      </c>
      <c r="D9" t="s">
        <v>283</v>
      </c>
      <c r="E9">
        <v>124</v>
      </c>
      <c r="F9">
        <v>12.5</v>
      </c>
      <c r="G9">
        <v>24</v>
      </c>
      <c r="H9">
        <v>87.5</v>
      </c>
    </row>
    <row r="10" spans="1:8" hidden="1" x14ac:dyDescent="0.3">
      <c r="A10" t="s">
        <v>364</v>
      </c>
      <c r="B10" t="s">
        <v>537</v>
      </c>
      <c r="C10" t="s">
        <v>262</v>
      </c>
      <c r="D10" t="s">
        <v>263</v>
      </c>
      <c r="E10">
        <v>49.69</v>
      </c>
      <c r="F10">
        <v>3.81</v>
      </c>
      <c r="G10">
        <v>7.6</v>
      </c>
      <c r="H10">
        <v>38.28</v>
      </c>
    </row>
    <row r="11" spans="1:8" hidden="1" x14ac:dyDescent="0.3">
      <c r="A11" t="s">
        <v>364</v>
      </c>
      <c r="B11" t="s">
        <v>537</v>
      </c>
      <c r="C11" t="s">
        <v>272</v>
      </c>
      <c r="D11" t="s">
        <v>273</v>
      </c>
      <c r="E11">
        <v>525.5</v>
      </c>
      <c r="F11">
        <v>52.25</v>
      </c>
      <c r="G11">
        <v>108.25</v>
      </c>
      <c r="H11">
        <v>365</v>
      </c>
    </row>
    <row r="12" spans="1:8" hidden="1" x14ac:dyDescent="0.3">
      <c r="A12" t="s">
        <v>364</v>
      </c>
      <c r="B12" t="s">
        <v>537</v>
      </c>
      <c r="C12" t="s">
        <v>276</v>
      </c>
      <c r="D12" t="s">
        <v>277</v>
      </c>
      <c r="E12">
        <v>35.5</v>
      </c>
      <c r="F12">
        <v>3</v>
      </c>
      <c r="G12">
        <v>3.75</v>
      </c>
      <c r="H12">
        <v>28.75</v>
      </c>
    </row>
    <row r="13" spans="1:8" hidden="1" x14ac:dyDescent="0.3">
      <c r="A13" t="s">
        <v>364</v>
      </c>
      <c r="B13" t="s">
        <v>537</v>
      </c>
      <c r="C13" t="s">
        <v>278</v>
      </c>
      <c r="D13" t="s">
        <v>279</v>
      </c>
      <c r="E13">
        <v>8.75</v>
      </c>
      <c r="F13">
        <v>1</v>
      </c>
      <c r="G13">
        <v>1.75</v>
      </c>
      <c r="H13">
        <v>6</v>
      </c>
    </row>
    <row r="14" spans="1:8" hidden="1" x14ac:dyDescent="0.3">
      <c r="A14" t="s">
        <v>364</v>
      </c>
      <c r="B14" t="s">
        <v>537</v>
      </c>
      <c r="C14" t="s">
        <v>280</v>
      </c>
      <c r="D14" t="s">
        <v>281</v>
      </c>
      <c r="E14">
        <v>95.38</v>
      </c>
      <c r="F14">
        <v>8</v>
      </c>
      <c r="G14">
        <v>19.5</v>
      </c>
      <c r="H14">
        <v>67.88</v>
      </c>
    </row>
    <row r="15" spans="1:8" hidden="1" x14ac:dyDescent="0.3">
      <c r="A15" t="s">
        <v>364</v>
      </c>
      <c r="B15" t="s">
        <v>537</v>
      </c>
      <c r="C15" t="s">
        <v>286</v>
      </c>
      <c r="D15" t="s">
        <v>287</v>
      </c>
      <c r="E15">
        <v>86.25</v>
      </c>
      <c r="F15">
        <v>8.5</v>
      </c>
      <c r="G15">
        <v>14</v>
      </c>
      <c r="H15">
        <v>63.75</v>
      </c>
    </row>
    <row r="16" spans="1:8" hidden="1" x14ac:dyDescent="0.3">
      <c r="A16" t="s">
        <v>364</v>
      </c>
      <c r="B16" t="s">
        <v>537</v>
      </c>
      <c r="C16" t="s">
        <v>291</v>
      </c>
      <c r="D16" t="s">
        <v>292</v>
      </c>
      <c r="E16">
        <v>111</v>
      </c>
      <c r="F16">
        <v>12</v>
      </c>
      <c r="G16">
        <v>21.25</v>
      </c>
      <c r="H16">
        <v>77.75</v>
      </c>
    </row>
    <row r="17" spans="1:8" hidden="1" x14ac:dyDescent="0.3">
      <c r="A17" t="s">
        <v>364</v>
      </c>
      <c r="B17" t="s">
        <v>537</v>
      </c>
      <c r="C17" t="s">
        <v>293</v>
      </c>
      <c r="D17" t="s">
        <v>294</v>
      </c>
      <c r="E17">
        <v>128</v>
      </c>
      <c r="F17">
        <v>9.5</v>
      </c>
      <c r="G17">
        <v>24</v>
      </c>
      <c r="H17">
        <v>94.5</v>
      </c>
    </row>
    <row r="18" spans="1:8" hidden="1" x14ac:dyDescent="0.3">
      <c r="A18" t="s">
        <v>364</v>
      </c>
      <c r="B18" t="s">
        <v>537</v>
      </c>
      <c r="C18" t="s">
        <v>297</v>
      </c>
      <c r="D18" t="s">
        <v>298</v>
      </c>
      <c r="E18">
        <v>119.5</v>
      </c>
      <c r="F18">
        <v>12.5</v>
      </c>
      <c r="G18">
        <v>22</v>
      </c>
      <c r="H18">
        <v>85</v>
      </c>
    </row>
    <row r="19" spans="1:8" hidden="1" x14ac:dyDescent="0.3">
      <c r="A19" t="s">
        <v>364</v>
      </c>
      <c r="B19" t="s">
        <v>537</v>
      </c>
      <c r="C19" t="s">
        <v>299</v>
      </c>
      <c r="D19" t="s">
        <v>300</v>
      </c>
      <c r="E19">
        <v>126</v>
      </c>
      <c r="F19">
        <v>12.25</v>
      </c>
      <c r="G19">
        <v>28.25</v>
      </c>
      <c r="H19">
        <v>85.5</v>
      </c>
    </row>
    <row r="20" spans="1:8" hidden="1" x14ac:dyDescent="0.3">
      <c r="A20" t="s">
        <v>364</v>
      </c>
      <c r="B20" t="s">
        <v>537</v>
      </c>
      <c r="C20" t="s">
        <v>301</v>
      </c>
      <c r="D20" t="s">
        <v>302</v>
      </c>
      <c r="E20">
        <v>49.25</v>
      </c>
      <c r="F20">
        <v>5</v>
      </c>
      <c r="G20">
        <v>8.25</v>
      </c>
      <c r="H20">
        <v>36</v>
      </c>
    </row>
    <row r="21" spans="1:8" hidden="1" x14ac:dyDescent="0.3">
      <c r="A21" t="s">
        <v>364</v>
      </c>
      <c r="B21" t="s">
        <v>537</v>
      </c>
      <c r="C21" t="s">
        <v>303</v>
      </c>
      <c r="D21" t="s">
        <v>304</v>
      </c>
      <c r="E21">
        <v>79.25</v>
      </c>
      <c r="F21">
        <v>8.75</v>
      </c>
      <c r="G21">
        <v>8</v>
      </c>
      <c r="H21">
        <v>62.5</v>
      </c>
    </row>
    <row r="22" spans="1:8" hidden="1" x14ac:dyDescent="0.3">
      <c r="A22" t="s">
        <v>364</v>
      </c>
      <c r="B22" t="s">
        <v>537</v>
      </c>
      <c r="C22" t="s">
        <v>306</v>
      </c>
      <c r="D22" t="s">
        <v>307</v>
      </c>
      <c r="E22">
        <v>58.03</v>
      </c>
      <c r="F22">
        <v>7.33</v>
      </c>
      <c r="G22">
        <v>11.9</v>
      </c>
      <c r="H22">
        <v>38.799999999999997</v>
      </c>
    </row>
    <row r="23" spans="1:8" hidden="1" x14ac:dyDescent="0.3">
      <c r="A23" t="s">
        <v>364</v>
      </c>
      <c r="B23" t="s">
        <v>537</v>
      </c>
      <c r="C23" t="s">
        <v>214</v>
      </c>
      <c r="D23" t="s">
        <v>215</v>
      </c>
      <c r="E23">
        <v>6.5</v>
      </c>
      <c r="F23">
        <v>1</v>
      </c>
      <c r="G23">
        <v>1.75</v>
      </c>
      <c r="H23">
        <v>3.75</v>
      </c>
    </row>
    <row r="24" spans="1:8" hidden="1" x14ac:dyDescent="0.3">
      <c r="A24" t="s">
        <v>364</v>
      </c>
      <c r="B24" t="s">
        <v>537</v>
      </c>
      <c r="C24" t="s">
        <v>219</v>
      </c>
      <c r="D24" t="s">
        <v>220</v>
      </c>
      <c r="E24">
        <v>269.71000000000004</v>
      </c>
      <c r="F24">
        <v>27.46</v>
      </c>
      <c r="G24">
        <v>57.67</v>
      </c>
      <c r="H24">
        <v>184.58</v>
      </c>
    </row>
    <row r="25" spans="1:8" hidden="1" x14ac:dyDescent="0.3">
      <c r="A25" t="s">
        <v>364</v>
      </c>
      <c r="B25" t="s">
        <v>537</v>
      </c>
      <c r="C25" t="s">
        <v>227</v>
      </c>
      <c r="D25" t="s">
        <v>228</v>
      </c>
      <c r="E25">
        <v>178.25</v>
      </c>
      <c r="F25">
        <v>16.75</v>
      </c>
      <c r="G25">
        <v>22.75</v>
      </c>
      <c r="H25">
        <v>138.75</v>
      </c>
    </row>
    <row r="26" spans="1:8" hidden="1" x14ac:dyDescent="0.3">
      <c r="A26" t="s">
        <v>364</v>
      </c>
      <c r="B26" t="s">
        <v>537</v>
      </c>
      <c r="C26" t="s">
        <v>233</v>
      </c>
      <c r="D26" t="s">
        <v>234</v>
      </c>
      <c r="E26">
        <v>9.75</v>
      </c>
      <c r="F26">
        <v>0.75</v>
      </c>
      <c r="G26">
        <v>1.75</v>
      </c>
      <c r="H26">
        <v>7.25</v>
      </c>
    </row>
    <row r="27" spans="1:8" hidden="1" x14ac:dyDescent="0.3">
      <c r="A27" t="s">
        <v>364</v>
      </c>
      <c r="B27" t="s">
        <v>537</v>
      </c>
      <c r="C27" t="s">
        <v>295</v>
      </c>
      <c r="D27" t="s">
        <v>296</v>
      </c>
      <c r="E27">
        <v>11.75</v>
      </c>
      <c r="F27">
        <v>1</v>
      </c>
      <c r="G27">
        <v>2</v>
      </c>
      <c r="H27">
        <v>8.75</v>
      </c>
    </row>
    <row r="28" spans="1:8" hidden="1" x14ac:dyDescent="0.3">
      <c r="A28" t="s">
        <v>364</v>
      </c>
      <c r="B28" t="s">
        <v>537</v>
      </c>
      <c r="C28" t="s">
        <v>308</v>
      </c>
      <c r="D28" t="s">
        <v>309</v>
      </c>
      <c r="E28">
        <v>15.75</v>
      </c>
      <c r="F28">
        <v>1.75</v>
      </c>
      <c r="G28">
        <v>1</v>
      </c>
      <c r="H28">
        <v>13</v>
      </c>
    </row>
    <row r="29" spans="1:8" hidden="1" x14ac:dyDescent="0.3">
      <c r="A29" t="s">
        <v>364</v>
      </c>
      <c r="B29" t="s">
        <v>537</v>
      </c>
      <c r="C29" t="s">
        <v>310</v>
      </c>
      <c r="D29" t="s">
        <v>311</v>
      </c>
      <c r="E29">
        <v>49.75</v>
      </c>
      <c r="F29">
        <v>5.75</v>
      </c>
      <c r="G29">
        <v>9.5</v>
      </c>
      <c r="H29">
        <v>34.5</v>
      </c>
    </row>
    <row r="30" spans="1:8" hidden="1" x14ac:dyDescent="0.3">
      <c r="A30" t="s">
        <v>364</v>
      </c>
      <c r="B30" t="s">
        <v>537</v>
      </c>
      <c r="C30" t="s">
        <v>223</v>
      </c>
      <c r="D30" t="s">
        <v>224</v>
      </c>
      <c r="E30">
        <v>86.75</v>
      </c>
      <c r="F30">
        <v>7</v>
      </c>
      <c r="G30">
        <v>17</v>
      </c>
      <c r="H30">
        <v>62.75</v>
      </c>
    </row>
    <row r="31" spans="1:8" hidden="1" x14ac:dyDescent="0.3">
      <c r="A31" t="s">
        <v>364</v>
      </c>
      <c r="B31" t="s">
        <v>537</v>
      </c>
      <c r="C31" t="s">
        <v>246</v>
      </c>
      <c r="D31" t="s">
        <v>247</v>
      </c>
      <c r="E31">
        <v>12.25</v>
      </c>
      <c r="F31">
        <v>0.75</v>
      </c>
      <c r="G31">
        <v>2.75</v>
      </c>
      <c r="H31">
        <v>8.75</v>
      </c>
    </row>
    <row r="32" spans="1:8" hidden="1" x14ac:dyDescent="0.3">
      <c r="A32" t="s">
        <v>364</v>
      </c>
      <c r="B32" t="s">
        <v>537</v>
      </c>
      <c r="C32" t="s">
        <v>288</v>
      </c>
      <c r="D32" t="s">
        <v>289</v>
      </c>
      <c r="E32">
        <v>27</v>
      </c>
      <c r="F32">
        <v>2.75</v>
      </c>
      <c r="G32">
        <v>3</v>
      </c>
      <c r="H32">
        <v>21.25</v>
      </c>
    </row>
    <row r="33" spans="1:8" hidden="1" x14ac:dyDescent="0.3">
      <c r="A33" t="s">
        <v>364</v>
      </c>
      <c r="B33" t="s">
        <v>537</v>
      </c>
      <c r="C33" t="s">
        <v>252</v>
      </c>
      <c r="D33" t="s">
        <v>253</v>
      </c>
    </row>
    <row r="34" spans="1:8" hidden="1" x14ac:dyDescent="0.3">
      <c r="A34" t="s">
        <v>364</v>
      </c>
      <c r="B34" t="s">
        <v>537</v>
      </c>
      <c r="C34" t="s">
        <v>269</v>
      </c>
      <c r="D34" t="s">
        <v>270</v>
      </c>
      <c r="G34">
        <v>1</v>
      </c>
      <c r="H34">
        <v>1</v>
      </c>
    </row>
    <row r="35" spans="1:8" hidden="1" x14ac:dyDescent="0.3">
      <c r="A35" t="s">
        <v>364</v>
      </c>
      <c r="B35" t="s">
        <v>537</v>
      </c>
      <c r="C35" t="s">
        <v>266</v>
      </c>
      <c r="D35" t="s">
        <v>267</v>
      </c>
      <c r="E35">
        <v>92</v>
      </c>
      <c r="F35">
        <v>10.75</v>
      </c>
      <c r="G35">
        <v>15</v>
      </c>
      <c r="H35">
        <v>66.25</v>
      </c>
    </row>
    <row r="36" spans="1:8" hidden="1" x14ac:dyDescent="0.3">
      <c r="A36" t="s">
        <v>365</v>
      </c>
      <c r="B36" t="s">
        <v>537</v>
      </c>
      <c r="C36" t="s">
        <v>411</v>
      </c>
      <c r="D36" t="s">
        <v>700</v>
      </c>
      <c r="E36">
        <v>2668.5</v>
      </c>
      <c r="F36">
        <v>263.75</v>
      </c>
      <c r="G36">
        <v>498</v>
      </c>
      <c r="H36">
        <v>1906.75</v>
      </c>
    </row>
    <row r="37" spans="1:8" hidden="1" x14ac:dyDescent="0.3">
      <c r="A37" t="s">
        <v>365</v>
      </c>
      <c r="B37" t="s">
        <v>537</v>
      </c>
      <c r="C37" t="s">
        <v>239</v>
      </c>
      <c r="D37" t="s">
        <v>240</v>
      </c>
      <c r="E37">
        <v>18.25</v>
      </c>
      <c r="F37">
        <v>1.5</v>
      </c>
      <c r="G37">
        <v>4</v>
      </c>
      <c r="H37">
        <v>12.75</v>
      </c>
    </row>
    <row r="38" spans="1:8" hidden="1" x14ac:dyDescent="0.3">
      <c r="A38" t="s">
        <v>365</v>
      </c>
      <c r="B38" t="s">
        <v>537</v>
      </c>
      <c r="C38" t="s">
        <v>243</v>
      </c>
      <c r="D38" t="s">
        <v>244</v>
      </c>
      <c r="E38">
        <v>185</v>
      </c>
      <c r="F38">
        <v>15.25</v>
      </c>
      <c r="G38">
        <v>32.75</v>
      </c>
      <c r="H38">
        <v>137</v>
      </c>
    </row>
    <row r="39" spans="1:8" hidden="1" x14ac:dyDescent="0.3">
      <c r="A39" t="s">
        <v>365</v>
      </c>
      <c r="B39" t="s">
        <v>537</v>
      </c>
      <c r="C39" t="s">
        <v>248</v>
      </c>
      <c r="D39" t="s">
        <v>249</v>
      </c>
      <c r="E39">
        <v>71.25</v>
      </c>
      <c r="F39">
        <v>7.5</v>
      </c>
      <c r="G39">
        <v>7.25</v>
      </c>
      <c r="H39">
        <v>56.5</v>
      </c>
    </row>
    <row r="40" spans="1:8" hidden="1" x14ac:dyDescent="0.3">
      <c r="A40" t="s">
        <v>365</v>
      </c>
      <c r="B40" t="s">
        <v>537</v>
      </c>
      <c r="C40" t="s">
        <v>254</v>
      </c>
      <c r="D40" t="s">
        <v>255</v>
      </c>
      <c r="E40">
        <v>52.75</v>
      </c>
      <c r="F40">
        <v>5</v>
      </c>
      <c r="G40">
        <v>11.5</v>
      </c>
      <c r="H40">
        <v>36.25</v>
      </c>
    </row>
    <row r="41" spans="1:8" hidden="1" x14ac:dyDescent="0.3">
      <c r="A41" t="s">
        <v>365</v>
      </c>
      <c r="B41" t="s">
        <v>537</v>
      </c>
      <c r="C41" t="s">
        <v>258</v>
      </c>
      <c r="D41" t="s">
        <v>259</v>
      </c>
      <c r="E41">
        <v>0</v>
      </c>
      <c r="F41">
        <v>0</v>
      </c>
      <c r="G41">
        <v>0</v>
      </c>
      <c r="H41">
        <v>0</v>
      </c>
    </row>
    <row r="42" spans="1:8" hidden="1" x14ac:dyDescent="0.3">
      <c r="A42" t="s">
        <v>365</v>
      </c>
      <c r="B42" t="s">
        <v>537</v>
      </c>
      <c r="C42" t="s">
        <v>282</v>
      </c>
      <c r="D42" t="s">
        <v>283</v>
      </c>
      <c r="E42">
        <v>140.25</v>
      </c>
      <c r="F42">
        <v>15.5</v>
      </c>
      <c r="G42">
        <v>26.5</v>
      </c>
      <c r="H42">
        <v>98.25</v>
      </c>
    </row>
    <row r="43" spans="1:8" hidden="1" x14ac:dyDescent="0.3">
      <c r="A43" t="s">
        <v>365</v>
      </c>
      <c r="B43" t="s">
        <v>537</v>
      </c>
      <c r="C43" t="s">
        <v>262</v>
      </c>
      <c r="D43" t="s">
        <v>263</v>
      </c>
      <c r="E43">
        <v>51.75</v>
      </c>
      <c r="F43">
        <v>4.5</v>
      </c>
      <c r="G43">
        <v>6.75</v>
      </c>
      <c r="H43">
        <v>40.5</v>
      </c>
    </row>
    <row r="44" spans="1:8" hidden="1" x14ac:dyDescent="0.3">
      <c r="A44" t="s">
        <v>365</v>
      </c>
      <c r="B44" t="s">
        <v>537</v>
      </c>
      <c r="C44" t="s">
        <v>272</v>
      </c>
      <c r="D44" t="s">
        <v>273</v>
      </c>
      <c r="E44">
        <v>512.75</v>
      </c>
      <c r="F44">
        <v>52.25</v>
      </c>
      <c r="G44">
        <v>100.25</v>
      </c>
      <c r="H44">
        <v>360.25</v>
      </c>
    </row>
    <row r="45" spans="1:8" hidden="1" x14ac:dyDescent="0.3">
      <c r="A45" t="s">
        <v>365</v>
      </c>
      <c r="B45" t="s">
        <v>537</v>
      </c>
      <c r="C45" t="s">
        <v>276</v>
      </c>
      <c r="D45" t="s">
        <v>277</v>
      </c>
      <c r="E45">
        <v>33.5</v>
      </c>
      <c r="F45">
        <v>3</v>
      </c>
      <c r="G45">
        <v>3.75</v>
      </c>
      <c r="H45">
        <v>26.75</v>
      </c>
    </row>
    <row r="46" spans="1:8" hidden="1" x14ac:dyDescent="0.3">
      <c r="A46" t="s">
        <v>365</v>
      </c>
      <c r="B46" t="s">
        <v>537</v>
      </c>
      <c r="C46" t="s">
        <v>278</v>
      </c>
      <c r="D46" t="s">
        <v>279</v>
      </c>
      <c r="E46">
        <v>11.75</v>
      </c>
      <c r="F46">
        <v>1</v>
      </c>
      <c r="G46">
        <v>1.75</v>
      </c>
      <c r="H46">
        <v>9</v>
      </c>
    </row>
    <row r="47" spans="1:8" hidden="1" x14ac:dyDescent="0.3">
      <c r="A47" t="s">
        <v>365</v>
      </c>
      <c r="B47" t="s">
        <v>537</v>
      </c>
      <c r="C47" t="s">
        <v>280</v>
      </c>
      <c r="D47" t="s">
        <v>281</v>
      </c>
      <c r="E47">
        <v>111.75</v>
      </c>
      <c r="F47">
        <v>10</v>
      </c>
      <c r="G47">
        <v>23</v>
      </c>
      <c r="H47">
        <v>78.75</v>
      </c>
    </row>
    <row r="48" spans="1:8" hidden="1" x14ac:dyDescent="0.3">
      <c r="A48" t="s">
        <v>365</v>
      </c>
      <c r="B48" t="s">
        <v>537</v>
      </c>
      <c r="C48" t="s">
        <v>286</v>
      </c>
      <c r="D48" t="s">
        <v>287</v>
      </c>
      <c r="E48">
        <v>82.5</v>
      </c>
      <c r="F48">
        <v>8.5</v>
      </c>
      <c r="G48">
        <v>15.5</v>
      </c>
      <c r="H48">
        <v>58.5</v>
      </c>
    </row>
    <row r="49" spans="1:8" hidden="1" x14ac:dyDescent="0.3">
      <c r="A49" t="s">
        <v>365</v>
      </c>
      <c r="B49" t="s">
        <v>537</v>
      </c>
      <c r="C49" t="s">
        <v>291</v>
      </c>
      <c r="D49" t="s">
        <v>292</v>
      </c>
      <c r="E49">
        <v>107.25</v>
      </c>
      <c r="F49">
        <v>12</v>
      </c>
      <c r="G49">
        <v>25</v>
      </c>
      <c r="H49">
        <v>70.25</v>
      </c>
    </row>
    <row r="50" spans="1:8" hidden="1" x14ac:dyDescent="0.3">
      <c r="A50" t="s">
        <v>365</v>
      </c>
      <c r="B50" t="s">
        <v>537</v>
      </c>
      <c r="C50" t="s">
        <v>293</v>
      </c>
      <c r="D50" t="s">
        <v>294</v>
      </c>
      <c r="E50">
        <v>116.75</v>
      </c>
      <c r="F50">
        <v>12.75</v>
      </c>
      <c r="G50">
        <v>24.25</v>
      </c>
      <c r="H50">
        <v>79.75</v>
      </c>
    </row>
    <row r="51" spans="1:8" hidden="1" x14ac:dyDescent="0.3">
      <c r="A51" t="s">
        <v>365</v>
      </c>
      <c r="B51" t="s">
        <v>537</v>
      </c>
      <c r="C51" t="s">
        <v>297</v>
      </c>
      <c r="D51" t="s">
        <v>298</v>
      </c>
      <c r="E51">
        <v>132.25</v>
      </c>
      <c r="F51">
        <v>13.25</v>
      </c>
      <c r="G51">
        <v>22.75</v>
      </c>
      <c r="H51">
        <v>96.25</v>
      </c>
    </row>
    <row r="52" spans="1:8" hidden="1" x14ac:dyDescent="0.3">
      <c r="A52" t="s">
        <v>365</v>
      </c>
      <c r="B52" t="s">
        <v>537</v>
      </c>
      <c r="C52" t="s">
        <v>299</v>
      </c>
      <c r="D52" t="s">
        <v>300</v>
      </c>
      <c r="E52">
        <v>119</v>
      </c>
      <c r="F52">
        <v>11.25</v>
      </c>
      <c r="G52">
        <v>28</v>
      </c>
      <c r="H52">
        <v>79.75</v>
      </c>
    </row>
    <row r="53" spans="1:8" hidden="1" x14ac:dyDescent="0.3">
      <c r="A53" t="s">
        <v>365</v>
      </c>
      <c r="B53" t="s">
        <v>537</v>
      </c>
      <c r="C53" t="s">
        <v>301</v>
      </c>
      <c r="D53" t="s">
        <v>302</v>
      </c>
      <c r="E53">
        <v>49</v>
      </c>
      <c r="F53">
        <v>5</v>
      </c>
      <c r="G53">
        <v>8.25</v>
      </c>
      <c r="H53">
        <v>35.75</v>
      </c>
    </row>
    <row r="54" spans="1:8" hidden="1" x14ac:dyDescent="0.3">
      <c r="A54" t="s">
        <v>365</v>
      </c>
      <c r="B54" t="s">
        <v>537</v>
      </c>
      <c r="C54" t="s">
        <v>303</v>
      </c>
      <c r="D54" t="s">
        <v>304</v>
      </c>
      <c r="E54">
        <v>76.75</v>
      </c>
      <c r="F54">
        <v>8.75</v>
      </c>
      <c r="G54">
        <v>8</v>
      </c>
      <c r="H54">
        <v>60</v>
      </c>
    </row>
    <row r="55" spans="1:8" hidden="1" x14ac:dyDescent="0.3">
      <c r="A55" t="s">
        <v>365</v>
      </c>
      <c r="B55" t="s">
        <v>537</v>
      </c>
      <c r="C55" t="s">
        <v>306</v>
      </c>
      <c r="D55" t="s">
        <v>307</v>
      </c>
      <c r="E55">
        <v>58.5</v>
      </c>
      <c r="F55">
        <v>7.25</v>
      </c>
      <c r="G55">
        <v>11</v>
      </c>
      <c r="H55">
        <v>40.25</v>
      </c>
    </row>
    <row r="56" spans="1:8" hidden="1" x14ac:dyDescent="0.3">
      <c r="A56" t="s">
        <v>365</v>
      </c>
      <c r="B56" t="s">
        <v>537</v>
      </c>
      <c r="C56" t="s">
        <v>214</v>
      </c>
      <c r="D56" t="s">
        <v>215</v>
      </c>
      <c r="E56">
        <v>6.5</v>
      </c>
      <c r="F56">
        <v>1</v>
      </c>
      <c r="G56">
        <v>1.75</v>
      </c>
      <c r="H56">
        <v>3.75</v>
      </c>
    </row>
    <row r="57" spans="1:8" hidden="1" x14ac:dyDescent="0.3">
      <c r="A57" t="s">
        <v>365</v>
      </c>
      <c r="B57" t="s">
        <v>537</v>
      </c>
      <c r="C57" t="s">
        <v>219</v>
      </c>
      <c r="D57" t="s">
        <v>220</v>
      </c>
      <c r="E57">
        <v>253.25</v>
      </c>
      <c r="F57">
        <v>25.25</v>
      </c>
      <c r="G57">
        <v>56</v>
      </c>
      <c r="H57">
        <v>172</v>
      </c>
    </row>
    <row r="58" spans="1:8" hidden="1" x14ac:dyDescent="0.3">
      <c r="A58" t="s">
        <v>365</v>
      </c>
      <c r="B58" t="s">
        <v>537</v>
      </c>
      <c r="C58" t="s">
        <v>227</v>
      </c>
      <c r="D58" t="s">
        <v>228</v>
      </c>
      <c r="E58">
        <v>166.5</v>
      </c>
      <c r="F58">
        <v>14.75</v>
      </c>
      <c r="G58">
        <v>22.75</v>
      </c>
      <c r="H58">
        <v>129</v>
      </c>
    </row>
    <row r="59" spans="1:8" hidden="1" x14ac:dyDescent="0.3">
      <c r="A59" t="s">
        <v>365</v>
      </c>
      <c r="B59" t="s">
        <v>537</v>
      </c>
      <c r="C59" t="s">
        <v>233</v>
      </c>
      <c r="D59" t="s">
        <v>234</v>
      </c>
      <c r="E59">
        <v>10.5</v>
      </c>
      <c r="F59">
        <v>0.75</v>
      </c>
      <c r="G59">
        <v>1.75</v>
      </c>
      <c r="H59">
        <v>8</v>
      </c>
    </row>
    <row r="60" spans="1:8" hidden="1" x14ac:dyDescent="0.3">
      <c r="A60" t="s">
        <v>365</v>
      </c>
      <c r="B60" t="s">
        <v>537</v>
      </c>
      <c r="C60" t="s">
        <v>295</v>
      </c>
      <c r="D60" t="s">
        <v>296</v>
      </c>
      <c r="E60">
        <v>11.75</v>
      </c>
      <c r="F60">
        <v>1</v>
      </c>
      <c r="G60">
        <v>2</v>
      </c>
      <c r="H60">
        <v>8.75</v>
      </c>
    </row>
    <row r="61" spans="1:8" hidden="1" x14ac:dyDescent="0.3">
      <c r="A61" t="s">
        <v>365</v>
      </c>
      <c r="B61" t="s">
        <v>537</v>
      </c>
      <c r="C61" t="s">
        <v>308</v>
      </c>
      <c r="D61" t="s">
        <v>309</v>
      </c>
      <c r="E61">
        <v>18.5</v>
      </c>
      <c r="F61">
        <v>1.75</v>
      </c>
      <c r="G61">
        <v>1</v>
      </c>
      <c r="H61">
        <v>15.75</v>
      </c>
    </row>
    <row r="62" spans="1:8" hidden="1" x14ac:dyDescent="0.3">
      <c r="A62" t="s">
        <v>365</v>
      </c>
      <c r="B62" t="s">
        <v>537</v>
      </c>
      <c r="C62" t="s">
        <v>310</v>
      </c>
      <c r="D62" t="s">
        <v>311</v>
      </c>
      <c r="E62">
        <v>53</v>
      </c>
      <c r="F62">
        <v>5</v>
      </c>
      <c r="G62">
        <v>10</v>
      </c>
      <c r="H62">
        <v>38</v>
      </c>
    </row>
    <row r="63" spans="1:8" hidden="1" x14ac:dyDescent="0.3">
      <c r="A63" t="s">
        <v>365</v>
      </c>
      <c r="B63" t="s">
        <v>537</v>
      </c>
      <c r="C63" t="s">
        <v>223</v>
      </c>
      <c r="D63" t="s">
        <v>224</v>
      </c>
      <c r="E63">
        <v>83.5</v>
      </c>
      <c r="F63">
        <v>7</v>
      </c>
      <c r="G63">
        <v>18</v>
      </c>
      <c r="H63">
        <v>58.5</v>
      </c>
    </row>
    <row r="64" spans="1:8" hidden="1" x14ac:dyDescent="0.3">
      <c r="A64" t="s">
        <v>365</v>
      </c>
      <c r="B64" t="s">
        <v>537</v>
      </c>
      <c r="C64" t="s">
        <v>246</v>
      </c>
      <c r="D64" t="s">
        <v>247</v>
      </c>
      <c r="E64">
        <v>11.75</v>
      </c>
      <c r="F64">
        <v>0.75</v>
      </c>
      <c r="G64">
        <v>2.75</v>
      </c>
      <c r="H64">
        <v>8.25</v>
      </c>
    </row>
    <row r="65" spans="1:8" hidden="1" x14ac:dyDescent="0.3">
      <c r="A65" t="s">
        <v>365</v>
      </c>
      <c r="B65" t="s">
        <v>537</v>
      </c>
      <c r="C65" t="s">
        <v>288</v>
      </c>
      <c r="D65" t="s">
        <v>289</v>
      </c>
      <c r="E65">
        <v>28.25</v>
      </c>
      <c r="F65">
        <v>2.5</v>
      </c>
      <c r="G65">
        <v>3</v>
      </c>
      <c r="H65">
        <v>22.75</v>
      </c>
    </row>
    <row r="66" spans="1:8" hidden="1" x14ac:dyDescent="0.3">
      <c r="A66" t="s">
        <v>365</v>
      </c>
      <c r="B66" t="s">
        <v>537</v>
      </c>
      <c r="C66" t="s">
        <v>252</v>
      </c>
      <c r="D66" t="s">
        <v>253</v>
      </c>
      <c r="E66">
        <v>0</v>
      </c>
      <c r="F66">
        <v>0</v>
      </c>
      <c r="G66">
        <v>0</v>
      </c>
      <c r="H66">
        <v>0</v>
      </c>
    </row>
    <row r="67" spans="1:8" hidden="1" x14ac:dyDescent="0.3">
      <c r="A67" t="s">
        <v>365</v>
      </c>
      <c r="B67" t="s">
        <v>537</v>
      </c>
      <c r="C67" t="s">
        <v>269</v>
      </c>
      <c r="D67" t="s">
        <v>270</v>
      </c>
      <c r="E67">
        <v>0</v>
      </c>
      <c r="F67">
        <v>0</v>
      </c>
      <c r="G67">
        <v>0</v>
      </c>
      <c r="H67">
        <v>0</v>
      </c>
    </row>
    <row r="68" spans="1:8" hidden="1" x14ac:dyDescent="0.3">
      <c r="A68" t="s">
        <v>365</v>
      </c>
      <c r="B68" t="s">
        <v>537</v>
      </c>
      <c r="C68" t="s">
        <v>266</v>
      </c>
      <c r="D68" t="s">
        <v>267</v>
      </c>
      <c r="E68">
        <v>94</v>
      </c>
      <c r="F68">
        <v>9.75</v>
      </c>
      <c r="G68">
        <v>18.75</v>
      </c>
      <c r="H68">
        <v>65.5</v>
      </c>
    </row>
    <row r="69" spans="1:8" hidden="1" x14ac:dyDescent="0.3">
      <c r="A69" t="s">
        <v>366</v>
      </c>
      <c r="B69" t="s">
        <v>537</v>
      </c>
      <c r="C69" t="s">
        <v>411</v>
      </c>
      <c r="D69" t="s">
        <v>700</v>
      </c>
      <c r="E69">
        <v>2527</v>
      </c>
      <c r="F69">
        <v>248</v>
      </c>
      <c r="G69">
        <v>486</v>
      </c>
      <c r="H69">
        <v>1793</v>
      </c>
    </row>
    <row r="70" spans="1:8" hidden="1" x14ac:dyDescent="0.3">
      <c r="A70" t="s">
        <v>366</v>
      </c>
      <c r="B70" t="s">
        <v>537</v>
      </c>
      <c r="C70" t="s">
        <v>239</v>
      </c>
      <c r="D70" t="s">
        <v>240</v>
      </c>
      <c r="E70">
        <v>16.25</v>
      </c>
      <c r="F70">
        <v>2</v>
      </c>
      <c r="G70">
        <v>3</v>
      </c>
      <c r="H70">
        <v>11.25</v>
      </c>
    </row>
    <row r="71" spans="1:8" hidden="1" x14ac:dyDescent="0.3">
      <c r="A71" t="s">
        <v>366</v>
      </c>
      <c r="B71" t="s">
        <v>537</v>
      </c>
      <c r="C71" t="s">
        <v>243</v>
      </c>
      <c r="D71" t="s">
        <v>244</v>
      </c>
      <c r="E71">
        <v>169</v>
      </c>
      <c r="F71">
        <v>14.5</v>
      </c>
      <c r="G71">
        <v>30.75</v>
      </c>
      <c r="H71">
        <v>123.75</v>
      </c>
    </row>
    <row r="72" spans="1:8" hidden="1" x14ac:dyDescent="0.3">
      <c r="A72" t="s">
        <v>366</v>
      </c>
      <c r="B72" t="s">
        <v>537</v>
      </c>
      <c r="C72" t="s">
        <v>248</v>
      </c>
      <c r="D72" t="s">
        <v>249</v>
      </c>
      <c r="E72">
        <v>71</v>
      </c>
      <c r="F72">
        <v>6.25</v>
      </c>
      <c r="G72">
        <v>8.75</v>
      </c>
      <c r="H72">
        <v>56</v>
      </c>
    </row>
    <row r="73" spans="1:8" hidden="1" x14ac:dyDescent="0.3">
      <c r="A73" t="s">
        <v>366</v>
      </c>
      <c r="B73" t="s">
        <v>537</v>
      </c>
      <c r="C73" t="s">
        <v>254</v>
      </c>
      <c r="D73" t="s">
        <v>255</v>
      </c>
      <c r="E73">
        <v>45.25</v>
      </c>
      <c r="F73">
        <v>4</v>
      </c>
      <c r="G73">
        <v>9.75</v>
      </c>
      <c r="H73">
        <v>31.5</v>
      </c>
    </row>
    <row r="74" spans="1:8" hidden="1" x14ac:dyDescent="0.3">
      <c r="A74" t="s">
        <v>366</v>
      </c>
      <c r="B74" t="s">
        <v>537</v>
      </c>
      <c r="C74" t="s">
        <v>258</v>
      </c>
      <c r="D74" t="s">
        <v>259</v>
      </c>
      <c r="E74">
        <v>1</v>
      </c>
      <c r="F74">
        <v>0</v>
      </c>
      <c r="G74">
        <v>0</v>
      </c>
      <c r="H74">
        <v>1</v>
      </c>
    </row>
    <row r="75" spans="1:8" hidden="1" x14ac:dyDescent="0.3">
      <c r="A75" t="s">
        <v>366</v>
      </c>
      <c r="B75" t="s">
        <v>537</v>
      </c>
      <c r="C75" t="s">
        <v>282</v>
      </c>
      <c r="D75" t="s">
        <v>283</v>
      </c>
      <c r="E75">
        <v>134.25</v>
      </c>
      <c r="F75">
        <v>11.75</v>
      </c>
      <c r="G75">
        <v>33</v>
      </c>
      <c r="H75">
        <v>89.5</v>
      </c>
    </row>
    <row r="76" spans="1:8" hidden="1" x14ac:dyDescent="0.3">
      <c r="A76" t="s">
        <v>366</v>
      </c>
      <c r="B76" t="s">
        <v>537</v>
      </c>
      <c r="C76" t="s">
        <v>262</v>
      </c>
      <c r="D76" t="s">
        <v>263</v>
      </c>
      <c r="E76">
        <v>39.75</v>
      </c>
      <c r="F76">
        <v>3.75</v>
      </c>
      <c r="G76">
        <v>7</v>
      </c>
      <c r="H76">
        <v>29</v>
      </c>
    </row>
    <row r="77" spans="1:8" hidden="1" x14ac:dyDescent="0.3">
      <c r="A77" t="s">
        <v>366</v>
      </c>
      <c r="B77" t="s">
        <v>537</v>
      </c>
      <c r="C77" t="s">
        <v>272</v>
      </c>
      <c r="D77" t="s">
        <v>273</v>
      </c>
      <c r="E77">
        <v>489.75</v>
      </c>
      <c r="F77">
        <v>51</v>
      </c>
      <c r="G77">
        <v>102.5</v>
      </c>
      <c r="H77">
        <v>336.25</v>
      </c>
    </row>
    <row r="78" spans="1:8" hidden="1" x14ac:dyDescent="0.3">
      <c r="A78" t="s">
        <v>366</v>
      </c>
      <c r="B78" t="s">
        <v>537</v>
      </c>
      <c r="C78" t="s">
        <v>276</v>
      </c>
      <c r="D78" t="s">
        <v>277</v>
      </c>
      <c r="E78">
        <v>33.75</v>
      </c>
      <c r="F78">
        <v>3.5</v>
      </c>
      <c r="G78">
        <v>5.5</v>
      </c>
      <c r="H78">
        <v>24.75</v>
      </c>
    </row>
    <row r="79" spans="1:8" hidden="1" x14ac:dyDescent="0.3">
      <c r="A79" t="s">
        <v>366</v>
      </c>
      <c r="B79" t="s">
        <v>537</v>
      </c>
      <c r="C79" t="s">
        <v>278</v>
      </c>
      <c r="D79" t="s">
        <v>279</v>
      </c>
      <c r="E79">
        <v>9.25</v>
      </c>
      <c r="F79">
        <v>1</v>
      </c>
      <c r="G79">
        <v>1.75</v>
      </c>
      <c r="H79">
        <v>6.5</v>
      </c>
    </row>
    <row r="80" spans="1:8" hidden="1" x14ac:dyDescent="0.3">
      <c r="A80" t="s">
        <v>366</v>
      </c>
      <c r="B80" t="s">
        <v>537</v>
      </c>
      <c r="C80" t="s">
        <v>280</v>
      </c>
      <c r="D80" t="s">
        <v>281</v>
      </c>
      <c r="E80">
        <v>97.25</v>
      </c>
      <c r="F80">
        <v>11</v>
      </c>
      <c r="G80">
        <v>21</v>
      </c>
      <c r="H80">
        <v>65.25</v>
      </c>
    </row>
    <row r="81" spans="1:8" hidden="1" x14ac:dyDescent="0.3">
      <c r="A81" t="s">
        <v>366</v>
      </c>
      <c r="B81" t="s">
        <v>537</v>
      </c>
      <c r="C81" t="s">
        <v>286</v>
      </c>
      <c r="D81" t="s">
        <v>287</v>
      </c>
      <c r="E81">
        <v>91.5</v>
      </c>
      <c r="F81">
        <v>9</v>
      </c>
      <c r="G81">
        <v>10</v>
      </c>
      <c r="H81">
        <v>72.5</v>
      </c>
    </row>
    <row r="82" spans="1:8" hidden="1" x14ac:dyDescent="0.3">
      <c r="A82" t="s">
        <v>366</v>
      </c>
      <c r="B82" t="s">
        <v>537</v>
      </c>
      <c r="C82" t="s">
        <v>291</v>
      </c>
      <c r="D82" t="s">
        <v>292</v>
      </c>
      <c r="E82">
        <v>96.5</v>
      </c>
      <c r="F82">
        <v>12</v>
      </c>
      <c r="G82">
        <v>18.75</v>
      </c>
      <c r="H82">
        <v>65.75</v>
      </c>
    </row>
    <row r="83" spans="1:8" hidden="1" x14ac:dyDescent="0.3">
      <c r="A83" t="s">
        <v>366</v>
      </c>
      <c r="B83" t="s">
        <v>537</v>
      </c>
      <c r="C83" t="s">
        <v>293</v>
      </c>
      <c r="D83" t="s">
        <v>294</v>
      </c>
      <c r="E83">
        <v>110.5</v>
      </c>
      <c r="F83">
        <v>8.75</v>
      </c>
      <c r="G83">
        <v>22.5</v>
      </c>
      <c r="H83">
        <v>79.25</v>
      </c>
    </row>
    <row r="84" spans="1:8" hidden="1" x14ac:dyDescent="0.3">
      <c r="A84" t="s">
        <v>366</v>
      </c>
      <c r="B84" t="s">
        <v>537</v>
      </c>
      <c r="C84" t="s">
        <v>297</v>
      </c>
      <c r="D84" t="s">
        <v>298</v>
      </c>
      <c r="E84">
        <v>123.25</v>
      </c>
      <c r="F84">
        <v>11.5</v>
      </c>
      <c r="G84">
        <v>22.5</v>
      </c>
      <c r="H84">
        <v>89.25</v>
      </c>
    </row>
    <row r="85" spans="1:8" hidden="1" x14ac:dyDescent="0.3">
      <c r="A85" t="s">
        <v>366</v>
      </c>
      <c r="B85" t="s">
        <v>537</v>
      </c>
      <c r="C85" t="s">
        <v>299</v>
      </c>
      <c r="D85" t="s">
        <v>300</v>
      </c>
      <c r="E85">
        <v>116.75</v>
      </c>
      <c r="F85">
        <v>13.25</v>
      </c>
      <c r="G85">
        <v>23.25</v>
      </c>
      <c r="H85">
        <v>80.25</v>
      </c>
    </row>
    <row r="86" spans="1:8" hidden="1" x14ac:dyDescent="0.3">
      <c r="A86" t="s">
        <v>366</v>
      </c>
      <c r="B86" t="s">
        <v>537</v>
      </c>
      <c r="C86" t="s">
        <v>301</v>
      </c>
      <c r="D86" t="s">
        <v>302</v>
      </c>
      <c r="E86">
        <v>46</v>
      </c>
      <c r="F86">
        <v>4.75</v>
      </c>
      <c r="G86">
        <v>5.75</v>
      </c>
      <c r="H86">
        <v>35.5</v>
      </c>
    </row>
    <row r="87" spans="1:8" hidden="1" x14ac:dyDescent="0.3">
      <c r="A87" t="s">
        <v>366</v>
      </c>
      <c r="B87" t="s">
        <v>537</v>
      </c>
      <c r="C87" t="s">
        <v>303</v>
      </c>
      <c r="D87" t="s">
        <v>304</v>
      </c>
      <c r="E87">
        <v>64</v>
      </c>
      <c r="F87">
        <v>7.75</v>
      </c>
      <c r="G87">
        <v>8.75</v>
      </c>
      <c r="H87">
        <v>47.5</v>
      </c>
    </row>
    <row r="88" spans="1:8" hidden="1" x14ac:dyDescent="0.3">
      <c r="A88" t="s">
        <v>366</v>
      </c>
      <c r="B88" t="s">
        <v>537</v>
      </c>
      <c r="C88" t="s">
        <v>306</v>
      </c>
      <c r="D88" t="s">
        <v>307</v>
      </c>
      <c r="E88">
        <v>62.25</v>
      </c>
      <c r="F88">
        <v>8.25</v>
      </c>
      <c r="G88">
        <v>15</v>
      </c>
      <c r="H88">
        <v>39</v>
      </c>
    </row>
    <row r="89" spans="1:8" hidden="1" x14ac:dyDescent="0.3">
      <c r="A89" t="s">
        <v>366</v>
      </c>
      <c r="B89" t="s">
        <v>537</v>
      </c>
      <c r="C89" t="s">
        <v>214</v>
      </c>
      <c r="D89" t="s">
        <v>215</v>
      </c>
      <c r="E89">
        <v>15.25</v>
      </c>
      <c r="F89">
        <v>1.75</v>
      </c>
      <c r="G89">
        <v>5.5</v>
      </c>
      <c r="H89">
        <v>8</v>
      </c>
    </row>
    <row r="90" spans="1:8" hidden="1" x14ac:dyDescent="0.3">
      <c r="A90" t="s">
        <v>366</v>
      </c>
      <c r="B90" t="s">
        <v>537</v>
      </c>
      <c r="C90" t="s">
        <v>219</v>
      </c>
      <c r="D90" t="s">
        <v>220</v>
      </c>
      <c r="E90">
        <v>226.25</v>
      </c>
      <c r="F90">
        <v>24</v>
      </c>
      <c r="G90">
        <v>56.25</v>
      </c>
      <c r="H90">
        <v>146</v>
      </c>
    </row>
    <row r="91" spans="1:8" hidden="1" x14ac:dyDescent="0.3">
      <c r="A91" t="s">
        <v>366</v>
      </c>
      <c r="B91" t="s">
        <v>537</v>
      </c>
      <c r="C91" t="s">
        <v>227</v>
      </c>
      <c r="D91" t="s">
        <v>228</v>
      </c>
      <c r="E91">
        <v>171.39285714285714</v>
      </c>
      <c r="F91">
        <v>11.75</v>
      </c>
      <c r="G91">
        <v>24.75</v>
      </c>
      <c r="H91">
        <v>134.89285714285714</v>
      </c>
    </row>
    <row r="92" spans="1:8" hidden="1" x14ac:dyDescent="0.3">
      <c r="A92" t="s">
        <v>366</v>
      </c>
      <c r="B92" t="s">
        <v>537</v>
      </c>
      <c r="C92" t="s">
        <v>233</v>
      </c>
      <c r="D92" t="s">
        <v>234</v>
      </c>
      <c r="E92">
        <v>10</v>
      </c>
      <c r="F92">
        <v>1</v>
      </c>
      <c r="G92">
        <v>1.75</v>
      </c>
      <c r="H92">
        <v>7.25</v>
      </c>
    </row>
    <row r="93" spans="1:8" hidden="1" x14ac:dyDescent="0.3">
      <c r="A93" t="s">
        <v>366</v>
      </c>
      <c r="B93" t="s">
        <v>537</v>
      </c>
      <c r="C93" t="s">
        <v>295</v>
      </c>
      <c r="D93" t="s">
        <v>296</v>
      </c>
      <c r="E93">
        <v>10.5</v>
      </c>
      <c r="F93">
        <v>1</v>
      </c>
      <c r="G93">
        <v>1</v>
      </c>
      <c r="H93">
        <v>8.5</v>
      </c>
    </row>
    <row r="94" spans="1:8" hidden="1" x14ac:dyDescent="0.3">
      <c r="A94" t="s">
        <v>366</v>
      </c>
      <c r="B94" t="s">
        <v>537</v>
      </c>
      <c r="C94" t="s">
        <v>308</v>
      </c>
      <c r="D94" t="s">
        <v>309</v>
      </c>
      <c r="E94">
        <v>16.75</v>
      </c>
      <c r="F94">
        <v>1.75</v>
      </c>
      <c r="G94">
        <v>1.75</v>
      </c>
      <c r="H94">
        <v>13.25</v>
      </c>
    </row>
    <row r="95" spans="1:8" hidden="1" x14ac:dyDescent="0.3">
      <c r="A95" t="s">
        <v>366</v>
      </c>
      <c r="B95" t="s">
        <v>537</v>
      </c>
      <c r="C95" t="s">
        <v>310</v>
      </c>
      <c r="D95" t="s">
        <v>311</v>
      </c>
      <c r="E95">
        <v>44.25</v>
      </c>
      <c r="F95">
        <v>4.25</v>
      </c>
      <c r="G95">
        <v>8.25</v>
      </c>
      <c r="H95">
        <v>31.75</v>
      </c>
    </row>
    <row r="96" spans="1:8" hidden="1" x14ac:dyDescent="0.3">
      <c r="A96" t="s">
        <v>366</v>
      </c>
      <c r="B96" t="s">
        <v>537</v>
      </c>
      <c r="C96" t="s">
        <v>223</v>
      </c>
      <c r="D96" t="s">
        <v>224</v>
      </c>
      <c r="E96">
        <v>82</v>
      </c>
      <c r="F96">
        <v>6</v>
      </c>
      <c r="G96">
        <v>13.5</v>
      </c>
      <c r="H96">
        <v>62.5</v>
      </c>
    </row>
    <row r="97" spans="1:8" hidden="1" x14ac:dyDescent="0.3">
      <c r="A97" t="s">
        <v>366</v>
      </c>
      <c r="B97" t="s">
        <v>537</v>
      </c>
      <c r="C97" t="s">
        <v>246</v>
      </c>
      <c r="D97" t="s">
        <v>247</v>
      </c>
      <c r="E97">
        <v>9.5</v>
      </c>
      <c r="F97">
        <v>0.75</v>
      </c>
      <c r="G97">
        <v>2.5</v>
      </c>
      <c r="H97">
        <v>6.25</v>
      </c>
    </row>
    <row r="98" spans="1:8" hidden="1" x14ac:dyDescent="0.3">
      <c r="A98" t="s">
        <v>366</v>
      </c>
      <c r="B98" t="s">
        <v>537</v>
      </c>
      <c r="C98" t="s">
        <v>288</v>
      </c>
      <c r="D98" t="s">
        <v>289</v>
      </c>
      <c r="E98">
        <v>27</v>
      </c>
      <c r="F98">
        <v>2.5</v>
      </c>
      <c r="G98">
        <v>2.5</v>
      </c>
      <c r="H98">
        <v>22</v>
      </c>
    </row>
    <row r="99" spans="1:8" hidden="1" x14ac:dyDescent="0.3">
      <c r="A99" t="s">
        <v>366</v>
      </c>
      <c r="B99" t="s">
        <v>537</v>
      </c>
      <c r="C99" t="s">
        <v>252</v>
      </c>
      <c r="D99" t="s">
        <v>253</v>
      </c>
      <c r="E99">
        <v>0</v>
      </c>
      <c r="F99">
        <v>0</v>
      </c>
      <c r="G99">
        <v>0</v>
      </c>
      <c r="H99">
        <v>0</v>
      </c>
    </row>
    <row r="100" spans="1:8" hidden="1" x14ac:dyDescent="0.3">
      <c r="A100" t="s">
        <v>366</v>
      </c>
      <c r="B100" t="s">
        <v>537</v>
      </c>
      <c r="C100" t="s">
        <v>269</v>
      </c>
      <c r="D100" t="s">
        <v>270</v>
      </c>
      <c r="E100">
        <v>3.25</v>
      </c>
      <c r="F100">
        <v>0</v>
      </c>
      <c r="G100">
        <v>0</v>
      </c>
      <c r="H100">
        <v>3.25</v>
      </c>
    </row>
    <row r="101" spans="1:8" hidden="1" x14ac:dyDescent="0.3">
      <c r="A101" t="s">
        <v>366</v>
      </c>
      <c r="B101" t="s">
        <v>537</v>
      </c>
      <c r="C101" t="s">
        <v>266</v>
      </c>
      <c r="D101" t="s">
        <v>267</v>
      </c>
      <c r="E101">
        <v>93.37</v>
      </c>
      <c r="F101">
        <v>9</v>
      </c>
      <c r="G101">
        <v>18.93</v>
      </c>
      <c r="H101">
        <v>65.44</v>
      </c>
    </row>
    <row r="102" spans="1:8" hidden="1" x14ac:dyDescent="0.3">
      <c r="A102" t="s">
        <v>341</v>
      </c>
      <c r="B102" t="s">
        <v>537</v>
      </c>
      <c r="C102" t="s">
        <v>411</v>
      </c>
      <c r="D102" t="s">
        <v>700</v>
      </c>
      <c r="E102">
        <v>2545</v>
      </c>
      <c r="F102">
        <v>246</v>
      </c>
      <c r="G102">
        <v>499</v>
      </c>
      <c r="H102">
        <v>1800</v>
      </c>
    </row>
    <row r="103" spans="1:8" hidden="1" x14ac:dyDescent="0.3">
      <c r="A103" t="s">
        <v>341</v>
      </c>
      <c r="B103" t="s">
        <v>537</v>
      </c>
      <c r="C103" t="s">
        <v>239</v>
      </c>
      <c r="D103" t="s">
        <v>240</v>
      </c>
      <c r="E103">
        <v>17</v>
      </c>
      <c r="F103">
        <v>2</v>
      </c>
      <c r="G103">
        <v>2</v>
      </c>
      <c r="H103">
        <v>13</v>
      </c>
    </row>
    <row r="104" spans="1:8" hidden="1" x14ac:dyDescent="0.3">
      <c r="A104" t="s">
        <v>341</v>
      </c>
      <c r="B104" t="s">
        <v>537</v>
      </c>
      <c r="C104" t="s">
        <v>243</v>
      </c>
      <c r="D104" t="s">
        <v>244</v>
      </c>
      <c r="E104">
        <v>177</v>
      </c>
      <c r="F104">
        <v>14</v>
      </c>
      <c r="G104">
        <v>34</v>
      </c>
      <c r="H104">
        <v>129</v>
      </c>
    </row>
    <row r="105" spans="1:8" hidden="1" x14ac:dyDescent="0.3">
      <c r="A105" t="s">
        <v>341</v>
      </c>
      <c r="B105" t="s">
        <v>537</v>
      </c>
      <c r="C105" t="s">
        <v>248</v>
      </c>
      <c r="D105" t="s">
        <v>249</v>
      </c>
      <c r="E105">
        <v>69</v>
      </c>
      <c r="F105">
        <v>6</v>
      </c>
      <c r="G105">
        <v>9</v>
      </c>
      <c r="H105">
        <v>54</v>
      </c>
    </row>
    <row r="106" spans="1:8" hidden="1" x14ac:dyDescent="0.3">
      <c r="A106" t="s">
        <v>341</v>
      </c>
      <c r="B106" t="s">
        <v>537</v>
      </c>
      <c r="C106" t="s">
        <v>254</v>
      </c>
      <c r="D106" t="s">
        <v>255</v>
      </c>
      <c r="E106">
        <v>45</v>
      </c>
      <c r="F106">
        <v>4</v>
      </c>
      <c r="G106">
        <v>11</v>
      </c>
      <c r="H106">
        <v>30</v>
      </c>
    </row>
    <row r="107" spans="1:8" hidden="1" x14ac:dyDescent="0.3">
      <c r="A107" t="s">
        <v>341</v>
      </c>
      <c r="B107" t="s">
        <v>537</v>
      </c>
      <c r="C107" t="s">
        <v>258</v>
      </c>
      <c r="D107" t="s">
        <v>259</v>
      </c>
      <c r="E107">
        <v>0</v>
      </c>
      <c r="F107">
        <v>0</v>
      </c>
      <c r="G107">
        <v>0</v>
      </c>
      <c r="H107">
        <v>0</v>
      </c>
    </row>
    <row r="108" spans="1:8" hidden="1" x14ac:dyDescent="0.3">
      <c r="A108" t="s">
        <v>341</v>
      </c>
      <c r="B108" t="s">
        <v>537</v>
      </c>
      <c r="C108" t="s">
        <v>282</v>
      </c>
      <c r="D108" t="s">
        <v>283</v>
      </c>
      <c r="E108">
        <v>130</v>
      </c>
      <c r="F108">
        <v>12</v>
      </c>
      <c r="G108">
        <v>32</v>
      </c>
      <c r="H108">
        <v>86</v>
      </c>
    </row>
    <row r="109" spans="1:8" hidden="1" x14ac:dyDescent="0.3">
      <c r="A109" t="s">
        <v>341</v>
      </c>
      <c r="B109" t="s">
        <v>537</v>
      </c>
      <c r="C109" t="s">
        <v>262</v>
      </c>
      <c r="D109" t="s">
        <v>263</v>
      </c>
      <c r="E109">
        <v>39</v>
      </c>
      <c r="F109">
        <v>3</v>
      </c>
      <c r="G109">
        <v>7</v>
      </c>
      <c r="H109">
        <v>29</v>
      </c>
    </row>
    <row r="110" spans="1:8" hidden="1" x14ac:dyDescent="0.3">
      <c r="A110" t="s">
        <v>341</v>
      </c>
      <c r="B110" t="s">
        <v>537</v>
      </c>
      <c r="C110" t="s">
        <v>272</v>
      </c>
      <c r="D110" t="s">
        <v>273</v>
      </c>
      <c r="E110">
        <v>485</v>
      </c>
      <c r="F110">
        <v>50</v>
      </c>
      <c r="G110">
        <v>97</v>
      </c>
      <c r="H110">
        <v>338</v>
      </c>
    </row>
    <row r="111" spans="1:8" hidden="1" x14ac:dyDescent="0.3">
      <c r="A111" t="s">
        <v>341</v>
      </c>
      <c r="B111" t="s">
        <v>537</v>
      </c>
      <c r="C111" t="s">
        <v>276</v>
      </c>
      <c r="D111" t="s">
        <v>277</v>
      </c>
      <c r="E111">
        <v>31</v>
      </c>
      <c r="F111">
        <v>2</v>
      </c>
      <c r="G111">
        <v>5</v>
      </c>
      <c r="H111">
        <v>24</v>
      </c>
    </row>
    <row r="112" spans="1:8" hidden="1" x14ac:dyDescent="0.3">
      <c r="A112" t="s">
        <v>341</v>
      </c>
      <c r="B112" t="s">
        <v>537</v>
      </c>
      <c r="C112" t="s">
        <v>278</v>
      </c>
      <c r="D112" t="s">
        <v>279</v>
      </c>
      <c r="E112">
        <v>8</v>
      </c>
      <c r="F112">
        <v>1</v>
      </c>
      <c r="G112">
        <v>1</v>
      </c>
      <c r="H112">
        <v>6</v>
      </c>
    </row>
    <row r="113" spans="1:8" hidden="1" x14ac:dyDescent="0.3">
      <c r="A113" t="s">
        <v>341</v>
      </c>
      <c r="B113" t="s">
        <v>537</v>
      </c>
      <c r="C113" t="s">
        <v>280</v>
      </c>
      <c r="D113" t="s">
        <v>281</v>
      </c>
      <c r="E113">
        <v>112</v>
      </c>
      <c r="F113">
        <v>11</v>
      </c>
      <c r="G113">
        <v>22</v>
      </c>
      <c r="H113">
        <v>79</v>
      </c>
    </row>
    <row r="114" spans="1:8" hidden="1" x14ac:dyDescent="0.3">
      <c r="A114" t="s">
        <v>341</v>
      </c>
      <c r="B114" t="s">
        <v>537</v>
      </c>
      <c r="C114" t="s">
        <v>286</v>
      </c>
      <c r="D114" t="s">
        <v>287</v>
      </c>
      <c r="E114">
        <v>89</v>
      </c>
      <c r="F114">
        <v>9</v>
      </c>
      <c r="G114">
        <v>10</v>
      </c>
      <c r="H114">
        <v>70</v>
      </c>
    </row>
    <row r="115" spans="1:8" hidden="1" x14ac:dyDescent="0.3">
      <c r="A115" t="s">
        <v>341</v>
      </c>
      <c r="B115" t="s">
        <v>537</v>
      </c>
      <c r="C115" t="s">
        <v>291</v>
      </c>
      <c r="D115" t="s">
        <v>292</v>
      </c>
      <c r="E115">
        <v>92</v>
      </c>
      <c r="F115">
        <v>11</v>
      </c>
      <c r="G115">
        <v>20</v>
      </c>
      <c r="H115">
        <v>61</v>
      </c>
    </row>
    <row r="116" spans="1:8" hidden="1" x14ac:dyDescent="0.3">
      <c r="A116" t="s">
        <v>341</v>
      </c>
      <c r="B116" t="s">
        <v>537</v>
      </c>
      <c r="C116" t="s">
        <v>293</v>
      </c>
      <c r="D116" t="s">
        <v>294</v>
      </c>
      <c r="E116">
        <v>107</v>
      </c>
      <c r="F116">
        <v>8</v>
      </c>
      <c r="G116">
        <v>21</v>
      </c>
      <c r="H116">
        <v>78</v>
      </c>
    </row>
    <row r="117" spans="1:8" hidden="1" x14ac:dyDescent="0.3">
      <c r="A117" t="s">
        <v>341</v>
      </c>
      <c r="B117" t="s">
        <v>537</v>
      </c>
      <c r="C117" t="s">
        <v>297</v>
      </c>
      <c r="D117" t="s">
        <v>298</v>
      </c>
      <c r="E117">
        <v>118</v>
      </c>
      <c r="F117">
        <v>12</v>
      </c>
      <c r="G117">
        <v>23</v>
      </c>
      <c r="H117">
        <v>83</v>
      </c>
    </row>
    <row r="118" spans="1:8" hidden="1" x14ac:dyDescent="0.3">
      <c r="A118" t="s">
        <v>341</v>
      </c>
      <c r="B118" t="s">
        <v>537</v>
      </c>
      <c r="C118" t="s">
        <v>299</v>
      </c>
      <c r="D118" t="s">
        <v>300</v>
      </c>
      <c r="E118">
        <v>112</v>
      </c>
      <c r="F118">
        <v>11</v>
      </c>
      <c r="G118">
        <v>25</v>
      </c>
      <c r="H118">
        <v>76</v>
      </c>
    </row>
    <row r="119" spans="1:8" hidden="1" x14ac:dyDescent="0.3">
      <c r="A119" t="s">
        <v>341</v>
      </c>
      <c r="B119" t="s">
        <v>537</v>
      </c>
      <c r="C119" t="s">
        <v>301</v>
      </c>
      <c r="D119" t="s">
        <v>302</v>
      </c>
      <c r="E119">
        <v>42</v>
      </c>
      <c r="F119">
        <v>5</v>
      </c>
      <c r="G119">
        <v>7</v>
      </c>
      <c r="H119">
        <v>30</v>
      </c>
    </row>
    <row r="120" spans="1:8" hidden="1" x14ac:dyDescent="0.3">
      <c r="A120" t="s">
        <v>341</v>
      </c>
      <c r="B120" t="s">
        <v>537</v>
      </c>
      <c r="C120" t="s">
        <v>303</v>
      </c>
      <c r="D120" t="s">
        <v>304</v>
      </c>
      <c r="E120">
        <v>64</v>
      </c>
      <c r="F120">
        <v>7</v>
      </c>
      <c r="G120">
        <v>8</v>
      </c>
      <c r="H120">
        <v>49</v>
      </c>
    </row>
    <row r="121" spans="1:8" hidden="1" x14ac:dyDescent="0.3">
      <c r="A121" t="s">
        <v>341</v>
      </c>
      <c r="B121" t="s">
        <v>537</v>
      </c>
      <c r="C121" t="s">
        <v>306</v>
      </c>
      <c r="D121" t="s">
        <v>307</v>
      </c>
      <c r="E121">
        <v>63</v>
      </c>
      <c r="F121">
        <v>7</v>
      </c>
      <c r="G121">
        <v>15</v>
      </c>
      <c r="H121">
        <v>41</v>
      </c>
    </row>
    <row r="122" spans="1:8" hidden="1" x14ac:dyDescent="0.3">
      <c r="A122" t="s">
        <v>341</v>
      </c>
      <c r="B122" t="s">
        <v>537</v>
      </c>
      <c r="C122" t="s">
        <v>214</v>
      </c>
      <c r="D122" t="s">
        <v>215</v>
      </c>
      <c r="E122">
        <v>5</v>
      </c>
      <c r="F122">
        <v>1</v>
      </c>
      <c r="G122">
        <v>1</v>
      </c>
      <c r="H122">
        <v>3</v>
      </c>
    </row>
    <row r="123" spans="1:8" hidden="1" x14ac:dyDescent="0.3">
      <c r="A123" t="s">
        <v>341</v>
      </c>
      <c r="B123" t="s">
        <v>537</v>
      </c>
      <c r="C123" t="s">
        <v>219</v>
      </c>
      <c r="D123" t="s">
        <v>220</v>
      </c>
      <c r="E123">
        <v>250</v>
      </c>
      <c r="F123">
        <v>24</v>
      </c>
      <c r="G123">
        <v>61</v>
      </c>
      <c r="H123">
        <v>165</v>
      </c>
    </row>
    <row r="124" spans="1:8" hidden="1" x14ac:dyDescent="0.3">
      <c r="A124" t="s">
        <v>341</v>
      </c>
      <c r="B124" t="s">
        <v>537</v>
      </c>
      <c r="C124" t="s">
        <v>227</v>
      </c>
      <c r="D124" t="s">
        <v>228</v>
      </c>
      <c r="E124">
        <v>171</v>
      </c>
      <c r="F124">
        <v>13</v>
      </c>
      <c r="G124">
        <v>25</v>
      </c>
      <c r="H124">
        <v>133</v>
      </c>
    </row>
    <row r="125" spans="1:8" hidden="1" x14ac:dyDescent="0.3">
      <c r="A125" t="s">
        <v>341</v>
      </c>
      <c r="B125" t="s">
        <v>537</v>
      </c>
      <c r="C125" t="s">
        <v>233</v>
      </c>
      <c r="D125" t="s">
        <v>234</v>
      </c>
      <c r="E125">
        <v>9</v>
      </c>
      <c r="F125">
        <v>1</v>
      </c>
      <c r="G125">
        <v>1</v>
      </c>
      <c r="H125">
        <v>7</v>
      </c>
    </row>
    <row r="126" spans="1:8" hidden="1" x14ac:dyDescent="0.3">
      <c r="A126" t="s">
        <v>341</v>
      </c>
      <c r="B126" t="s">
        <v>537</v>
      </c>
      <c r="C126" t="s">
        <v>295</v>
      </c>
      <c r="D126" t="s">
        <v>296</v>
      </c>
      <c r="E126">
        <v>10</v>
      </c>
      <c r="F126">
        <v>1</v>
      </c>
      <c r="G126">
        <v>1</v>
      </c>
      <c r="H126">
        <v>8</v>
      </c>
    </row>
    <row r="127" spans="1:8" hidden="1" x14ac:dyDescent="0.3">
      <c r="A127" t="s">
        <v>341</v>
      </c>
      <c r="B127" t="s">
        <v>537</v>
      </c>
      <c r="C127" t="s">
        <v>308</v>
      </c>
      <c r="D127" t="s">
        <v>309</v>
      </c>
      <c r="E127">
        <v>12</v>
      </c>
      <c r="F127">
        <v>0</v>
      </c>
      <c r="G127">
        <v>0</v>
      </c>
      <c r="H127">
        <v>12</v>
      </c>
    </row>
    <row r="128" spans="1:8" hidden="1" x14ac:dyDescent="0.3">
      <c r="A128" t="s">
        <v>341</v>
      </c>
      <c r="B128" t="s">
        <v>537</v>
      </c>
      <c r="C128" t="s">
        <v>310</v>
      </c>
      <c r="D128" t="s">
        <v>311</v>
      </c>
      <c r="E128">
        <v>48</v>
      </c>
      <c r="F128">
        <v>4</v>
      </c>
      <c r="G128">
        <v>9</v>
      </c>
      <c r="H128">
        <v>35</v>
      </c>
    </row>
    <row r="129" spans="1:8" hidden="1" x14ac:dyDescent="0.3">
      <c r="A129" t="s">
        <v>341</v>
      </c>
      <c r="B129" t="s">
        <v>537</v>
      </c>
      <c r="C129" t="s">
        <v>223</v>
      </c>
      <c r="D129" t="s">
        <v>224</v>
      </c>
      <c r="E129">
        <v>78</v>
      </c>
      <c r="F129">
        <v>6</v>
      </c>
      <c r="G129">
        <v>14</v>
      </c>
      <c r="H129">
        <v>58</v>
      </c>
    </row>
    <row r="130" spans="1:8" hidden="1" x14ac:dyDescent="0.3">
      <c r="A130" t="s">
        <v>341</v>
      </c>
      <c r="B130" t="s">
        <v>537</v>
      </c>
      <c r="C130" t="s">
        <v>246</v>
      </c>
      <c r="D130" t="s">
        <v>247</v>
      </c>
      <c r="E130">
        <v>11</v>
      </c>
      <c r="F130">
        <v>1</v>
      </c>
      <c r="G130">
        <v>2</v>
      </c>
      <c r="H130">
        <v>8</v>
      </c>
    </row>
    <row r="131" spans="1:8" hidden="1" x14ac:dyDescent="0.3">
      <c r="A131" t="s">
        <v>341</v>
      </c>
      <c r="B131" t="s">
        <v>537</v>
      </c>
      <c r="C131" t="s">
        <v>288</v>
      </c>
      <c r="D131" t="s">
        <v>289</v>
      </c>
      <c r="E131">
        <v>25</v>
      </c>
      <c r="F131">
        <v>3</v>
      </c>
      <c r="G131">
        <v>5</v>
      </c>
      <c r="H131">
        <v>17</v>
      </c>
    </row>
    <row r="132" spans="1:8" hidden="1" x14ac:dyDescent="0.3">
      <c r="A132" t="s">
        <v>341</v>
      </c>
      <c r="B132" t="s">
        <v>537</v>
      </c>
      <c r="C132" t="s">
        <v>252</v>
      </c>
      <c r="D132" t="s">
        <v>253</v>
      </c>
      <c r="E132">
        <v>0</v>
      </c>
      <c r="F132">
        <v>0</v>
      </c>
      <c r="G132">
        <v>0</v>
      </c>
      <c r="H132">
        <v>0</v>
      </c>
    </row>
    <row r="133" spans="1:8" hidden="1" x14ac:dyDescent="0.3">
      <c r="A133" t="s">
        <v>341</v>
      </c>
      <c r="B133" t="s">
        <v>537</v>
      </c>
      <c r="C133" t="s">
        <v>269</v>
      </c>
      <c r="D133" t="s">
        <v>270</v>
      </c>
      <c r="E133">
        <v>0</v>
      </c>
      <c r="F133">
        <v>0</v>
      </c>
      <c r="G133">
        <v>0</v>
      </c>
      <c r="H133">
        <v>0</v>
      </c>
    </row>
    <row r="134" spans="1:8" hidden="1" x14ac:dyDescent="0.3">
      <c r="A134" t="s">
        <v>341</v>
      </c>
      <c r="B134" t="s">
        <v>537</v>
      </c>
      <c r="C134" t="s">
        <v>266</v>
      </c>
      <c r="D134" t="s">
        <v>267</v>
      </c>
      <c r="E134">
        <v>93</v>
      </c>
      <c r="F134">
        <v>9</v>
      </c>
      <c r="G134">
        <v>18</v>
      </c>
      <c r="H134">
        <v>66</v>
      </c>
    </row>
    <row r="135" spans="1:8" hidden="1" x14ac:dyDescent="0.3">
      <c r="A135" t="s">
        <v>342</v>
      </c>
      <c r="B135" t="s">
        <v>537</v>
      </c>
      <c r="C135" t="s">
        <v>411</v>
      </c>
      <c r="D135" t="s">
        <v>700</v>
      </c>
      <c r="E135">
        <v>2545</v>
      </c>
      <c r="F135">
        <v>246</v>
      </c>
      <c r="G135">
        <v>477</v>
      </c>
      <c r="H135">
        <v>1822</v>
      </c>
    </row>
    <row r="136" spans="1:8" hidden="1" x14ac:dyDescent="0.3">
      <c r="A136" t="s">
        <v>342</v>
      </c>
      <c r="B136" t="s">
        <v>537</v>
      </c>
      <c r="C136" t="s">
        <v>239</v>
      </c>
      <c r="D136" t="s">
        <v>240</v>
      </c>
      <c r="E136">
        <v>17</v>
      </c>
      <c r="F136">
        <v>2</v>
      </c>
      <c r="G136">
        <v>2</v>
      </c>
      <c r="H136">
        <v>13</v>
      </c>
    </row>
    <row r="137" spans="1:8" hidden="1" x14ac:dyDescent="0.3">
      <c r="A137" t="s">
        <v>342</v>
      </c>
      <c r="B137" t="s">
        <v>537</v>
      </c>
      <c r="C137" t="s">
        <v>243</v>
      </c>
      <c r="D137" t="s">
        <v>244</v>
      </c>
      <c r="E137">
        <v>167</v>
      </c>
      <c r="F137">
        <v>14</v>
      </c>
      <c r="G137">
        <v>31</v>
      </c>
      <c r="H137">
        <v>122</v>
      </c>
    </row>
    <row r="138" spans="1:8" hidden="1" x14ac:dyDescent="0.3">
      <c r="A138" t="s">
        <v>342</v>
      </c>
      <c r="B138" t="s">
        <v>537</v>
      </c>
      <c r="C138" t="s">
        <v>248</v>
      </c>
      <c r="D138" t="s">
        <v>249</v>
      </c>
      <c r="E138">
        <v>69</v>
      </c>
      <c r="F138">
        <v>6</v>
      </c>
      <c r="G138">
        <v>7</v>
      </c>
      <c r="H138">
        <v>56</v>
      </c>
    </row>
    <row r="139" spans="1:8" hidden="1" x14ac:dyDescent="0.3">
      <c r="A139" t="s">
        <v>342</v>
      </c>
      <c r="B139" t="s">
        <v>537</v>
      </c>
      <c r="C139" t="s">
        <v>254</v>
      </c>
      <c r="D139" t="s">
        <v>255</v>
      </c>
      <c r="E139">
        <v>48</v>
      </c>
      <c r="F139">
        <v>5</v>
      </c>
      <c r="G139">
        <v>9</v>
      </c>
      <c r="H139">
        <v>34</v>
      </c>
    </row>
    <row r="140" spans="1:8" hidden="1" x14ac:dyDescent="0.3">
      <c r="A140" t="s">
        <v>342</v>
      </c>
      <c r="B140" t="s">
        <v>537</v>
      </c>
      <c r="C140" t="s">
        <v>282</v>
      </c>
      <c r="D140" t="s">
        <v>283</v>
      </c>
      <c r="E140">
        <v>125</v>
      </c>
      <c r="F140">
        <v>13</v>
      </c>
      <c r="G140">
        <v>24</v>
      </c>
      <c r="H140">
        <v>88</v>
      </c>
    </row>
    <row r="141" spans="1:8" hidden="1" x14ac:dyDescent="0.3">
      <c r="A141" t="s">
        <v>342</v>
      </c>
      <c r="B141" t="s">
        <v>537</v>
      </c>
      <c r="C141" t="s">
        <v>262</v>
      </c>
      <c r="D141" t="s">
        <v>263</v>
      </c>
      <c r="E141">
        <v>40</v>
      </c>
      <c r="F141">
        <v>4</v>
      </c>
      <c r="G141">
        <v>8</v>
      </c>
      <c r="H141">
        <v>28</v>
      </c>
    </row>
    <row r="142" spans="1:8" hidden="1" x14ac:dyDescent="0.3">
      <c r="A142" t="s">
        <v>342</v>
      </c>
      <c r="B142" t="s">
        <v>537</v>
      </c>
      <c r="C142" t="s">
        <v>272</v>
      </c>
      <c r="D142" t="s">
        <v>273</v>
      </c>
      <c r="E142">
        <v>494</v>
      </c>
      <c r="F142">
        <v>53</v>
      </c>
      <c r="G142">
        <v>101</v>
      </c>
      <c r="H142">
        <v>340</v>
      </c>
    </row>
    <row r="143" spans="1:8" hidden="1" x14ac:dyDescent="0.3">
      <c r="A143" t="s">
        <v>342</v>
      </c>
      <c r="B143" t="s">
        <v>537</v>
      </c>
      <c r="C143" t="s">
        <v>276</v>
      </c>
      <c r="D143" t="s">
        <v>277</v>
      </c>
      <c r="E143">
        <v>34</v>
      </c>
      <c r="F143">
        <v>3</v>
      </c>
      <c r="G143">
        <v>5</v>
      </c>
      <c r="H143">
        <v>26</v>
      </c>
    </row>
    <row r="144" spans="1:8" hidden="1" x14ac:dyDescent="0.3">
      <c r="A144" t="s">
        <v>342</v>
      </c>
      <c r="B144" t="s">
        <v>537</v>
      </c>
      <c r="C144" t="s">
        <v>278</v>
      </c>
      <c r="D144" t="s">
        <v>279</v>
      </c>
      <c r="E144">
        <v>10</v>
      </c>
      <c r="F144">
        <v>1</v>
      </c>
      <c r="G144">
        <v>2</v>
      </c>
      <c r="H144">
        <v>7</v>
      </c>
    </row>
    <row r="145" spans="1:8" hidden="1" x14ac:dyDescent="0.3">
      <c r="A145" t="s">
        <v>342</v>
      </c>
      <c r="B145" t="s">
        <v>537</v>
      </c>
      <c r="C145" t="s">
        <v>280</v>
      </c>
      <c r="D145" t="s">
        <v>281</v>
      </c>
      <c r="E145">
        <v>111</v>
      </c>
      <c r="F145">
        <v>11</v>
      </c>
      <c r="G145">
        <v>24</v>
      </c>
      <c r="H145">
        <v>76</v>
      </c>
    </row>
    <row r="146" spans="1:8" hidden="1" x14ac:dyDescent="0.3">
      <c r="A146" t="s">
        <v>342</v>
      </c>
      <c r="B146" t="s">
        <v>537</v>
      </c>
      <c r="C146" t="s">
        <v>286</v>
      </c>
      <c r="D146" t="s">
        <v>287</v>
      </c>
      <c r="E146">
        <v>92</v>
      </c>
      <c r="F146">
        <v>10</v>
      </c>
      <c r="G146">
        <v>9</v>
      </c>
      <c r="H146">
        <v>73</v>
      </c>
    </row>
    <row r="147" spans="1:8" hidden="1" x14ac:dyDescent="0.3">
      <c r="A147" t="s">
        <v>342</v>
      </c>
      <c r="B147" t="s">
        <v>537</v>
      </c>
      <c r="C147" t="s">
        <v>291</v>
      </c>
      <c r="D147" t="s">
        <v>292</v>
      </c>
      <c r="E147">
        <v>99</v>
      </c>
      <c r="F147">
        <v>9</v>
      </c>
      <c r="G147">
        <v>22</v>
      </c>
      <c r="H147">
        <v>68</v>
      </c>
    </row>
    <row r="148" spans="1:8" hidden="1" x14ac:dyDescent="0.3">
      <c r="A148" t="s">
        <v>342</v>
      </c>
      <c r="B148" t="s">
        <v>537</v>
      </c>
      <c r="C148" t="s">
        <v>293</v>
      </c>
      <c r="D148" t="s">
        <v>294</v>
      </c>
      <c r="E148">
        <v>110</v>
      </c>
      <c r="F148">
        <v>8</v>
      </c>
      <c r="G148">
        <v>22</v>
      </c>
      <c r="H148">
        <v>80</v>
      </c>
    </row>
    <row r="149" spans="1:8" hidden="1" x14ac:dyDescent="0.3">
      <c r="A149" t="s">
        <v>342</v>
      </c>
      <c r="B149" t="s">
        <v>537</v>
      </c>
      <c r="C149" t="s">
        <v>297</v>
      </c>
      <c r="D149" t="s">
        <v>298</v>
      </c>
      <c r="E149">
        <v>118</v>
      </c>
      <c r="F149">
        <v>12</v>
      </c>
      <c r="G149">
        <v>24</v>
      </c>
      <c r="H149">
        <v>82</v>
      </c>
    </row>
    <row r="150" spans="1:8" hidden="1" x14ac:dyDescent="0.3">
      <c r="A150" t="s">
        <v>342</v>
      </c>
      <c r="B150" t="s">
        <v>537</v>
      </c>
      <c r="C150" t="s">
        <v>299</v>
      </c>
      <c r="D150" t="s">
        <v>300</v>
      </c>
      <c r="E150">
        <v>110</v>
      </c>
      <c r="F150">
        <v>11</v>
      </c>
      <c r="G150">
        <v>23</v>
      </c>
      <c r="H150">
        <v>76</v>
      </c>
    </row>
    <row r="151" spans="1:8" hidden="1" x14ac:dyDescent="0.3">
      <c r="A151" t="s">
        <v>342</v>
      </c>
      <c r="B151" t="s">
        <v>537</v>
      </c>
      <c r="C151" t="s">
        <v>301</v>
      </c>
      <c r="D151" t="s">
        <v>302</v>
      </c>
      <c r="E151">
        <v>44</v>
      </c>
      <c r="F151">
        <v>5</v>
      </c>
      <c r="G151">
        <v>5</v>
      </c>
      <c r="H151">
        <v>34</v>
      </c>
    </row>
    <row r="152" spans="1:8" hidden="1" x14ac:dyDescent="0.3">
      <c r="A152" t="s">
        <v>342</v>
      </c>
      <c r="B152" t="s">
        <v>537</v>
      </c>
      <c r="C152" t="s">
        <v>303</v>
      </c>
      <c r="D152" t="s">
        <v>304</v>
      </c>
      <c r="E152">
        <v>66</v>
      </c>
      <c r="F152">
        <v>9</v>
      </c>
      <c r="G152">
        <v>7</v>
      </c>
      <c r="H152">
        <v>50</v>
      </c>
    </row>
    <row r="153" spans="1:8" hidden="1" x14ac:dyDescent="0.3">
      <c r="A153" t="s">
        <v>342</v>
      </c>
      <c r="B153" t="s">
        <v>537</v>
      </c>
      <c r="C153" t="s">
        <v>306</v>
      </c>
      <c r="D153" t="s">
        <v>307</v>
      </c>
      <c r="E153">
        <v>66</v>
      </c>
      <c r="F153">
        <v>8</v>
      </c>
      <c r="G153">
        <v>14</v>
      </c>
      <c r="H153">
        <v>44</v>
      </c>
    </row>
    <row r="154" spans="1:8" hidden="1" x14ac:dyDescent="0.3">
      <c r="A154" t="s">
        <v>342</v>
      </c>
      <c r="B154" t="s">
        <v>537</v>
      </c>
      <c r="C154" t="s">
        <v>214</v>
      </c>
      <c r="D154" t="s">
        <v>215</v>
      </c>
      <c r="E154">
        <v>6</v>
      </c>
      <c r="F154">
        <v>1</v>
      </c>
      <c r="G154">
        <v>1</v>
      </c>
      <c r="H154">
        <v>4</v>
      </c>
    </row>
    <row r="155" spans="1:8" hidden="1" x14ac:dyDescent="0.3">
      <c r="A155" t="s">
        <v>342</v>
      </c>
      <c r="B155" t="s">
        <v>537</v>
      </c>
      <c r="C155" t="s">
        <v>219</v>
      </c>
      <c r="D155" t="s">
        <v>220</v>
      </c>
      <c r="E155">
        <v>248</v>
      </c>
      <c r="F155">
        <v>23</v>
      </c>
      <c r="G155">
        <v>63</v>
      </c>
      <c r="H155">
        <v>162</v>
      </c>
    </row>
    <row r="156" spans="1:8" hidden="1" x14ac:dyDescent="0.3">
      <c r="A156" t="s">
        <v>342</v>
      </c>
      <c r="B156" t="s">
        <v>537</v>
      </c>
      <c r="C156" t="s">
        <v>227</v>
      </c>
      <c r="D156" t="s">
        <v>228</v>
      </c>
      <c r="E156">
        <v>166</v>
      </c>
      <c r="F156">
        <v>14</v>
      </c>
      <c r="G156">
        <v>24</v>
      </c>
      <c r="H156">
        <v>128</v>
      </c>
    </row>
    <row r="157" spans="1:8" hidden="1" x14ac:dyDescent="0.3">
      <c r="A157" t="s">
        <v>342</v>
      </c>
      <c r="B157" t="s">
        <v>537</v>
      </c>
      <c r="C157" t="s">
        <v>233</v>
      </c>
      <c r="D157" t="s">
        <v>234</v>
      </c>
      <c r="E157">
        <v>8</v>
      </c>
      <c r="F157">
        <v>1</v>
      </c>
      <c r="G157">
        <v>1</v>
      </c>
      <c r="H157">
        <v>6</v>
      </c>
    </row>
    <row r="158" spans="1:8" hidden="1" x14ac:dyDescent="0.3">
      <c r="A158" t="s">
        <v>342</v>
      </c>
      <c r="B158" t="s">
        <v>537</v>
      </c>
      <c r="C158" t="s">
        <v>295</v>
      </c>
      <c r="D158" t="s">
        <v>296</v>
      </c>
      <c r="E158">
        <v>13</v>
      </c>
      <c r="F158">
        <v>1</v>
      </c>
      <c r="G158">
        <v>2</v>
      </c>
      <c r="H158">
        <v>10</v>
      </c>
    </row>
    <row r="159" spans="1:8" hidden="1" x14ac:dyDescent="0.3">
      <c r="A159" t="s">
        <v>342</v>
      </c>
      <c r="B159" t="s">
        <v>537</v>
      </c>
      <c r="C159" t="s">
        <v>308</v>
      </c>
      <c r="D159" t="s">
        <v>309</v>
      </c>
      <c r="E159">
        <v>16</v>
      </c>
      <c r="F159">
        <v>2</v>
      </c>
      <c r="G159">
        <v>2</v>
      </c>
      <c r="H159">
        <v>12</v>
      </c>
    </row>
    <row r="160" spans="1:8" hidden="1" x14ac:dyDescent="0.3">
      <c r="A160" t="s">
        <v>342</v>
      </c>
      <c r="B160" t="s">
        <v>537</v>
      </c>
      <c r="C160" t="s">
        <v>310</v>
      </c>
      <c r="D160" t="s">
        <v>311</v>
      </c>
      <c r="E160">
        <v>49</v>
      </c>
      <c r="F160">
        <v>4</v>
      </c>
      <c r="G160">
        <v>9</v>
      </c>
      <c r="H160">
        <v>36</v>
      </c>
    </row>
    <row r="161" spans="1:8" hidden="1" x14ac:dyDescent="0.3">
      <c r="A161" t="s">
        <v>342</v>
      </c>
      <c r="B161" t="s">
        <v>537</v>
      </c>
      <c r="C161" t="s">
        <v>223</v>
      </c>
      <c r="D161" t="s">
        <v>224</v>
      </c>
      <c r="E161">
        <v>80</v>
      </c>
      <c r="F161">
        <v>6</v>
      </c>
      <c r="G161">
        <v>14</v>
      </c>
      <c r="H161">
        <v>60</v>
      </c>
    </row>
    <row r="162" spans="1:8" hidden="1" x14ac:dyDescent="0.3">
      <c r="A162" t="s">
        <v>342</v>
      </c>
      <c r="B162" t="s">
        <v>537</v>
      </c>
      <c r="C162" t="s">
        <v>246</v>
      </c>
      <c r="D162" t="s">
        <v>247</v>
      </c>
      <c r="E162">
        <v>12</v>
      </c>
      <c r="F162">
        <v>1</v>
      </c>
      <c r="G162">
        <v>2</v>
      </c>
      <c r="H162">
        <v>9</v>
      </c>
    </row>
    <row r="163" spans="1:8" hidden="1" x14ac:dyDescent="0.3">
      <c r="A163" t="s">
        <v>342</v>
      </c>
      <c r="B163" t="s">
        <v>537</v>
      </c>
      <c r="C163" t="s">
        <v>288</v>
      </c>
      <c r="D163" t="s">
        <v>289</v>
      </c>
      <c r="E163">
        <v>28</v>
      </c>
      <c r="F163">
        <v>2</v>
      </c>
      <c r="G163">
        <v>5</v>
      </c>
      <c r="H163">
        <v>21</v>
      </c>
    </row>
    <row r="164" spans="1:8" hidden="1" x14ac:dyDescent="0.3">
      <c r="A164" t="s">
        <v>342</v>
      </c>
      <c r="B164" t="s">
        <v>537</v>
      </c>
      <c r="C164" t="s">
        <v>266</v>
      </c>
      <c r="D164" t="s">
        <v>267</v>
      </c>
      <c r="E164">
        <v>102</v>
      </c>
      <c r="F164">
        <v>9</v>
      </c>
      <c r="G164">
        <v>18</v>
      </c>
      <c r="H164">
        <v>75</v>
      </c>
    </row>
    <row r="165" spans="1:8" hidden="1" x14ac:dyDescent="0.3">
      <c r="A165" t="s">
        <v>213</v>
      </c>
      <c r="B165" t="s">
        <v>537</v>
      </c>
      <c r="D165" t="s">
        <v>701</v>
      </c>
      <c r="E165">
        <v>2583.98</v>
      </c>
      <c r="F165">
        <v>241.25</v>
      </c>
      <c r="G165">
        <v>478.93</v>
      </c>
      <c r="H165">
        <v>1863.8</v>
      </c>
    </row>
    <row r="166" spans="1:8" hidden="1" x14ac:dyDescent="0.3">
      <c r="A166" t="s">
        <v>213</v>
      </c>
      <c r="B166" t="s">
        <v>537</v>
      </c>
      <c r="C166" t="s">
        <v>239</v>
      </c>
      <c r="D166" t="s">
        <v>240</v>
      </c>
      <c r="E166">
        <v>15</v>
      </c>
      <c r="F166">
        <v>1.25</v>
      </c>
      <c r="G166">
        <v>2.75</v>
      </c>
      <c r="H166">
        <v>11</v>
      </c>
    </row>
    <row r="167" spans="1:8" hidden="1" x14ac:dyDescent="0.3">
      <c r="A167" t="s">
        <v>213</v>
      </c>
      <c r="B167" t="s">
        <v>537</v>
      </c>
      <c r="C167" t="s">
        <v>243</v>
      </c>
      <c r="D167" t="s">
        <v>244</v>
      </c>
      <c r="E167">
        <v>173.25</v>
      </c>
      <c r="F167">
        <v>15.25</v>
      </c>
      <c r="G167">
        <v>31</v>
      </c>
      <c r="H167">
        <v>127</v>
      </c>
    </row>
    <row r="168" spans="1:8" hidden="1" x14ac:dyDescent="0.3">
      <c r="A168" t="s">
        <v>213</v>
      </c>
      <c r="B168" t="s">
        <v>537</v>
      </c>
      <c r="C168" t="s">
        <v>248</v>
      </c>
      <c r="D168" t="s">
        <v>249</v>
      </c>
      <c r="E168">
        <v>62</v>
      </c>
      <c r="F168">
        <v>4.5</v>
      </c>
      <c r="G168">
        <v>8.25</v>
      </c>
      <c r="H168">
        <v>49.25</v>
      </c>
    </row>
    <row r="169" spans="1:8" hidden="1" x14ac:dyDescent="0.3">
      <c r="A169" t="s">
        <v>213</v>
      </c>
      <c r="B169" t="s">
        <v>537</v>
      </c>
      <c r="C169" t="s">
        <v>254</v>
      </c>
      <c r="D169" t="s">
        <v>255</v>
      </c>
      <c r="E169">
        <v>51</v>
      </c>
      <c r="F169">
        <v>4</v>
      </c>
      <c r="G169">
        <v>10.5</v>
      </c>
      <c r="H169">
        <v>36.5</v>
      </c>
    </row>
    <row r="170" spans="1:8" hidden="1" x14ac:dyDescent="0.3">
      <c r="A170" t="s">
        <v>213</v>
      </c>
      <c r="B170" t="s">
        <v>537</v>
      </c>
      <c r="C170" t="s">
        <v>282</v>
      </c>
      <c r="D170" t="s">
        <v>283</v>
      </c>
      <c r="E170">
        <v>126.75</v>
      </c>
      <c r="F170">
        <v>12.5</v>
      </c>
      <c r="G170">
        <v>24.25</v>
      </c>
      <c r="H170">
        <v>90</v>
      </c>
    </row>
    <row r="171" spans="1:8" hidden="1" x14ac:dyDescent="0.3">
      <c r="A171" t="s">
        <v>213</v>
      </c>
      <c r="B171" t="s">
        <v>537</v>
      </c>
      <c r="C171" t="s">
        <v>262</v>
      </c>
      <c r="D171" t="s">
        <v>263</v>
      </c>
      <c r="E171">
        <v>41</v>
      </c>
      <c r="F171">
        <v>4</v>
      </c>
      <c r="G171">
        <v>7.75</v>
      </c>
      <c r="H171">
        <v>29.25</v>
      </c>
    </row>
    <row r="172" spans="1:8" hidden="1" x14ac:dyDescent="0.3">
      <c r="A172" t="s">
        <v>213</v>
      </c>
      <c r="B172" t="s">
        <v>537</v>
      </c>
      <c r="C172" t="s">
        <v>272</v>
      </c>
      <c r="D172" t="s">
        <v>273</v>
      </c>
      <c r="E172">
        <v>503</v>
      </c>
      <c r="F172">
        <v>53.5</v>
      </c>
      <c r="G172">
        <v>96.25</v>
      </c>
      <c r="H172">
        <v>353.25</v>
      </c>
    </row>
    <row r="173" spans="1:8" hidden="1" x14ac:dyDescent="0.3">
      <c r="A173" t="s">
        <v>213</v>
      </c>
      <c r="B173" t="s">
        <v>537</v>
      </c>
      <c r="C173" t="s">
        <v>276</v>
      </c>
      <c r="D173" t="s">
        <v>277</v>
      </c>
      <c r="E173">
        <v>36.5</v>
      </c>
      <c r="F173">
        <v>2.75</v>
      </c>
      <c r="G173">
        <v>4.75</v>
      </c>
      <c r="H173">
        <v>29</v>
      </c>
    </row>
    <row r="174" spans="1:8" hidden="1" x14ac:dyDescent="0.3">
      <c r="A174" t="s">
        <v>213</v>
      </c>
      <c r="B174" t="s">
        <v>537</v>
      </c>
      <c r="C174" t="s">
        <v>278</v>
      </c>
      <c r="D174" t="s">
        <v>279</v>
      </c>
      <c r="E174">
        <v>11</v>
      </c>
      <c r="F174">
        <v>1</v>
      </c>
      <c r="G174">
        <v>2.5</v>
      </c>
      <c r="H174">
        <v>7.5</v>
      </c>
    </row>
    <row r="175" spans="1:8" hidden="1" x14ac:dyDescent="0.3">
      <c r="A175" t="s">
        <v>213</v>
      </c>
      <c r="B175" t="s">
        <v>537</v>
      </c>
      <c r="C175" t="s">
        <v>280</v>
      </c>
      <c r="D175" t="s">
        <v>281</v>
      </c>
      <c r="E175">
        <v>109.25</v>
      </c>
      <c r="F175">
        <v>10.25</v>
      </c>
      <c r="G175">
        <v>24.25</v>
      </c>
      <c r="H175">
        <v>74.75</v>
      </c>
    </row>
    <row r="176" spans="1:8" hidden="1" x14ac:dyDescent="0.3">
      <c r="A176" t="s">
        <v>213</v>
      </c>
      <c r="B176" t="s">
        <v>537</v>
      </c>
      <c r="C176" t="s">
        <v>286</v>
      </c>
      <c r="D176" t="s">
        <v>287</v>
      </c>
      <c r="E176">
        <v>90.75</v>
      </c>
      <c r="F176">
        <v>10.75</v>
      </c>
      <c r="G176">
        <v>9.5</v>
      </c>
      <c r="H176">
        <v>70.5</v>
      </c>
    </row>
    <row r="177" spans="1:8" hidden="1" x14ac:dyDescent="0.3">
      <c r="A177" t="s">
        <v>213</v>
      </c>
      <c r="B177" t="s">
        <v>537</v>
      </c>
      <c r="C177" t="s">
        <v>291</v>
      </c>
      <c r="D177" t="s">
        <v>292</v>
      </c>
      <c r="E177">
        <v>106.5</v>
      </c>
      <c r="F177">
        <v>8.5</v>
      </c>
      <c r="G177">
        <v>23</v>
      </c>
      <c r="H177">
        <v>75</v>
      </c>
    </row>
    <row r="178" spans="1:8" hidden="1" x14ac:dyDescent="0.3">
      <c r="A178" t="s">
        <v>213</v>
      </c>
      <c r="B178" t="s">
        <v>537</v>
      </c>
      <c r="C178" t="s">
        <v>297</v>
      </c>
      <c r="D178" t="s">
        <v>298</v>
      </c>
      <c r="E178">
        <v>117.75</v>
      </c>
      <c r="F178">
        <v>11</v>
      </c>
      <c r="G178">
        <v>24.75</v>
      </c>
      <c r="H178">
        <v>82</v>
      </c>
    </row>
    <row r="179" spans="1:8" hidden="1" x14ac:dyDescent="0.3">
      <c r="A179" t="s">
        <v>213</v>
      </c>
      <c r="B179" t="s">
        <v>537</v>
      </c>
      <c r="C179" t="s">
        <v>299</v>
      </c>
      <c r="D179" t="s">
        <v>300</v>
      </c>
      <c r="E179">
        <v>118.25</v>
      </c>
      <c r="F179">
        <v>11.75</v>
      </c>
      <c r="G179">
        <v>23.75</v>
      </c>
      <c r="H179">
        <v>82.75</v>
      </c>
    </row>
    <row r="180" spans="1:8" hidden="1" x14ac:dyDescent="0.3">
      <c r="A180" t="s">
        <v>213</v>
      </c>
      <c r="B180" t="s">
        <v>537</v>
      </c>
      <c r="C180" t="s">
        <v>301</v>
      </c>
      <c r="D180" t="s">
        <v>302</v>
      </c>
      <c r="E180">
        <v>50.75</v>
      </c>
      <c r="F180">
        <v>5</v>
      </c>
      <c r="G180">
        <v>6.25</v>
      </c>
      <c r="H180">
        <v>39.5</v>
      </c>
    </row>
    <row r="181" spans="1:8" hidden="1" x14ac:dyDescent="0.3">
      <c r="A181" t="s">
        <v>213</v>
      </c>
      <c r="B181" t="s">
        <v>537</v>
      </c>
      <c r="C181" t="s">
        <v>303</v>
      </c>
      <c r="D181" t="s">
        <v>304</v>
      </c>
      <c r="E181">
        <v>65.25</v>
      </c>
      <c r="F181">
        <v>7.25</v>
      </c>
      <c r="G181">
        <v>7.25</v>
      </c>
      <c r="H181">
        <v>50.75</v>
      </c>
    </row>
    <row r="182" spans="1:8" hidden="1" x14ac:dyDescent="0.3">
      <c r="A182" t="s">
        <v>213</v>
      </c>
      <c r="B182" t="s">
        <v>537</v>
      </c>
      <c r="C182" t="s">
        <v>306</v>
      </c>
      <c r="D182" t="s">
        <v>307</v>
      </c>
      <c r="E182">
        <v>66.5</v>
      </c>
      <c r="F182">
        <v>7.5</v>
      </c>
      <c r="G182">
        <v>14.25</v>
      </c>
      <c r="H182">
        <v>44.75</v>
      </c>
    </row>
    <row r="183" spans="1:8" hidden="1" x14ac:dyDescent="0.3">
      <c r="A183" t="s">
        <v>213</v>
      </c>
      <c r="B183" t="s">
        <v>537</v>
      </c>
      <c r="C183" t="s">
        <v>214</v>
      </c>
      <c r="D183" t="s">
        <v>215</v>
      </c>
      <c r="E183">
        <v>6.75</v>
      </c>
      <c r="F183">
        <v>1</v>
      </c>
      <c r="G183">
        <v>2.5</v>
      </c>
      <c r="H183">
        <v>3.25</v>
      </c>
    </row>
    <row r="184" spans="1:8" hidden="1" x14ac:dyDescent="0.3">
      <c r="A184" t="s">
        <v>213</v>
      </c>
      <c r="B184" t="s">
        <v>537</v>
      </c>
      <c r="C184" t="s">
        <v>219</v>
      </c>
      <c r="D184" t="s">
        <v>220</v>
      </c>
      <c r="E184">
        <v>255.25</v>
      </c>
      <c r="F184">
        <v>22.5</v>
      </c>
      <c r="G184">
        <v>62.5</v>
      </c>
      <c r="H184">
        <v>170.25</v>
      </c>
    </row>
    <row r="185" spans="1:8" hidden="1" x14ac:dyDescent="0.3">
      <c r="A185" t="s">
        <v>213</v>
      </c>
      <c r="B185" t="s">
        <v>537</v>
      </c>
      <c r="C185" t="s">
        <v>227</v>
      </c>
      <c r="D185" t="s">
        <v>228</v>
      </c>
      <c r="E185">
        <v>163.75</v>
      </c>
      <c r="F185">
        <v>13.25</v>
      </c>
      <c r="G185">
        <v>23</v>
      </c>
      <c r="H185">
        <v>127.5</v>
      </c>
    </row>
    <row r="186" spans="1:8" hidden="1" x14ac:dyDescent="0.3">
      <c r="A186" t="s">
        <v>213</v>
      </c>
      <c r="B186" t="s">
        <v>537</v>
      </c>
      <c r="C186" t="s">
        <v>233</v>
      </c>
      <c r="D186" t="s">
        <v>234</v>
      </c>
      <c r="G186">
        <v>1.25</v>
      </c>
      <c r="H186">
        <v>4.25</v>
      </c>
    </row>
    <row r="187" spans="1:8" hidden="1" x14ac:dyDescent="0.3">
      <c r="A187" t="s">
        <v>213</v>
      </c>
      <c r="B187" t="s">
        <v>537</v>
      </c>
      <c r="C187" t="s">
        <v>295</v>
      </c>
      <c r="D187" t="s">
        <v>296</v>
      </c>
      <c r="E187">
        <v>12.25</v>
      </c>
      <c r="F187">
        <v>0.75</v>
      </c>
      <c r="G187">
        <v>1.5</v>
      </c>
      <c r="H187">
        <v>10</v>
      </c>
    </row>
    <row r="188" spans="1:8" hidden="1" x14ac:dyDescent="0.3">
      <c r="A188" t="s">
        <v>213</v>
      </c>
      <c r="B188" t="s">
        <v>537</v>
      </c>
      <c r="C188" t="s">
        <v>308</v>
      </c>
      <c r="D188" t="s">
        <v>309</v>
      </c>
      <c r="E188">
        <v>17.5</v>
      </c>
      <c r="F188">
        <v>1.75</v>
      </c>
      <c r="G188">
        <v>1.5</v>
      </c>
      <c r="H188">
        <v>14.25</v>
      </c>
    </row>
    <row r="189" spans="1:8" hidden="1" x14ac:dyDescent="0.3">
      <c r="A189" t="s">
        <v>213</v>
      </c>
      <c r="B189" t="s">
        <v>537</v>
      </c>
      <c r="C189" t="s">
        <v>310</v>
      </c>
      <c r="D189" t="s">
        <v>311</v>
      </c>
      <c r="E189">
        <v>45.25</v>
      </c>
      <c r="F189">
        <v>3.75</v>
      </c>
      <c r="G189">
        <v>8.75</v>
      </c>
      <c r="H189">
        <v>32.75</v>
      </c>
    </row>
    <row r="190" spans="1:8" hidden="1" x14ac:dyDescent="0.3">
      <c r="A190" t="s">
        <v>213</v>
      </c>
      <c r="B190" t="s">
        <v>537</v>
      </c>
      <c r="C190" t="s">
        <v>223</v>
      </c>
      <c r="D190" t="s">
        <v>224</v>
      </c>
      <c r="E190">
        <v>84</v>
      </c>
      <c r="F190">
        <v>6</v>
      </c>
      <c r="G190">
        <v>12.5</v>
      </c>
      <c r="H190">
        <v>65.5</v>
      </c>
    </row>
    <row r="191" spans="1:8" hidden="1" x14ac:dyDescent="0.3">
      <c r="A191" t="s">
        <v>213</v>
      </c>
      <c r="B191" t="s">
        <v>537</v>
      </c>
      <c r="C191" t="s">
        <v>246</v>
      </c>
      <c r="D191" t="s">
        <v>247</v>
      </c>
      <c r="E191">
        <v>10.25</v>
      </c>
      <c r="F191">
        <v>1</v>
      </c>
      <c r="G191">
        <v>1.5</v>
      </c>
      <c r="H191">
        <v>7.75</v>
      </c>
    </row>
    <row r="192" spans="1:8" hidden="1" x14ac:dyDescent="0.3">
      <c r="A192" t="s">
        <v>213</v>
      </c>
      <c r="B192" t="s">
        <v>537</v>
      </c>
      <c r="C192" t="s">
        <v>288</v>
      </c>
      <c r="D192" t="s">
        <v>289</v>
      </c>
      <c r="E192">
        <v>25.5</v>
      </c>
      <c r="F192">
        <v>2.5</v>
      </c>
      <c r="G192">
        <v>4.75</v>
      </c>
      <c r="H192">
        <v>18.25</v>
      </c>
    </row>
    <row r="193" spans="1:8" hidden="1" x14ac:dyDescent="0.3">
      <c r="A193" t="s">
        <v>213</v>
      </c>
      <c r="B193" t="s">
        <v>537</v>
      </c>
      <c r="C193" t="s">
        <v>266</v>
      </c>
      <c r="D193" t="s">
        <v>267</v>
      </c>
      <c r="E193">
        <v>101.48</v>
      </c>
      <c r="F193">
        <v>8.75</v>
      </c>
      <c r="G193">
        <v>17.929999999999996</v>
      </c>
      <c r="H193">
        <v>74.800000000000011</v>
      </c>
    </row>
    <row r="194" spans="1:8" hidden="1" x14ac:dyDescent="0.3">
      <c r="A194" t="s">
        <v>213</v>
      </c>
      <c r="B194" t="s">
        <v>537</v>
      </c>
      <c r="C194" t="s">
        <v>496</v>
      </c>
      <c r="D194" t="s">
        <v>294</v>
      </c>
      <c r="E194">
        <v>112</v>
      </c>
      <c r="F194">
        <v>9.25</v>
      </c>
      <c r="G194">
        <v>20.25</v>
      </c>
      <c r="H194">
        <v>82.5</v>
      </c>
    </row>
    <row r="195" spans="1:8" hidden="1" x14ac:dyDescent="0.3">
      <c r="A195" t="s">
        <v>312</v>
      </c>
      <c r="B195" t="s">
        <v>537</v>
      </c>
      <c r="D195" t="s">
        <v>701</v>
      </c>
      <c r="E195">
        <v>2551.73</v>
      </c>
      <c r="F195">
        <v>236.5</v>
      </c>
      <c r="G195">
        <v>459.93</v>
      </c>
      <c r="H195">
        <v>1855.3</v>
      </c>
    </row>
    <row r="196" spans="1:8" hidden="1" x14ac:dyDescent="0.3">
      <c r="A196" t="s">
        <v>312</v>
      </c>
      <c r="B196" t="s">
        <v>537</v>
      </c>
      <c r="C196" t="s">
        <v>231</v>
      </c>
      <c r="D196" t="s">
        <v>228</v>
      </c>
      <c r="E196">
        <v>160.5</v>
      </c>
      <c r="F196">
        <v>11.75</v>
      </c>
      <c r="G196">
        <v>22.25</v>
      </c>
      <c r="H196">
        <v>126.5</v>
      </c>
    </row>
    <row r="197" spans="1:8" hidden="1" x14ac:dyDescent="0.3">
      <c r="A197" t="s">
        <v>312</v>
      </c>
      <c r="B197" t="s">
        <v>537</v>
      </c>
      <c r="C197" t="s">
        <v>231</v>
      </c>
      <c r="D197" t="s">
        <v>244</v>
      </c>
      <c r="E197">
        <v>163</v>
      </c>
      <c r="F197">
        <v>14.25</v>
      </c>
      <c r="G197">
        <v>29.75</v>
      </c>
      <c r="H197">
        <v>119</v>
      </c>
    </row>
    <row r="198" spans="1:8" hidden="1" x14ac:dyDescent="0.3">
      <c r="A198" t="s">
        <v>312</v>
      </c>
      <c r="B198" t="s">
        <v>537</v>
      </c>
      <c r="C198" t="s">
        <v>231</v>
      </c>
      <c r="D198" t="s">
        <v>249</v>
      </c>
      <c r="E198">
        <v>64</v>
      </c>
      <c r="F198">
        <v>6</v>
      </c>
      <c r="G198">
        <v>6.75</v>
      </c>
      <c r="H198">
        <v>51.25</v>
      </c>
    </row>
    <row r="199" spans="1:8" hidden="1" x14ac:dyDescent="0.3">
      <c r="A199" t="s">
        <v>312</v>
      </c>
      <c r="B199" t="s">
        <v>537</v>
      </c>
      <c r="C199" t="s">
        <v>231</v>
      </c>
      <c r="D199" t="s">
        <v>277</v>
      </c>
      <c r="E199">
        <v>34.5</v>
      </c>
      <c r="F199">
        <v>2.75</v>
      </c>
      <c r="G199">
        <v>4.75</v>
      </c>
      <c r="H199">
        <v>27</v>
      </c>
    </row>
    <row r="200" spans="1:8" hidden="1" x14ac:dyDescent="0.3">
      <c r="A200" t="s">
        <v>312</v>
      </c>
      <c r="B200" t="s">
        <v>537</v>
      </c>
      <c r="C200" t="s">
        <v>231</v>
      </c>
      <c r="D200" t="s">
        <v>287</v>
      </c>
      <c r="E200">
        <v>88.25</v>
      </c>
      <c r="F200">
        <v>10.5</v>
      </c>
      <c r="G200">
        <v>9.5</v>
      </c>
      <c r="H200">
        <v>68.25</v>
      </c>
    </row>
    <row r="201" spans="1:8" hidden="1" x14ac:dyDescent="0.3">
      <c r="A201" t="s">
        <v>312</v>
      </c>
      <c r="B201" t="s">
        <v>537</v>
      </c>
      <c r="C201" t="s">
        <v>231</v>
      </c>
      <c r="D201" t="s">
        <v>289</v>
      </c>
      <c r="E201">
        <v>27</v>
      </c>
      <c r="F201">
        <v>2.5</v>
      </c>
      <c r="G201">
        <v>3.75</v>
      </c>
      <c r="H201">
        <v>20.75</v>
      </c>
    </row>
    <row r="202" spans="1:8" hidden="1" x14ac:dyDescent="0.3">
      <c r="A202" t="s">
        <v>312</v>
      </c>
      <c r="B202" t="s">
        <v>537</v>
      </c>
      <c r="C202" t="s">
        <v>231</v>
      </c>
      <c r="D202" t="s">
        <v>296</v>
      </c>
      <c r="E202">
        <v>11</v>
      </c>
      <c r="F202">
        <v>0.75</v>
      </c>
      <c r="G202">
        <v>1.5</v>
      </c>
      <c r="H202">
        <v>8.75</v>
      </c>
    </row>
    <row r="203" spans="1:8" hidden="1" x14ac:dyDescent="0.3">
      <c r="A203" t="s">
        <v>312</v>
      </c>
      <c r="B203" t="s">
        <v>537</v>
      </c>
      <c r="C203" t="s">
        <v>231</v>
      </c>
      <c r="D203" t="s">
        <v>302</v>
      </c>
      <c r="E203">
        <v>46.5</v>
      </c>
      <c r="F203">
        <v>4.5</v>
      </c>
      <c r="G203">
        <v>6.5</v>
      </c>
      <c r="H203">
        <v>35.5</v>
      </c>
    </row>
    <row r="204" spans="1:8" hidden="1" x14ac:dyDescent="0.3">
      <c r="A204" t="s">
        <v>312</v>
      </c>
      <c r="B204" t="s">
        <v>537</v>
      </c>
      <c r="C204" t="s">
        <v>231</v>
      </c>
      <c r="D204" t="s">
        <v>304</v>
      </c>
      <c r="E204">
        <v>70.25</v>
      </c>
      <c r="F204">
        <v>6.5</v>
      </c>
      <c r="G204">
        <v>7.25</v>
      </c>
      <c r="H204">
        <v>56.5</v>
      </c>
    </row>
    <row r="205" spans="1:8" hidden="1" x14ac:dyDescent="0.3">
      <c r="A205" t="s">
        <v>312</v>
      </c>
      <c r="B205" t="s">
        <v>537</v>
      </c>
      <c r="C205" t="s">
        <v>231</v>
      </c>
      <c r="D205" t="s">
        <v>309</v>
      </c>
      <c r="E205">
        <v>16.25</v>
      </c>
      <c r="F205">
        <v>1.5</v>
      </c>
      <c r="G205">
        <v>1.5</v>
      </c>
      <c r="H205">
        <v>13.25</v>
      </c>
    </row>
    <row r="206" spans="1:8" hidden="1" x14ac:dyDescent="0.3">
      <c r="A206" t="s">
        <v>312</v>
      </c>
      <c r="B206" t="s">
        <v>537</v>
      </c>
      <c r="C206" t="s">
        <v>237</v>
      </c>
      <c r="D206" t="s">
        <v>234</v>
      </c>
      <c r="E206">
        <v>4.75</v>
      </c>
      <c r="F206">
        <v>0.75</v>
      </c>
      <c r="G206">
        <v>1</v>
      </c>
      <c r="H206">
        <v>3</v>
      </c>
    </row>
    <row r="207" spans="1:8" hidden="1" x14ac:dyDescent="0.3">
      <c r="A207" t="s">
        <v>312</v>
      </c>
      <c r="B207" t="s">
        <v>537</v>
      </c>
      <c r="C207" t="s">
        <v>237</v>
      </c>
      <c r="D207" t="s">
        <v>240</v>
      </c>
      <c r="E207">
        <v>19</v>
      </c>
      <c r="F207">
        <v>2.25</v>
      </c>
      <c r="G207">
        <v>3.5</v>
      </c>
      <c r="H207">
        <v>13.25</v>
      </c>
    </row>
    <row r="208" spans="1:8" hidden="1" x14ac:dyDescent="0.3">
      <c r="A208" t="s">
        <v>312</v>
      </c>
      <c r="B208" t="s">
        <v>537</v>
      </c>
      <c r="C208" t="s">
        <v>237</v>
      </c>
      <c r="D208" t="s">
        <v>255</v>
      </c>
      <c r="E208">
        <v>52.25</v>
      </c>
      <c r="F208">
        <v>4</v>
      </c>
      <c r="G208">
        <v>10.25</v>
      </c>
      <c r="H208">
        <v>38</v>
      </c>
    </row>
    <row r="209" spans="1:8" hidden="1" x14ac:dyDescent="0.3">
      <c r="A209" t="s">
        <v>312</v>
      </c>
      <c r="B209" t="s">
        <v>537</v>
      </c>
      <c r="C209" t="s">
        <v>237</v>
      </c>
      <c r="D209" t="s">
        <v>263</v>
      </c>
      <c r="E209">
        <v>42.5</v>
      </c>
      <c r="F209">
        <v>3</v>
      </c>
      <c r="G209">
        <v>7.5</v>
      </c>
      <c r="H209">
        <v>32</v>
      </c>
    </row>
    <row r="210" spans="1:8" hidden="1" x14ac:dyDescent="0.3">
      <c r="A210" t="s">
        <v>312</v>
      </c>
      <c r="B210" t="s">
        <v>537</v>
      </c>
      <c r="C210" t="s">
        <v>237</v>
      </c>
      <c r="D210" t="s">
        <v>267</v>
      </c>
      <c r="E210">
        <v>97.23</v>
      </c>
      <c r="F210">
        <v>8.75</v>
      </c>
      <c r="G210">
        <v>17.179999999999996</v>
      </c>
      <c r="H210">
        <v>71.300000000000011</v>
      </c>
    </row>
    <row r="211" spans="1:8" hidden="1" x14ac:dyDescent="0.3">
      <c r="A211" t="s">
        <v>312</v>
      </c>
      <c r="B211" t="s">
        <v>537</v>
      </c>
      <c r="C211" t="s">
        <v>237</v>
      </c>
      <c r="D211" t="s">
        <v>279</v>
      </c>
      <c r="E211">
        <v>10.5</v>
      </c>
      <c r="F211">
        <v>1</v>
      </c>
      <c r="G211">
        <v>1.5</v>
      </c>
      <c r="H211">
        <v>8</v>
      </c>
    </row>
    <row r="212" spans="1:8" hidden="1" x14ac:dyDescent="0.3">
      <c r="A212" t="s">
        <v>312</v>
      </c>
      <c r="B212" t="s">
        <v>537</v>
      </c>
      <c r="C212" t="s">
        <v>237</v>
      </c>
      <c r="D212" t="s">
        <v>298</v>
      </c>
      <c r="E212">
        <v>120.75</v>
      </c>
      <c r="F212">
        <v>10.75</v>
      </c>
      <c r="G212">
        <v>24.75</v>
      </c>
      <c r="H212">
        <v>85.25</v>
      </c>
    </row>
    <row r="213" spans="1:8" hidden="1" x14ac:dyDescent="0.3">
      <c r="A213" t="s">
        <v>312</v>
      </c>
      <c r="B213" t="s">
        <v>537</v>
      </c>
      <c r="C213" t="s">
        <v>237</v>
      </c>
      <c r="D213" t="s">
        <v>307</v>
      </c>
      <c r="E213">
        <v>65</v>
      </c>
      <c r="F213">
        <v>8.25</v>
      </c>
      <c r="G213">
        <v>12.75</v>
      </c>
      <c r="H213">
        <v>44</v>
      </c>
    </row>
    <row r="214" spans="1:8" hidden="1" x14ac:dyDescent="0.3">
      <c r="A214" t="s">
        <v>312</v>
      </c>
      <c r="B214" t="s">
        <v>537</v>
      </c>
      <c r="C214" t="s">
        <v>237</v>
      </c>
      <c r="D214" t="s">
        <v>311</v>
      </c>
      <c r="E214">
        <v>49.75</v>
      </c>
      <c r="F214">
        <v>4.75</v>
      </c>
      <c r="G214">
        <v>8.25</v>
      </c>
      <c r="H214">
        <v>36.75</v>
      </c>
    </row>
    <row r="215" spans="1:8" hidden="1" x14ac:dyDescent="0.3">
      <c r="A215" t="s">
        <v>312</v>
      </c>
      <c r="B215" t="s">
        <v>537</v>
      </c>
      <c r="C215" t="s">
        <v>217</v>
      </c>
      <c r="D215" t="s">
        <v>215</v>
      </c>
      <c r="E215">
        <v>6.5</v>
      </c>
      <c r="F215">
        <v>1</v>
      </c>
      <c r="G215">
        <v>2.5</v>
      </c>
      <c r="H215">
        <v>3</v>
      </c>
    </row>
    <row r="216" spans="1:8" hidden="1" x14ac:dyDescent="0.3">
      <c r="A216" t="s">
        <v>312</v>
      </c>
      <c r="B216" t="s">
        <v>537</v>
      </c>
      <c r="C216" t="s">
        <v>217</v>
      </c>
      <c r="D216" t="s">
        <v>220</v>
      </c>
      <c r="E216">
        <v>252.5</v>
      </c>
      <c r="F216">
        <v>22.5</v>
      </c>
      <c r="G216">
        <v>58</v>
      </c>
      <c r="H216">
        <v>172</v>
      </c>
    </row>
    <row r="217" spans="1:8" hidden="1" x14ac:dyDescent="0.3">
      <c r="A217" t="s">
        <v>312</v>
      </c>
      <c r="B217" t="s">
        <v>537</v>
      </c>
      <c r="C217" t="s">
        <v>217</v>
      </c>
      <c r="D217" t="s">
        <v>224</v>
      </c>
      <c r="E217">
        <v>86.5</v>
      </c>
      <c r="F217">
        <v>6</v>
      </c>
      <c r="G217">
        <v>13.75</v>
      </c>
      <c r="H217">
        <v>66.75</v>
      </c>
    </row>
    <row r="218" spans="1:8" hidden="1" x14ac:dyDescent="0.3">
      <c r="A218" t="s">
        <v>312</v>
      </c>
      <c r="B218" t="s">
        <v>537</v>
      </c>
      <c r="C218" t="s">
        <v>217</v>
      </c>
      <c r="D218" t="s">
        <v>247</v>
      </c>
      <c r="E218">
        <v>10.25</v>
      </c>
      <c r="F218">
        <v>1</v>
      </c>
      <c r="G218">
        <v>1.5</v>
      </c>
      <c r="H218">
        <v>7.75</v>
      </c>
    </row>
    <row r="219" spans="1:8" hidden="1" x14ac:dyDescent="0.3">
      <c r="A219" t="s">
        <v>312</v>
      </c>
      <c r="B219" t="s">
        <v>537</v>
      </c>
      <c r="C219" t="s">
        <v>217</v>
      </c>
      <c r="D219" t="s">
        <v>273</v>
      </c>
      <c r="E219">
        <v>476.75</v>
      </c>
      <c r="F219">
        <v>49.5</v>
      </c>
      <c r="G219">
        <v>87</v>
      </c>
      <c r="H219">
        <v>340.25</v>
      </c>
    </row>
    <row r="220" spans="1:8" hidden="1" x14ac:dyDescent="0.3">
      <c r="A220" t="s">
        <v>312</v>
      </c>
      <c r="B220" t="s">
        <v>537</v>
      </c>
      <c r="C220" t="s">
        <v>217</v>
      </c>
      <c r="D220" t="s">
        <v>281</v>
      </c>
      <c r="E220">
        <v>109</v>
      </c>
      <c r="F220">
        <v>9.75</v>
      </c>
      <c r="G220">
        <v>23.75</v>
      </c>
      <c r="H220">
        <v>75.5</v>
      </c>
    </row>
    <row r="221" spans="1:8" hidden="1" x14ac:dyDescent="0.3">
      <c r="A221" t="s">
        <v>312</v>
      </c>
      <c r="B221" t="s">
        <v>537</v>
      </c>
      <c r="C221" t="s">
        <v>217</v>
      </c>
      <c r="D221" t="s">
        <v>283</v>
      </c>
      <c r="E221">
        <v>127.75</v>
      </c>
      <c r="F221">
        <v>13.5</v>
      </c>
      <c r="G221">
        <v>28.75</v>
      </c>
      <c r="H221">
        <v>85.5</v>
      </c>
    </row>
    <row r="222" spans="1:8" hidden="1" x14ac:dyDescent="0.3">
      <c r="A222" t="s">
        <v>312</v>
      </c>
      <c r="B222" t="s">
        <v>537</v>
      </c>
      <c r="C222" t="s">
        <v>217</v>
      </c>
      <c r="D222" t="s">
        <v>292</v>
      </c>
      <c r="E222">
        <v>106.25</v>
      </c>
      <c r="F222">
        <v>8.75</v>
      </c>
      <c r="G222">
        <v>22</v>
      </c>
      <c r="H222">
        <v>75.5</v>
      </c>
    </row>
    <row r="223" spans="1:8" hidden="1" x14ac:dyDescent="0.3">
      <c r="A223" t="s">
        <v>312</v>
      </c>
      <c r="B223" t="s">
        <v>537</v>
      </c>
      <c r="C223" t="s">
        <v>217</v>
      </c>
      <c r="D223" t="s">
        <v>294</v>
      </c>
      <c r="E223">
        <v>112.25</v>
      </c>
      <c r="F223">
        <v>9.25</v>
      </c>
      <c r="G223">
        <v>19.75</v>
      </c>
      <c r="H223">
        <v>83.25</v>
      </c>
    </row>
    <row r="224" spans="1:8" hidden="1" x14ac:dyDescent="0.3">
      <c r="A224" t="s">
        <v>312</v>
      </c>
      <c r="B224" t="s">
        <v>537</v>
      </c>
      <c r="C224" t="s">
        <v>217</v>
      </c>
      <c r="D224" t="s">
        <v>300</v>
      </c>
      <c r="E224">
        <v>121</v>
      </c>
      <c r="F224">
        <v>10.75</v>
      </c>
      <c r="G224">
        <v>22.75</v>
      </c>
      <c r="H224">
        <v>87.5</v>
      </c>
    </row>
    <row r="225" spans="1:8" hidden="1" x14ac:dyDescent="0.3">
      <c r="A225" t="s">
        <v>318</v>
      </c>
      <c r="B225" t="s">
        <v>537</v>
      </c>
      <c r="D225" t="s">
        <v>701</v>
      </c>
      <c r="E225">
        <v>2482.48</v>
      </c>
      <c r="F225">
        <v>236</v>
      </c>
      <c r="G225">
        <v>461.93</v>
      </c>
      <c r="H225">
        <v>1784.55</v>
      </c>
    </row>
    <row r="226" spans="1:8" hidden="1" x14ac:dyDescent="0.3">
      <c r="A226" t="s">
        <v>318</v>
      </c>
      <c r="B226" t="s">
        <v>537</v>
      </c>
      <c r="C226" t="s">
        <v>617</v>
      </c>
      <c r="D226" t="s">
        <v>240</v>
      </c>
      <c r="E226">
        <v>20.25</v>
      </c>
      <c r="F226">
        <v>1.5</v>
      </c>
      <c r="G226">
        <v>2.75</v>
      </c>
      <c r="H226">
        <v>16</v>
      </c>
    </row>
    <row r="227" spans="1:8" hidden="1" x14ac:dyDescent="0.3">
      <c r="A227" t="s">
        <v>318</v>
      </c>
      <c r="B227" t="s">
        <v>537</v>
      </c>
      <c r="C227" t="s">
        <v>617</v>
      </c>
      <c r="D227" t="s">
        <v>267</v>
      </c>
      <c r="E227">
        <v>92.22999999999999</v>
      </c>
      <c r="F227">
        <v>7.75</v>
      </c>
      <c r="G227">
        <v>18.429999999999996</v>
      </c>
      <c r="H227">
        <v>66.05</v>
      </c>
    </row>
    <row r="228" spans="1:8" hidden="1" x14ac:dyDescent="0.3">
      <c r="A228" t="s">
        <v>318</v>
      </c>
      <c r="B228" t="s">
        <v>537</v>
      </c>
      <c r="C228" t="s">
        <v>617</v>
      </c>
      <c r="D228" t="s">
        <v>307</v>
      </c>
      <c r="E228">
        <v>64</v>
      </c>
      <c r="F228">
        <v>7.75</v>
      </c>
      <c r="G228">
        <v>13</v>
      </c>
      <c r="H228">
        <v>43.25</v>
      </c>
    </row>
    <row r="229" spans="1:8" hidden="1" x14ac:dyDescent="0.3">
      <c r="A229" t="s">
        <v>318</v>
      </c>
      <c r="B229" t="s">
        <v>537</v>
      </c>
      <c r="C229" t="s">
        <v>231</v>
      </c>
      <c r="D229" t="s">
        <v>228</v>
      </c>
      <c r="E229">
        <v>156</v>
      </c>
      <c r="F229">
        <v>13</v>
      </c>
      <c r="G229">
        <v>23.25</v>
      </c>
      <c r="H229">
        <v>119.75</v>
      </c>
    </row>
    <row r="230" spans="1:8" hidden="1" x14ac:dyDescent="0.3">
      <c r="A230" t="s">
        <v>318</v>
      </c>
      <c r="B230" t="s">
        <v>537</v>
      </c>
      <c r="C230" t="s">
        <v>231</v>
      </c>
      <c r="D230" t="s">
        <v>244</v>
      </c>
      <c r="E230">
        <v>159</v>
      </c>
      <c r="F230">
        <v>14.25</v>
      </c>
      <c r="G230">
        <v>31</v>
      </c>
      <c r="H230">
        <v>113.75</v>
      </c>
    </row>
    <row r="231" spans="1:8" hidden="1" x14ac:dyDescent="0.3">
      <c r="A231" t="s">
        <v>318</v>
      </c>
      <c r="B231" t="s">
        <v>537</v>
      </c>
      <c r="C231" t="s">
        <v>231</v>
      </c>
      <c r="D231" t="s">
        <v>249</v>
      </c>
      <c r="E231">
        <v>63.5</v>
      </c>
      <c r="F231">
        <v>6</v>
      </c>
      <c r="G231">
        <v>6.75</v>
      </c>
      <c r="H231">
        <v>50.75</v>
      </c>
    </row>
    <row r="232" spans="1:8" hidden="1" x14ac:dyDescent="0.3">
      <c r="A232" t="s">
        <v>318</v>
      </c>
      <c r="B232" t="s">
        <v>537</v>
      </c>
      <c r="C232" t="s">
        <v>231</v>
      </c>
      <c r="D232" t="s">
        <v>277</v>
      </c>
      <c r="E232">
        <v>35.75</v>
      </c>
      <c r="F232">
        <v>2.25</v>
      </c>
      <c r="G232">
        <v>4.75</v>
      </c>
      <c r="H232">
        <v>28.75</v>
      </c>
    </row>
    <row r="233" spans="1:8" hidden="1" x14ac:dyDescent="0.3">
      <c r="A233" t="s">
        <v>318</v>
      </c>
      <c r="B233" t="s">
        <v>537</v>
      </c>
      <c r="C233" t="s">
        <v>231</v>
      </c>
      <c r="D233" t="s">
        <v>287</v>
      </c>
      <c r="E233">
        <v>85</v>
      </c>
      <c r="F233">
        <v>9.75</v>
      </c>
      <c r="G233">
        <v>9.5</v>
      </c>
      <c r="H233">
        <v>65.75</v>
      </c>
    </row>
    <row r="234" spans="1:8" hidden="1" x14ac:dyDescent="0.3">
      <c r="A234" t="s">
        <v>318</v>
      </c>
      <c r="B234" t="s">
        <v>537</v>
      </c>
      <c r="C234" t="s">
        <v>231</v>
      </c>
      <c r="D234" t="s">
        <v>289</v>
      </c>
      <c r="E234">
        <v>27.25</v>
      </c>
      <c r="F234">
        <v>2</v>
      </c>
      <c r="G234">
        <v>4.5</v>
      </c>
      <c r="H234">
        <v>20.75</v>
      </c>
    </row>
    <row r="235" spans="1:8" hidden="1" x14ac:dyDescent="0.3">
      <c r="A235" t="s">
        <v>318</v>
      </c>
      <c r="B235" t="s">
        <v>537</v>
      </c>
      <c r="C235" t="s">
        <v>231</v>
      </c>
      <c r="D235" t="s">
        <v>296</v>
      </c>
      <c r="E235">
        <v>9.5</v>
      </c>
      <c r="F235">
        <v>1.5</v>
      </c>
      <c r="G235">
        <v>0.75</v>
      </c>
      <c r="H235">
        <v>7.25</v>
      </c>
    </row>
    <row r="236" spans="1:8" hidden="1" x14ac:dyDescent="0.3">
      <c r="A236" t="s">
        <v>318</v>
      </c>
      <c r="B236" t="s">
        <v>537</v>
      </c>
      <c r="C236" t="s">
        <v>231</v>
      </c>
      <c r="D236" t="s">
        <v>302</v>
      </c>
      <c r="E236">
        <v>43</v>
      </c>
      <c r="F236">
        <v>3.5</v>
      </c>
      <c r="G236">
        <v>5.75</v>
      </c>
      <c r="H236">
        <v>33.75</v>
      </c>
    </row>
    <row r="237" spans="1:8" hidden="1" x14ac:dyDescent="0.3">
      <c r="A237" t="s">
        <v>318</v>
      </c>
      <c r="B237" t="s">
        <v>537</v>
      </c>
      <c r="C237" t="s">
        <v>231</v>
      </c>
      <c r="D237" t="s">
        <v>304</v>
      </c>
      <c r="E237">
        <v>67</v>
      </c>
      <c r="F237">
        <v>8.75</v>
      </c>
      <c r="G237">
        <v>5.75</v>
      </c>
      <c r="H237">
        <v>52.5</v>
      </c>
    </row>
    <row r="238" spans="1:8" hidden="1" x14ac:dyDescent="0.3">
      <c r="A238" t="s">
        <v>318</v>
      </c>
      <c r="B238" t="s">
        <v>537</v>
      </c>
      <c r="C238" t="s">
        <v>231</v>
      </c>
      <c r="D238" t="s">
        <v>309</v>
      </c>
      <c r="E238">
        <v>18</v>
      </c>
      <c r="F238">
        <v>1.5</v>
      </c>
      <c r="G238">
        <v>1.5</v>
      </c>
      <c r="H238">
        <v>15</v>
      </c>
    </row>
    <row r="239" spans="1:8" hidden="1" x14ac:dyDescent="0.3">
      <c r="A239" t="s">
        <v>318</v>
      </c>
      <c r="B239" t="s">
        <v>537</v>
      </c>
      <c r="C239" t="s">
        <v>237</v>
      </c>
      <c r="D239" t="s">
        <v>234</v>
      </c>
      <c r="E239">
        <v>4.75</v>
      </c>
      <c r="F239">
        <v>0.5</v>
      </c>
      <c r="G239">
        <v>0.5</v>
      </c>
      <c r="H239">
        <v>3.75</v>
      </c>
    </row>
    <row r="240" spans="1:8" hidden="1" x14ac:dyDescent="0.3">
      <c r="A240" t="s">
        <v>318</v>
      </c>
      <c r="B240" t="s">
        <v>537</v>
      </c>
      <c r="C240" t="s">
        <v>237</v>
      </c>
      <c r="D240" t="s">
        <v>255</v>
      </c>
      <c r="E240">
        <v>50.75</v>
      </c>
      <c r="F240">
        <v>4.25</v>
      </c>
      <c r="G240">
        <v>10</v>
      </c>
      <c r="H240">
        <v>36.5</v>
      </c>
    </row>
    <row r="241" spans="1:8" hidden="1" x14ac:dyDescent="0.3">
      <c r="A241" t="s">
        <v>318</v>
      </c>
      <c r="B241" t="s">
        <v>537</v>
      </c>
      <c r="C241" t="s">
        <v>237</v>
      </c>
      <c r="D241" t="s">
        <v>263</v>
      </c>
      <c r="E241">
        <v>42</v>
      </c>
      <c r="F241">
        <v>3.75</v>
      </c>
      <c r="G241">
        <v>6.75</v>
      </c>
      <c r="H241">
        <v>31.5</v>
      </c>
    </row>
    <row r="242" spans="1:8" hidden="1" x14ac:dyDescent="0.3">
      <c r="A242" t="s">
        <v>318</v>
      </c>
      <c r="B242" t="s">
        <v>537</v>
      </c>
      <c r="C242" t="s">
        <v>237</v>
      </c>
      <c r="D242" t="s">
        <v>279</v>
      </c>
      <c r="E242">
        <v>9</v>
      </c>
      <c r="F242">
        <v>1</v>
      </c>
      <c r="G242">
        <v>1.5</v>
      </c>
      <c r="H242">
        <v>6.5</v>
      </c>
    </row>
    <row r="243" spans="1:8" hidden="1" x14ac:dyDescent="0.3">
      <c r="A243" t="s">
        <v>318</v>
      </c>
      <c r="B243" t="s">
        <v>537</v>
      </c>
      <c r="C243" t="s">
        <v>237</v>
      </c>
      <c r="D243" t="s">
        <v>298</v>
      </c>
      <c r="E243">
        <v>121.75</v>
      </c>
      <c r="F243">
        <v>10.25</v>
      </c>
      <c r="G243">
        <v>26.5</v>
      </c>
      <c r="H243">
        <v>85</v>
      </c>
    </row>
    <row r="244" spans="1:8" hidden="1" x14ac:dyDescent="0.3">
      <c r="A244" t="s">
        <v>318</v>
      </c>
      <c r="B244" t="s">
        <v>537</v>
      </c>
      <c r="C244" t="s">
        <v>237</v>
      </c>
      <c r="D244" t="s">
        <v>311</v>
      </c>
      <c r="E244">
        <v>44.75</v>
      </c>
      <c r="F244">
        <v>5</v>
      </c>
      <c r="G244">
        <v>7.25</v>
      </c>
      <c r="H244">
        <v>32.5</v>
      </c>
    </row>
    <row r="245" spans="1:8" hidden="1" x14ac:dyDescent="0.3">
      <c r="A245" t="s">
        <v>318</v>
      </c>
      <c r="B245" t="s">
        <v>537</v>
      </c>
      <c r="C245" t="s">
        <v>217</v>
      </c>
      <c r="D245" t="s">
        <v>215</v>
      </c>
      <c r="E245">
        <v>8.5</v>
      </c>
      <c r="F245">
        <v>1</v>
      </c>
      <c r="G245">
        <v>2.5</v>
      </c>
      <c r="H245">
        <v>5</v>
      </c>
    </row>
    <row r="246" spans="1:8" hidden="1" x14ac:dyDescent="0.3">
      <c r="A246" t="s">
        <v>318</v>
      </c>
      <c r="B246" t="s">
        <v>537</v>
      </c>
      <c r="C246" t="s">
        <v>217</v>
      </c>
      <c r="D246" t="s">
        <v>220</v>
      </c>
      <c r="E246">
        <v>251.75</v>
      </c>
      <c r="F246">
        <v>22.75</v>
      </c>
      <c r="G246">
        <v>60.25</v>
      </c>
      <c r="H246">
        <v>168.75</v>
      </c>
    </row>
    <row r="247" spans="1:8" hidden="1" x14ac:dyDescent="0.3">
      <c r="A247" t="s">
        <v>318</v>
      </c>
      <c r="B247" t="s">
        <v>537</v>
      </c>
      <c r="C247" t="s">
        <v>217</v>
      </c>
      <c r="D247" t="s">
        <v>224</v>
      </c>
      <c r="E247">
        <v>87.25</v>
      </c>
      <c r="F247">
        <v>7</v>
      </c>
      <c r="G247">
        <v>14</v>
      </c>
      <c r="H247">
        <v>66.25</v>
      </c>
    </row>
    <row r="248" spans="1:8" hidden="1" x14ac:dyDescent="0.3">
      <c r="A248" t="s">
        <v>318</v>
      </c>
      <c r="B248" t="s">
        <v>537</v>
      </c>
      <c r="C248" t="s">
        <v>217</v>
      </c>
      <c r="D248" t="s">
        <v>247</v>
      </c>
      <c r="E248">
        <v>9.5</v>
      </c>
      <c r="F248">
        <v>1</v>
      </c>
      <c r="G248">
        <v>1.5</v>
      </c>
      <c r="H248">
        <v>7</v>
      </c>
    </row>
    <row r="249" spans="1:8" hidden="1" x14ac:dyDescent="0.3">
      <c r="A249" t="s">
        <v>318</v>
      </c>
      <c r="B249" t="s">
        <v>537</v>
      </c>
      <c r="C249" t="s">
        <v>217</v>
      </c>
      <c r="D249" t="s">
        <v>273</v>
      </c>
      <c r="E249">
        <v>449.5</v>
      </c>
      <c r="F249">
        <v>48.25</v>
      </c>
      <c r="G249">
        <v>89.75</v>
      </c>
      <c r="H249">
        <v>311.5</v>
      </c>
    </row>
    <row r="250" spans="1:8" hidden="1" x14ac:dyDescent="0.3">
      <c r="A250" t="s">
        <v>318</v>
      </c>
      <c r="B250" t="s">
        <v>537</v>
      </c>
      <c r="C250" t="s">
        <v>217</v>
      </c>
      <c r="D250" t="s">
        <v>281</v>
      </c>
      <c r="E250">
        <v>102.25</v>
      </c>
      <c r="F250">
        <v>9.75</v>
      </c>
      <c r="G250">
        <v>23.5</v>
      </c>
      <c r="H250">
        <v>69</v>
      </c>
    </row>
    <row r="251" spans="1:8" hidden="1" x14ac:dyDescent="0.3">
      <c r="A251" t="s">
        <v>318</v>
      </c>
      <c r="B251" t="s">
        <v>537</v>
      </c>
      <c r="C251" t="s">
        <v>217</v>
      </c>
      <c r="D251" t="s">
        <v>283</v>
      </c>
      <c r="E251">
        <v>123.75</v>
      </c>
      <c r="F251">
        <v>14</v>
      </c>
      <c r="G251">
        <v>26.25</v>
      </c>
      <c r="H251">
        <v>83.5</v>
      </c>
    </row>
    <row r="252" spans="1:8" hidden="1" x14ac:dyDescent="0.3">
      <c r="A252" t="s">
        <v>318</v>
      </c>
      <c r="B252" t="s">
        <v>537</v>
      </c>
      <c r="C252" t="s">
        <v>217</v>
      </c>
      <c r="D252" t="s">
        <v>292</v>
      </c>
      <c r="E252">
        <v>108.75</v>
      </c>
      <c r="F252">
        <v>7.25</v>
      </c>
      <c r="G252">
        <v>21</v>
      </c>
      <c r="H252">
        <v>80.5</v>
      </c>
    </row>
    <row r="253" spans="1:8" hidden="1" x14ac:dyDescent="0.3">
      <c r="A253" t="s">
        <v>318</v>
      </c>
      <c r="B253" t="s">
        <v>537</v>
      </c>
      <c r="C253" t="s">
        <v>217</v>
      </c>
      <c r="D253" t="s">
        <v>294</v>
      </c>
      <c r="E253">
        <v>110.25</v>
      </c>
      <c r="F253">
        <v>9.25</v>
      </c>
      <c r="G253">
        <v>19.25</v>
      </c>
      <c r="H253">
        <v>81.75</v>
      </c>
    </row>
    <row r="254" spans="1:8" hidden="1" x14ac:dyDescent="0.3">
      <c r="A254" t="s">
        <v>318</v>
      </c>
      <c r="B254" t="s">
        <v>537</v>
      </c>
      <c r="C254" t="s">
        <v>217</v>
      </c>
      <c r="D254" t="s">
        <v>300</v>
      </c>
      <c r="E254">
        <v>117.5</v>
      </c>
      <c r="F254">
        <v>11.5</v>
      </c>
      <c r="G254">
        <v>23.75</v>
      </c>
      <c r="H254">
        <v>82.25</v>
      </c>
    </row>
    <row r="255" spans="1:8" hidden="1" x14ac:dyDescent="0.3">
      <c r="A255" t="s">
        <v>320</v>
      </c>
      <c r="B255" t="s">
        <v>537</v>
      </c>
      <c r="D255" t="s">
        <v>215</v>
      </c>
      <c r="E255">
        <v>9</v>
      </c>
      <c r="F255">
        <v>1</v>
      </c>
      <c r="G255">
        <v>2.25</v>
      </c>
      <c r="H255">
        <v>5.75</v>
      </c>
    </row>
    <row r="256" spans="1:8" hidden="1" x14ac:dyDescent="0.3">
      <c r="A256" t="s">
        <v>320</v>
      </c>
      <c r="B256" t="s">
        <v>537</v>
      </c>
      <c r="D256" t="s">
        <v>220</v>
      </c>
      <c r="E256">
        <v>250.25</v>
      </c>
      <c r="F256">
        <v>23</v>
      </c>
      <c r="G256">
        <v>58.75</v>
      </c>
      <c r="H256">
        <v>168.5</v>
      </c>
    </row>
    <row r="257" spans="1:8" hidden="1" x14ac:dyDescent="0.3">
      <c r="A257" t="s">
        <v>320</v>
      </c>
      <c r="B257" t="s">
        <v>537</v>
      </c>
      <c r="D257" t="s">
        <v>701</v>
      </c>
      <c r="E257">
        <v>2375.48</v>
      </c>
      <c r="F257">
        <v>235.85</v>
      </c>
      <c r="G257">
        <v>461.29</v>
      </c>
      <c r="H257">
        <v>1678.3400000000001</v>
      </c>
    </row>
    <row r="258" spans="1:8" hidden="1" x14ac:dyDescent="0.3">
      <c r="A258" t="s">
        <v>320</v>
      </c>
      <c r="B258" t="s">
        <v>537</v>
      </c>
      <c r="D258" t="s">
        <v>224</v>
      </c>
      <c r="E258">
        <v>80.25</v>
      </c>
      <c r="F258">
        <v>7</v>
      </c>
      <c r="G258">
        <v>14.5</v>
      </c>
      <c r="H258">
        <v>58.75</v>
      </c>
    </row>
    <row r="259" spans="1:8" hidden="1" x14ac:dyDescent="0.3">
      <c r="A259" t="s">
        <v>320</v>
      </c>
      <c r="B259" t="s">
        <v>537</v>
      </c>
      <c r="D259" t="s">
        <v>228</v>
      </c>
      <c r="E259">
        <v>158.5</v>
      </c>
      <c r="F259">
        <v>13</v>
      </c>
      <c r="G259">
        <v>23.75</v>
      </c>
      <c r="H259">
        <v>121.75</v>
      </c>
    </row>
    <row r="260" spans="1:8" hidden="1" x14ac:dyDescent="0.3">
      <c r="A260" t="s">
        <v>320</v>
      </c>
      <c r="B260" t="s">
        <v>537</v>
      </c>
      <c r="D260" t="s">
        <v>234</v>
      </c>
      <c r="E260">
        <v>4.25</v>
      </c>
      <c r="F260">
        <v>0.5</v>
      </c>
      <c r="G260">
        <v>0.5</v>
      </c>
      <c r="H260">
        <v>3.25</v>
      </c>
    </row>
    <row r="261" spans="1:8" hidden="1" x14ac:dyDescent="0.3">
      <c r="A261" t="s">
        <v>320</v>
      </c>
      <c r="B261" t="s">
        <v>537</v>
      </c>
      <c r="D261" t="s">
        <v>240</v>
      </c>
      <c r="E261">
        <v>19</v>
      </c>
      <c r="F261">
        <v>1.5</v>
      </c>
      <c r="G261">
        <v>2.75</v>
      </c>
      <c r="H261">
        <v>14.75</v>
      </c>
    </row>
    <row r="262" spans="1:8" hidden="1" x14ac:dyDescent="0.3">
      <c r="A262" t="s">
        <v>320</v>
      </c>
      <c r="B262" t="s">
        <v>537</v>
      </c>
      <c r="D262" t="s">
        <v>244</v>
      </c>
      <c r="E262">
        <v>162</v>
      </c>
      <c r="F262">
        <v>15.25</v>
      </c>
      <c r="G262">
        <v>29.25</v>
      </c>
      <c r="H262">
        <v>117.5</v>
      </c>
    </row>
    <row r="263" spans="1:8" hidden="1" x14ac:dyDescent="0.3">
      <c r="A263" t="s">
        <v>320</v>
      </c>
      <c r="B263" t="s">
        <v>537</v>
      </c>
      <c r="D263" t="s">
        <v>247</v>
      </c>
      <c r="E263">
        <v>10.75</v>
      </c>
      <c r="F263">
        <v>1</v>
      </c>
      <c r="G263">
        <v>1.5</v>
      </c>
      <c r="H263">
        <v>8.25</v>
      </c>
    </row>
    <row r="264" spans="1:8" hidden="1" x14ac:dyDescent="0.3">
      <c r="A264" t="s">
        <v>320</v>
      </c>
      <c r="B264" t="s">
        <v>537</v>
      </c>
      <c r="D264" t="s">
        <v>249</v>
      </c>
      <c r="E264">
        <v>61.5</v>
      </c>
      <c r="F264">
        <v>6</v>
      </c>
      <c r="G264">
        <v>6.5</v>
      </c>
      <c r="H264">
        <v>49</v>
      </c>
    </row>
    <row r="265" spans="1:8" hidden="1" x14ac:dyDescent="0.3">
      <c r="A265" t="s">
        <v>320</v>
      </c>
      <c r="B265" t="s">
        <v>537</v>
      </c>
      <c r="D265" t="s">
        <v>255</v>
      </c>
      <c r="E265">
        <v>46</v>
      </c>
      <c r="F265">
        <v>4.25</v>
      </c>
      <c r="G265">
        <v>10.75</v>
      </c>
      <c r="H265">
        <v>31</v>
      </c>
    </row>
    <row r="266" spans="1:8" hidden="1" x14ac:dyDescent="0.3">
      <c r="A266" t="s">
        <v>320</v>
      </c>
      <c r="B266" t="s">
        <v>537</v>
      </c>
      <c r="D266" t="s">
        <v>263</v>
      </c>
      <c r="E266">
        <v>37.5</v>
      </c>
      <c r="F266">
        <v>3.75</v>
      </c>
      <c r="G266">
        <v>6.75</v>
      </c>
      <c r="H266">
        <v>27</v>
      </c>
    </row>
    <row r="267" spans="1:8" hidden="1" x14ac:dyDescent="0.3">
      <c r="A267" t="s">
        <v>320</v>
      </c>
      <c r="B267" t="s">
        <v>537</v>
      </c>
      <c r="D267" t="s">
        <v>267</v>
      </c>
      <c r="E267">
        <v>87.72999999999999</v>
      </c>
      <c r="F267">
        <v>7.6</v>
      </c>
      <c r="G267">
        <v>17.79</v>
      </c>
      <c r="H267">
        <v>62.339999999999996</v>
      </c>
    </row>
    <row r="268" spans="1:8" hidden="1" x14ac:dyDescent="0.3">
      <c r="A268" t="s">
        <v>320</v>
      </c>
      <c r="B268" t="s">
        <v>537</v>
      </c>
      <c r="D268" t="s">
        <v>273</v>
      </c>
      <c r="E268">
        <v>428.75</v>
      </c>
      <c r="F268">
        <v>46.25</v>
      </c>
      <c r="G268">
        <v>88.75</v>
      </c>
      <c r="H268">
        <v>293.75</v>
      </c>
    </row>
    <row r="269" spans="1:8" hidden="1" x14ac:dyDescent="0.3">
      <c r="A269" t="s">
        <v>320</v>
      </c>
      <c r="B269" t="s">
        <v>537</v>
      </c>
      <c r="D269" t="s">
        <v>277</v>
      </c>
      <c r="E269">
        <v>31.25</v>
      </c>
      <c r="F269">
        <v>2.5</v>
      </c>
      <c r="G269">
        <v>5.5</v>
      </c>
      <c r="H269">
        <v>23.25</v>
      </c>
    </row>
    <row r="270" spans="1:8" hidden="1" x14ac:dyDescent="0.3">
      <c r="A270" t="s">
        <v>320</v>
      </c>
      <c r="B270" t="s">
        <v>537</v>
      </c>
      <c r="D270" t="s">
        <v>279</v>
      </c>
      <c r="E270">
        <v>8.5</v>
      </c>
      <c r="F270">
        <v>1</v>
      </c>
      <c r="G270">
        <v>1.5</v>
      </c>
      <c r="H270">
        <v>6</v>
      </c>
    </row>
    <row r="271" spans="1:8" hidden="1" x14ac:dyDescent="0.3">
      <c r="A271" t="s">
        <v>320</v>
      </c>
      <c r="B271" t="s">
        <v>537</v>
      </c>
      <c r="D271" t="s">
        <v>281</v>
      </c>
      <c r="E271">
        <v>101.25</v>
      </c>
      <c r="F271">
        <v>9.75</v>
      </c>
      <c r="G271">
        <v>23.25</v>
      </c>
      <c r="H271">
        <v>68.25</v>
      </c>
    </row>
    <row r="272" spans="1:8" hidden="1" x14ac:dyDescent="0.3">
      <c r="A272" t="s">
        <v>320</v>
      </c>
      <c r="B272" t="s">
        <v>537</v>
      </c>
      <c r="D272" t="s">
        <v>283</v>
      </c>
      <c r="E272">
        <v>113</v>
      </c>
      <c r="F272">
        <v>13.25</v>
      </c>
      <c r="G272">
        <v>27.25</v>
      </c>
      <c r="H272">
        <v>72.5</v>
      </c>
    </row>
    <row r="273" spans="1:8" hidden="1" x14ac:dyDescent="0.3">
      <c r="A273" t="s">
        <v>320</v>
      </c>
      <c r="B273" t="s">
        <v>537</v>
      </c>
      <c r="D273" t="s">
        <v>287</v>
      </c>
      <c r="E273">
        <v>81.5</v>
      </c>
      <c r="F273">
        <v>9.75</v>
      </c>
      <c r="G273">
        <v>10.25</v>
      </c>
      <c r="H273">
        <v>61.5</v>
      </c>
    </row>
    <row r="274" spans="1:8" hidden="1" x14ac:dyDescent="0.3">
      <c r="A274" t="s">
        <v>320</v>
      </c>
      <c r="B274" t="s">
        <v>537</v>
      </c>
      <c r="D274" t="s">
        <v>289</v>
      </c>
      <c r="E274">
        <v>21.25</v>
      </c>
      <c r="F274">
        <v>2.5</v>
      </c>
      <c r="G274">
        <v>4.5</v>
      </c>
      <c r="H274">
        <v>14.25</v>
      </c>
    </row>
    <row r="275" spans="1:8" hidden="1" x14ac:dyDescent="0.3">
      <c r="A275" t="s">
        <v>320</v>
      </c>
      <c r="B275" t="s">
        <v>537</v>
      </c>
      <c r="D275" t="s">
        <v>292</v>
      </c>
      <c r="E275">
        <v>110.75</v>
      </c>
      <c r="F275">
        <v>11.5</v>
      </c>
      <c r="G275">
        <v>18</v>
      </c>
      <c r="H275">
        <v>81.25</v>
      </c>
    </row>
    <row r="276" spans="1:8" hidden="1" x14ac:dyDescent="0.3">
      <c r="A276" t="s">
        <v>320</v>
      </c>
      <c r="B276" t="s">
        <v>537</v>
      </c>
      <c r="D276" t="s">
        <v>294</v>
      </c>
      <c r="E276">
        <v>99.5</v>
      </c>
      <c r="F276">
        <v>8.25</v>
      </c>
      <c r="G276">
        <v>19</v>
      </c>
      <c r="H276">
        <v>72.25</v>
      </c>
    </row>
    <row r="277" spans="1:8" hidden="1" x14ac:dyDescent="0.3">
      <c r="A277" t="s">
        <v>320</v>
      </c>
      <c r="B277" t="s">
        <v>537</v>
      </c>
      <c r="D277" t="s">
        <v>296</v>
      </c>
      <c r="E277">
        <v>9.75</v>
      </c>
      <c r="F277">
        <v>0.75</v>
      </c>
      <c r="G277">
        <v>1.5</v>
      </c>
      <c r="H277">
        <v>7.5</v>
      </c>
    </row>
    <row r="278" spans="1:8" hidden="1" x14ac:dyDescent="0.3">
      <c r="A278" t="s">
        <v>320</v>
      </c>
      <c r="B278" t="s">
        <v>537</v>
      </c>
      <c r="D278" t="s">
        <v>298</v>
      </c>
      <c r="E278">
        <v>112.5</v>
      </c>
      <c r="F278">
        <v>10.75</v>
      </c>
      <c r="G278">
        <v>23.75</v>
      </c>
      <c r="H278">
        <v>78</v>
      </c>
    </row>
    <row r="279" spans="1:8" hidden="1" x14ac:dyDescent="0.3">
      <c r="A279" t="s">
        <v>320</v>
      </c>
      <c r="B279" t="s">
        <v>537</v>
      </c>
      <c r="D279" t="s">
        <v>300</v>
      </c>
      <c r="E279">
        <v>118.25</v>
      </c>
      <c r="F279">
        <v>11</v>
      </c>
      <c r="G279">
        <v>24.5</v>
      </c>
      <c r="H279">
        <v>82.75</v>
      </c>
    </row>
    <row r="280" spans="1:8" hidden="1" x14ac:dyDescent="0.3">
      <c r="A280" t="s">
        <v>320</v>
      </c>
      <c r="B280" t="s">
        <v>537</v>
      </c>
      <c r="D280" t="s">
        <v>302</v>
      </c>
      <c r="E280">
        <v>36.75</v>
      </c>
      <c r="F280">
        <v>4.75</v>
      </c>
      <c r="G280">
        <v>5</v>
      </c>
      <c r="H280">
        <v>27</v>
      </c>
    </row>
    <row r="281" spans="1:8" hidden="1" x14ac:dyDescent="0.3">
      <c r="A281" t="s">
        <v>320</v>
      </c>
      <c r="B281" t="s">
        <v>537</v>
      </c>
      <c r="D281" t="s">
        <v>304</v>
      </c>
      <c r="E281">
        <v>56.5</v>
      </c>
      <c r="F281">
        <v>7</v>
      </c>
      <c r="G281">
        <v>10.5</v>
      </c>
      <c r="H281">
        <v>39</v>
      </c>
    </row>
    <row r="282" spans="1:8" hidden="1" x14ac:dyDescent="0.3">
      <c r="A282" t="s">
        <v>320</v>
      </c>
      <c r="B282" t="s">
        <v>537</v>
      </c>
      <c r="D282" t="s">
        <v>307</v>
      </c>
      <c r="E282">
        <v>58.25</v>
      </c>
      <c r="F282">
        <v>7</v>
      </c>
      <c r="G282">
        <v>13</v>
      </c>
      <c r="H282">
        <v>38.25</v>
      </c>
    </row>
    <row r="283" spans="1:8" hidden="1" x14ac:dyDescent="0.3">
      <c r="A283" t="s">
        <v>320</v>
      </c>
      <c r="B283" t="s">
        <v>537</v>
      </c>
      <c r="D283" t="s">
        <v>309</v>
      </c>
      <c r="E283">
        <v>17</v>
      </c>
      <c r="F283">
        <v>1.5</v>
      </c>
      <c r="G283">
        <v>1.5</v>
      </c>
      <c r="H283">
        <v>14</v>
      </c>
    </row>
    <row r="284" spans="1:8" hidden="1" x14ac:dyDescent="0.3">
      <c r="A284" t="s">
        <v>320</v>
      </c>
      <c r="B284" t="s">
        <v>537</v>
      </c>
      <c r="D284" t="s">
        <v>311</v>
      </c>
      <c r="E284">
        <v>44</v>
      </c>
      <c r="F284">
        <v>4.5</v>
      </c>
      <c r="G284">
        <v>8.5</v>
      </c>
      <c r="H284">
        <v>31</v>
      </c>
    </row>
    <row r="285" spans="1:8" hidden="1" x14ac:dyDescent="0.3">
      <c r="A285" t="s">
        <v>325</v>
      </c>
      <c r="B285" t="s">
        <v>537</v>
      </c>
      <c r="D285" t="s">
        <v>215</v>
      </c>
      <c r="E285">
        <v>8.25</v>
      </c>
      <c r="F285">
        <v>1</v>
      </c>
      <c r="G285">
        <v>1.5</v>
      </c>
      <c r="H285">
        <v>5.75</v>
      </c>
    </row>
    <row r="286" spans="1:8" hidden="1" x14ac:dyDescent="0.3">
      <c r="A286" t="s">
        <v>325</v>
      </c>
      <c r="B286" t="s">
        <v>537</v>
      </c>
      <c r="D286" t="s">
        <v>220</v>
      </c>
      <c r="E286">
        <v>242.25</v>
      </c>
      <c r="F286">
        <v>20.5</v>
      </c>
      <c r="G286">
        <v>59.25</v>
      </c>
      <c r="H286">
        <v>162.5</v>
      </c>
    </row>
    <row r="287" spans="1:8" hidden="1" x14ac:dyDescent="0.3">
      <c r="A287" t="s">
        <v>325</v>
      </c>
      <c r="B287" t="s">
        <v>537</v>
      </c>
      <c r="D287" t="s">
        <v>701</v>
      </c>
      <c r="E287">
        <v>2333.12</v>
      </c>
      <c r="F287">
        <v>231.8</v>
      </c>
      <c r="G287">
        <v>453.13</v>
      </c>
      <c r="H287">
        <v>1648.19</v>
      </c>
    </row>
    <row r="288" spans="1:8" hidden="1" x14ac:dyDescent="0.3">
      <c r="A288" t="s">
        <v>325</v>
      </c>
      <c r="B288" t="s">
        <v>537</v>
      </c>
      <c r="D288" t="s">
        <v>224</v>
      </c>
      <c r="E288">
        <v>78.25</v>
      </c>
      <c r="F288">
        <v>6.75</v>
      </c>
      <c r="G288">
        <v>14</v>
      </c>
      <c r="H288">
        <v>57.5</v>
      </c>
    </row>
    <row r="289" spans="1:8" hidden="1" x14ac:dyDescent="0.3">
      <c r="A289" t="s">
        <v>325</v>
      </c>
      <c r="B289" t="s">
        <v>537</v>
      </c>
      <c r="D289" t="s">
        <v>228</v>
      </c>
      <c r="E289">
        <v>153.25</v>
      </c>
      <c r="F289">
        <v>13</v>
      </c>
      <c r="G289">
        <v>22.5</v>
      </c>
      <c r="H289">
        <v>117.75</v>
      </c>
    </row>
    <row r="290" spans="1:8" hidden="1" x14ac:dyDescent="0.3">
      <c r="A290" t="s">
        <v>325</v>
      </c>
      <c r="B290" t="s">
        <v>537</v>
      </c>
      <c r="D290" t="s">
        <v>234</v>
      </c>
      <c r="E290">
        <v>5</v>
      </c>
      <c r="F290">
        <v>0.5</v>
      </c>
      <c r="G290">
        <v>0.5</v>
      </c>
      <c r="H290">
        <v>4</v>
      </c>
    </row>
    <row r="291" spans="1:8" hidden="1" x14ac:dyDescent="0.3">
      <c r="A291" t="s">
        <v>325</v>
      </c>
      <c r="B291" t="s">
        <v>537</v>
      </c>
      <c r="D291" t="s">
        <v>240</v>
      </c>
      <c r="E291">
        <v>18.75</v>
      </c>
      <c r="F291">
        <v>1.5</v>
      </c>
      <c r="G291">
        <v>3.75</v>
      </c>
      <c r="H291">
        <v>13.5</v>
      </c>
    </row>
    <row r="292" spans="1:8" hidden="1" x14ac:dyDescent="0.3">
      <c r="A292" t="s">
        <v>325</v>
      </c>
      <c r="B292" t="s">
        <v>537</v>
      </c>
      <c r="D292" t="s">
        <v>244</v>
      </c>
      <c r="E292">
        <v>162</v>
      </c>
      <c r="F292">
        <v>14.5</v>
      </c>
      <c r="G292">
        <v>28.5</v>
      </c>
      <c r="H292">
        <v>119</v>
      </c>
    </row>
    <row r="293" spans="1:8" hidden="1" x14ac:dyDescent="0.3">
      <c r="A293" t="s">
        <v>325</v>
      </c>
      <c r="B293" t="s">
        <v>537</v>
      </c>
      <c r="D293" t="s">
        <v>247</v>
      </c>
      <c r="E293">
        <v>10.25</v>
      </c>
      <c r="F293">
        <v>1</v>
      </c>
      <c r="G293">
        <v>1.5</v>
      </c>
      <c r="H293">
        <v>7.75</v>
      </c>
    </row>
    <row r="294" spans="1:8" hidden="1" x14ac:dyDescent="0.3">
      <c r="A294" t="s">
        <v>325</v>
      </c>
      <c r="B294" t="s">
        <v>537</v>
      </c>
      <c r="D294" t="s">
        <v>249</v>
      </c>
      <c r="E294">
        <v>56.75</v>
      </c>
      <c r="F294">
        <v>6</v>
      </c>
      <c r="G294">
        <v>8</v>
      </c>
      <c r="H294">
        <v>42.75</v>
      </c>
    </row>
    <row r="295" spans="1:8" hidden="1" x14ac:dyDescent="0.3">
      <c r="A295" t="s">
        <v>325</v>
      </c>
      <c r="B295" t="s">
        <v>537</v>
      </c>
      <c r="D295" t="s">
        <v>255</v>
      </c>
      <c r="E295">
        <v>41</v>
      </c>
      <c r="F295">
        <v>4</v>
      </c>
      <c r="G295">
        <v>9.25</v>
      </c>
      <c r="H295">
        <v>27.75</v>
      </c>
    </row>
    <row r="296" spans="1:8" hidden="1" x14ac:dyDescent="0.3">
      <c r="A296" t="s">
        <v>325</v>
      </c>
      <c r="B296" t="s">
        <v>537</v>
      </c>
      <c r="D296" t="s">
        <v>263</v>
      </c>
      <c r="E296">
        <v>39.25</v>
      </c>
      <c r="F296">
        <v>3.75</v>
      </c>
      <c r="G296">
        <v>7.25</v>
      </c>
      <c r="H296">
        <v>28.25</v>
      </c>
    </row>
    <row r="297" spans="1:8" hidden="1" x14ac:dyDescent="0.3">
      <c r="A297" t="s">
        <v>325</v>
      </c>
      <c r="B297" t="s">
        <v>537</v>
      </c>
      <c r="D297" t="s">
        <v>267</v>
      </c>
      <c r="E297">
        <v>88.62</v>
      </c>
      <c r="F297">
        <v>8.5499999999999989</v>
      </c>
      <c r="G297">
        <v>17.63</v>
      </c>
      <c r="H297">
        <v>62.44</v>
      </c>
    </row>
    <row r="298" spans="1:8" hidden="1" x14ac:dyDescent="0.3">
      <c r="A298" t="s">
        <v>325</v>
      </c>
      <c r="B298" t="s">
        <v>537</v>
      </c>
      <c r="D298" t="s">
        <v>273</v>
      </c>
      <c r="E298">
        <v>409</v>
      </c>
      <c r="F298">
        <v>44.5</v>
      </c>
      <c r="G298">
        <v>84.25</v>
      </c>
      <c r="H298">
        <v>280.25</v>
      </c>
    </row>
    <row r="299" spans="1:8" hidden="1" x14ac:dyDescent="0.3">
      <c r="A299" t="s">
        <v>325</v>
      </c>
      <c r="B299" t="s">
        <v>537</v>
      </c>
      <c r="D299" t="s">
        <v>277</v>
      </c>
      <c r="E299">
        <v>29.25</v>
      </c>
      <c r="F299">
        <v>2.5</v>
      </c>
      <c r="G299">
        <v>5.5</v>
      </c>
      <c r="H299">
        <v>21.25</v>
      </c>
    </row>
    <row r="300" spans="1:8" hidden="1" x14ac:dyDescent="0.3">
      <c r="A300" t="s">
        <v>325</v>
      </c>
      <c r="B300" t="s">
        <v>537</v>
      </c>
      <c r="D300" t="s">
        <v>279</v>
      </c>
      <c r="E300">
        <v>8.5</v>
      </c>
      <c r="F300">
        <v>1</v>
      </c>
      <c r="G300">
        <v>1.5</v>
      </c>
      <c r="H300">
        <v>6</v>
      </c>
    </row>
    <row r="301" spans="1:8" hidden="1" x14ac:dyDescent="0.3">
      <c r="A301" t="s">
        <v>325</v>
      </c>
      <c r="B301" t="s">
        <v>537</v>
      </c>
      <c r="D301" t="s">
        <v>281</v>
      </c>
      <c r="E301">
        <v>97.25</v>
      </c>
      <c r="F301">
        <v>9.75</v>
      </c>
      <c r="G301">
        <v>25.5</v>
      </c>
      <c r="H301">
        <v>62</v>
      </c>
    </row>
    <row r="302" spans="1:8" hidden="1" x14ac:dyDescent="0.3">
      <c r="A302" t="s">
        <v>325</v>
      </c>
      <c r="B302" t="s">
        <v>537</v>
      </c>
      <c r="D302" t="s">
        <v>283</v>
      </c>
      <c r="E302">
        <v>122</v>
      </c>
      <c r="F302">
        <v>13.25</v>
      </c>
      <c r="G302">
        <v>24.75</v>
      </c>
      <c r="H302">
        <v>84</v>
      </c>
    </row>
    <row r="303" spans="1:8" hidden="1" x14ac:dyDescent="0.3">
      <c r="A303" t="s">
        <v>325</v>
      </c>
      <c r="B303" t="s">
        <v>537</v>
      </c>
      <c r="D303" t="s">
        <v>287</v>
      </c>
      <c r="E303">
        <v>80.75</v>
      </c>
      <c r="F303">
        <v>8.5</v>
      </c>
      <c r="G303">
        <v>10.75</v>
      </c>
      <c r="H303">
        <v>61.5</v>
      </c>
    </row>
    <row r="304" spans="1:8" hidden="1" x14ac:dyDescent="0.3">
      <c r="A304" t="s">
        <v>325</v>
      </c>
      <c r="B304" t="s">
        <v>537</v>
      </c>
      <c r="D304" t="s">
        <v>289</v>
      </c>
      <c r="E304">
        <v>21.5</v>
      </c>
      <c r="F304">
        <v>2.25</v>
      </c>
      <c r="G304">
        <v>4.75</v>
      </c>
      <c r="H304">
        <v>14.5</v>
      </c>
    </row>
    <row r="305" spans="1:8" hidden="1" x14ac:dyDescent="0.3">
      <c r="A305" t="s">
        <v>325</v>
      </c>
      <c r="B305" t="s">
        <v>537</v>
      </c>
      <c r="D305" t="s">
        <v>292</v>
      </c>
      <c r="E305">
        <v>110.75</v>
      </c>
      <c r="F305">
        <v>11.25</v>
      </c>
      <c r="G305">
        <v>20</v>
      </c>
      <c r="H305">
        <v>79.5</v>
      </c>
    </row>
    <row r="306" spans="1:8" hidden="1" x14ac:dyDescent="0.3">
      <c r="A306" t="s">
        <v>325</v>
      </c>
      <c r="B306" t="s">
        <v>537</v>
      </c>
      <c r="D306" t="s">
        <v>294</v>
      </c>
      <c r="E306">
        <v>103.5</v>
      </c>
      <c r="F306">
        <v>8.25</v>
      </c>
      <c r="G306">
        <v>19.5</v>
      </c>
      <c r="H306">
        <v>75.75</v>
      </c>
    </row>
    <row r="307" spans="1:8" hidden="1" x14ac:dyDescent="0.3">
      <c r="A307" t="s">
        <v>325</v>
      </c>
      <c r="B307" t="s">
        <v>537</v>
      </c>
      <c r="D307" t="s">
        <v>296</v>
      </c>
      <c r="E307">
        <v>10.75</v>
      </c>
      <c r="F307">
        <v>0.75</v>
      </c>
      <c r="G307">
        <v>1.5</v>
      </c>
      <c r="H307">
        <v>8.5</v>
      </c>
    </row>
    <row r="308" spans="1:8" hidden="1" x14ac:dyDescent="0.3">
      <c r="A308" t="s">
        <v>325</v>
      </c>
      <c r="B308" t="s">
        <v>537</v>
      </c>
      <c r="D308" t="s">
        <v>298</v>
      </c>
      <c r="E308">
        <v>124.5</v>
      </c>
      <c r="F308">
        <v>11</v>
      </c>
      <c r="G308">
        <v>23.75</v>
      </c>
      <c r="H308">
        <v>89.75</v>
      </c>
    </row>
    <row r="309" spans="1:8" hidden="1" x14ac:dyDescent="0.3">
      <c r="A309" t="s">
        <v>325</v>
      </c>
      <c r="B309" t="s">
        <v>537</v>
      </c>
      <c r="D309" t="s">
        <v>300</v>
      </c>
      <c r="E309">
        <v>109.75</v>
      </c>
      <c r="F309">
        <v>13</v>
      </c>
      <c r="G309">
        <v>23</v>
      </c>
      <c r="H309">
        <v>73.75</v>
      </c>
    </row>
    <row r="310" spans="1:8" hidden="1" x14ac:dyDescent="0.3">
      <c r="A310" t="s">
        <v>325</v>
      </c>
      <c r="B310" t="s">
        <v>537</v>
      </c>
      <c r="D310" t="s">
        <v>302</v>
      </c>
      <c r="E310">
        <v>36</v>
      </c>
      <c r="F310">
        <v>4.25</v>
      </c>
      <c r="G310">
        <v>5.25</v>
      </c>
      <c r="H310">
        <v>26.5</v>
      </c>
    </row>
    <row r="311" spans="1:8" hidden="1" x14ac:dyDescent="0.3">
      <c r="A311" t="s">
        <v>325</v>
      </c>
      <c r="B311" t="s">
        <v>537</v>
      </c>
      <c r="D311" t="s">
        <v>304</v>
      </c>
      <c r="E311">
        <v>53.25</v>
      </c>
      <c r="F311">
        <v>7.5</v>
      </c>
      <c r="G311">
        <v>10.25</v>
      </c>
      <c r="H311">
        <v>35.5</v>
      </c>
    </row>
    <row r="312" spans="1:8" hidden="1" x14ac:dyDescent="0.3">
      <c r="A312" t="s">
        <v>325</v>
      </c>
      <c r="B312" t="s">
        <v>537</v>
      </c>
      <c r="D312" t="s">
        <v>307</v>
      </c>
      <c r="E312">
        <v>56.5</v>
      </c>
      <c r="F312">
        <v>6</v>
      </c>
      <c r="G312">
        <v>11</v>
      </c>
      <c r="H312">
        <v>39.5</v>
      </c>
    </row>
    <row r="313" spans="1:8" hidden="1" x14ac:dyDescent="0.3">
      <c r="A313" t="s">
        <v>325</v>
      </c>
      <c r="B313" t="s">
        <v>537</v>
      </c>
      <c r="D313" t="s">
        <v>309</v>
      </c>
      <c r="E313">
        <v>15</v>
      </c>
      <c r="F313">
        <v>1.5</v>
      </c>
      <c r="G313">
        <v>1.5</v>
      </c>
      <c r="H313">
        <v>12</v>
      </c>
    </row>
    <row r="314" spans="1:8" hidden="1" x14ac:dyDescent="0.3">
      <c r="A314" t="s">
        <v>325</v>
      </c>
      <c r="B314" t="s">
        <v>537</v>
      </c>
      <c r="D314" t="s">
        <v>311</v>
      </c>
      <c r="E314">
        <v>41.25</v>
      </c>
      <c r="F314">
        <v>5.5</v>
      </c>
      <c r="G314">
        <v>6.75</v>
      </c>
      <c r="H314">
        <v>29</v>
      </c>
    </row>
    <row r="315" spans="1:8" hidden="1" x14ac:dyDescent="0.3">
      <c r="A315" t="s">
        <v>326</v>
      </c>
      <c r="B315" t="s">
        <v>537</v>
      </c>
      <c r="D315" t="s">
        <v>215</v>
      </c>
      <c r="E315">
        <v>8</v>
      </c>
      <c r="F315">
        <v>1</v>
      </c>
      <c r="G315">
        <v>3</v>
      </c>
      <c r="H315">
        <v>4</v>
      </c>
    </row>
    <row r="316" spans="1:8" hidden="1" x14ac:dyDescent="0.3">
      <c r="A316" t="s">
        <v>326</v>
      </c>
      <c r="B316" t="s">
        <v>537</v>
      </c>
      <c r="D316" t="s">
        <v>220</v>
      </c>
      <c r="E316">
        <v>230.75</v>
      </c>
      <c r="F316">
        <v>19.25</v>
      </c>
      <c r="G316">
        <v>57.5</v>
      </c>
      <c r="H316">
        <v>154</v>
      </c>
    </row>
    <row r="317" spans="1:8" hidden="1" x14ac:dyDescent="0.3">
      <c r="A317" t="s">
        <v>326</v>
      </c>
      <c r="B317" t="s">
        <v>537</v>
      </c>
      <c r="D317" t="s">
        <v>701</v>
      </c>
      <c r="E317">
        <v>2289.7700000000004</v>
      </c>
      <c r="F317">
        <v>222.3</v>
      </c>
      <c r="G317">
        <v>452.13</v>
      </c>
      <c r="H317">
        <v>1615.3400000000001</v>
      </c>
    </row>
    <row r="318" spans="1:8" hidden="1" x14ac:dyDescent="0.3">
      <c r="A318" t="s">
        <v>326</v>
      </c>
      <c r="B318" t="s">
        <v>537</v>
      </c>
      <c r="D318" t="s">
        <v>224</v>
      </c>
      <c r="E318">
        <v>81.25</v>
      </c>
      <c r="F318">
        <v>5.75</v>
      </c>
      <c r="G318">
        <v>14.75</v>
      </c>
      <c r="H318">
        <v>60.75</v>
      </c>
    </row>
    <row r="319" spans="1:8" hidden="1" x14ac:dyDescent="0.3">
      <c r="A319" t="s">
        <v>326</v>
      </c>
      <c r="B319" t="s">
        <v>537</v>
      </c>
      <c r="D319" t="s">
        <v>228</v>
      </c>
      <c r="E319">
        <v>157.5</v>
      </c>
      <c r="F319">
        <v>13.75</v>
      </c>
      <c r="G319">
        <v>21</v>
      </c>
      <c r="H319">
        <v>122.75</v>
      </c>
    </row>
    <row r="320" spans="1:8" hidden="1" x14ac:dyDescent="0.3">
      <c r="A320" t="s">
        <v>326</v>
      </c>
      <c r="B320" t="s">
        <v>537</v>
      </c>
      <c r="D320" t="s">
        <v>234</v>
      </c>
      <c r="E320">
        <v>5.25</v>
      </c>
      <c r="F320">
        <v>0.5</v>
      </c>
      <c r="G320">
        <v>1</v>
      </c>
      <c r="H320">
        <v>3.75</v>
      </c>
    </row>
    <row r="321" spans="1:8" hidden="1" x14ac:dyDescent="0.3">
      <c r="A321" t="s">
        <v>326</v>
      </c>
      <c r="B321" t="s">
        <v>537</v>
      </c>
      <c r="D321" t="s">
        <v>240</v>
      </c>
      <c r="E321">
        <v>17.25</v>
      </c>
      <c r="F321">
        <v>1.5</v>
      </c>
      <c r="G321">
        <v>3</v>
      </c>
      <c r="H321">
        <v>12.75</v>
      </c>
    </row>
    <row r="322" spans="1:8" hidden="1" x14ac:dyDescent="0.3">
      <c r="A322" t="s">
        <v>326</v>
      </c>
      <c r="B322" t="s">
        <v>537</v>
      </c>
      <c r="D322" t="s">
        <v>244</v>
      </c>
      <c r="E322">
        <v>149.25</v>
      </c>
      <c r="F322">
        <v>13.75</v>
      </c>
      <c r="G322">
        <v>27.75</v>
      </c>
      <c r="H322">
        <v>107.75</v>
      </c>
    </row>
    <row r="323" spans="1:8" hidden="1" x14ac:dyDescent="0.3">
      <c r="A323" t="s">
        <v>326</v>
      </c>
      <c r="B323" t="s">
        <v>537</v>
      </c>
      <c r="D323" t="s">
        <v>247</v>
      </c>
      <c r="E323">
        <v>11.75</v>
      </c>
      <c r="F323">
        <v>1</v>
      </c>
      <c r="G323">
        <v>1.5</v>
      </c>
      <c r="H323">
        <v>9.25</v>
      </c>
    </row>
    <row r="324" spans="1:8" hidden="1" x14ac:dyDescent="0.3">
      <c r="A324" t="s">
        <v>326</v>
      </c>
      <c r="B324" t="s">
        <v>537</v>
      </c>
      <c r="D324" t="s">
        <v>249</v>
      </c>
      <c r="E324">
        <v>55.5</v>
      </c>
      <c r="F324">
        <v>5</v>
      </c>
      <c r="G324">
        <v>9.5</v>
      </c>
      <c r="H324">
        <v>41</v>
      </c>
    </row>
    <row r="325" spans="1:8" hidden="1" x14ac:dyDescent="0.3">
      <c r="A325" t="s">
        <v>326</v>
      </c>
      <c r="B325" t="s">
        <v>537</v>
      </c>
      <c r="D325" t="s">
        <v>255</v>
      </c>
      <c r="E325">
        <v>44</v>
      </c>
      <c r="F325">
        <v>4</v>
      </c>
      <c r="G325">
        <v>9.75</v>
      </c>
      <c r="H325">
        <v>30.25</v>
      </c>
    </row>
    <row r="326" spans="1:8" hidden="1" x14ac:dyDescent="0.3">
      <c r="A326" t="s">
        <v>326</v>
      </c>
      <c r="B326" t="s">
        <v>537</v>
      </c>
      <c r="D326" t="s">
        <v>263</v>
      </c>
      <c r="E326">
        <v>46</v>
      </c>
      <c r="F326">
        <v>3.75</v>
      </c>
      <c r="G326">
        <v>7.25</v>
      </c>
      <c r="H326">
        <v>35</v>
      </c>
    </row>
    <row r="327" spans="1:8" hidden="1" x14ac:dyDescent="0.3">
      <c r="A327" t="s">
        <v>326</v>
      </c>
      <c r="B327" t="s">
        <v>537</v>
      </c>
      <c r="D327" t="s">
        <v>267</v>
      </c>
      <c r="E327">
        <v>86.27000000000001</v>
      </c>
      <c r="F327">
        <v>7.55</v>
      </c>
      <c r="G327">
        <v>17.63</v>
      </c>
      <c r="H327">
        <v>61.09</v>
      </c>
    </row>
    <row r="328" spans="1:8" hidden="1" x14ac:dyDescent="0.3">
      <c r="A328" t="s">
        <v>326</v>
      </c>
      <c r="B328" t="s">
        <v>537</v>
      </c>
      <c r="D328" t="s">
        <v>273</v>
      </c>
      <c r="E328">
        <v>404</v>
      </c>
      <c r="F328">
        <v>40.25</v>
      </c>
      <c r="G328">
        <v>82.75</v>
      </c>
      <c r="H328">
        <v>281</v>
      </c>
    </row>
    <row r="329" spans="1:8" hidden="1" x14ac:dyDescent="0.3">
      <c r="A329" t="s">
        <v>326</v>
      </c>
      <c r="B329" t="s">
        <v>537</v>
      </c>
      <c r="D329" t="s">
        <v>277</v>
      </c>
      <c r="E329">
        <v>28.25</v>
      </c>
      <c r="F329">
        <v>2.5</v>
      </c>
      <c r="G329">
        <v>5.5</v>
      </c>
      <c r="H329">
        <v>20.25</v>
      </c>
    </row>
    <row r="330" spans="1:8" hidden="1" x14ac:dyDescent="0.3">
      <c r="A330" t="s">
        <v>326</v>
      </c>
      <c r="B330" t="s">
        <v>537</v>
      </c>
      <c r="D330" t="s">
        <v>279</v>
      </c>
      <c r="E330">
        <v>9.5</v>
      </c>
      <c r="F330">
        <v>1</v>
      </c>
      <c r="G330">
        <v>1.5</v>
      </c>
      <c r="H330">
        <v>7</v>
      </c>
    </row>
    <row r="331" spans="1:8" hidden="1" x14ac:dyDescent="0.3">
      <c r="A331" t="s">
        <v>326</v>
      </c>
      <c r="B331" t="s">
        <v>537</v>
      </c>
      <c r="D331" t="s">
        <v>281</v>
      </c>
      <c r="E331">
        <v>103</v>
      </c>
      <c r="F331">
        <v>10.75</v>
      </c>
      <c r="G331">
        <v>25.75</v>
      </c>
      <c r="H331">
        <v>66.5</v>
      </c>
    </row>
    <row r="332" spans="1:8" hidden="1" x14ac:dyDescent="0.3">
      <c r="A332" t="s">
        <v>326</v>
      </c>
      <c r="B332" t="s">
        <v>537</v>
      </c>
      <c r="D332" t="s">
        <v>283</v>
      </c>
      <c r="E332">
        <v>118.5</v>
      </c>
      <c r="F332">
        <v>13.75</v>
      </c>
      <c r="G332">
        <v>26.5</v>
      </c>
      <c r="H332">
        <v>78.25</v>
      </c>
    </row>
    <row r="333" spans="1:8" hidden="1" x14ac:dyDescent="0.3">
      <c r="A333" t="s">
        <v>326</v>
      </c>
      <c r="B333" t="s">
        <v>537</v>
      </c>
      <c r="D333" t="s">
        <v>287</v>
      </c>
      <c r="E333">
        <v>79.75</v>
      </c>
      <c r="F333">
        <v>7.75</v>
      </c>
      <c r="G333">
        <v>10</v>
      </c>
      <c r="H333">
        <v>62</v>
      </c>
    </row>
    <row r="334" spans="1:8" hidden="1" x14ac:dyDescent="0.3">
      <c r="A334" t="s">
        <v>326</v>
      </c>
      <c r="B334" t="s">
        <v>537</v>
      </c>
      <c r="D334" t="s">
        <v>289</v>
      </c>
      <c r="E334">
        <v>19.5</v>
      </c>
      <c r="F334">
        <v>2</v>
      </c>
      <c r="G334">
        <v>3.75</v>
      </c>
      <c r="H334">
        <v>13.75</v>
      </c>
    </row>
    <row r="335" spans="1:8" hidden="1" x14ac:dyDescent="0.3">
      <c r="A335" t="s">
        <v>326</v>
      </c>
      <c r="B335" t="s">
        <v>537</v>
      </c>
      <c r="D335" t="s">
        <v>292</v>
      </c>
      <c r="E335">
        <v>107.25</v>
      </c>
      <c r="F335">
        <v>11.5</v>
      </c>
      <c r="G335">
        <v>22</v>
      </c>
      <c r="H335">
        <v>73.75</v>
      </c>
    </row>
    <row r="336" spans="1:8" hidden="1" x14ac:dyDescent="0.3">
      <c r="A336" t="s">
        <v>326</v>
      </c>
      <c r="B336" t="s">
        <v>537</v>
      </c>
      <c r="D336" t="s">
        <v>294</v>
      </c>
      <c r="E336">
        <v>101</v>
      </c>
      <c r="F336">
        <v>10</v>
      </c>
      <c r="G336">
        <v>18.25</v>
      </c>
      <c r="H336">
        <v>72.75</v>
      </c>
    </row>
    <row r="337" spans="1:8" hidden="1" x14ac:dyDescent="0.3">
      <c r="A337" t="s">
        <v>326</v>
      </c>
      <c r="B337" t="s">
        <v>537</v>
      </c>
      <c r="D337" t="s">
        <v>296</v>
      </c>
      <c r="E337">
        <v>8.25</v>
      </c>
      <c r="F337">
        <v>0.75</v>
      </c>
      <c r="G337">
        <v>1.5</v>
      </c>
      <c r="H337">
        <v>6</v>
      </c>
    </row>
    <row r="338" spans="1:8" hidden="1" x14ac:dyDescent="0.3">
      <c r="A338" t="s">
        <v>326</v>
      </c>
      <c r="B338" t="s">
        <v>537</v>
      </c>
      <c r="D338" t="s">
        <v>298</v>
      </c>
      <c r="E338">
        <v>111.5</v>
      </c>
      <c r="F338">
        <v>10.75</v>
      </c>
      <c r="G338">
        <v>22.75</v>
      </c>
      <c r="H338">
        <v>78</v>
      </c>
    </row>
    <row r="339" spans="1:8" hidden="1" x14ac:dyDescent="0.3">
      <c r="A339" t="s">
        <v>326</v>
      </c>
      <c r="B339" t="s">
        <v>537</v>
      </c>
      <c r="D339" t="s">
        <v>300</v>
      </c>
      <c r="E339">
        <v>102.25</v>
      </c>
      <c r="F339">
        <v>13</v>
      </c>
      <c r="G339">
        <v>21.25</v>
      </c>
      <c r="H339">
        <v>68</v>
      </c>
    </row>
    <row r="340" spans="1:8" hidden="1" x14ac:dyDescent="0.3">
      <c r="A340" t="s">
        <v>326</v>
      </c>
      <c r="B340" t="s">
        <v>537</v>
      </c>
      <c r="D340" t="s">
        <v>302</v>
      </c>
      <c r="E340">
        <v>35</v>
      </c>
      <c r="F340">
        <v>3.25</v>
      </c>
      <c r="G340">
        <v>6.25</v>
      </c>
      <c r="H340">
        <v>25.5</v>
      </c>
    </row>
    <row r="341" spans="1:8" hidden="1" x14ac:dyDescent="0.3">
      <c r="A341" t="s">
        <v>326</v>
      </c>
      <c r="B341" t="s">
        <v>537</v>
      </c>
      <c r="D341" t="s">
        <v>304</v>
      </c>
      <c r="E341">
        <v>54</v>
      </c>
      <c r="F341">
        <v>6.25</v>
      </c>
      <c r="G341">
        <v>9.5</v>
      </c>
      <c r="H341">
        <v>38.25</v>
      </c>
    </row>
    <row r="342" spans="1:8" hidden="1" x14ac:dyDescent="0.3">
      <c r="A342" t="s">
        <v>326</v>
      </c>
      <c r="B342" t="s">
        <v>537</v>
      </c>
      <c r="D342" t="s">
        <v>307</v>
      </c>
      <c r="E342">
        <v>56.25</v>
      </c>
      <c r="F342">
        <v>6</v>
      </c>
      <c r="G342">
        <v>12</v>
      </c>
      <c r="H342">
        <v>38.25</v>
      </c>
    </row>
    <row r="343" spans="1:8" hidden="1" x14ac:dyDescent="0.3">
      <c r="A343" t="s">
        <v>326</v>
      </c>
      <c r="B343" t="s">
        <v>537</v>
      </c>
      <c r="D343" t="s">
        <v>309</v>
      </c>
      <c r="E343">
        <v>16.75</v>
      </c>
      <c r="F343">
        <v>1.5</v>
      </c>
      <c r="G343">
        <v>1.5</v>
      </c>
      <c r="H343">
        <v>13.75</v>
      </c>
    </row>
    <row r="344" spans="1:8" hidden="1" x14ac:dyDescent="0.3">
      <c r="A344" t="s">
        <v>326</v>
      </c>
      <c r="B344" t="s">
        <v>537</v>
      </c>
      <c r="D344" t="s">
        <v>311</v>
      </c>
      <c r="E344">
        <v>42.25</v>
      </c>
      <c r="F344">
        <v>4.5</v>
      </c>
      <c r="G344">
        <v>7.75</v>
      </c>
      <c r="H344">
        <v>30</v>
      </c>
    </row>
    <row r="345" spans="1:8" hidden="1" x14ac:dyDescent="0.3">
      <c r="A345" t="s">
        <v>328</v>
      </c>
      <c r="B345" t="s">
        <v>537</v>
      </c>
      <c r="D345" t="s">
        <v>215</v>
      </c>
      <c r="E345">
        <v>6.33</v>
      </c>
      <c r="F345">
        <v>0.83</v>
      </c>
      <c r="G345">
        <v>2.0100000000000002</v>
      </c>
      <c r="H345">
        <v>3.4899999999999998</v>
      </c>
    </row>
    <row r="346" spans="1:8" hidden="1" x14ac:dyDescent="0.3">
      <c r="A346" t="s">
        <v>328</v>
      </c>
      <c r="B346" t="s">
        <v>537</v>
      </c>
      <c r="D346" t="s">
        <v>220</v>
      </c>
      <c r="E346">
        <v>232</v>
      </c>
      <c r="F346">
        <v>19.200000000000003</v>
      </c>
      <c r="G346">
        <v>52.540000000000013</v>
      </c>
      <c r="H346">
        <v>160.26</v>
      </c>
    </row>
    <row r="347" spans="1:8" hidden="1" x14ac:dyDescent="0.3">
      <c r="A347" t="s">
        <v>328</v>
      </c>
      <c r="B347" t="s">
        <v>537</v>
      </c>
      <c r="D347" t="s">
        <v>701</v>
      </c>
      <c r="E347">
        <v>2293.920000000001</v>
      </c>
      <c r="F347">
        <v>211.69999999999973</v>
      </c>
      <c r="G347">
        <v>431.42000000000087</v>
      </c>
      <c r="H347">
        <v>1650.8000000000006</v>
      </c>
    </row>
    <row r="348" spans="1:8" hidden="1" x14ac:dyDescent="0.3">
      <c r="A348" t="s">
        <v>328</v>
      </c>
      <c r="B348" t="s">
        <v>537</v>
      </c>
      <c r="D348" t="s">
        <v>224</v>
      </c>
      <c r="E348">
        <v>78.019999999999982</v>
      </c>
      <c r="F348">
        <v>4.68</v>
      </c>
      <c r="G348">
        <v>14.04</v>
      </c>
      <c r="H348">
        <v>59.299999999999983</v>
      </c>
    </row>
    <row r="349" spans="1:8" hidden="1" x14ac:dyDescent="0.3">
      <c r="A349" t="s">
        <v>328</v>
      </c>
      <c r="B349" t="s">
        <v>537</v>
      </c>
      <c r="D349" t="s">
        <v>228</v>
      </c>
      <c r="E349">
        <v>165.28</v>
      </c>
      <c r="F349">
        <v>13.33</v>
      </c>
      <c r="G349">
        <v>22.67</v>
      </c>
      <c r="H349">
        <v>129.28</v>
      </c>
    </row>
    <row r="350" spans="1:8" hidden="1" x14ac:dyDescent="0.3">
      <c r="A350" t="s">
        <v>328</v>
      </c>
      <c r="B350" t="s">
        <v>537</v>
      </c>
      <c r="D350" t="s">
        <v>234</v>
      </c>
      <c r="E350">
        <v>5.6800000000000006</v>
      </c>
      <c r="F350">
        <v>0.67</v>
      </c>
      <c r="G350">
        <v>1.34</v>
      </c>
      <c r="H350">
        <v>3.6700000000000004</v>
      </c>
    </row>
    <row r="351" spans="1:8" hidden="1" x14ac:dyDescent="0.3">
      <c r="A351" t="s">
        <v>328</v>
      </c>
      <c r="B351" t="s">
        <v>537</v>
      </c>
      <c r="D351" t="s">
        <v>240</v>
      </c>
      <c r="E351">
        <v>16.53</v>
      </c>
      <c r="F351">
        <v>1.34</v>
      </c>
      <c r="G351">
        <v>2.0100000000000002</v>
      </c>
      <c r="H351">
        <v>13.18</v>
      </c>
    </row>
    <row r="352" spans="1:8" hidden="1" x14ac:dyDescent="0.3">
      <c r="A352" t="s">
        <v>328</v>
      </c>
      <c r="B352" t="s">
        <v>537</v>
      </c>
      <c r="D352" t="s">
        <v>244</v>
      </c>
      <c r="E352">
        <v>151.26000000000005</v>
      </c>
      <c r="F352">
        <v>15.17</v>
      </c>
      <c r="G352">
        <v>25.35</v>
      </c>
      <c r="H352">
        <v>110.74000000000005</v>
      </c>
    </row>
    <row r="353" spans="1:8" hidden="1" x14ac:dyDescent="0.3">
      <c r="A353" t="s">
        <v>328</v>
      </c>
      <c r="B353" t="s">
        <v>537</v>
      </c>
      <c r="D353" t="s">
        <v>247</v>
      </c>
      <c r="E353">
        <v>12.35</v>
      </c>
      <c r="F353">
        <v>1</v>
      </c>
      <c r="G353">
        <v>1.67</v>
      </c>
      <c r="H353">
        <v>9.68</v>
      </c>
    </row>
    <row r="354" spans="1:8" hidden="1" x14ac:dyDescent="0.3">
      <c r="A354" t="s">
        <v>328</v>
      </c>
      <c r="B354" t="s">
        <v>537</v>
      </c>
      <c r="D354" t="s">
        <v>249</v>
      </c>
      <c r="E354">
        <v>54.439999999999976</v>
      </c>
      <c r="F354">
        <v>3.8400000000000003</v>
      </c>
      <c r="G354">
        <v>7.67</v>
      </c>
      <c r="H354">
        <v>42.929999999999978</v>
      </c>
    </row>
    <row r="355" spans="1:8" hidden="1" x14ac:dyDescent="0.3">
      <c r="A355" t="s">
        <v>328</v>
      </c>
      <c r="B355" t="s">
        <v>537</v>
      </c>
      <c r="D355" t="s">
        <v>255</v>
      </c>
      <c r="E355">
        <v>43.929999999999978</v>
      </c>
      <c r="F355">
        <v>4</v>
      </c>
      <c r="G355">
        <v>9.16</v>
      </c>
      <c r="H355">
        <v>30.769999999999978</v>
      </c>
    </row>
    <row r="356" spans="1:8" hidden="1" x14ac:dyDescent="0.3">
      <c r="A356" t="s">
        <v>328</v>
      </c>
      <c r="B356" t="s">
        <v>537</v>
      </c>
      <c r="D356" t="s">
        <v>263</v>
      </c>
      <c r="E356">
        <v>43.169999999999995</v>
      </c>
      <c r="F356">
        <v>3.51</v>
      </c>
      <c r="G356">
        <v>7.17</v>
      </c>
      <c r="H356">
        <v>32.489999999999995</v>
      </c>
    </row>
    <row r="357" spans="1:8" hidden="1" x14ac:dyDescent="0.3">
      <c r="A357" t="s">
        <v>328</v>
      </c>
      <c r="B357" t="s">
        <v>537</v>
      </c>
      <c r="D357" t="s">
        <v>267</v>
      </c>
      <c r="E357">
        <v>82.99</v>
      </c>
      <c r="F357">
        <v>7.33</v>
      </c>
      <c r="G357">
        <v>15.69</v>
      </c>
      <c r="H357">
        <v>59.97</v>
      </c>
    </row>
    <row r="358" spans="1:8" hidden="1" x14ac:dyDescent="0.3">
      <c r="A358" t="s">
        <v>328</v>
      </c>
      <c r="B358" t="s">
        <v>537</v>
      </c>
      <c r="D358" t="s">
        <v>273</v>
      </c>
      <c r="E358">
        <v>395.87000000000057</v>
      </c>
      <c r="F358">
        <v>41.839999999999996</v>
      </c>
      <c r="G358">
        <v>85.289999999999978</v>
      </c>
      <c r="H358">
        <v>268.74000000000063</v>
      </c>
    </row>
    <row r="359" spans="1:8" hidden="1" x14ac:dyDescent="0.3">
      <c r="A359" t="s">
        <v>328</v>
      </c>
      <c r="B359" t="s">
        <v>537</v>
      </c>
      <c r="D359" t="s">
        <v>277</v>
      </c>
      <c r="E359">
        <v>29.669999999999995</v>
      </c>
      <c r="F359">
        <v>2.33</v>
      </c>
      <c r="G359">
        <v>5.18</v>
      </c>
      <c r="H359">
        <v>22.159999999999997</v>
      </c>
    </row>
    <row r="360" spans="1:8" hidden="1" x14ac:dyDescent="0.3">
      <c r="A360" t="s">
        <v>328</v>
      </c>
      <c r="B360" t="s">
        <v>537</v>
      </c>
      <c r="D360" t="s">
        <v>279</v>
      </c>
      <c r="E360">
        <v>10.159999999999998</v>
      </c>
      <c r="F360">
        <v>0.67</v>
      </c>
      <c r="G360">
        <v>1.34</v>
      </c>
      <c r="H360">
        <v>8.1499999999999986</v>
      </c>
    </row>
    <row r="361" spans="1:8" hidden="1" x14ac:dyDescent="0.3">
      <c r="A361" t="s">
        <v>328</v>
      </c>
      <c r="B361" t="s">
        <v>537</v>
      </c>
      <c r="D361" t="s">
        <v>281</v>
      </c>
      <c r="E361">
        <v>93.95999999999998</v>
      </c>
      <c r="F361">
        <v>8.68</v>
      </c>
      <c r="G361">
        <v>23.32</v>
      </c>
      <c r="H361">
        <v>61.95999999999998</v>
      </c>
    </row>
    <row r="362" spans="1:8" hidden="1" x14ac:dyDescent="0.3">
      <c r="A362" t="s">
        <v>328</v>
      </c>
      <c r="B362" t="s">
        <v>537</v>
      </c>
      <c r="D362" t="s">
        <v>283</v>
      </c>
      <c r="E362">
        <v>120.15999999999991</v>
      </c>
      <c r="F362">
        <v>12.67</v>
      </c>
      <c r="G362">
        <v>25.659999999999993</v>
      </c>
      <c r="H362">
        <v>81.829999999999927</v>
      </c>
    </row>
    <row r="363" spans="1:8" hidden="1" x14ac:dyDescent="0.3">
      <c r="A363" t="s">
        <v>328</v>
      </c>
      <c r="B363" t="s">
        <v>537</v>
      </c>
      <c r="D363" t="s">
        <v>287</v>
      </c>
      <c r="E363">
        <v>82.629999999999981</v>
      </c>
      <c r="F363">
        <v>7.85</v>
      </c>
      <c r="G363">
        <v>9.35</v>
      </c>
      <c r="H363">
        <v>65.429999999999978</v>
      </c>
    </row>
    <row r="364" spans="1:8" hidden="1" x14ac:dyDescent="0.3">
      <c r="A364" t="s">
        <v>328</v>
      </c>
      <c r="B364" t="s">
        <v>537</v>
      </c>
      <c r="D364" t="s">
        <v>289</v>
      </c>
      <c r="E364">
        <v>18.86</v>
      </c>
      <c r="F364">
        <v>2.0100000000000002</v>
      </c>
      <c r="G364">
        <v>4.18</v>
      </c>
      <c r="H364">
        <v>12.67</v>
      </c>
    </row>
    <row r="365" spans="1:8" hidden="1" x14ac:dyDescent="0.3">
      <c r="A365" t="s">
        <v>328</v>
      </c>
      <c r="B365" t="s">
        <v>537</v>
      </c>
      <c r="D365" t="s">
        <v>292</v>
      </c>
      <c r="E365">
        <v>99.649999999999991</v>
      </c>
      <c r="F365">
        <v>11.34</v>
      </c>
      <c r="G365">
        <v>20.5</v>
      </c>
      <c r="H365">
        <v>67.809999999999988</v>
      </c>
    </row>
    <row r="366" spans="1:8" hidden="1" x14ac:dyDescent="0.3">
      <c r="A366" t="s">
        <v>328</v>
      </c>
      <c r="B366" t="s">
        <v>537</v>
      </c>
      <c r="D366" t="s">
        <v>294</v>
      </c>
      <c r="E366">
        <v>96.489999999999966</v>
      </c>
      <c r="F366">
        <v>6.02</v>
      </c>
      <c r="G366">
        <v>16.04</v>
      </c>
      <c r="H366">
        <v>74.429999999999964</v>
      </c>
    </row>
    <row r="367" spans="1:8" hidden="1" x14ac:dyDescent="0.3">
      <c r="A367" t="s">
        <v>328</v>
      </c>
      <c r="B367" t="s">
        <v>537</v>
      </c>
      <c r="D367" t="s">
        <v>296</v>
      </c>
      <c r="E367">
        <v>10.34</v>
      </c>
      <c r="F367">
        <v>0.83</v>
      </c>
      <c r="G367">
        <v>1.34</v>
      </c>
      <c r="H367">
        <v>8.17</v>
      </c>
    </row>
    <row r="368" spans="1:8" hidden="1" x14ac:dyDescent="0.3">
      <c r="A368" t="s">
        <v>328</v>
      </c>
      <c r="B368" t="s">
        <v>537</v>
      </c>
      <c r="D368" t="s">
        <v>298</v>
      </c>
      <c r="E368">
        <v>118.90999999999994</v>
      </c>
      <c r="F368">
        <v>10.51</v>
      </c>
      <c r="G368">
        <v>22.169999999999995</v>
      </c>
      <c r="H368">
        <v>86.229999999999947</v>
      </c>
    </row>
    <row r="369" spans="1:8" hidden="1" x14ac:dyDescent="0.3">
      <c r="A369" t="s">
        <v>328</v>
      </c>
      <c r="B369" t="s">
        <v>537</v>
      </c>
      <c r="D369" t="s">
        <v>300</v>
      </c>
      <c r="E369">
        <v>111.72999999999995</v>
      </c>
      <c r="F369">
        <v>12.34</v>
      </c>
      <c r="G369">
        <v>22.979999999999997</v>
      </c>
      <c r="H369">
        <v>76.409999999999954</v>
      </c>
    </row>
    <row r="370" spans="1:8" hidden="1" x14ac:dyDescent="0.3">
      <c r="A370" t="s">
        <v>328</v>
      </c>
      <c r="B370" t="s">
        <v>537</v>
      </c>
      <c r="D370" t="s">
        <v>302</v>
      </c>
      <c r="E370">
        <v>33.61999999999999</v>
      </c>
      <c r="F370">
        <v>3.17</v>
      </c>
      <c r="G370">
        <v>5.84</v>
      </c>
      <c r="H370">
        <v>24.609999999999989</v>
      </c>
    </row>
    <row r="371" spans="1:8" hidden="1" x14ac:dyDescent="0.3">
      <c r="A371" t="s">
        <v>328</v>
      </c>
      <c r="B371" t="s">
        <v>537</v>
      </c>
      <c r="D371" t="s">
        <v>304</v>
      </c>
      <c r="E371">
        <v>56.819999999999979</v>
      </c>
      <c r="F371">
        <v>5.5200000000000005</v>
      </c>
      <c r="G371">
        <v>8.68</v>
      </c>
      <c r="H371">
        <v>42.619999999999983</v>
      </c>
    </row>
    <row r="372" spans="1:8" hidden="1" x14ac:dyDescent="0.3">
      <c r="A372" t="s">
        <v>328</v>
      </c>
      <c r="B372" t="s">
        <v>537</v>
      </c>
      <c r="D372" t="s">
        <v>307</v>
      </c>
      <c r="E372">
        <v>58.070000000000014</v>
      </c>
      <c r="F372">
        <v>5.01</v>
      </c>
      <c r="G372">
        <v>10.7</v>
      </c>
      <c r="H372">
        <v>42.360000000000014</v>
      </c>
    </row>
    <row r="373" spans="1:8" hidden="1" x14ac:dyDescent="0.3">
      <c r="A373" t="s">
        <v>328</v>
      </c>
      <c r="B373" t="s">
        <v>537</v>
      </c>
      <c r="D373" t="s">
        <v>309</v>
      </c>
      <c r="E373">
        <v>18.66</v>
      </c>
      <c r="F373">
        <v>1.5</v>
      </c>
      <c r="G373">
        <v>1.34</v>
      </c>
      <c r="H373">
        <v>15.82</v>
      </c>
    </row>
    <row r="374" spans="1:8" hidden="1" x14ac:dyDescent="0.3">
      <c r="A374" t="s">
        <v>328</v>
      </c>
      <c r="B374" t="s">
        <v>537</v>
      </c>
      <c r="D374" t="s">
        <v>311</v>
      </c>
      <c r="E374">
        <v>46.339999999999989</v>
      </c>
      <c r="F374">
        <v>4.51</v>
      </c>
      <c r="G374">
        <v>6.1899999999999995</v>
      </c>
      <c r="H374">
        <v>35.639999999999986</v>
      </c>
    </row>
    <row r="375" spans="1:8" x14ac:dyDescent="0.3">
      <c r="A375" t="s">
        <v>412</v>
      </c>
      <c r="B375" t="s">
        <v>537</v>
      </c>
      <c r="D375" t="s">
        <v>215</v>
      </c>
      <c r="E375">
        <v>10.75</v>
      </c>
      <c r="F375">
        <v>1.25</v>
      </c>
      <c r="G375">
        <v>3.5</v>
      </c>
      <c r="H375">
        <v>6</v>
      </c>
    </row>
    <row r="376" spans="1:8" x14ac:dyDescent="0.3">
      <c r="A376" t="s">
        <v>412</v>
      </c>
      <c r="B376" t="s">
        <v>537</v>
      </c>
      <c r="D376" t="s">
        <v>220</v>
      </c>
      <c r="E376">
        <v>354.25</v>
      </c>
      <c r="F376">
        <v>28.5</v>
      </c>
      <c r="G376">
        <v>84.25</v>
      </c>
      <c r="H376">
        <v>241.5</v>
      </c>
    </row>
    <row r="377" spans="1:8" x14ac:dyDescent="0.3">
      <c r="A377" t="s">
        <v>412</v>
      </c>
      <c r="B377" t="s">
        <v>537</v>
      </c>
      <c r="D377" t="s">
        <v>701</v>
      </c>
      <c r="E377">
        <v>3431</v>
      </c>
      <c r="F377">
        <v>325.25</v>
      </c>
      <c r="G377">
        <v>659.5</v>
      </c>
      <c r="H377">
        <v>2446.25</v>
      </c>
    </row>
    <row r="378" spans="1:8" x14ac:dyDescent="0.3">
      <c r="A378" t="s">
        <v>412</v>
      </c>
      <c r="B378" t="s">
        <v>537</v>
      </c>
      <c r="D378" t="s">
        <v>224</v>
      </c>
      <c r="E378">
        <v>110</v>
      </c>
      <c r="F378">
        <v>7</v>
      </c>
      <c r="G378">
        <v>18.5</v>
      </c>
      <c r="H378">
        <v>84.5</v>
      </c>
    </row>
    <row r="379" spans="1:8" x14ac:dyDescent="0.3">
      <c r="A379" t="s">
        <v>412</v>
      </c>
      <c r="B379" t="s">
        <v>537</v>
      </c>
      <c r="D379" t="s">
        <v>228</v>
      </c>
      <c r="E379">
        <v>233</v>
      </c>
      <c r="F379">
        <v>19.75</v>
      </c>
      <c r="G379">
        <v>34.5</v>
      </c>
      <c r="H379">
        <v>178.75</v>
      </c>
    </row>
    <row r="380" spans="1:8" x14ac:dyDescent="0.3">
      <c r="A380" t="s">
        <v>412</v>
      </c>
      <c r="B380" t="s">
        <v>537</v>
      </c>
      <c r="D380" t="s">
        <v>234</v>
      </c>
      <c r="E380">
        <v>10</v>
      </c>
      <c r="F380">
        <v>2</v>
      </c>
      <c r="G380">
        <v>1</v>
      </c>
      <c r="H380">
        <v>7</v>
      </c>
    </row>
    <row r="381" spans="1:8" x14ac:dyDescent="0.3">
      <c r="A381" t="s">
        <v>412</v>
      </c>
      <c r="B381" t="s">
        <v>537</v>
      </c>
      <c r="D381" t="s">
        <v>240</v>
      </c>
      <c r="E381">
        <v>25</v>
      </c>
      <c r="F381">
        <v>2</v>
      </c>
      <c r="G381">
        <v>4.25</v>
      </c>
      <c r="H381">
        <v>18.75</v>
      </c>
    </row>
    <row r="382" spans="1:8" x14ac:dyDescent="0.3">
      <c r="A382" t="s">
        <v>412</v>
      </c>
      <c r="B382" t="s">
        <v>537</v>
      </c>
      <c r="D382" t="s">
        <v>244</v>
      </c>
      <c r="E382">
        <v>232</v>
      </c>
      <c r="F382">
        <v>24.25</v>
      </c>
      <c r="G382">
        <v>40.25</v>
      </c>
      <c r="H382">
        <v>167.5</v>
      </c>
    </row>
    <row r="383" spans="1:8" x14ac:dyDescent="0.3">
      <c r="A383" t="s">
        <v>412</v>
      </c>
      <c r="B383" t="s">
        <v>537</v>
      </c>
      <c r="D383" t="s">
        <v>247</v>
      </c>
      <c r="E383">
        <v>16.75</v>
      </c>
      <c r="F383">
        <v>1.5</v>
      </c>
      <c r="G383">
        <v>2.5</v>
      </c>
      <c r="H383">
        <v>12.75</v>
      </c>
    </row>
    <row r="384" spans="1:8" x14ac:dyDescent="0.3">
      <c r="A384" t="s">
        <v>412</v>
      </c>
      <c r="B384" t="s">
        <v>537</v>
      </c>
      <c r="D384" t="s">
        <v>249</v>
      </c>
      <c r="E384">
        <v>84.75</v>
      </c>
      <c r="F384">
        <v>6.5</v>
      </c>
      <c r="G384">
        <v>13</v>
      </c>
      <c r="H384">
        <v>65.25</v>
      </c>
    </row>
    <row r="385" spans="1:8" x14ac:dyDescent="0.3">
      <c r="A385" t="s">
        <v>412</v>
      </c>
      <c r="B385" t="s">
        <v>537</v>
      </c>
      <c r="D385" t="s">
        <v>255</v>
      </c>
      <c r="E385">
        <v>63.75</v>
      </c>
      <c r="F385">
        <v>7</v>
      </c>
      <c r="G385">
        <v>14</v>
      </c>
      <c r="H385">
        <v>42.75</v>
      </c>
    </row>
    <row r="386" spans="1:8" x14ac:dyDescent="0.3">
      <c r="A386" t="s">
        <v>412</v>
      </c>
      <c r="B386" t="s">
        <v>537</v>
      </c>
      <c r="D386" t="s">
        <v>263</v>
      </c>
      <c r="E386">
        <v>62</v>
      </c>
      <c r="F386">
        <v>6</v>
      </c>
      <c r="G386">
        <v>7.75</v>
      </c>
      <c r="H386">
        <v>48.25</v>
      </c>
    </row>
    <row r="387" spans="1:8" x14ac:dyDescent="0.3">
      <c r="A387" t="s">
        <v>412</v>
      </c>
      <c r="B387" t="s">
        <v>537</v>
      </c>
      <c r="D387" t="s">
        <v>267</v>
      </c>
      <c r="E387">
        <v>115.25</v>
      </c>
      <c r="F387">
        <v>10.25</v>
      </c>
      <c r="G387">
        <v>26.25</v>
      </c>
      <c r="H387">
        <v>78.75</v>
      </c>
    </row>
    <row r="388" spans="1:8" x14ac:dyDescent="0.3">
      <c r="A388" t="s">
        <v>412</v>
      </c>
      <c r="B388" t="s">
        <v>537</v>
      </c>
      <c r="D388" t="s">
        <v>273</v>
      </c>
      <c r="E388">
        <v>602.75</v>
      </c>
      <c r="F388">
        <v>65.25</v>
      </c>
      <c r="G388">
        <v>132.75</v>
      </c>
      <c r="H388">
        <v>404.75</v>
      </c>
    </row>
    <row r="389" spans="1:8" x14ac:dyDescent="0.3">
      <c r="A389" t="s">
        <v>412</v>
      </c>
      <c r="B389" t="s">
        <v>537</v>
      </c>
      <c r="D389" t="s">
        <v>277</v>
      </c>
      <c r="E389">
        <v>47.75</v>
      </c>
      <c r="F389">
        <v>4.75</v>
      </c>
      <c r="G389">
        <v>7.75</v>
      </c>
      <c r="H389">
        <v>35.25</v>
      </c>
    </row>
    <row r="390" spans="1:8" x14ac:dyDescent="0.3">
      <c r="A390" t="s">
        <v>412</v>
      </c>
      <c r="B390" t="s">
        <v>537</v>
      </c>
      <c r="D390" t="s">
        <v>279</v>
      </c>
      <c r="E390">
        <v>14.25</v>
      </c>
      <c r="F390">
        <v>1</v>
      </c>
      <c r="G390">
        <v>3</v>
      </c>
      <c r="H390">
        <v>10.25</v>
      </c>
    </row>
    <row r="391" spans="1:8" x14ac:dyDescent="0.3">
      <c r="A391" t="s">
        <v>412</v>
      </c>
      <c r="B391" t="s">
        <v>537</v>
      </c>
      <c r="D391" t="s">
        <v>281</v>
      </c>
      <c r="E391">
        <v>136.5</v>
      </c>
      <c r="F391">
        <v>12</v>
      </c>
      <c r="G391">
        <v>35.75</v>
      </c>
      <c r="H391">
        <v>88.75</v>
      </c>
    </row>
    <row r="392" spans="1:8" x14ac:dyDescent="0.3">
      <c r="A392" t="s">
        <v>412</v>
      </c>
      <c r="B392" t="s">
        <v>537</v>
      </c>
      <c r="D392" t="s">
        <v>283</v>
      </c>
      <c r="E392">
        <v>180.25</v>
      </c>
      <c r="F392">
        <v>19.25</v>
      </c>
      <c r="G392">
        <v>34.5</v>
      </c>
      <c r="H392">
        <v>126.5</v>
      </c>
    </row>
    <row r="393" spans="1:8" x14ac:dyDescent="0.3">
      <c r="A393" t="s">
        <v>412</v>
      </c>
      <c r="B393" t="s">
        <v>537</v>
      </c>
      <c r="D393" t="s">
        <v>287</v>
      </c>
      <c r="E393">
        <v>125.25</v>
      </c>
      <c r="F393">
        <v>11.5</v>
      </c>
      <c r="G393">
        <v>16.5</v>
      </c>
      <c r="H393">
        <v>97.25</v>
      </c>
    </row>
    <row r="394" spans="1:8" x14ac:dyDescent="0.3">
      <c r="A394" t="s">
        <v>412</v>
      </c>
      <c r="B394" t="s">
        <v>537</v>
      </c>
      <c r="D394" t="s">
        <v>289</v>
      </c>
      <c r="E394">
        <v>33</v>
      </c>
      <c r="F394">
        <v>3</v>
      </c>
      <c r="G394">
        <v>5</v>
      </c>
      <c r="H394">
        <v>25</v>
      </c>
    </row>
    <row r="395" spans="1:8" x14ac:dyDescent="0.3">
      <c r="A395" t="s">
        <v>412</v>
      </c>
      <c r="B395" t="s">
        <v>537</v>
      </c>
      <c r="D395" t="s">
        <v>292</v>
      </c>
      <c r="E395">
        <v>151</v>
      </c>
      <c r="F395">
        <v>16</v>
      </c>
      <c r="G395">
        <v>26.5</v>
      </c>
      <c r="H395">
        <v>108.5</v>
      </c>
    </row>
    <row r="396" spans="1:8" x14ac:dyDescent="0.3">
      <c r="A396" t="s">
        <v>412</v>
      </c>
      <c r="B396" t="s">
        <v>537</v>
      </c>
      <c r="D396" t="s">
        <v>294</v>
      </c>
      <c r="E396">
        <v>136.5</v>
      </c>
      <c r="F396">
        <v>10.5</v>
      </c>
      <c r="G396">
        <v>27</v>
      </c>
      <c r="H396">
        <v>99</v>
      </c>
    </row>
    <row r="397" spans="1:8" x14ac:dyDescent="0.3">
      <c r="A397" t="s">
        <v>412</v>
      </c>
      <c r="B397" t="s">
        <v>537</v>
      </c>
      <c r="D397" t="s">
        <v>296</v>
      </c>
      <c r="E397">
        <v>15.25</v>
      </c>
      <c r="F397">
        <v>1.25</v>
      </c>
      <c r="G397">
        <v>2</v>
      </c>
      <c r="H397">
        <v>12</v>
      </c>
    </row>
    <row r="398" spans="1:8" x14ac:dyDescent="0.3">
      <c r="A398" t="s">
        <v>412</v>
      </c>
      <c r="B398" t="s">
        <v>537</v>
      </c>
      <c r="D398" t="s">
        <v>298</v>
      </c>
      <c r="E398">
        <v>185.5</v>
      </c>
      <c r="F398">
        <v>16.75</v>
      </c>
      <c r="G398">
        <v>34.25</v>
      </c>
      <c r="H398">
        <v>134.5</v>
      </c>
    </row>
    <row r="399" spans="1:8" x14ac:dyDescent="0.3">
      <c r="A399" t="s">
        <v>412</v>
      </c>
      <c r="B399" t="s">
        <v>537</v>
      </c>
      <c r="D399" t="s">
        <v>300</v>
      </c>
      <c r="E399">
        <v>160</v>
      </c>
      <c r="F399">
        <v>17.25</v>
      </c>
      <c r="G399">
        <v>32.5</v>
      </c>
      <c r="H399">
        <v>110.25</v>
      </c>
    </row>
    <row r="400" spans="1:8" x14ac:dyDescent="0.3">
      <c r="A400" t="s">
        <v>412</v>
      </c>
      <c r="B400" t="s">
        <v>537</v>
      </c>
      <c r="D400" t="s">
        <v>302</v>
      </c>
      <c r="E400">
        <v>53.5</v>
      </c>
      <c r="F400">
        <v>5.75</v>
      </c>
      <c r="G400">
        <v>6.75</v>
      </c>
      <c r="H400">
        <v>41</v>
      </c>
    </row>
    <row r="401" spans="1:8" x14ac:dyDescent="0.3">
      <c r="A401" t="s">
        <v>412</v>
      </c>
      <c r="B401" t="s">
        <v>537</v>
      </c>
      <c r="D401" t="s">
        <v>304</v>
      </c>
      <c r="E401">
        <v>93</v>
      </c>
      <c r="F401">
        <v>7.25</v>
      </c>
      <c r="G401">
        <v>15.25</v>
      </c>
      <c r="H401">
        <v>70.5</v>
      </c>
    </row>
    <row r="402" spans="1:8" x14ac:dyDescent="0.3">
      <c r="A402" t="s">
        <v>412</v>
      </c>
      <c r="B402" t="s">
        <v>537</v>
      </c>
      <c r="D402" t="s">
        <v>307</v>
      </c>
      <c r="E402">
        <v>88.75</v>
      </c>
      <c r="F402">
        <v>9</v>
      </c>
      <c r="G402">
        <v>16.5</v>
      </c>
      <c r="H402">
        <v>63.25</v>
      </c>
    </row>
    <row r="403" spans="1:8" x14ac:dyDescent="0.3">
      <c r="A403" t="s">
        <v>412</v>
      </c>
      <c r="B403" t="s">
        <v>537</v>
      </c>
      <c r="D403" t="s">
        <v>309</v>
      </c>
      <c r="E403">
        <v>25.5</v>
      </c>
      <c r="F403">
        <v>2.25</v>
      </c>
      <c r="G403">
        <v>3</v>
      </c>
      <c r="H403">
        <v>20.25</v>
      </c>
    </row>
    <row r="404" spans="1:8" x14ac:dyDescent="0.3">
      <c r="A404" t="s">
        <v>412</v>
      </c>
      <c r="B404" t="s">
        <v>537</v>
      </c>
      <c r="D404" t="s">
        <v>311</v>
      </c>
      <c r="E404">
        <v>64.75</v>
      </c>
      <c r="F404">
        <v>6.5</v>
      </c>
      <c r="G404">
        <v>10.75</v>
      </c>
      <c r="H404">
        <v>47.5</v>
      </c>
    </row>
  </sheetData>
  <pageMargins left="0.7" right="0.7" top="0.75" bottom="0.75" header="0.3" footer="0.3"/>
  <tableParts count="1">
    <tablePart r:id="rId1"/>
  </tableParts>
</worksheet>
</file>

<file path=xl/worksheets/sheet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Sheet12">
    <tabColor theme="9" tint="0.39997558519241921"/>
    <pageSetUpPr fitToPage="1"/>
  </sheetPr>
  <dimension ref="A1:J51"/>
  <sheetViews>
    <sheetView showGridLines="0" zoomScaleNormal="100" workbookViewId="0">
      <pane ySplit="2" topLeftCell="A3" activePane="bottomLeft" state="frozen"/>
      <selection pane="bottomLeft" sqref="A1:G1"/>
    </sheetView>
  </sheetViews>
  <sheetFormatPr defaultRowHeight="14.4" x14ac:dyDescent="0.3"/>
  <cols>
    <col min="1" max="1" width="17.44140625" customWidth="1"/>
    <col min="2" max="2" width="31.88671875" customWidth="1"/>
    <col min="3" max="5" width="11.88671875" customWidth="1"/>
    <col min="6" max="6" width="11.109375" customWidth="1"/>
  </cols>
  <sheetData>
    <row r="1" spans="1:7" ht="15.6" x14ac:dyDescent="0.3">
      <c r="A1" s="1030" t="s">
        <v>515</v>
      </c>
      <c r="B1" s="1030"/>
      <c r="C1" s="1030"/>
      <c r="D1" s="1030"/>
      <c r="E1" s="1030"/>
      <c r="F1" s="1030"/>
      <c r="G1" s="1030"/>
    </row>
    <row r="2" spans="1:7" ht="15.6" x14ac:dyDescent="0.3">
      <c r="A2" s="498" t="s">
        <v>202</v>
      </c>
      <c r="C2" s="440"/>
      <c r="D2" s="440"/>
      <c r="E2" s="440"/>
      <c r="F2" s="440"/>
      <c r="G2" s="440"/>
    </row>
    <row r="3" spans="1:7" ht="15.6" x14ac:dyDescent="0.3">
      <c r="C3" s="440"/>
      <c r="D3" s="440"/>
      <c r="E3" s="440"/>
      <c r="F3" s="440"/>
      <c r="G3" s="440"/>
    </row>
    <row r="4" spans="1:7" ht="37.5" customHeight="1" x14ac:dyDescent="0.3">
      <c r="A4" s="420" t="s">
        <v>702</v>
      </c>
      <c r="B4" s="420"/>
      <c r="C4" s="420"/>
      <c r="D4" s="420"/>
      <c r="E4" s="420"/>
    </row>
    <row r="5" spans="1:7" ht="15" customHeight="1" x14ac:dyDescent="0.3">
      <c r="A5" t="s">
        <v>203</v>
      </c>
      <c r="B5" t="s">
        <v>84</v>
      </c>
      <c r="C5" s="420"/>
      <c r="D5" s="420"/>
      <c r="E5" s="420"/>
    </row>
    <row r="6" spans="1:7" ht="15" customHeight="1" x14ac:dyDescent="0.3">
      <c r="A6" t="s">
        <v>204</v>
      </c>
      <c r="B6" t="s">
        <v>205</v>
      </c>
      <c r="C6" s="420"/>
      <c r="D6" s="420"/>
      <c r="E6" s="420"/>
    </row>
    <row r="7" spans="1:7" ht="15" customHeight="1" x14ac:dyDescent="0.3">
      <c r="A7" t="s">
        <v>206</v>
      </c>
      <c r="B7" t="s">
        <v>207</v>
      </c>
      <c r="C7" s="420"/>
      <c r="D7" s="420"/>
      <c r="E7" s="420"/>
    </row>
    <row r="8" spans="1:7" ht="27" x14ac:dyDescent="0.3">
      <c r="A8" s="78" t="s">
        <v>208</v>
      </c>
      <c r="B8" s="78" t="s">
        <v>550</v>
      </c>
      <c r="C8" s="79" t="s">
        <v>642</v>
      </c>
      <c r="D8" s="79" t="s">
        <v>643</v>
      </c>
      <c r="E8" s="79" t="s">
        <v>627</v>
      </c>
      <c r="F8" s="79" t="s">
        <v>340</v>
      </c>
    </row>
    <row r="9" spans="1:7" ht="15" thickBot="1" x14ac:dyDescent="0.35">
      <c r="A9" s="80" t="str">
        <f>RDSFTERoleAreaPivot!B1</f>
        <v>2025-26</v>
      </c>
      <c r="B9" s="80" t="s">
        <v>685</v>
      </c>
      <c r="C9" s="726">
        <f>C44</f>
        <v>325.25</v>
      </c>
      <c r="D9" s="726">
        <f>D44</f>
        <v>659.5</v>
      </c>
      <c r="E9" s="726">
        <f>E44</f>
        <v>2446.25</v>
      </c>
      <c r="F9" s="726">
        <f>F44</f>
        <v>3431</v>
      </c>
    </row>
    <row r="10" spans="1:7" x14ac:dyDescent="0.3">
      <c r="B10" s="48"/>
      <c r="C10" s="727"/>
      <c r="D10" s="727"/>
      <c r="E10" s="727"/>
      <c r="F10" s="727"/>
    </row>
    <row r="11" spans="1:7" x14ac:dyDescent="0.3">
      <c r="A11" s="42" t="s">
        <v>209</v>
      </c>
      <c r="B11" s="42" t="s">
        <v>347</v>
      </c>
      <c r="C11" s="728"/>
      <c r="D11" s="728"/>
      <c r="E11" s="728"/>
      <c r="F11" s="728"/>
    </row>
    <row r="12" spans="1:7" x14ac:dyDescent="0.3">
      <c r="A12" s="390" t="s">
        <v>214</v>
      </c>
      <c r="B12" s="45" t="s">
        <v>215</v>
      </c>
      <c r="C12" s="49">
        <f>GETPIVOTDATA("Sum of Watch Manager",RDSFTERoleAreaPivot!$A$3,"ReportingLevel","1:LA","lvl","Aberdeen City")</f>
        <v>1.25</v>
      </c>
      <c r="D12" s="49">
        <f>GETPIVOTDATA("Sum of Crew Manager",RDSFTERoleAreaPivot!$A$3,"ReportingLevel","1:LA","lvl","Aberdeen City")</f>
        <v>3.5</v>
      </c>
      <c r="E12" s="49">
        <f>GETPIVOTDATA("Sum of Firefighter",RDSFTERoleAreaPivot!$A$3,"ReportingLevel","1:LA","lvl","Aberdeen City")</f>
        <v>6</v>
      </c>
      <c r="F12" s="729">
        <f>SUM(C12:E12)</f>
        <v>10.75</v>
      </c>
    </row>
    <row r="13" spans="1:7" x14ac:dyDescent="0.3">
      <c r="A13" s="89" t="s">
        <v>219</v>
      </c>
      <c r="B13" s="48" t="s">
        <v>220</v>
      </c>
      <c r="C13" s="49">
        <f>GETPIVOTDATA("Sum of Watch Manager",RDSFTERoleAreaPivot!$A$3,"ReportingLevel","1:LA","lvl","Aberdeenshire")</f>
        <v>28.5</v>
      </c>
      <c r="D13" s="49">
        <f>GETPIVOTDATA("Sum of Crew Manager",RDSFTERoleAreaPivot!$A$3,"ReportingLevel","1:LA","lvl","Aberdeenshire")</f>
        <v>84.25</v>
      </c>
      <c r="E13" s="49">
        <f>GETPIVOTDATA("Sum of Firefighter",RDSFTERoleAreaPivot!$A$3,"ReportingLevel","1:LA","lvl","Aberdeenshire")</f>
        <v>241.5</v>
      </c>
      <c r="F13" s="729">
        <f t="shared" ref="F13:F21" si="0">SUM(C13:E13)</f>
        <v>354.25</v>
      </c>
    </row>
    <row r="14" spans="1:7" x14ac:dyDescent="0.3">
      <c r="A14" s="89" t="s">
        <v>223</v>
      </c>
      <c r="B14" s="48" t="s">
        <v>224</v>
      </c>
      <c r="C14" s="49">
        <f>GETPIVOTDATA("Sum of Watch Manager",RDSFTERoleAreaPivot!$A$3,"ReportingLevel","1:LA","lvl","Angus")</f>
        <v>7</v>
      </c>
      <c r="D14" s="49">
        <f>GETPIVOTDATA("Sum of Crew Manager",RDSFTERoleAreaPivot!$A$3,"ReportingLevel","1:LA","lvl","Angus")</f>
        <v>18.5</v>
      </c>
      <c r="E14" s="49">
        <f>GETPIVOTDATA("Sum of Firefighter",RDSFTERoleAreaPivot!$A$3,"ReportingLevel","1:LA","lvl","Angus")</f>
        <v>84.5</v>
      </c>
      <c r="F14" s="729">
        <f t="shared" si="0"/>
        <v>110</v>
      </c>
    </row>
    <row r="15" spans="1:7" x14ac:dyDescent="0.3">
      <c r="A15" s="89" t="s">
        <v>227</v>
      </c>
      <c r="B15" s="48" t="s">
        <v>228</v>
      </c>
      <c r="C15" s="49">
        <f>GETPIVOTDATA("Sum of Watch Manager",RDSFTERoleAreaPivot!$A$3,"ReportingLevel","1:LA","lvl","Argyll and Bute")</f>
        <v>19.75</v>
      </c>
      <c r="D15" s="49">
        <f>GETPIVOTDATA("Sum of Crew Manager",RDSFTERoleAreaPivot!$A$3,"ReportingLevel","1:LA","lvl","Argyll and Bute")</f>
        <v>34.5</v>
      </c>
      <c r="E15" s="49">
        <f>GETPIVOTDATA("Sum of Firefighter",RDSFTERoleAreaPivot!$A$3,"ReportingLevel","1:LA","lvl","Argyll and Bute")</f>
        <v>178.75</v>
      </c>
      <c r="F15" s="729">
        <f t="shared" si="0"/>
        <v>233</v>
      </c>
    </row>
    <row r="16" spans="1:7" x14ac:dyDescent="0.3">
      <c r="A16" s="89" t="s">
        <v>233</v>
      </c>
      <c r="B16" s="48" t="s">
        <v>234</v>
      </c>
      <c r="C16" s="49">
        <f>GETPIVOTDATA("Sum of Watch Manager",RDSFTERoleAreaPivot!$A$3,"ReportingLevel","1:LA","lvl","City of Edinburgh")</f>
        <v>2</v>
      </c>
      <c r="D16" s="49">
        <f>GETPIVOTDATA("Sum of Crew Manager",RDSFTERoleAreaPivot!$A$3,"ReportingLevel","1:LA","lvl","City of Edinburgh")</f>
        <v>1</v>
      </c>
      <c r="E16" s="49">
        <f>GETPIVOTDATA("Sum of Firefighter",RDSFTERoleAreaPivot!$A$3,"ReportingLevel","1:LA","lvl","City of Edinburgh")</f>
        <v>7</v>
      </c>
      <c r="F16" s="729">
        <f t="shared" si="0"/>
        <v>10</v>
      </c>
    </row>
    <row r="17" spans="1:6" x14ac:dyDescent="0.3">
      <c r="A17" s="89" t="s">
        <v>239</v>
      </c>
      <c r="B17" s="48" t="s">
        <v>240</v>
      </c>
      <c r="C17" s="49">
        <f>GETPIVOTDATA("Sum of Watch Manager",RDSFTERoleAreaPivot!$A$3,"ReportingLevel","1:LA","lvl","Clackmannanshire")</f>
        <v>2</v>
      </c>
      <c r="D17" s="49">
        <f>GETPIVOTDATA("Sum of Crew Manager",RDSFTERoleAreaPivot!$A$3,"ReportingLevel","1:LA","lvl","Clackmannanshire")</f>
        <v>4.25</v>
      </c>
      <c r="E17" s="49">
        <f>GETPIVOTDATA("Sum of Firefighter",RDSFTERoleAreaPivot!$A$3,"ReportingLevel","1:LA","lvl","Clackmannanshire")</f>
        <v>18.75</v>
      </c>
      <c r="F17" s="729">
        <f t="shared" si="0"/>
        <v>25</v>
      </c>
    </row>
    <row r="18" spans="1:6" x14ac:dyDescent="0.3">
      <c r="A18" s="89" t="s">
        <v>243</v>
      </c>
      <c r="B18" s="48" t="s">
        <v>244</v>
      </c>
      <c r="C18" s="49">
        <f>GETPIVOTDATA("Sum of Watch Manager",RDSFTERoleAreaPivot!$A$3,"ReportingLevel","1:LA","lvl","Dumfries and Galloway")</f>
        <v>24.25</v>
      </c>
      <c r="D18" s="49">
        <f>GETPIVOTDATA("Sum of Crew Manager",RDSFTERoleAreaPivot!$A$3,"ReportingLevel","1:LA","lvl","Dumfries and Galloway")</f>
        <v>40.25</v>
      </c>
      <c r="E18" s="49">
        <f>GETPIVOTDATA("Sum of Firefighter",RDSFTERoleAreaPivot!$A$3,"ReportingLevel","1:LA","lvl","Dumfries and Galloway")</f>
        <v>167.5</v>
      </c>
      <c r="F18" s="729">
        <f t="shared" si="0"/>
        <v>232</v>
      </c>
    </row>
    <row r="19" spans="1:6" x14ac:dyDescent="0.3">
      <c r="A19" s="89" t="s">
        <v>246</v>
      </c>
      <c r="B19" s="48" t="s">
        <v>247</v>
      </c>
      <c r="C19" s="49">
        <f>GETPIVOTDATA("Sum of Watch Manager",RDSFTERoleAreaPivot!$A$3,"ReportingLevel","1:LA","lvl","Dundee City")</f>
        <v>1.5</v>
      </c>
      <c r="D19" s="49">
        <f>GETPIVOTDATA("Sum of Crew Manager",RDSFTERoleAreaPivot!$A$3,"ReportingLevel","1:LA","lvl","Dundee City")</f>
        <v>2.5</v>
      </c>
      <c r="E19" s="49">
        <f>GETPIVOTDATA("Sum of Firefighter",RDSFTERoleAreaPivot!$A$3,"ReportingLevel","1:LA","lvl","Dundee City")</f>
        <v>12.75</v>
      </c>
      <c r="F19" s="729">
        <f t="shared" si="0"/>
        <v>16.75</v>
      </c>
    </row>
    <row r="20" spans="1:6" x14ac:dyDescent="0.3">
      <c r="A20" s="89" t="s">
        <v>248</v>
      </c>
      <c r="B20" s="48" t="s">
        <v>249</v>
      </c>
      <c r="C20" s="49">
        <f>GETPIVOTDATA("Sum of Watch Manager",RDSFTERoleAreaPivot!$A$3,"ReportingLevel","1:LA","lvl","East Ayrshire")</f>
        <v>6.5</v>
      </c>
      <c r="D20" s="49">
        <f>GETPIVOTDATA("Sum of Crew Manager",RDSFTERoleAreaPivot!$A$3,"ReportingLevel","1:LA","lvl","East Ayrshire")</f>
        <v>13</v>
      </c>
      <c r="E20" s="49">
        <f>GETPIVOTDATA("Sum of Firefighter",RDSFTERoleAreaPivot!$A$3,"ReportingLevel","1:LA","lvl","East Ayrshire")</f>
        <v>65.25</v>
      </c>
      <c r="F20" s="729">
        <f t="shared" si="0"/>
        <v>84.75</v>
      </c>
    </row>
    <row r="21" spans="1:6" x14ac:dyDescent="0.3">
      <c r="A21" s="89" t="s">
        <v>252</v>
      </c>
      <c r="B21" s="48" t="s">
        <v>253</v>
      </c>
      <c r="C21" s="670" t="str">
        <f>IFERROR(GETPIVOTDATA("Sum of Watch Manager",RDSFTERoleAreaPivot!$A$3,"ReportingLevel","1:LA","lvl","East Dunbartonshire"), "-")</f>
        <v>-</v>
      </c>
      <c r="D21" s="670" t="str">
        <f>IFERROR(GETPIVOTDATA("Sum of Crew Manager",RDSFTERoleAreaPivot!$A$3,"ReportingLevel","1:LA","lvl","East Dunbartonshire"), "-")</f>
        <v>-</v>
      </c>
      <c r="E21" s="670" t="str">
        <f>IFERROR(GETPIVOTDATA("Sum of Firefighter",RDSFTERoleAreaPivot!$A$3,"ReportingLevel","1:LA","lvl","East Dunbartonshire"), "-")</f>
        <v>-</v>
      </c>
      <c r="F21" s="729">
        <f t="shared" si="0"/>
        <v>0</v>
      </c>
    </row>
    <row r="22" spans="1:6" x14ac:dyDescent="0.3">
      <c r="A22" s="89" t="s">
        <v>254</v>
      </c>
      <c r="B22" s="48" t="s">
        <v>255</v>
      </c>
      <c r="C22" s="670">
        <f>GETPIVOTDATA("Sum of Watch Manager",RDSFTERoleAreaPivot!$A$3,"ReportingLevel","1:LA","lvl","East Lothian")</f>
        <v>7</v>
      </c>
      <c r="D22" s="670">
        <f>GETPIVOTDATA("Sum of Crew Manager",RDSFTERoleAreaPivot!$A$3,"ReportingLevel","1:LA","lvl","East Lothian")</f>
        <v>14</v>
      </c>
      <c r="E22" s="670">
        <f>GETPIVOTDATA("Sum of Firefighter",RDSFTERoleAreaPivot!$A$3,"ReportingLevel","1:LA","lvl","East Lothian")</f>
        <v>42.75</v>
      </c>
      <c r="F22" s="729">
        <f>SUM(C22:E22)</f>
        <v>63.75</v>
      </c>
    </row>
    <row r="23" spans="1:6" x14ac:dyDescent="0.3">
      <c r="A23" s="89" t="s">
        <v>258</v>
      </c>
      <c r="B23" s="48" t="s">
        <v>259</v>
      </c>
      <c r="C23" s="670" t="str">
        <f>IFERROR(GETPIVOTDATA("Sum of Watch Manager",RDSFTERoleAreaPivot!$A$3,"ReportingLevel","1:LA","lvl","East Renfrewshire"), "-")</f>
        <v>-</v>
      </c>
      <c r="D23" s="670" t="str">
        <f>IFERROR(GETPIVOTDATA("Sum of Crew Manager",RDSFTERoleAreaPivot!$A$3,"ReportingLevel","1:LA","lvl","East Renfrewshire"), "-")</f>
        <v>-</v>
      </c>
      <c r="E23" s="670" t="str">
        <f>IFERROR(GETPIVOTDATA("Sum of Firefighter",RDSFTERoleAreaPivot!$A$3,"ReportingLevel","1:LA","lvl","East Renfrewshire"), "-")</f>
        <v>-</v>
      </c>
      <c r="F23" s="729">
        <f t="shared" ref="F23:F43" si="1">SUM(C23:E23)</f>
        <v>0</v>
      </c>
    </row>
    <row r="24" spans="1:6" x14ac:dyDescent="0.3">
      <c r="A24" s="89" t="s">
        <v>262</v>
      </c>
      <c r="B24" s="48" t="s">
        <v>263</v>
      </c>
      <c r="C24" s="670">
        <f>GETPIVOTDATA("Sum of Watch Manager",RDSFTERoleAreaPivot!$A$3,"ReportingLevel","1:LA","lvl","Falkirk")</f>
        <v>6</v>
      </c>
      <c r="D24" s="670">
        <f>GETPIVOTDATA("Sum of Crew Manager",RDSFTERoleAreaPivot!$A$3,"ReportingLevel","1:LA","lvl","Falkirk")</f>
        <v>7.75</v>
      </c>
      <c r="E24" s="670">
        <f>GETPIVOTDATA("Sum of Firefighter",RDSFTERoleAreaPivot!$A$3,"ReportingLevel","1:LA","lvl","Falkirk")</f>
        <v>48.25</v>
      </c>
      <c r="F24" s="729">
        <f t="shared" si="1"/>
        <v>62</v>
      </c>
    </row>
    <row r="25" spans="1:6" x14ac:dyDescent="0.3">
      <c r="A25" s="89" t="s">
        <v>266</v>
      </c>
      <c r="B25" s="48" t="s">
        <v>267</v>
      </c>
      <c r="C25" s="670">
        <f>GETPIVOTDATA("Sum of Watch Manager",RDSFTERoleAreaPivot!$A$3,"ReportingLevel","1:LA","lvl","Fife")</f>
        <v>10.25</v>
      </c>
      <c r="D25" s="670">
        <f>GETPIVOTDATA("Sum of Crew Manager",RDSFTERoleAreaPivot!$A$3,"ReportingLevel","1:LA","lvl","Fife")</f>
        <v>26.25</v>
      </c>
      <c r="E25" s="670">
        <f>GETPIVOTDATA("Sum of Firefighter",RDSFTERoleAreaPivot!$A$3,"ReportingLevel","1:LA","lvl","Fife")</f>
        <v>78.75</v>
      </c>
      <c r="F25" s="729">
        <f t="shared" si="1"/>
        <v>115.25</v>
      </c>
    </row>
    <row r="26" spans="1:6" x14ac:dyDescent="0.3">
      <c r="A26" s="89" t="str">
        <f>IF(A9 = "2019-20","S12000049","S12000046")</f>
        <v>S12000046</v>
      </c>
      <c r="B26" s="48" t="s">
        <v>270</v>
      </c>
      <c r="C26" s="670" t="str">
        <f>IFERROR(GETPIVOTDATA("Sum of Watch Manager",RDSFTERoleAreaPivot!$A$3,"ReportingLevel","1:LA","lvl","Glasgow City"), "-")</f>
        <v>-</v>
      </c>
      <c r="D26" s="670" t="str">
        <f>IFERROR(GETPIVOTDATA("Sum of Crew Manager",RDSFTERoleAreaPivot!$A$3,"ReportingLevel","1:LA","lvl","Glasgow City"), "-")</f>
        <v>-</v>
      </c>
      <c r="E26" s="670" t="str">
        <f>IFERROR(GETPIVOTDATA("Sum of Firefighter",RDSFTERoleAreaPivot!$A$3,"ReportingLevel","1:LA","lvl","Glasgow City"), "-")</f>
        <v>-</v>
      </c>
      <c r="F26" s="729">
        <f t="shared" si="1"/>
        <v>0</v>
      </c>
    </row>
    <row r="27" spans="1:6" x14ac:dyDescent="0.3">
      <c r="A27" s="89" t="s">
        <v>272</v>
      </c>
      <c r="B27" s="48" t="s">
        <v>273</v>
      </c>
      <c r="C27" s="49">
        <f>GETPIVOTDATA("Sum of Watch Manager",RDSFTERoleAreaPivot!$A$3,"ReportingLevel","1:LA","lvl","Highland")</f>
        <v>65.25</v>
      </c>
      <c r="D27" s="49">
        <f>GETPIVOTDATA("Sum of Crew Manager",RDSFTERoleAreaPivot!$A$3,"ReportingLevel","1:LA","lvl","Highland")</f>
        <v>132.75</v>
      </c>
      <c r="E27" s="49">
        <f>GETPIVOTDATA("Sum of Firefighter",RDSFTERoleAreaPivot!$A$3,"ReportingLevel","1:LA","lvl","Highland")</f>
        <v>404.75</v>
      </c>
      <c r="F27" s="729">
        <f t="shared" si="1"/>
        <v>602.75</v>
      </c>
    </row>
    <row r="28" spans="1:6" x14ac:dyDescent="0.3">
      <c r="A28" s="89" t="s">
        <v>276</v>
      </c>
      <c r="B28" s="48" t="s">
        <v>277</v>
      </c>
      <c r="C28" s="49">
        <f>GETPIVOTDATA("Sum of Watch Manager",RDSFTERoleAreaPivot!$A$3,"ReportingLevel","1:LA","lvl","Inverclyde")</f>
        <v>4.75</v>
      </c>
      <c r="D28" s="49">
        <f>GETPIVOTDATA("Sum of Crew Manager",RDSFTERoleAreaPivot!$A$3,"ReportingLevel","1:LA","lvl","Inverclyde")</f>
        <v>7.75</v>
      </c>
      <c r="E28" s="49">
        <f>GETPIVOTDATA("Sum of Firefighter",RDSFTERoleAreaPivot!$A$3,"ReportingLevel","1:LA","lvl","Inverclyde")</f>
        <v>35.25</v>
      </c>
      <c r="F28" s="729">
        <f t="shared" si="1"/>
        <v>47.75</v>
      </c>
    </row>
    <row r="29" spans="1:6" x14ac:dyDescent="0.3">
      <c r="A29" s="89" t="s">
        <v>278</v>
      </c>
      <c r="B29" s="48" t="s">
        <v>279</v>
      </c>
      <c r="C29" s="49">
        <f>GETPIVOTDATA("Sum of Watch Manager",RDSFTERoleAreaPivot!$A$3,"ReportingLevel","1:LA","lvl","Midlothian")</f>
        <v>1</v>
      </c>
      <c r="D29" s="49">
        <f>GETPIVOTDATA("Sum of Crew Manager",RDSFTERoleAreaPivot!$A$3,"ReportingLevel","1:LA","lvl","Midlothian")</f>
        <v>3</v>
      </c>
      <c r="E29" s="49">
        <f>GETPIVOTDATA("Sum of Firefighter",RDSFTERoleAreaPivot!$A$3,"ReportingLevel","1:LA","lvl","Midlothian")</f>
        <v>10.25</v>
      </c>
      <c r="F29" s="729">
        <f t="shared" si="1"/>
        <v>14.25</v>
      </c>
    </row>
    <row r="30" spans="1:6" x14ac:dyDescent="0.3">
      <c r="A30" s="89" t="s">
        <v>280</v>
      </c>
      <c r="B30" s="48" t="s">
        <v>281</v>
      </c>
      <c r="C30" s="49">
        <f>GETPIVOTDATA("Sum of Watch Manager",RDSFTERoleAreaPivot!$A$3,"ReportingLevel","1:LA","lvl","Moray")</f>
        <v>12</v>
      </c>
      <c r="D30" s="49">
        <f>GETPIVOTDATA("Sum of Crew Manager",RDSFTERoleAreaPivot!$A$3,"ReportingLevel","1:LA","lvl","Moray")</f>
        <v>35.75</v>
      </c>
      <c r="E30" s="49">
        <f>GETPIVOTDATA("Sum of Firefighter",RDSFTERoleAreaPivot!$A$3,"ReportingLevel","1:LA","lvl","Moray")</f>
        <v>88.75</v>
      </c>
      <c r="F30" s="729">
        <f t="shared" si="1"/>
        <v>136.5</v>
      </c>
    </row>
    <row r="31" spans="1:6" x14ac:dyDescent="0.3">
      <c r="A31" s="89" t="s">
        <v>282</v>
      </c>
      <c r="B31" s="48" t="s">
        <v>283</v>
      </c>
      <c r="C31" s="49">
        <f>GETPIVOTDATA("Sum of Watch Manager",RDSFTERoleAreaPivot!$A$3,"ReportingLevel","1:LA","lvl","Na h-Eileanan Siar")</f>
        <v>19.25</v>
      </c>
      <c r="D31" s="49">
        <f>GETPIVOTDATA("Sum of Crew Manager",RDSFTERoleAreaPivot!$A$3,"ReportingLevel","1:LA","lvl","Na h-Eileanan Siar")</f>
        <v>34.5</v>
      </c>
      <c r="E31" s="49">
        <f>GETPIVOTDATA("Sum of Firefighter",RDSFTERoleAreaPivot!$A$3,"ReportingLevel","1:LA","lvl","Na h-Eileanan Siar")</f>
        <v>126.5</v>
      </c>
      <c r="F31" s="729">
        <f t="shared" si="1"/>
        <v>180.25</v>
      </c>
    </row>
    <row r="32" spans="1:6" x14ac:dyDescent="0.3">
      <c r="A32" s="89" t="s">
        <v>286</v>
      </c>
      <c r="B32" s="48" t="s">
        <v>287</v>
      </c>
      <c r="C32" s="49">
        <f>GETPIVOTDATA("Sum of Watch Manager",RDSFTERoleAreaPivot!$A$3,"ReportingLevel","1:LA","lvl","North Ayrshire")</f>
        <v>11.5</v>
      </c>
      <c r="D32" s="49">
        <f>GETPIVOTDATA("Sum of Crew Manager",RDSFTERoleAreaPivot!$A$3,"ReportingLevel","1:LA","lvl","North Ayrshire")</f>
        <v>16.5</v>
      </c>
      <c r="E32" s="49">
        <f>GETPIVOTDATA("Sum of Firefighter",RDSFTERoleAreaPivot!$A$3,"ReportingLevel","1:LA","lvl","North Ayrshire")</f>
        <v>97.25</v>
      </c>
      <c r="F32" s="729">
        <f t="shared" si="1"/>
        <v>125.25</v>
      </c>
    </row>
    <row r="33" spans="1:6" x14ac:dyDescent="0.3">
      <c r="A33" s="89" t="str">
        <f>IF(A9="2019-20","S12000050","S12000044")</f>
        <v>S12000044</v>
      </c>
      <c r="B33" s="48" t="s">
        <v>289</v>
      </c>
      <c r="C33" s="49">
        <f>GETPIVOTDATA("Sum of Watch Manager",RDSFTERoleAreaPivot!$A$3,"ReportingLevel","1:LA","lvl","North Lanarkshire")</f>
        <v>3</v>
      </c>
      <c r="D33" s="49">
        <f>GETPIVOTDATA("Sum of Crew Manager",RDSFTERoleAreaPivot!$A$3,"ReportingLevel","1:LA","lvl","North Lanarkshire")</f>
        <v>5</v>
      </c>
      <c r="E33" s="49">
        <f>GETPIVOTDATA("Sum of Firefighter",RDSFTERoleAreaPivot!$A$3,"ReportingLevel","1:LA","lvl","North Lanarkshire")</f>
        <v>25</v>
      </c>
      <c r="F33" s="729">
        <f t="shared" si="1"/>
        <v>33</v>
      </c>
    </row>
    <row r="34" spans="1:6" x14ac:dyDescent="0.3">
      <c r="A34" s="89" t="s">
        <v>291</v>
      </c>
      <c r="B34" s="48" t="s">
        <v>292</v>
      </c>
      <c r="C34" s="49">
        <f>GETPIVOTDATA("Sum of Watch Manager",RDSFTERoleAreaPivot!$A$3,"ReportingLevel","1:LA","lvl","Orkney Islands")</f>
        <v>16</v>
      </c>
      <c r="D34" s="49">
        <f>GETPIVOTDATA("Sum of Crew Manager",RDSFTERoleAreaPivot!$A$3,"ReportingLevel","1:LA","lvl","Orkney Islands")</f>
        <v>26.5</v>
      </c>
      <c r="E34" s="49">
        <f>GETPIVOTDATA("Sum of Firefighter",RDSFTERoleAreaPivot!$A$3,"ReportingLevel","1:LA","lvl","Orkney Islands")</f>
        <v>108.5</v>
      </c>
      <c r="F34" s="729">
        <f t="shared" si="1"/>
        <v>151</v>
      </c>
    </row>
    <row r="35" spans="1:6" x14ac:dyDescent="0.3">
      <c r="A35" s="89" t="s">
        <v>293</v>
      </c>
      <c r="B35" s="48" t="s">
        <v>294</v>
      </c>
      <c r="C35" s="49">
        <f>GETPIVOTDATA("Sum of Watch Manager",RDSFTERoleAreaPivot!$A$3,"ReportingLevel","1:LA","lvl","Perth and Kinross")</f>
        <v>10.5</v>
      </c>
      <c r="D35" s="49">
        <f>GETPIVOTDATA("Sum of Crew Manager",RDSFTERoleAreaPivot!$A$3,"ReportingLevel","1:LA","lvl","Perth and Kinross")</f>
        <v>27</v>
      </c>
      <c r="E35" s="49">
        <f>GETPIVOTDATA("Sum of Firefighter",RDSFTERoleAreaPivot!$A$3,"ReportingLevel","1:LA","lvl","Perth and Kinross")</f>
        <v>99</v>
      </c>
      <c r="F35" s="729">
        <f t="shared" si="1"/>
        <v>136.5</v>
      </c>
    </row>
    <row r="36" spans="1:6" x14ac:dyDescent="0.3">
      <c r="A36" s="89" t="s">
        <v>295</v>
      </c>
      <c r="B36" s="48" t="s">
        <v>296</v>
      </c>
      <c r="C36" s="49">
        <f>GETPIVOTDATA("Sum of Watch Manager",RDSFTERoleAreaPivot!$A$3,"ReportingLevel","1:LA","lvl","Renfrewshire")</f>
        <v>1.25</v>
      </c>
      <c r="D36" s="49">
        <f>GETPIVOTDATA("Sum of Crew Manager",RDSFTERoleAreaPivot!$A$3,"ReportingLevel","1:LA","lvl","Renfrewshire")</f>
        <v>2</v>
      </c>
      <c r="E36" s="49">
        <f>GETPIVOTDATA("Sum of Firefighter",RDSFTERoleAreaPivot!$A$3,"ReportingLevel","1:LA","lvl","Renfrewshire")</f>
        <v>12</v>
      </c>
      <c r="F36" s="729">
        <f t="shared" si="1"/>
        <v>15.25</v>
      </c>
    </row>
    <row r="37" spans="1:6" x14ac:dyDescent="0.3">
      <c r="A37" s="89" t="s">
        <v>297</v>
      </c>
      <c r="B37" s="48" t="s">
        <v>298</v>
      </c>
      <c r="C37" s="49">
        <f>GETPIVOTDATA("Sum of Watch Manager",RDSFTERoleAreaPivot!$A$3,"ReportingLevel","1:LA","lvl","Scottish Borders")</f>
        <v>16.75</v>
      </c>
      <c r="D37" s="49">
        <f>GETPIVOTDATA("Sum of Crew Manager",RDSFTERoleAreaPivot!$A$3,"ReportingLevel","1:LA","lvl","Scottish Borders")</f>
        <v>34.25</v>
      </c>
      <c r="E37" s="49">
        <f>GETPIVOTDATA("Sum of Firefighter",RDSFTERoleAreaPivot!$A$3,"ReportingLevel","1:LA","lvl","Scottish Borders")</f>
        <v>134.5</v>
      </c>
      <c r="F37" s="729">
        <f t="shared" si="1"/>
        <v>185.5</v>
      </c>
    </row>
    <row r="38" spans="1:6" x14ac:dyDescent="0.3">
      <c r="A38" s="89" t="s">
        <v>299</v>
      </c>
      <c r="B38" s="48" t="s">
        <v>300</v>
      </c>
      <c r="C38" s="49">
        <f>GETPIVOTDATA("Sum of Watch Manager",RDSFTERoleAreaPivot!$A$3,"ReportingLevel","1:LA","lvl","Shetland Islands")</f>
        <v>17.25</v>
      </c>
      <c r="D38" s="49">
        <f>GETPIVOTDATA("Sum of Crew Manager",RDSFTERoleAreaPivot!$A$3,"ReportingLevel","1:LA","lvl","Shetland Islands")</f>
        <v>32.5</v>
      </c>
      <c r="E38" s="49">
        <f>GETPIVOTDATA("Sum of Firefighter",RDSFTERoleAreaPivot!$A$3,"ReportingLevel","1:LA","lvl","Shetland Islands")</f>
        <v>110.25</v>
      </c>
      <c r="F38" s="729">
        <f t="shared" si="1"/>
        <v>160</v>
      </c>
    </row>
    <row r="39" spans="1:6" x14ac:dyDescent="0.3">
      <c r="A39" s="89" t="s">
        <v>301</v>
      </c>
      <c r="B39" s="48" t="s">
        <v>302</v>
      </c>
      <c r="C39" s="49">
        <f>GETPIVOTDATA("Sum of Watch Manager",RDSFTERoleAreaPivot!$A$3,"ReportingLevel","1:LA","lvl","South Ayrshire")</f>
        <v>5.75</v>
      </c>
      <c r="D39" s="49">
        <f>GETPIVOTDATA("Sum of Crew Manager",RDSFTERoleAreaPivot!$A$3,"ReportingLevel","1:LA","lvl","South Ayrshire")</f>
        <v>6.75</v>
      </c>
      <c r="E39" s="49">
        <f>GETPIVOTDATA("Sum of Firefighter",RDSFTERoleAreaPivot!$A$3,"ReportingLevel","1:LA","lvl","South Ayrshire")</f>
        <v>41</v>
      </c>
      <c r="F39" s="729">
        <f t="shared" si="1"/>
        <v>53.5</v>
      </c>
    </row>
    <row r="40" spans="1:6" x14ac:dyDescent="0.3">
      <c r="A40" s="89" t="s">
        <v>303</v>
      </c>
      <c r="B40" s="48" t="s">
        <v>304</v>
      </c>
      <c r="C40" s="49">
        <f>GETPIVOTDATA("Sum of Watch Manager",RDSFTERoleAreaPivot!$A$3,"ReportingLevel","1:LA","lvl","South Lanarkshire")</f>
        <v>7.25</v>
      </c>
      <c r="D40" s="49">
        <f>GETPIVOTDATA("Sum of Crew Manager",RDSFTERoleAreaPivot!$A$3,"ReportingLevel","1:LA","lvl","South Lanarkshire")</f>
        <v>15.25</v>
      </c>
      <c r="E40" s="49">
        <f>GETPIVOTDATA("Sum of Firefighter",RDSFTERoleAreaPivot!$A$3,"ReportingLevel","1:LA","lvl","South Lanarkshire")</f>
        <v>70.5</v>
      </c>
      <c r="F40" s="729">
        <f t="shared" si="1"/>
        <v>93</v>
      </c>
    </row>
    <row r="41" spans="1:6" x14ac:dyDescent="0.3">
      <c r="A41" s="89" t="s">
        <v>306</v>
      </c>
      <c r="B41" s="48" t="s">
        <v>307</v>
      </c>
      <c r="C41" s="49">
        <f>GETPIVOTDATA("Sum of Watch Manager",RDSFTERoleAreaPivot!$A$3,"ReportingLevel","1:LA","lvl","Stirling")</f>
        <v>9</v>
      </c>
      <c r="D41" s="49">
        <f>GETPIVOTDATA("Sum of Crew Manager",RDSFTERoleAreaPivot!$A$3,"ReportingLevel","1:LA","lvl","Stirling")</f>
        <v>16.5</v>
      </c>
      <c r="E41" s="49">
        <f>GETPIVOTDATA("Sum of Firefighter",RDSFTERoleAreaPivot!$A$3,"ReportingLevel","1:LA","lvl","Stirling")</f>
        <v>63.25</v>
      </c>
      <c r="F41" s="729">
        <f t="shared" si="1"/>
        <v>88.75</v>
      </c>
    </row>
    <row r="42" spans="1:6" x14ac:dyDescent="0.3">
      <c r="A42" s="89" t="s">
        <v>308</v>
      </c>
      <c r="B42" s="48" t="s">
        <v>309</v>
      </c>
      <c r="C42" s="49">
        <f>GETPIVOTDATA("Sum of Watch Manager",RDSFTERoleAreaPivot!$A$3,"ReportingLevel","1:LA","lvl","West Dunbartonshire")</f>
        <v>2.25</v>
      </c>
      <c r="D42" s="49">
        <f>GETPIVOTDATA("Sum of Crew Manager",RDSFTERoleAreaPivot!$A$3,"ReportingLevel","1:LA","lvl","West Dunbartonshire")</f>
        <v>3</v>
      </c>
      <c r="E42" s="49">
        <f>GETPIVOTDATA("Sum of Firefighter",RDSFTERoleAreaPivot!$A$3,"ReportingLevel","1:LA","lvl","West Dunbartonshire")</f>
        <v>20.25</v>
      </c>
      <c r="F42" s="729">
        <f t="shared" si="1"/>
        <v>25.5</v>
      </c>
    </row>
    <row r="43" spans="1:6" x14ac:dyDescent="0.3">
      <c r="A43" s="89" t="s">
        <v>310</v>
      </c>
      <c r="B43" s="48" t="s">
        <v>311</v>
      </c>
      <c r="C43" s="49">
        <f>GETPIVOTDATA("Sum of Watch Manager",RDSFTERoleAreaPivot!$A$3,"ReportingLevel","1:LA","lvl","West Lothian")</f>
        <v>6.5</v>
      </c>
      <c r="D43" s="49">
        <f>GETPIVOTDATA("Sum of Crew Manager",RDSFTERoleAreaPivot!$A$3,"ReportingLevel","1:LA","lvl","West Lothian")</f>
        <v>10.75</v>
      </c>
      <c r="E43" s="49">
        <f>GETPIVOTDATA("Sum of Firefighter",RDSFTERoleAreaPivot!$A$3,"ReportingLevel","1:LA","lvl","West Lothian")</f>
        <v>47.5</v>
      </c>
      <c r="F43" s="729">
        <f t="shared" si="1"/>
        <v>64.75</v>
      </c>
    </row>
    <row r="44" spans="1:6" ht="15" thickBot="1" x14ac:dyDescent="0.35">
      <c r="A44" s="454"/>
      <c r="B44" s="52" t="s">
        <v>552</v>
      </c>
      <c r="C44" s="314">
        <f>RDSFTERoleAreaPivot!B7</f>
        <v>325.25</v>
      </c>
      <c r="D44" s="314">
        <f>RDSFTERoleAreaPivot!C7</f>
        <v>659.5</v>
      </c>
      <c r="E44" s="314">
        <f>RDSFTERoleAreaPivot!D7</f>
        <v>2446.25</v>
      </c>
      <c r="F44" s="314">
        <f>SUM(C44:E44)</f>
        <v>3431</v>
      </c>
    </row>
    <row r="45" spans="1:6" x14ac:dyDescent="0.3">
      <c r="B45" s="81"/>
      <c r="C45" s="265"/>
      <c r="D45" s="265"/>
      <c r="E45" s="265"/>
      <c r="F45" s="265"/>
    </row>
    <row r="46" spans="1:6" x14ac:dyDescent="0.3">
      <c r="A46" s="348" t="s">
        <v>329</v>
      </c>
    </row>
    <row r="47" spans="1:6" x14ac:dyDescent="0.3">
      <c r="A47" s="457" t="s">
        <v>524</v>
      </c>
    </row>
    <row r="48" spans="1:6" x14ac:dyDescent="0.3">
      <c r="A48" s="369" t="s">
        <v>699</v>
      </c>
    </row>
    <row r="49" spans="1:10" ht="45" customHeight="1" x14ac:dyDescent="0.3">
      <c r="A49" s="1040" t="s">
        <v>654</v>
      </c>
      <c r="B49" s="1040"/>
      <c r="C49" s="1040"/>
      <c r="D49" s="1040"/>
      <c r="E49" s="1040"/>
      <c r="F49" s="1040"/>
      <c r="G49" s="1040"/>
      <c r="H49" s="1040"/>
      <c r="I49" s="1040"/>
      <c r="J49" s="371"/>
    </row>
    <row r="50" spans="1:10" x14ac:dyDescent="0.3">
      <c r="B50" s="345"/>
    </row>
    <row r="51" spans="1:10" x14ac:dyDescent="0.3">
      <c r="E51" s="369"/>
    </row>
  </sheetData>
  <sheetProtection algorithmName="SHA-512" hashValue="mnHzHUPDsne0gr58aGJO3RvuAqaodvH6x2wo7E9X9Nzo6BDC63tNIVoYUYf6Dke49LjZm9/LOHC14E0FjGx8Mw==" saltValue="PWvCLZLB/MDv2IICVshcVg==" spinCount="100000" sheet="1" formatCells="0" sort="0" autoFilter="0" pivotTables="0"/>
  <mergeCells count="2">
    <mergeCell ref="A1:G1"/>
    <mergeCell ref="A49:I49"/>
  </mergeCells>
  <hyperlinks>
    <hyperlink ref="A2" location="'Table of Contents'!A1" display="Back to Table of Contents" xr:uid="{00000000-0004-0000-4A00-000000000000}"/>
  </hyperlinks>
  <pageMargins left="0.70866141732283472" right="0.70866141732283472" top="0.74803149606299213" bottom="0.74803149606299213" header="0.31496062992125984" footer="0.31496062992125984"/>
  <pageSetup paperSize="9" orientation="portrait" r:id="rId1"/>
  <drawing r:id="rId2"/>
  <extLst>
    <ext xmlns:x14="http://schemas.microsoft.com/office/spreadsheetml/2009/9/main" uri="{A8765BA9-456A-4dab-B4F3-ACF838C121DE}">
      <x14:slicerList>
        <x14:slicer r:id="rId3"/>
      </x14:slicerList>
    </ext>
  </extLst>
</worksheet>
</file>

<file path=xl/worksheets/sheet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tabColor theme="9" tint="0.39997558519241921"/>
  </sheetPr>
  <dimension ref="A1:G5"/>
  <sheetViews>
    <sheetView workbookViewId="0">
      <selection activeCell="D4" sqref="D4"/>
    </sheetView>
  </sheetViews>
  <sheetFormatPr defaultRowHeight="14.4" x14ac:dyDescent="0.3"/>
  <cols>
    <col min="1" max="1" width="12.77734375" bestFit="1" customWidth="1"/>
    <col min="2" max="2" width="19.6640625" bestFit="1" customWidth="1"/>
    <col min="3" max="3" width="21.21875" bestFit="1" customWidth="1"/>
    <col min="4" max="4" width="21.88671875" bestFit="1" customWidth="1"/>
    <col min="5" max="5" width="21.33203125" bestFit="1" customWidth="1"/>
    <col min="6" max="6" width="20.109375" bestFit="1" customWidth="1"/>
    <col min="7" max="7" width="22.33203125" bestFit="1" customWidth="1"/>
  </cols>
  <sheetData>
    <row r="1" spans="1:7" x14ac:dyDescent="0.3">
      <c r="A1" s="386" t="s">
        <v>208</v>
      </c>
      <c r="B1" t="s">
        <v>412</v>
      </c>
    </row>
    <row r="3" spans="1:7" x14ac:dyDescent="0.3">
      <c r="A3" s="386" t="s">
        <v>350</v>
      </c>
      <c r="B3" t="s">
        <v>631</v>
      </c>
      <c r="C3" t="s">
        <v>632</v>
      </c>
      <c r="D3" t="s">
        <v>633</v>
      </c>
      <c r="E3" t="s">
        <v>634</v>
      </c>
      <c r="F3" t="s">
        <v>635</v>
      </c>
      <c r="G3" t="s">
        <v>669</v>
      </c>
    </row>
    <row r="4" spans="1:7" x14ac:dyDescent="0.3">
      <c r="A4" s="387" t="s">
        <v>544</v>
      </c>
      <c r="C4">
        <v>3</v>
      </c>
      <c r="D4">
        <v>6</v>
      </c>
      <c r="E4">
        <v>24</v>
      </c>
      <c r="F4">
        <v>40.5</v>
      </c>
      <c r="G4">
        <v>96.199999999999989</v>
      </c>
    </row>
    <row r="5" spans="1:7" x14ac:dyDescent="0.3">
      <c r="A5" s="387" t="s">
        <v>357</v>
      </c>
      <c r="C5">
        <v>3</v>
      </c>
      <c r="D5">
        <v>6</v>
      </c>
      <c r="E5">
        <v>24</v>
      </c>
      <c r="F5">
        <v>40.5</v>
      </c>
      <c r="G5">
        <v>96.199999999999989</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tabColor theme="9" tint="0.39997558519241921"/>
  </sheetPr>
  <dimension ref="A1:K14"/>
  <sheetViews>
    <sheetView workbookViewId="0">
      <selection activeCell="E14" sqref="E14"/>
    </sheetView>
  </sheetViews>
  <sheetFormatPr defaultRowHeight="14.4" x14ac:dyDescent="0.3"/>
  <cols>
    <col min="1" max="1" width="7.6640625" bestFit="1" customWidth="1"/>
    <col min="2" max="2" width="16.33203125" bestFit="1" customWidth="1"/>
    <col min="3" max="3" width="8.33203125" bestFit="1" customWidth="1"/>
    <col min="4" max="4" width="9.88671875" bestFit="1" customWidth="1"/>
    <col min="5" max="5" width="12" bestFit="1" customWidth="1"/>
    <col min="6" max="6" width="15.44140625" bestFit="1" customWidth="1"/>
    <col min="7" max="7" width="16.77734375" bestFit="1" customWidth="1"/>
    <col min="8" max="8" width="17.44140625" bestFit="1" customWidth="1"/>
    <col min="9" max="9" width="16.88671875" bestFit="1" customWidth="1"/>
    <col min="10" max="10" width="15.77734375" bestFit="1" customWidth="1"/>
    <col min="11" max="11" width="17.88671875" bestFit="1" customWidth="1"/>
  </cols>
  <sheetData>
    <row r="1" spans="1:11" x14ac:dyDescent="0.3">
      <c r="A1" t="s">
        <v>208</v>
      </c>
      <c r="B1" t="s">
        <v>547</v>
      </c>
      <c r="C1" t="s">
        <v>548</v>
      </c>
      <c r="D1" t="s">
        <v>25</v>
      </c>
      <c r="E1" t="s">
        <v>340</v>
      </c>
      <c r="F1" t="s">
        <v>622</v>
      </c>
      <c r="G1" t="s">
        <v>623</v>
      </c>
      <c r="H1" t="s">
        <v>624</v>
      </c>
      <c r="I1" t="s">
        <v>625</v>
      </c>
      <c r="J1" t="s">
        <v>626</v>
      </c>
      <c r="K1" t="s">
        <v>670</v>
      </c>
    </row>
    <row r="2" spans="1:11" x14ac:dyDescent="0.3">
      <c r="A2" t="s">
        <v>364</v>
      </c>
      <c r="B2" t="s">
        <v>544</v>
      </c>
      <c r="C2" t="s">
        <v>545</v>
      </c>
      <c r="D2" t="s">
        <v>549</v>
      </c>
      <c r="E2">
        <v>212.96</v>
      </c>
      <c r="F2">
        <v>0</v>
      </c>
      <c r="G2">
        <v>5</v>
      </c>
      <c r="H2">
        <v>11</v>
      </c>
      <c r="I2">
        <v>51.56</v>
      </c>
      <c r="J2">
        <v>51.01</v>
      </c>
      <c r="K2">
        <v>94.39</v>
      </c>
    </row>
    <row r="3" spans="1:11" x14ac:dyDescent="0.3">
      <c r="A3" t="s">
        <v>365</v>
      </c>
      <c r="B3" t="s">
        <v>544</v>
      </c>
      <c r="C3" t="s">
        <v>545</v>
      </c>
      <c r="D3" t="s">
        <v>549</v>
      </c>
      <c r="E3">
        <v>220.79</v>
      </c>
      <c r="F3">
        <v>0</v>
      </c>
      <c r="G3">
        <v>5</v>
      </c>
      <c r="H3">
        <v>12.85</v>
      </c>
      <c r="I3">
        <v>49.46</v>
      </c>
      <c r="J3">
        <v>50.79</v>
      </c>
      <c r="K3">
        <v>102.69</v>
      </c>
    </row>
    <row r="4" spans="1:11" x14ac:dyDescent="0.3">
      <c r="A4" t="s">
        <v>366</v>
      </c>
      <c r="B4" t="s">
        <v>544</v>
      </c>
      <c r="C4" t="s">
        <v>545</v>
      </c>
      <c r="D4" t="s">
        <v>549</v>
      </c>
      <c r="E4">
        <v>195.16952380952381</v>
      </c>
      <c r="F4">
        <v>0</v>
      </c>
      <c r="G4">
        <v>6</v>
      </c>
      <c r="H4">
        <v>6.8333333333333339</v>
      </c>
      <c r="I4">
        <v>50.314285714285717</v>
      </c>
      <c r="J4">
        <v>43</v>
      </c>
      <c r="K4">
        <v>89.021904761904764</v>
      </c>
    </row>
    <row r="5" spans="1:11" x14ac:dyDescent="0.3">
      <c r="A5" t="s">
        <v>341</v>
      </c>
      <c r="B5" t="s">
        <v>544</v>
      </c>
      <c r="C5" t="s">
        <v>545</v>
      </c>
      <c r="D5" t="s">
        <v>549</v>
      </c>
      <c r="E5">
        <v>160</v>
      </c>
      <c r="F5">
        <v>0</v>
      </c>
      <c r="G5">
        <v>5</v>
      </c>
      <c r="H5">
        <v>8</v>
      </c>
      <c r="I5">
        <v>40</v>
      </c>
      <c r="J5">
        <v>30</v>
      </c>
      <c r="K5">
        <v>76</v>
      </c>
    </row>
    <row r="6" spans="1:11" x14ac:dyDescent="0.3">
      <c r="A6" t="s">
        <v>342</v>
      </c>
      <c r="B6" t="s">
        <v>544</v>
      </c>
      <c r="C6" t="s">
        <v>545</v>
      </c>
      <c r="D6" t="s">
        <v>549</v>
      </c>
      <c r="E6">
        <v>184</v>
      </c>
      <c r="F6">
        <v>0</v>
      </c>
      <c r="G6">
        <v>5</v>
      </c>
      <c r="H6">
        <v>8</v>
      </c>
      <c r="I6">
        <v>43</v>
      </c>
      <c r="J6">
        <v>27</v>
      </c>
      <c r="K6">
        <v>101</v>
      </c>
    </row>
    <row r="7" spans="1:11" x14ac:dyDescent="0.3">
      <c r="A7" t="s">
        <v>213</v>
      </c>
      <c r="B7" t="s">
        <v>544</v>
      </c>
      <c r="C7" t="s">
        <v>545</v>
      </c>
      <c r="D7" t="s">
        <v>549</v>
      </c>
      <c r="E7">
        <v>202.32999999999998</v>
      </c>
      <c r="F7">
        <v>1</v>
      </c>
      <c r="G7">
        <v>4</v>
      </c>
      <c r="H7">
        <v>9</v>
      </c>
      <c r="I7">
        <v>42</v>
      </c>
      <c r="J7">
        <v>27</v>
      </c>
      <c r="K7">
        <v>119.33</v>
      </c>
    </row>
    <row r="8" spans="1:11" x14ac:dyDescent="0.3">
      <c r="A8" t="s">
        <v>312</v>
      </c>
      <c r="B8" t="s">
        <v>544</v>
      </c>
      <c r="C8" t="s">
        <v>545</v>
      </c>
      <c r="D8" t="s">
        <v>549</v>
      </c>
      <c r="E8">
        <v>183.82999999999998</v>
      </c>
      <c r="F8">
        <v>1</v>
      </c>
      <c r="G8">
        <v>4</v>
      </c>
      <c r="H8">
        <v>8</v>
      </c>
      <c r="I8">
        <v>45</v>
      </c>
      <c r="J8">
        <v>26</v>
      </c>
      <c r="K8">
        <v>99.83</v>
      </c>
    </row>
    <row r="9" spans="1:11" x14ac:dyDescent="0.3">
      <c r="A9" t="s">
        <v>318</v>
      </c>
      <c r="B9" t="s">
        <v>544</v>
      </c>
      <c r="C9" t="s">
        <v>545</v>
      </c>
      <c r="D9" t="s">
        <v>549</v>
      </c>
      <c r="E9">
        <v>176.06</v>
      </c>
      <c r="F9">
        <v>1</v>
      </c>
      <c r="G9">
        <v>4</v>
      </c>
      <c r="H9">
        <v>10</v>
      </c>
      <c r="I9">
        <v>41</v>
      </c>
      <c r="J9">
        <v>30</v>
      </c>
      <c r="K9">
        <v>90.06</v>
      </c>
    </row>
    <row r="10" spans="1:11" x14ac:dyDescent="0.3">
      <c r="A10" t="s">
        <v>320</v>
      </c>
      <c r="B10" t="s">
        <v>544</v>
      </c>
      <c r="C10" t="s">
        <v>545</v>
      </c>
      <c r="D10" t="s">
        <v>549</v>
      </c>
      <c r="E10">
        <v>170.46</v>
      </c>
      <c r="F10">
        <v>1</v>
      </c>
      <c r="G10">
        <v>4</v>
      </c>
      <c r="H10">
        <v>10</v>
      </c>
      <c r="I10">
        <v>42</v>
      </c>
      <c r="J10">
        <v>27</v>
      </c>
      <c r="K10">
        <v>86.460000000000008</v>
      </c>
    </row>
    <row r="11" spans="1:11" x14ac:dyDescent="0.3">
      <c r="A11" t="s">
        <v>325</v>
      </c>
      <c r="B11" t="s">
        <v>544</v>
      </c>
      <c r="C11" t="s">
        <v>545</v>
      </c>
      <c r="D11" t="s">
        <v>549</v>
      </c>
      <c r="E11">
        <v>168.06</v>
      </c>
      <c r="F11">
        <v>1</v>
      </c>
      <c r="G11">
        <v>4</v>
      </c>
      <c r="H11">
        <v>10</v>
      </c>
      <c r="I11">
        <v>36.86</v>
      </c>
      <c r="J11">
        <v>28.29</v>
      </c>
      <c r="K11">
        <v>87.91</v>
      </c>
    </row>
    <row r="12" spans="1:11" x14ac:dyDescent="0.3">
      <c r="A12" t="s">
        <v>326</v>
      </c>
      <c r="B12" t="s">
        <v>544</v>
      </c>
      <c r="C12" t="s">
        <v>545</v>
      </c>
      <c r="D12" t="s">
        <v>549</v>
      </c>
      <c r="E12">
        <v>166.20999999999998</v>
      </c>
      <c r="F12">
        <v>1</v>
      </c>
      <c r="G12">
        <v>4</v>
      </c>
      <c r="H12">
        <v>9</v>
      </c>
      <c r="I12">
        <v>39.57</v>
      </c>
      <c r="J12">
        <v>25.79</v>
      </c>
      <c r="K12">
        <v>86.85</v>
      </c>
    </row>
    <row r="13" spans="1:11" x14ac:dyDescent="0.3">
      <c r="A13" t="s">
        <v>328</v>
      </c>
      <c r="B13" t="s">
        <v>544</v>
      </c>
      <c r="C13" t="s">
        <v>545</v>
      </c>
      <c r="D13" t="s">
        <v>549</v>
      </c>
      <c r="E13">
        <v>167.69</v>
      </c>
      <c r="F13">
        <v>1</v>
      </c>
      <c r="G13">
        <v>2</v>
      </c>
      <c r="H13">
        <v>8</v>
      </c>
      <c r="I13">
        <v>37</v>
      </c>
      <c r="J13">
        <v>28</v>
      </c>
      <c r="K13">
        <v>91.69</v>
      </c>
    </row>
    <row r="14" spans="1:11" x14ac:dyDescent="0.3">
      <c r="A14" t="s">
        <v>412</v>
      </c>
      <c r="B14" t="s">
        <v>544</v>
      </c>
      <c r="C14" t="s">
        <v>545</v>
      </c>
      <c r="D14" t="s">
        <v>549</v>
      </c>
      <c r="G14">
        <v>3</v>
      </c>
      <c r="H14">
        <v>6</v>
      </c>
      <c r="I14">
        <v>24</v>
      </c>
      <c r="J14">
        <v>40.5</v>
      </c>
      <c r="K14">
        <v>96.200000000000017</v>
      </c>
    </row>
  </sheetData>
  <pageMargins left="0.7" right="0.7" top="0.75" bottom="0.75" header="0.3" footer="0.3"/>
  <tableParts count="1">
    <tablePart r:id="rId1"/>
  </tableParts>
</worksheet>
</file>

<file path=xl/worksheets/sheet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tabColor theme="9" tint="0.39997558519241921"/>
  </sheetPr>
  <dimension ref="A1:I5"/>
  <sheetViews>
    <sheetView workbookViewId="0">
      <selection activeCell="D4" sqref="D4"/>
    </sheetView>
  </sheetViews>
  <sheetFormatPr defaultRowHeight="14.4" x14ac:dyDescent="0.3"/>
  <cols>
    <col min="1" max="1" width="12.77734375" bestFit="1" customWidth="1"/>
    <col min="2" max="2" width="14.44140625" bestFit="1" customWidth="1"/>
    <col min="3" max="3" width="22.109375" bestFit="1" customWidth="1"/>
    <col min="4" max="4" width="18.5546875" bestFit="1" customWidth="1"/>
    <col min="5" max="5" width="18.33203125" bestFit="1" customWidth="1"/>
    <col min="6" max="6" width="24.44140625" bestFit="1" customWidth="1"/>
    <col min="7" max="7" width="18.88671875" bestFit="1" customWidth="1"/>
    <col min="8" max="8" width="20.5546875" bestFit="1" customWidth="1"/>
    <col min="9" max="9" width="11.6640625" bestFit="1" customWidth="1"/>
  </cols>
  <sheetData>
    <row r="1" spans="1:9" x14ac:dyDescent="0.3">
      <c r="A1" s="386" t="s">
        <v>208</v>
      </c>
      <c r="B1" t="s">
        <v>412</v>
      </c>
    </row>
    <row r="3" spans="1:9" x14ac:dyDescent="0.3">
      <c r="A3" s="386" t="s">
        <v>350</v>
      </c>
      <c r="B3" t="s">
        <v>671</v>
      </c>
      <c r="C3" t="s">
        <v>672</v>
      </c>
      <c r="D3" t="s">
        <v>673</v>
      </c>
      <c r="E3" t="s">
        <v>674</v>
      </c>
      <c r="F3" t="s">
        <v>675</v>
      </c>
      <c r="G3" t="s">
        <v>676</v>
      </c>
      <c r="H3" t="s">
        <v>677</v>
      </c>
      <c r="I3" t="s">
        <v>356</v>
      </c>
    </row>
    <row r="4" spans="1:9" x14ac:dyDescent="0.3">
      <c r="A4" s="387" t="s">
        <v>544</v>
      </c>
      <c r="B4">
        <v>3</v>
      </c>
      <c r="C4">
        <v>99.97</v>
      </c>
      <c r="D4">
        <v>44.69</v>
      </c>
      <c r="E4">
        <v>82.319999999999979</v>
      </c>
      <c r="F4">
        <v>446.82000000000022</v>
      </c>
      <c r="G4">
        <v>58.220000000000027</v>
      </c>
      <c r="H4">
        <v>116.98999999999998</v>
      </c>
      <c r="I4">
        <v>852.01000000000022</v>
      </c>
    </row>
    <row r="5" spans="1:9" x14ac:dyDescent="0.3">
      <c r="A5" s="387" t="s">
        <v>357</v>
      </c>
      <c r="B5">
        <v>3</v>
      </c>
      <c r="C5">
        <v>99.97</v>
      </c>
      <c r="D5">
        <v>44.69</v>
      </c>
      <c r="E5">
        <v>82.319999999999979</v>
      </c>
      <c r="F5">
        <v>446.82000000000022</v>
      </c>
      <c r="G5">
        <v>58.220000000000027</v>
      </c>
      <c r="H5">
        <v>116.98999999999998</v>
      </c>
      <c r="I5">
        <v>852.01000000000022</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tabColor theme="9" tint="0.39997558519241921"/>
  </sheetPr>
  <dimension ref="A1:L14"/>
  <sheetViews>
    <sheetView workbookViewId="0">
      <selection activeCell="F8" sqref="F8"/>
    </sheetView>
  </sheetViews>
  <sheetFormatPr defaultRowHeight="14.4" x14ac:dyDescent="0.3"/>
  <cols>
    <col min="1" max="1" width="7.6640625" bestFit="1" customWidth="1"/>
    <col min="2" max="2" width="9.88671875" bestFit="1" customWidth="1"/>
    <col min="3" max="3" width="16.33203125" bestFit="1" customWidth="1"/>
    <col min="4" max="4" width="8.33203125" bestFit="1" customWidth="1"/>
    <col min="5" max="5" width="10.109375" bestFit="1" customWidth="1"/>
    <col min="6" max="6" width="17.6640625" bestFit="1" customWidth="1"/>
    <col min="7" max="7" width="14.109375" bestFit="1" customWidth="1"/>
    <col min="8" max="8" width="13.88671875" bestFit="1" customWidth="1"/>
    <col min="9" max="9" width="20.109375" bestFit="1" customWidth="1"/>
    <col min="10" max="10" width="14.44140625" bestFit="1" customWidth="1"/>
    <col min="11" max="11" width="16.21875" bestFit="1" customWidth="1"/>
    <col min="12" max="12" width="12" bestFit="1" customWidth="1"/>
  </cols>
  <sheetData>
    <row r="1" spans="1:12" x14ac:dyDescent="0.3">
      <c r="A1" t="s">
        <v>208</v>
      </c>
      <c r="B1" t="s">
        <v>25</v>
      </c>
      <c r="C1" t="s">
        <v>547</v>
      </c>
      <c r="D1" t="s">
        <v>548</v>
      </c>
      <c r="E1" t="s">
        <v>678</v>
      </c>
      <c r="F1" t="s">
        <v>679</v>
      </c>
      <c r="G1" t="s">
        <v>680</v>
      </c>
      <c r="H1" t="s">
        <v>681</v>
      </c>
      <c r="I1" t="s">
        <v>682</v>
      </c>
      <c r="J1" t="s">
        <v>683</v>
      </c>
      <c r="K1" t="s">
        <v>684</v>
      </c>
      <c r="L1" t="s">
        <v>340</v>
      </c>
    </row>
    <row r="2" spans="1:12" x14ac:dyDescent="0.3">
      <c r="A2" t="s">
        <v>364</v>
      </c>
      <c r="B2" t="s">
        <v>549</v>
      </c>
      <c r="C2" t="s">
        <v>544</v>
      </c>
      <c r="D2" t="s">
        <v>545</v>
      </c>
      <c r="F2">
        <v>69.7</v>
      </c>
      <c r="G2">
        <v>19.8</v>
      </c>
      <c r="H2">
        <v>42.3</v>
      </c>
      <c r="I2">
        <v>256.40000000000003</v>
      </c>
      <c r="J2">
        <v>199.5</v>
      </c>
      <c r="K2">
        <v>223.6</v>
      </c>
      <c r="L2">
        <v>811.3</v>
      </c>
    </row>
    <row r="3" spans="1:12" x14ac:dyDescent="0.3">
      <c r="A3" t="s">
        <v>365</v>
      </c>
      <c r="B3" t="s">
        <v>549</v>
      </c>
      <c r="C3" t="s">
        <v>544</v>
      </c>
      <c r="D3" t="s">
        <v>545</v>
      </c>
      <c r="E3">
        <v>2</v>
      </c>
      <c r="F3">
        <v>43.99</v>
      </c>
      <c r="G3">
        <v>35.9</v>
      </c>
      <c r="H3">
        <v>55.47</v>
      </c>
      <c r="I3">
        <v>327.22999999999996</v>
      </c>
      <c r="J3">
        <v>126.98</v>
      </c>
      <c r="K3">
        <v>152.39000000000001</v>
      </c>
      <c r="L3">
        <v>743.95999999999992</v>
      </c>
    </row>
    <row r="4" spans="1:12" x14ac:dyDescent="0.3">
      <c r="A4" t="s">
        <v>366</v>
      </c>
      <c r="B4" t="s">
        <v>549</v>
      </c>
      <c r="C4" t="s">
        <v>544</v>
      </c>
      <c r="D4" t="s">
        <v>545</v>
      </c>
      <c r="E4">
        <v>3</v>
      </c>
      <c r="F4">
        <v>40</v>
      </c>
      <c r="G4">
        <v>33.309428571428569</v>
      </c>
      <c r="H4">
        <v>70.714285714285722</v>
      </c>
      <c r="I4">
        <v>303.60857142857139</v>
      </c>
      <c r="J4">
        <v>122.20028571428574</v>
      </c>
      <c r="K4">
        <v>146</v>
      </c>
      <c r="L4">
        <v>718.56228571428574</v>
      </c>
    </row>
    <row r="5" spans="1:12" x14ac:dyDescent="0.3">
      <c r="A5" t="s">
        <v>341</v>
      </c>
      <c r="B5" t="s">
        <v>549</v>
      </c>
      <c r="C5" t="s">
        <v>544</v>
      </c>
      <c r="D5" t="s">
        <v>545</v>
      </c>
      <c r="E5">
        <v>3</v>
      </c>
      <c r="F5">
        <v>42</v>
      </c>
      <c r="G5">
        <v>33</v>
      </c>
      <c r="H5">
        <v>74</v>
      </c>
      <c r="I5">
        <v>334</v>
      </c>
      <c r="J5">
        <v>115</v>
      </c>
      <c r="K5">
        <v>140</v>
      </c>
      <c r="L5">
        <v>745</v>
      </c>
    </row>
    <row r="6" spans="1:12" x14ac:dyDescent="0.3">
      <c r="A6" t="s">
        <v>342</v>
      </c>
      <c r="B6" t="s">
        <v>549</v>
      </c>
      <c r="C6" t="s">
        <v>544</v>
      </c>
      <c r="D6" t="s">
        <v>545</v>
      </c>
      <c r="E6">
        <v>2</v>
      </c>
      <c r="F6">
        <v>50</v>
      </c>
      <c r="G6">
        <v>31</v>
      </c>
      <c r="H6">
        <v>76</v>
      </c>
      <c r="I6">
        <v>355</v>
      </c>
      <c r="J6">
        <v>110</v>
      </c>
      <c r="K6">
        <v>135</v>
      </c>
      <c r="L6">
        <v>759</v>
      </c>
    </row>
    <row r="7" spans="1:12" x14ac:dyDescent="0.3">
      <c r="A7" t="s">
        <v>213</v>
      </c>
      <c r="B7" t="s">
        <v>549</v>
      </c>
      <c r="C7" t="s">
        <v>544</v>
      </c>
      <c r="D7" t="s">
        <v>545</v>
      </c>
      <c r="E7">
        <v>3</v>
      </c>
      <c r="F7">
        <v>49</v>
      </c>
      <c r="G7">
        <v>34</v>
      </c>
      <c r="H7">
        <v>80.399999999999991</v>
      </c>
      <c r="I7">
        <v>375.56000000000012</v>
      </c>
      <c r="J7">
        <v>58.610000000000042</v>
      </c>
      <c r="K7">
        <v>144.99</v>
      </c>
      <c r="L7">
        <v>745.56000000000006</v>
      </c>
    </row>
    <row r="8" spans="1:12" x14ac:dyDescent="0.3">
      <c r="A8" t="s">
        <v>312</v>
      </c>
      <c r="B8" t="s">
        <v>549</v>
      </c>
      <c r="C8" t="s">
        <v>544</v>
      </c>
      <c r="D8" t="s">
        <v>545</v>
      </c>
      <c r="E8">
        <v>3</v>
      </c>
      <c r="F8">
        <v>47</v>
      </c>
      <c r="G8">
        <v>32</v>
      </c>
      <c r="H8">
        <v>88.61</v>
      </c>
      <c r="I8">
        <v>382.50000000000017</v>
      </c>
      <c r="J8">
        <v>56.950000000000038</v>
      </c>
      <c r="K8">
        <v>154.34</v>
      </c>
      <c r="L8">
        <v>764.4000000000002</v>
      </c>
    </row>
    <row r="9" spans="1:12" x14ac:dyDescent="0.3">
      <c r="A9" t="s">
        <v>318</v>
      </c>
      <c r="B9" t="s">
        <v>549</v>
      </c>
      <c r="C9" t="s">
        <v>544</v>
      </c>
      <c r="D9" t="s">
        <v>545</v>
      </c>
      <c r="E9">
        <v>3</v>
      </c>
      <c r="F9">
        <v>49.8</v>
      </c>
      <c r="G9">
        <v>30</v>
      </c>
      <c r="H9">
        <v>88.429999999999993</v>
      </c>
      <c r="I9">
        <v>398.88000000000017</v>
      </c>
      <c r="J9">
        <v>55.73000000000004</v>
      </c>
      <c r="K9">
        <v>160.44999999999996</v>
      </c>
      <c r="L9">
        <v>786.29000000000008</v>
      </c>
    </row>
    <row r="10" spans="1:12" x14ac:dyDescent="0.3">
      <c r="A10" t="s">
        <v>320</v>
      </c>
      <c r="B10" t="s">
        <v>549</v>
      </c>
      <c r="C10" t="s">
        <v>544</v>
      </c>
      <c r="D10" t="s">
        <v>545</v>
      </c>
      <c r="E10">
        <v>4</v>
      </c>
      <c r="F10">
        <v>57</v>
      </c>
      <c r="G10">
        <v>32</v>
      </c>
      <c r="H10">
        <v>100.35</v>
      </c>
      <c r="I10">
        <v>449.55000000000018</v>
      </c>
      <c r="J10">
        <v>55.650000000000041</v>
      </c>
      <c r="K10">
        <v>163.91000000000003</v>
      </c>
      <c r="L10">
        <v>862.46000000000026</v>
      </c>
    </row>
    <row r="11" spans="1:12" x14ac:dyDescent="0.3">
      <c r="A11" t="s">
        <v>325</v>
      </c>
      <c r="B11" t="s">
        <v>549</v>
      </c>
      <c r="C11" t="s">
        <v>544</v>
      </c>
      <c r="D11" t="s">
        <v>545</v>
      </c>
      <c r="E11">
        <v>4</v>
      </c>
      <c r="F11">
        <v>80.139999999999986</v>
      </c>
      <c r="G11">
        <v>36</v>
      </c>
      <c r="H11">
        <v>94.669999999999973</v>
      </c>
      <c r="I11">
        <v>441.38000000000017</v>
      </c>
      <c r="J11">
        <v>53.880000000000038</v>
      </c>
      <c r="K11">
        <v>140.27999999999997</v>
      </c>
      <c r="L11">
        <v>850.35</v>
      </c>
    </row>
    <row r="12" spans="1:12" x14ac:dyDescent="0.3">
      <c r="A12" t="s">
        <v>326</v>
      </c>
      <c r="B12" t="s">
        <v>549</v>
      </c>
      <c r="C12" t="s">
        <v>544</v>
      </c>
      <c r="D12" t="s">
        <v>545</v>
      </c>
      <c r="E12">
        <v>3</v>
      </c>
      <c r="F12">
        <v>85.679999999999993</v>
      </c>
      <c r="G12">
        <v>35</v>
      </c>
      <c r="H12">
        <v>88.1</v>
      </c>
      <c r="I12">
        <v>438.38000000000022</v>
      </c>
      <c r="J12">
        <v>55.880000000000038</v>
      </c>
      <c r="K12">
        <v>123.36</v>
      </c>
      <c r="L12">
        <v>829.4000000000002</v>
      </c>
    </row>
    <row r="13" spans="1:12" x14ac:dyDescent="0.3">
      <c r="A13" t="s">
        <v>328</v>
      </c>
      <c r="B13" t="s">
        <v>549</v>
      </c>
      <c r="C13" t="s">
        <v>544</v>
      </c>
      <c r="D13" t="s">
        <v>545</v>
      </c>
      <c r="E13">
        <v>4</v>
      </c>
      <c r="F13">
        <v>94.089999999999989</v>
      </c>
      <c r="G13">
        <v>35</v>
      </c>
      <c r="H13">
        <v>89.24</v>
      </c>
      <c r="I13">
        <v>447.61000000000024</v>
      </c>
      <c r="J13">
        <v>54.53000000000003</v>
      </c>
      <c r="K13">
        <v>129.12</v>
      </c>
      <c r="L13">
        <v>853.59000000000026</v>
      </c>
    </row>
    <row r="14" spans="1:12" x14ac:dyDescent="0.3">
      <c r="A14" t="s">
        <v>412</v>
      </c>
      <c r="B14" t="s">
        <v>549</v>
      </c>
      <c r="C14" t="s">
        <v>544</v>
      </c>
      <c r="D14" t="s">
        <v>545</v>
      </c>
      <c r="E14">
        <v>3</v>
      </c>
      <c r="F14">
        <v>99.97</v>
      </c>
      <c r="G14">
        <v>44.69</v>
      </c>
      <c r="H14">
        <v>82.319999999999979</v>
      </c>
      <c r="I14">
        <v>446.82000000000022</v>
      </c>
      <c r="J14">
        <v>58.220000000000027</v>
      </c>
      <c r="K14">
        <v>116.98999999999998</v>
      </c>
      <c r="L14">
        <v>852.01000000000022</v>
      </c>
    </row>
  </sheetData>
  <pageMargins left="0.7" right="0.7" top="0.75" bottom="0.75" header="0.3" footer="0.3"/>
  <tableParts count="1">
    <tablePart r:id="rId1"/>
  </tableParts>
</worksheet>
</file>

<file path=xl/worksheets/sheet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Sheet13">
    <tabColor theme="9" tint="0.39997558519241921"/>
    <pageSetUpPr fitToPage="1"/>
  </sheetPr>
  <dimension ref="A1:XFC42"/>
  <sheetViews>
    <sheetView showGridLines="0" zoomScaleNormal="100" workbookViewId="0">
      <pane ySplit="2" topLeftCell="A3" activePane="bottomLeft" state="frozen"/>
      <selection pane="bottomLeft" sqref="A1:H1"/>
    </sheetView>
  </sheetViews>
  <sheetFormatPr defaultRowHeight="14.4" x14ac:dyDescent="0.3"/>
  <cols>
    <col min="1" max="1" width="17.33203125" customWidth="1"/>
    <col min="2" max="2" width="58.6640625" customWidth="1"/>
    <col min="3" max="10" width="12.6640625" customWidth="1"/>
  </cols>
  <sheetData>
    <row r="1" spans="1:16383" ht="15.6" x14ac:dyDescent="0.3">
      <c r="A1" s="1030" t="s">
        <v>515</v>
      </c>
      <c r="B1" s="1030"/>
      <c r="C1" s="1030"/>
      <c r="D1" s="1030"/>
      <c r="E1" s="1030"/>
      <c r="F1" s="1030"/>
      <c r="G1" s="1030"/>
      <c r="H1" s="1030"/>
    </row>
    <row r="2" spans="1:16383" ht="15.6" x14ac:dyDescent="0.3">
      <c r="A2" s="498" t="s">
        <v>202</v>
      </c>
      <c r="C2" s="440"/>
      <c r="D2" s="440"/>
      <c r="E2" s="440"/>
      <c r="F2" s="440"/>
      <c r="G2" s="440"/>
      <c r="H2" s="440"/>
    </row>
    <row r="3" spans="1:16383" ht="15.6" x14ac:dyDescent="0.3">
      <c r="C3" s="440"/>
      <c r="D3" s="440"/>
      <c r="E3" s="440"/>
      <c r="F3" s="440"/>
      <c r="G3" s="440"/>
      <c r="H3" s="440"/>
    </row>
    <row r="4" spans="1:16383" ht="31.5" customHeight="1" x14ac:dyDescent="0.3">
      <c r="A4" s="420" t="s">
        <v>703</v>
      </c>
      <c r="B4" s="420"/>
      <c r="C4" s="420"/>
      <c r="D4" s="420"/>
      <c r="E4" s="420"/>
      <c r="F4" s="420"/>
      <c r="G4" s="420"/>
      <c r="H4" s="420"/>
      <c r="I4" s="420"/>
      <c r="J4" s="83"/>
    </row>
    <row r="5" spans="1:16383" ht="15" customHeight="1" x14ac:dyDescent="0.3">
      <c r="A5" t="s">
        <v>203</v>
      </c>
      <c r="B5" t="s">
        <v>85</v>
      </c>
      <c r="C5" s="420"/>
      <c r="D5" s="420"/>
      <c r="E5" s="420"/>
      <c r="F5" s="420"/>
      <c r="G5" s="420"/>
      <c r="H5" s="420"/>
      <c r="I5" s="420"/>
      <c r="J5" s="83"/>
    </row>
    <row r="6" spans="1:16383" ht="15" customHeight="1" x14ac:dyDescent="0.3">
      <c r="A6" t="s">
        <v>204</v>
      </c>
      <c r="B6" t="s">
        <v>205</v>
      </c>
      <c r="C6" s="420"/>
      <c r="D6" s="420"/>
      <c r="E6" s="420"/>
      <c r="F6" s="420"/>
      <c r="G6" s="420"/>
      <c r="H6" s="420"/>
      <c r="I6" s="420"/>
      <c r="J6" s="83"/>
    </row>
    <row r="7" spans="1:16383" ht="15" customHeight="1" x14ac:dyDescent="0.3">
      <c r="A7" t="s">
        <v>206</v>
      </c>
      <c r="B7" t="s">
        <v>207</v>
      </c>
      <c r="C7" s="420"/>
      <c r="D7" s="420"/>
      <c r="E7" s="420"/>
      <c r="F7" s="420"/>
      <c r="G7" s="420"/>
      <c r="H7" s="420"/>
      <c r="I7" s="420"/>
      <c r="J7" s="83"/>
    </row>
    <row r="8" spans="1:16383" ht="26.4" x14ac:dyDescent="0.3">
      <c r="A8" s="78" t="s">
        <v>556</v>
      </c>
      <c r="B8" s="78" t="s">
        <v>550</v>
      </c>
      <c r="C8" s="84" t="s">
        <v>639</v>
      </c>
      <c r="D8" s="84" t="s">
        <v>640</v>
      </c>
      <c r="E8" s="84" t="s">
        <v>641</v>
      </c>
      <c r="F8" s="84" t="s">
        <v>642</v>
      </c>
      <c r="G8" s="84" t="s">
        <v>643</v>
      </c>
      <c r="H8" s="84" t="s">
        <v>670</v>
      </c>
      <c r="I8" s="479" t="s">
        <v>340</v>
      </c>
    </row>
    <row r="9" spans="1:16383" ht="15" thickBot="1" x14ac:dyDescent="0.35">
      <c r="A9" s="454" t="s">
        <v>549</v>
      </c>
      <c r="B9" s="80" t="s">
        <v>685</v>
      </c>
      <c r="C9" s="315">
        <f>GETPIVOTDATA("Sum of Area Manager",CSFTERoleAreaControlPivot!$A$3,"ReportingLevel","4:National")</f>
        <v>0</v>
      </c>
      <c r="D9" s="315">
        <f>GETPIVOTDATA("Sum of Group Manager",CSFTERoleAreaControlPivot!$A$3,"ReportingLevel","4:National")</f>
        <v>3</v>
      </c>
      <c r="E9" s="315">
        <f>GETPIVOTDATA("Sum of Station Manager",CSFTERoleAreaControlPivot!$A$3,"ReportingLevel","4:National")</f>
        <v>6</v>
      </c>
      <c r="F9" s="315">
        <f>GETPIVOTDATA("Sum of Watch Manager",CSFTERoleAreaControlPivot!$A$3,"ReportingLevel","4:National")</f>
        <v>24</v>
      </c>
      <c r="G9" s="315">
        <f>GETPIVOTDATA("Sum of Crew Manager",CSFTERoleAreaControlPivot!$A$3,"ReportingLevel","4:National")</f>
        <v>40.5</v>
      </c>
      <c r="H9" s="315">
        <f>GETPIVOTDATA("Sum of Control Operator",CSFTERoleAreaControlPivot!$A$3,"ReportingLevel","4:National")</f>
        <v>96.199999999999989</v>
      </c>
      <c r="I9" s="480">
        <f>SUM(C9:H9)</f>
        <v>169.7</v>
      </c>
      <c r="K9" s="69"/>
      <c r="L9" s="69"/>
      <c r="M9" s="69"/>
      <c r="N9" s="69"/>
      <c r="O9" s="69"/>
      <c r="P9" s="69"/>
      <c r="Q9" s="69"/>
      <c r="R9" s="69"/>
    </row>
    <row r="10" spans="1:16383" x14ac:dyDescent="0.3">
      <c r="B10" s="82"/>
      <c r="C10" s="15"/>
      <c r="D10" s="15"/>
      <c r="E10" s="15"/>
      <c r="F10" s="15"/>
      <c r="G10" s="15"/>
      <c r="H10" s="15"/>
      <c r="I10" s="12"/>
      <c r="J10" s="19"/>
    </row>
    <row r="11" spans="1:16383" x14ac:dyDescent="0.3">
      <c r="A11" s="373" t="s">
        <v>329</v>
      </c>
      <c r="C11" s="15"/>
      <c r="D11" s="15"/>
      <c r="E11" s="15"/>
      <c r="F11" s="15"/>
      <c r="G11" s="15"/>
      <c r="H11" s="15"/>
      <c r="I11" s="12"/>
      <c r="J11" s="19"/>
    </row>
    <row r="12" spans="1:16383" x14ac:dyDescent="0.3">
      <c r="A12" s="457" t="s">
        <v>524</v>
      </c>
      <c r="B12" s="387"/>
      <c r="C12" s="463"/>
      <c r="D12" s="463"/>
      <c r="E12" s="463"/>
      <c r="F12" s="463"/>
      <c r="G12" s="463"/>
      <c r="H12" s="463"/>
      <c r="I12" s="463"/>
      <c r="J12" s="463"/>
      <c r="K12" s="15"/>
      <c r="L12" s="15"/>
      <c r="M12" s="15"/>
      <c r="N12" s="15"/>
      <c r="O12" s="15"/>
      <c r="P12" s="15"/>
      <c r="Q12" s="15"/>
      <c r="R12" s="15"/>
      <c r="S12" s="15"/>
      <c r="T12" s="15"/>
      <c r="U12" s="15"/>
      <c r="V12" s="15"/>
      <c r="W12" s="15"/>
      <c r="X12" s="15"/>
      <c r="Y12" s="15"/>
      <c r="Z12" s="15"/>
      <c r="AA12" s="15"/>
      <c r="AB12" s="15"/>
      <c r="AC12" s="15"/>
      <c r="AD12" s="15"/>
      <c r="AE12" s="15"/>
      <c r="AF12" s="15"/>
      <c r="AG12" s="15"/>
      <c r="AH12" s="15"/>
      <c r="AI12" s="15"/>
      <c r="AJ12" s="15"/>
      <c r="AK12" s="15"/>
      <c r="AL12" s="15"/>
      <c r="AM12" s="15"/>
      <c r="AN12" s="15"/>
      <c r="AO12" s="15"/>
      <c r="AP12" s="15"/>
      <c r="AQ12" s="15"/>
      <c r="AR12" s="15"/>
      <c r="AS12" s="15"/>
      <c r="AT12" s="15"/>
      <c r="AU12" s="15"/>
      <c r="AV12" s="15"/>
      <c r="AW12" s="15"/>
      <c r="AX12" s="15"/>
      <c r="AY12" s="15"/>
      <c r="AZ12" s="15"/>
      <c r="BA12" s="15"/>
      <c r="BB12" s="15"/>
      <c r="BC12" s="15"/>
      <c r="BD12" s="15"/>
      <c r="BE12" s="15"/>
      <c r="BF12" s="15"/>
      <c r="BG12" s="15"/>
      <c r="BH12" s="15"/>
      <c r="BI12" s="15"/>
      <c r="BJ12" s="15"/>
      <c r="BK12" s="15"/>
      <c r="BL12" s="15"/>
      <c r="BM12" s="15"/>
      <c r="BN12" s="15"/>
      <c r="BO12" s="15"/>
      <c r="BP12" s="15"/>
      <c r="BQ12" s="15"/>
      <c r="BR12" s="15"/>
      <c r="BS12" s="15"/>
      <c r="BT12" s="15"/>
      <c r="BU12" s="15"/>
      <c r="BV12" s="15"/>
      <c r="BW12" s="15"/>
      <c r="BX12" s="15"/>
      <c r="BY12" s="15"/>
      <c r="BZ12" s="15"/>
      <c r="CA12" s="15"/>
      <c r="CB12" s="15"/>
      <c r="CC12" s="15"/>
      <c r="CD12" s="15"/>
      <c r="CE12" s="15"/>
      <c r="CF12" s="15"/>
      <c r="CG12" s="15"/>
      <c r="CH12" s="15"/>
      <c r="CI12" s="15"/>
      <c r="CJ12" s="15"/>
      <c r="CK12" s="15"/>
      <c r="CL12" s="15"/>
      <c r="CM12" s="15"/>
      <c r="CN12" s="15"/>
      <c r="CO12" s="15"/>
      <c r="CP12" s="15"/>
      <c r="CQ12" s="15"/>
      <c r="CR12" s="15"/>
      <c r="CS12" s="15"/>
      <c r="CT12" s="15"/>
      <c r="CU12" s="15"/>
      <c r="CV12" s="15"/>
      <c r="CW12" s="15"/>
      <c r="CX12" s="15"/>
      <c r="CY12" s="15"/>
      <c r="CZ12" s="15"/>
      <c r="DA12" s="15"/>
      <c r="DB12" s="15"/>
      <c r="DC12" s="15"/>
      <c r="DD12" s="15"/>
      <c r="DE12" s="15"/>
      <c r="DF12" s="15"/>
      <c r="DG12" s="15"/>
      <c r="DH12" s="15"/>
      <c r="DI12" s="15"/>
      <c r="DJ12" s="15"/>
      <c r="DK12" s="15"/>
      <c r="DL12" s="15"/>
      <c r="DM12" s="15"/>
      <c r="DN12" s="15"/>
      <c r="DO12" s="15"/>
      <c r="DP12" s="15"/>
      <c r="DQ12" s="15"/>
      <c r="DR12" s="15"/>
      <c r="DS12" s="15"/>
      <c r="DT12" s="15"/>
      <c r="DU12" s="15"/>
      <c r="DV12" s="15"/>
      <c r="DW12" s="15"/>
      <c r="DX12" s="15"/>
      <c r="DY12" s="15"/>
      <c r="DZ12" s="15"/>
      <c r="EA12" s="15"/>
      <c r="EB12" s="15"/>
      <c r="EC12" s="15"/>
      <c r="ED12" s="15"/>
      <c r="EE12" s="15"/>
      <c r="EF12" s="15"/>
      <c r="EG12" s="15"/>
      <c r="EH12" s="15"/>
      <c r="EI12" s="15"/>
      <c r="EJ12" s="15"/>
      <c r="EK12" s="15"/>
      <c r="EL12" s="15"/>
      <c r="EM12" s="15"/>
      <c r="EN12" s="15"/>
      <c r="EO12" s="15"/>
      <c r="EP12" s="15"/>
      <c r="EQ12" s="15"/>
      <c r="ER12" s="15"/>
      <c r="ES12" s="15"/>
      <c r="ET12" s="15"/>
      <c r="EU12" s="15"/>
      <c r="EV12" s="15"/>
      <c r="EW12" s="15"/>
      <c r="EX12" s="15"/>
      <c r="EY12" s="15"/>
      <c r="EZ12" s="15"/>
      <c r="FA12" s="15"/>
      <c r="FB12" s="15"/>
      <c r="FC12" s="15"/>
      <c r="FD12" s="15"/>
      <c r="FE12" s="15"/>
      <c r="FF12" s="15"/>
      <c r="FG12" s="15"/>
      <c r="FH12" s="15"/>
      <c r="FI12" s="15"/>
      <c r="FJ12" s="15"/>
      <c r="FK12" s="15"/>
      <c r="FL12" s="15"/>
      <c r="FM12" s="15"/>
      <c r="FN12" s="15"/>
      <c r="FO12" s="15"/>
      <c r="FP12" s="15"/>
      <c r="FQ12" s="15"/>
      <c r="FR12" s="15"/>
      <c r="FS12" s="15"/>
      <c r="FT12" s="15"/>
      <c r="FU12" s="15"/>
      <c r="FV12" s="15"/>
      <c r="FW12" s="15"/>
      <c r="FX12" s="15"/>
      <c r="FY12" s="15"/>
      <c r="FZ12" s="15"/>
      <c r="GA12" s="15"/>
      <c r="GB12" s="15"/>
      <c r="GC12" s="15"/>
      <c r="GD12" s="15"/>
      <c r="GE12" s="15"/>
      <c r="GF12" s="15"/>
      <c r="GG12" s="15"/>
      <c r="GH12" s="15"/>
      <c r="GI12" s="15"/>
      <c r="GJ12" s="15"/>
      <c r="GK12" s="15"/>
      <c r="GL12" s="15"/>
      <c r="GM12" s="15"/>
      <c r="GN12" s="15"/>
      <c r="GO12" s="15"/>
      <c r="GP12" s="15"/>
      <c r="GQ12" s="15"/>
      <c r="GR12" s="15"/>
      <c r="GS12" s="15"/>
      <c r="GT12" s="15"/>
      <c r="GU12" s="15"/>
      <c r="GV12" s="15"/>
      <c r="GW12" s="15"/>
      <c r="GX12" s="15"/>
      <c r="GY12" s="15"/>
      <c r="GZ12" s="15"/>
      <c r="HA12" s="15"/>
      <c r="HB12" s="15"/>
      <c r="HC12" s="15"/>
      <c r="HD12" s="15"/>
      <c r="HE12" s="15"/>
      <c r="HF12" s="15"/>
      <c r="HG12" s="15"/>
      <c r="HH12" s="15"/>
      <c r="HI12" s="15"/>
      <c r="HJ12" s="15"/>
      <c r="HK12" s="15"/>
      <c r="HL12" s="15"/>
      <c r="HM12" s="15"/>
      <c r="HN12" s="15"/>
      <c r="HO12" s="15"/>
      <c r="HP12" s="15"/>
      <c r="HQ12" s="15"/>
      <c r="HR12" s="15"/>
      <c r="HS12" s="15"/>
      <c r="HT12" s="15"/>
      <c r="HU12" s="15"/>
      <c r="HV12" s="15"/>
      <c r="HW12" s="15"/>
      <c r="HX12" s="15"/>
      <c r="HY12" s="15"/>
      <c r="HZ12" s="15"/>
      <c r="IA12" s="15"/>
      <c r="IB12" s="15"/>
      <c r="IC12" s="15"/>
      <c r="ID12" s="15"/>
      <c r="IE12" s="15"/>
      <c r="IF12" s="15"/>
      <c r="IG12" s="15"/>
      <c r="IH12" s="15"/>
      <c r="II12" s="15"/>
      <c r="IJ12" s="15"/>
      <c r="IK12" s="15"/>
      <c r="IL12" s="15"/>
      <c r="IM12" s="15"/>
      <c r="IN12" s="15"/>
      <c r="IO12" s="15"/>
      <c r="IP12" s="15"/>
      <c r="IQ12" s="15"/>
      <c r="IR12" s="15"/>
      <c r="IS12" s="15"/>
      <c r="IT12" s="15"/>
      <c r="IU12" s="15"/>
      <c r="IV12" s="15"/>
      <c r="IW12" s="15"/>
      <c r="IX12" s="15"/>
      <c r="IY12" s="15"/>
      <c r="IZ12" s="15"/>
      <c r="JA12" s="15"/>
      <c r="JB12" s="15"/>
      <c r="JC12" s="15"/>
      <c r="JD12" s="15"/>
      <c r="JE12" s="15"/>
      <c r="JF12" s="15"/>
      <c r="JG12" s="15"/>
      <c r="JH12" s="15"/>
      <c r="JI12" s="15"/>
      <c r="JJ12" s="15"/>
      <c r="JK12" s="15"/>
      <c r="JL12" s="15"/>
      <c r="JM12" s="15"/>
      <c r="JN12" s="15"/>
      <c r="JO12" s="15"/>
      <c r="JP12" s="15"/>
      <c r="JQ12" s="15"/>
      <c r="JR12" s="15"/>
      <c r="JS12" s="15"/>
      <c r="JT12" s="15"/>
      <c r="JU12" s="15"/>
      <c r="JV12" s="15"/>
      <c r="JW12" s="15"/>
      <c r="JX12" s="15"/>
      <c r="JY12" s="15"/>
      <c r="JZ12" s="15"/>
      <c r="KA12" s="15"/>
      <c r="KB12" s="15"/>
      <c r="KC12" s="15"/>
      <c r="KD12" s="15"/>
      <c r="KE12" s="15"/>
      <c r="KF12" s="15"/>
      <c r="KG12" s="15"/>
      <c r="KH12" s="15"/>
      <c r="KI12" s="15"/>
      <c r="KJ12" s="15"/>
      <c r="KK12" s="15"/>
      <c r="KL12" s="15"/>
      <c r="KM12" s="15"/>
      <c r="KN12" s="15"/>
      <c r="KO12" s="15"/>
      <c r="KP12" s="15"/>
      <c r="KQ12" s="15"/>
      <c r="KR12" s="15"/>
      <c r="KS12" s="15"/>
      <c r="KT12" s="15"/>
      <c r="KU12" s="15"/>
      <c r="KV12" s="15"/>
      <c r="KW12" s="15"/>
      <c r="KX12" s="15"/>
      <c r="KY12" s="15"/>
      <c r="KZ12" s="15"/>
      <c r="LA12" s="15"/>
      <c r="LB12" s="15"/>
      <c r="LC12" s="15"/>
      <c r="LD12" s="15"/>
      <c r="LE12" s="15"/>
      <c r="LF12" s="15"/>
      <c r="LG12" s="15"/>
      <c r="LH12" s="15"/>
      <c r="LI12" s="15"/>
      <c r="LJ12" s="15"/>
      <c r="LK12" s="15"/>
      <c r="LL12" s="15"/>
      <c r="LM12" s="15"/>
      <c r="LN12" s="15"/>
      <c r="LO12" s="15"/>
      <c r="LP12" s="15"/>
      <c r="LQ12" s="15"/>
      <c r="LR12" s="15"/>
      <c r="LS12" s="15"/>
      <c r="LT12" s="15"/>
      <c r="LU12" s="15"/>
      <c r="LV12" s="15"/>
      <c r="LW12" s="15"/>
      <c r="LX12" s="15"/>
      <c r="LY12" s="15"/>
      <c r="LZ12" s="15"/>
      <c r="MA12" s="15"/>
      <c r="MB12" s="15"/>
      <c r="MC12" s="15"/>
      <c r="MD12" s="15"/>
      <c r="ME12" s="15"/>
      <c r="MF12" s="15"/>
      <c r="MG12" s="15"/>
      <c r="MH12" s="15"/>
      <c r="MI12" s="15"/>
      <c r="MJ12" s="15"/>
      <c r="MK12" s="15"/>
      <c r="ML12" s="15"/>
      <c r="MM12" s="15"/>
      <c r="MN12" s="15"/>
      <c r="MO12" s="15"/>
      <c r="MP12" s="15"/>
      <c r="MQ12" s="15"/>
      <c r="MR12" s="15"/>
      <c r="MS12" s="15"/>
      <c r="MT12" s="15"/>
      <c r="MU12" s="15"/>
      <c r="MV12" s="15"/>
      <c r="MW12" s="15"/>
      <c r="MX12" s="15"/>
      <c r="MY12" s="15"/>
      <c r="MZ12" s="15"/>
      <c r="NA12" s="15"/>
      <c r="NB12" s="15"/>
      <c r="NC12" s="15"/>
      <c r="ND12" s="15"/>
      <c r="NE12" s="15"/>
      <c r="NF12" s="15"/>
      <c r="NG12" s="15"/>
      <c r="NH12" s="15"/>
      <c r="NI12" s="15"/>
      <c r="NJ12" s="15"/>
      <c r="NK12" s="15"/>
      <c r="NL12" s="15"/>
      <c r="NM12" s="15"/>
      <c r="NN12" s="15"/>
      <c r="NO12" s="15"/>
      <c r="NP12" s="15"/>
      <c r="NQ12" s="15"/>
      <c r="NR12" s="15"/>
      <c r="NS12" s="15"/>
      <c r="NT12" s="15"/>
      <c r="NU12" s="15"/>
      <c r="NV12" s="15"/>
      <c r="NW12" s="15"/>
      <c r="NX12" s="15"/>
      <c r="NY12" s="15"/>
      <c r="NZ12" s="15"/>
      <c r="OA12" s="15"/>
      <c r="OB12" s="15"/>
      <c r="OC12" s="15"/>
      <c r="OD12" s="15"/>
      <c r="OE12" s="15"/>
      <c r="OF12" s="15"/>
      <c r="OG12" s="15"/>
      <c r="OH12" s="15"/>
      <c r="OI12" s="15"/>
      <c r="OJ12" s="15"/>
      <c r="OK12" s="15"/>
      <c r="OL12" s="15"/>
      <c r="OM12" s="15"/>
      <c r="ON12" s="15"/>
      <c r="OO12" s="15"/>
      <c r="OP12" s="15"/>
      <c r="OQ12" s="15"/>
      <c r="OR12" s="15"/>
      <c r="OS12" s="15"/>
      <c r="OT12" s="15"/>
      <c r="OU12" s="15"/>
      <c r="OV12" s="15"/>
      <c r="OW12" s="15"/>
      <c r="OX12" s="15"/>
      <c r="OY12" s="15"/>
      <c r="OZ12" s="15"/>
      <c r="PA12" s="15"/>
      <c r="PB12" s="15"/>
      <c r="PC12" s="15"/>
      <c r="PD12" s="15"/>
      <c r="PE12" s="15"/>
      <c r="PF12" s="15"/>
      <c r="PG12" s="15"/>
      <c r="PH12" s="15"/>
      <c r="PI12" s="15"/>
      <c r="PJ12" s="15"/>
      <c r="PK12" s="15"/>
      <c r="PL12" s="15"/>
      <c r="PM12" s="15"/>
      <c r="PN12" s="15"/>
      <c r="PO12" s="15"/>
      <c r="PP12" s="15"/>
      <c r="PQ12" s="15"/>
      <c r="PR12" s="15"/>
      <c r="PS12" s="15"/>
      <c r="PT12" s="15"/>
      <c r="PU12" s="15"/>
      <c r="PV12" s="15"/>
      <c r="PW12" s="15"/>
      <c r="PX12" s="15"/>
      <c r="PY12" s="15"/>
      <c r="PZ12" s="15"/>
      <c r="QA12" s="15"/>
      <c r="QB12" s="15"/>
      <c r="QC12" s="15"/>
      <c r="QD12" s="15"/>
      <c r="QE12" s="15"/>
      <c r="QF12" s="15"/>
      <c r="QG12" s="15"/>
      <c r="QH12" s="15"/>
      <c r="QI12" s="15"/>
      <c r="QJ12" s="15"/>
      <c r="QK12" s="15"/>
      <c r="QL12" s="15"/>
      <c r="QM12" s="15"/>
      <c r="QN12" s="15"/>
      <c r="QO12" s="15"/>
      <c r="QP12" s="15"/>
      <c r="QQ12" s="15"/>
      <c r="QR12" s="15"/>
      <c r="QS12" s="15"/>
      <c r="QT12" s="15"/>
      <c r="QU12" s="15"/>
      <c r="QV12" s="15"/>
      <c r="QW12" s="15"/>
      <c r="QX12" s="15"/>
      <c r="QY12" s="15"/>
      <c r="QZ12" s="15"/>
      <c r="RA12" s="15"/>
      <c r="RB12" s="15"/>
      <c r="RC12" s="15"/>
      <c r="RD12" s="15"/>
      <c r="RE12" s="15"/>
      <c r="RF12" s="15"/>
      <c r="RG12" s="15"/>
      <c r="RH12" s="15"/>
      <c r="RI12" s="15"/>
      <c r="RJ12" s="15"/>
      <c r="RK12" s="15"/>
      <c r="RL12" s="15"/>
      <c r="RM12" s="15"/>
      <c r="RN12" s="15"/>
      <c r="RO12" s="15"/>
      <c r="RP12" s="15"/>
      <c r="RQ12" s="15"/>
      <c r="RR12" s="15"/>
      <c r="RS12" s="15"/>
      <c r="RT12" s="15"/>
      <c r="RU12" s="15"/>
      <c r="RV12" s="15"/>
      <c r="RW12" s="15"/>
      <c r="RX12" s="15"/>
      <c r="RY12" s="15"/>
      <c r="RZ12" s="15"/>
      <c r="SA12" s="15"/>
      <c r="SB12" s="15"/>
      <c r="SC12" s="15"/>
      <c r="SD12" s="15"/>
      <c r="SE12" s="15"/>
      <c r="SF12" s="15"/>
      <c r="SG12" s="15"/>
      <c r="SH12" s="15"/>
      <c r="SI12" s="15"/>
      <c r="SJ12" s="15"/>
      <c r="SK12" s="15"/>
      <c r="SL12" s="15"/>
      <c r="SM12" s="15"/>
      <c r="SN12" s="15"/>
      <c r="SO12" s="15"/>
      <c r="SP12" s="15"/>
      <c r="SQ12" s="15"/>
      <c r="SR12" s="15"/>
      <c r="SS12" s="15"/>
      <c r="ST12" s="15"/>
      <c r="SU12" s="15"/>
      <c r="SV12" s="15"/>
      <c r="SW12" s="15"/>
      <c r="SX12" s="15"/>
      <c r="SY12" s="15"/>
      <c r="SZ12" s="15"/>
      <c r="TA12" s="15"/>
      <c r="TB12" s="15"/>
      <c r="TC12" s="15"/>
      <c r="TD12" s="15"/>
      <c r="TE12" s="15"/>
      <c r="TF12" s="15"/>
      <c r="TG12" s="15"/>
      <c r="TH12" s="15"/>
      <c r="TI12" s="15"/>
      <c r="TJ12" s="15"/>
      <c r="TK12" s="15"/>
      <c r="TL12" s="15"/>
      <c r="TM12" s="15"/>
      <c r="TN12" s="15"/>
      <c r="TO12" s="15"/>
      <c r="TP12" s="15"/>
      <c r="TQ12" s="15"/>
      <c r="TR12" s="15"/>
      <c r="TS12" s="15"/>
      <c r="TT12" s="15"/>
      <c r="TU12" s="15"/>
      <c r="TV12" s="15"/>
      <c r="TW12" s="15"/>
      <c r="TX12" s="15"/>
      <c r="TY12" s="15"/>
      <c r="TZ12" s="15"/>
      <c r="UA12" s="15"/>
      <c r="UB12" s="15"/>
      <c r="UC12" s="15"/>
      <c r="UD12" s="15"/>
      <c r="UE12" s="15"/>
      <c r="UF12" s="15"/>
      <c r="UG12" s="15"/>
      <c r="UH12" s="15"/>
      <c r="UI12" s="15"/>
      <c r="UJ12" s="15"/>
      <c r="UK12" s="15"/>
      <c r="UL12" s="15"/>
      <c r="UM12" s="15"/>
      <c r="UN12" s="15"/>
      <c r="UO12" s="15"/>
      <c r="UP12" s="15"/>
      <c r="UQ12" s="15"/>
      <c r="UR12" s="15"/>
      <c r="US12" s="15"/>
      <c r="UT12" s="15"/>
      <c r="UU12" s="15"/>
      <c r="UV12" s="15"/>
      <c r="UW12" s="15"/>
      <c r="UX12" s="15"/>
      <c r="UY12" s="15"/>
      <c r="UZ12" s="15"/>
      <c r="VA12" s="15"/>
      <c r="VB12" s="15"/>
      <c r="VC12" s="15"/>
      <c r="VD12" s="15"/>
      <c r="VE12" s="15"/>
      <c r="VF12" s="15"/>
      <c r="VG12" s="15"/>
      <c r="VH12" s="15"/>
      <c r="VI12" s="15"/>
      <c r="VJ12" s="15"/>
      <c r="VK12" s="15"/>
      <c r="VL12" s="15"/>
      <c r="VM12" s="15"/>
      <c r="VN12" s="15"/>
      <c r="VO12" s="15"/>
      <c r="VP12" s="15"/>
      <c r="VQ12" s="15"/>
      <c r="VR12" s="15"/>
      <c r="VS12" s="15"/>
      <c r="VT12" s="15"/>
      <c r="VU12" s="15"/>
      <c r="VV12" s="15"/>
      <c r="VW12" s="15"/>
      <c r="VX12" s="15"/>
      <c r="VY12" s="15"/>
      <c r="VZ12" s="15"/>
      <c r="WA12" s="15"/>
      <c r="WB12" s="15"/>
      <c r="WC12" s="15"/>
      <c r="WD12" s="15"/>
      <c r="WE12" s="15"/>
      <c r="WF12" s="15"/>
      <c r="WG12" s="15"/>
      <c r="WH12" s="15"/>
      <c r="WI12" s="15"/>
      <c r="WJ12" s="15"/>
      <c r="WK12" s="15"/>
      <c r="WL12" s="15"/>
      <c r="WM12" s="15"/>
      <c r="WN12" s="15"/>
      <c r="WO12" s="15"/>
      <c r="WP12" s="15"/>
      <c r="WQ12" s="15"/>
      <c r="WR12" s="15"/>
      <c r="WS12" s="15"/>
      <c r="WT12" s="15"/>
      <c r="WU12" s="15"/>
      <c r="WV12" s="15"/>
      <c r="WW12" s="15"/>
      <c r="WX12" s="15"/>
      <c r="WY12" s="15"/>
      <c r="WZ12" s="15"/>
      <c r="XA12" s="15"/>
      <c r="XB12" s="15"/>
      <c r="XC12" s="15"/>
      <c r="XD12" s="15"/>
      <c r="XE12" s="15"/>
      <c r="XF12" s="15"/>
      <c r="XG12" s="15"/>
      <c r="XH12" s="15"/>
      <c r="XI12" s="15"/>
      <c r="XJ12" s="15"/>
      <c r="XK12" s="15"/>
      <c r="XL12" s="15"/>
      <c r="XM12" s="15"/>
      <c r="XN12" s="15"/>
      <c r="XO12" s="15"/>
      <c r="XP12" s="15"/>
      <c r="XQ12" s="15"/>
      <c r="XR12" s="15"/>
      <c r="XS12" s="15"/>
      <c r="XT12" s="15"/>
      <c r="XU12" s="15"/>
      <c r="XV12" s="15"/>
      <c r="XW12" s="15"/>
      <c r="XX12" s="15"/>
      <c r="XY12" s="15"/>
      <c r="XZ12" s="15"/>
      <c r="YA12" s="15"/>
      <c r="YB12" s="15"/>
      <c r="YC12" s="15"/>
      <c r="YD12" s="15"/>
      <c r="YE12" s="15"/>
      <c r="YF12" s="15"/>
      <c r="YG12" s="15"/>
      <c r="YH12" s="15"/>
      <c r="YI12" s="15"/>
      <c r="YJ12" s="15"/>
      <c r="YK12" s="15"/>
      <c r="YL12" s="15"/>
      <c r="YM12" s="15"/>
      <c r="YN12" s="15"/>
      <c r="YO12" s="15"/>
      <c r="YP12" s="15"/>
      <c r="YQ12" s="15"/>
      <c r="YR12" s="15"/>
      <c r="YS12" s="15"/>
      <c r="YT12" s="15"/>
      <c r="YU12" s="15"/>
      <c r="YV12" s="15"/>
      <c r="YW12" s="15"/>
      <c r="YX12" s="15"/>
      <c r="YY12" s="15"/>
      <c r="YZ12" s="15"/>
      <c r="ZA12" s="15"/>
      <c r="ZB12" s="15"/>
      <c r="ZC12" s="15"/>
      <c r="ZD12" s="15"/>
      <c r="ZE12" s="15"/>
      <c r="ZF12" s="15"/>
      <c r="ZG12" s="15"/>
      <c r="ZH12" s="15"/>
      <c r="ZI12" s="15"/>
      <c r="ZJ12" s="15"/>
      <c r="ZK12" s="15"/>
      <c r="ZL12" s="15"/>
      <c r="ZM12" s="15"/>
      <c r="ZN12" s="15"/>
      <c r="ZO12" s="15"/>
      <c r="ZP12" s="15"/>
      <c r="ZQ12" s="15"/>
      <c r="ZR12" s="15"/>
      <c r="ZS12" s="15"/>
      <c r="ZT12" s="15"/>
      <c r="ZU12" s="15"/>
      <c r="ZV12" s="15"/>
      <c r="ZW12" s="15"/>
      <c r="ZX12" s="15"/>
      <c r="ZY12" s="15"/>
      <c r="ZZ12" s="15"/>
      <c r="AAA12" s="15"/>
      <c r="AAB12" s="15"/>
      <c r="AAC12" s="15"/>
      <c r="AAD12" s="15"/>
      <c r="AAE12" s="15"/>
      <c r="AAF12" s="15"/>
      <c r="AAG12" s="15"/>
      <c r="AAH12" s="15"/>
      <c r="AAI12" s="15"/>
      <c r="AAJ12" s="15"/>
      <c r="AAK12" s="15"/>
      <c r="AAL12" s="15"/>
      <c r="AAM12" s="15"/>
      <c r="AAN12" s="15"/>
      <c r="AAO12" s="15"/>
      <c r="AAP12" s="15"/>
      <c r="AAQ12" s="15"/>
      <c r="AAR12" s="15"/>
      <c r="AAS12" s="15"/>
      <c r="AAT12" s="15"/>
      <c r="AAU12" s="15"/>
      <c r="AAV12" s="15"/>
      <c r="AAW12" s="15"/>
      <c r="AAX12" s="15"/>
      <c r="AAY12" s="15"/>
      <c r="AAZ12" s="15"/>
      <c r="ABA12" s="15"/>
      <c r="ABB12" s="15"/>
      <c r="ABC12" s="15"/>
      <c r="ABD12" s="15"/>
      <c r="ABE12" s="15"/>
      <c r="ABF12" s="15"/>
      <c r="ABG12" s="15"/>
      <c r="ABH12" s="15"/>
      <c r="ABI12" s="15"/>
      <c r="ABJ12" s="15"/>
      <c r="ABK12" s="15"/>
      <c r="ABL12" s="15"/>
      <c r="ABM12" s="15"/>
      <c r="ABN12" s="15"/>
      <c r="ABO12" s="15"/>
      <c r="ABP12" s="15"/>
      <c r="ABQ12" s="15"/>
      <c r="ABR12" s="15"/>
      <c r="ABS12" s="15"/>
      <c r="ABT12" s="15"/>
      <c r="ABU12" s="15"/>
      <c r="ABV12" s="15"/>
      <c r="ABW12" s="15"/>
      <c r="ABX12" s="15"/>
      <c r="ABY12" s="15"/>
      <c r="ABZ12" s="15"/>
      <c r="ACA12" s="15"/>
      <c r="ACB12" s="15"/>
      <c r="ACC12" s="15"/>
      <c r="ACD12" s="15"/>
      <c r="ACE12" s="15"/>
      <c r="ACF12" s="15"/>
      <c r="ACG12" s="15"/>
      <c r="ACH12" s="15"/>
      <c r="ACI12" s="15"/>
      <c r="ACJ12" s="15"/>
      <c r="ACK12" s="15"/>
      <c r="ACL12" s="15"/>
      <c r="ACM12" s="15"/>
      <c r="ACN12" s="15"/>
      <c r="ACO12" s="15"/>
      <c r="ACP12" s="15"/>
      <c r="ACQ12" s="15"/>
      <c r="ACR12" s="15"/>
      <c r="ACS12" s="15"/>
      <c r="ACT12" s="15"/>
      <c r="ACU12" s="15"/>
      <c r="ACV12" s="15"/>
      <c r="ACW12" s="15"/>
      <c r="ACX12" s="15"/>
      <c r="ACY12" s="15"/>
      <c r="ACZ12" s="15"/>
      <c r="ADA12" s="15"/>
      <c r="ADB12" s="15"/>
      <c r="ADC12" s="15"/>
      <c r="ADD12" s="15"/>
      <c r="ADE12" s="15"/>
      <c r="ADF12" s="15"/>
      <c r="ADG12" s="15"/>
      <c r="ADH12" s="15"/>
      <c r="ADI12" s="15"/>
      <c r="ADJ12" s="15"/>
      <c r="ADK12" s="15"/>
      <c r="ADL12" s="15"/>
      <c r="ADM12" s="15"/>
      <c r="ADN12" s="15"/>
      <c r="ADO12" s="15"/>
      <c r="ADP12" s="15"/>
      <c r="ADQ12" s="15"/>
      <c r="ADR12" s="15"/>
      <c r="ADS12" s="15"/>
      <c r="ADT12" s="15"/>
      <c r="ADU12" s="15"/>
      <c r="ADV12" s="15"/>
      <c r="ADW12" s="15"/>
      <c r="ADX12" s="15"/>
      <c r="ADY12" s="15"/>
      <c r="ADZ12" s="15"/>
      <c r="AEA12" s="15"/>
      <c r="AEB12" s="15"/>
      <c r="AEC12" s="15"/>
      <c r="AED12" s="15"/>
      <c r="AEE12" s="15"/>
      <c r="AEF12" s="15"/>
      <c r="AEG12" s="15"/>
      <c r="AEH12" s="15"/>
      <c r="AEI12" s="15"/>
      <c r="AEJ12" s="15"/>
      <c r="AEK12" s="15"/>
      <c r="AEL12" s="15"/>
      <c r="AEM12" s="15"/>
      <c r="AEN12" s="15"/>
      <c r="AEO12" s="15"/>
      <c r="AEP12" s="15"/>
      <c r="AEQ12" s="15"/>
      <c r="AER12" s="15"/>
      <c r="AES12" s="15"/>
      <c r="AET12" s="15"/>
      <c r="AEU12" s="15"/>
      <c r="AEV12" s="15"/>
      <c r="AEW12" s="15"/>
      <c r="AEX12" s="15"/>
      <c r="AEY12" s="15"/>
      <c r="AEZ12" s="15"/>
      <c r="AFA12" s="15"/>
      <c r="AFB12" s="15"/>
      <c r="AFC12" s="15"/>
      <c r="AFD12" s="15"/>
      <c r="AFE12" s="15"/>
      <c r="AFF12" s="15"/>
      <c r="AFG12" s="15"/>
      <c r="AFH12" s="15"/>
      <c r="AFI12" s="15"/>
      <c r="AFJ12" s="15"/>
      <c r="AFK12" s="15"/>
      <c r="AFL12" s="15"/>
      <c r="AFM12" s="15"/>
      <c r="AFN12" s="15"/>
      <c r="AFO12" s="15"/>
      <c r="AFP12" s="15"/>
      <c r="AFQ12" s="15"/>
      <c r="AFR12" s="15"/>
      <c r="AFS12" s="15"/>
      <c r="AFT12" s="15"/>
      <c r="AFU12" s="15"/>
      <c r="AFV12" s="15"/>
      <c r="AFW12" s="15"/>
      <c r="AFX12" s="15"/>
      <c r="AFY12" s="15"/>
      <c r="AFZ12" s="15"/>
      <c r="AGA12" s="15"/>
      <c r="AGB12" s="15"/>
      <c r="AGC12" s="15"/>
      <c r="AGD12" s="15"/>
      <c r="AGE12" s="15"/>
      <c r="AGF12" s="15"/>
      <c r="AGG12" s="15"/>
      <c r="AGH12" s="15"/>
      <c r="AGI12" s="15"/>
      <c r="AGJ12" s="15"/>
      <c r="AGK12" s="15"/>
      <c r="AGL12" s="15"/>
      <c r="AGM12" s="15"/>
      <c r="AGN12" s="15"/>
      <c r="AGO12" s="15"/>
      <c r="AGP12" s="15"/>
      <c r="AGQ12" s="15"/>
      <c r="AGR12" s="15"/>
      <c r="AGS12" s="15"/>
      <c r="AGT12" s="15"/>
      <c r="AGU12" s="15"/>
      <c r="AGV12" s="15"/>
      <c r="AGW12" s="15"/>
      <c r="AGX12" s="15"/>
      <c r="AGY12" s="15"/>
      <c r="AGZ12" s="15"/>
      <c r="AHA12" s="15"/>
      <c r="AHB12" s="15"/>
      <c r="AHC12" s="15"/>
      <c r="AHD12" s="15"/>
      <c r="AHE12" s="15"/>
      <c r="AHF12" s="15"/>
      <c r="AHG12" s="15"/>
      <c r="AHH12" s="15"/>
      <c r="AHI12" s="15"/>
      <c r="AHJ12" s="15"/>
      <c r="AHK12" s="15"/>
      <c r="AHL12" s="15"/>
      <c r="AHM12" s="15"/>
      <c r="AHN12" s="15"/>
      <c r="AHO12" s="15"/>
      <c r="AHP12" s="15"/>
      <c r="AHQ12" s="15"/>
      <c r="AHR12" s="15"/>
      <c r="AHS12" s="15"/>
      <c r="AHT12" s="15"/>
      <c r="AHU12" s="15"/>
      <c r="AHV12" s="15"/>
      <c r="AHW12" s="15"/>
      <c r="AHX12" s="15"/>
      <c r="AHY12" s="15"/>
      <c r="AHZ12" s="15"/>
      <c r="AIA12" s="15"/>
      <c r="AIB12" s="15"/>
      <c r="AIC12" s="15"/>
      <c r="AID12" s="15"/>
      <c r="AIE12" s="15"/>
      <c r="AIF12" s="15"/>
      <c r="AIG12" s="15"/>
      <c r="AIH12" s="15"/>
      <c r="AII12" s="15"/>
      <c r="AIJ12" s="15"/>
      <c r="AIK12" s="15"/>
      <c r="AIL12" s="15"/>
      <c r="AIM12" s="15"/>
      <c r="AIN12" s="15"/>
      <c r="AIO12" s="15"/>
      <c r="AIP12" s="15"/>
      <c r="AIQ12" s="15"/>
      <c r="AIR12" s="15"/>
      <c r="AIS12" s="15"/>
      <c r="AIT12" s="15"/>
      <c r="AIU12" s="15"/>
      <c r="AIV12" s="15"/>
      <c r="AIW12" s="15"/>
      <c r="AIX12" s="15"/>
      <c r="AIY12" s="15"/>
      <c r="AIZ12" s="15"/>
      <c r="AJA12" s="15"/>
      <c r="AJB12" s="15"/>
      <c r="AJC12" s="15"/>
      <c r="AJD12" s="15"/>
      <c r="AJE12" s="15"/>
      <c r="AJF12" s="15"/>
      <c r="AJG12" s="15"/>
      <c r="AJH12" s="15"/>
      <c r="AJI12" s="15"/>
      <c r="AJJ12" s="15"/>
      <c r="AJK12" s="15"/>
      <c r="AJL12" s="15"/>
      <c r="AJM12" s="15"/>
      <c r="AJN12" s="15"/>
      <c r="AJO12" s="15"/>
      <c r="AJP12" s="15"/>
      <c r="AJQ12" s="15"/>
      <c r="AJR12" s="15"/>
      <c r="AJS12" s="15"/>
      <c r="AJT12" s="15"/>
      <c r="AJU12" s="15"/>
      <c r="AJV12" s="15"/>
      <c r="AJW12" s="15"/>
      <c r="AJX12" s="15"/>
      <c r="AJY12" s="15"/>
      <c r="AJZ12" s="15"/>
      <c r="AKA12" s="15"/>
      <c r="AKB12" s="15"/>
      <c r="AKC12" s="15"/>
      <c r="AKD12" s="15"/>
      <c r="AKE12" s="15"/>
      <c r="AKF12" s="15"/>
      <c r="AKG12" s="15"/>
      <c r="AKH12" s="15"/>
      <c r="AKI12" s="15"/>
      <c r="AKJ12" s="15"/>
      <c r="AKK12" s="15"/>
      <c r="AKL12" s="15"/>
      <c r="AKM12" s="15"/>
      <c r="AKN12" s="15"/>
      <c r="AKO12" s="15"/>
      <c r="AKP12" s="15"/>
      <c r="AKQ12" s="15"/>
      <c r="AKR12" s="15"/>
      <c r="AKS12" s="15"/>
      <c r="AKT12" s="15"/>
      <c r="AKU12" s="15"/>
      <c r="AKV12" s="15"/>
      <c r="AKW12" s="15"/>
      <c r="AKX12" s="15"/>
      <c r="AKY12" s="15"/>
      <c r="AKZ12" s="15"/>
      <c r="ALA12" s="15"/>
      <c r="ALB12" s="15"/>
      <c r="ALC12" s="15"/>
      <c r="ALD12" s="15"/>
      <c r="ALE12" s="15"/>
      <c r="ALF12" s="15"/>
      <c r="ALG12" s="15"/>
      <c r="ALH12" s="15"/>
      <c r="ALI12" s="15"/>
      <c r="ALJ12" s="15"/>
      <c r="ALK12" s="15"/>
      <c r="ALL12" s="15"/>
      <c r="ALM12" s="15"/>
      <c r="ALN12" s="15"/>
      <c r="ALO12" s="15"/>
      <c r="ALP12" s="15"/>
      <c r="ALQ12" s="15"/>
      <c r="ALR12" s="15"/>
      <c r="ALS12" s="15"/>
      <c r="ALT12" s="15"/>
      <c r="ALU12" s="15"/>
      <c r="ALV12" s="15"/>
      <c r="ALW12" s="15"/>
      <c r="ALX12" s="15"/>
      <c r="ALY12" s="15"/>
      <c r="ALZ12" s="15"/>
      <c r="AMA12" s="15"/>
      <c r="AMB12" s="15"/>
      <c r="AMC12" s="15"/>
      <c r="AMD12" s="15"/>
      <c r="AME12" s="15"/>
      <c r="AMF12" s="15"/>
      <c r="AMG12" s="15"/>
      <c r="AMH12" s="15"/>
      <c r="AMI12" s="15"/>
      <c r="AMJ12" s="15"/>
      <c r="AMK12" s="15"/>
      <c r="AML12" s="15"/>
      <c r="AMM12" s="15"/>
      <c r="AMN12" s="15"/>
      <c r="AMO12" s="15"/>
      <c r="AMP12" s="15"/>
      <c r="AMQ12" s="15"/>
      <c r="AMR12" s="15"/>
      <c r="AMS12" s="15"/>
      <c r="AMT12" s="15"/>
      <c r="AMU12" s="15"/>
      <c r="AMV12" s="15"/>
      <c r="AMW12" s="15"/>
      <c r="AMX12" s="15"/>
      <c r="AMY12" s="15"/>
      <c r="AMZ12" s="15"/>
      <c r="ANA12" s="15"/>
      <c r="ANB12" s="15"/>
      <c r="ANC12" s="15"/>
      <c r="AND12" s="15"/>
      <c r="ANE12" s="15"/>
      <c r="ANF12" s="15"/>
      <c r="ANG12" s="15"/>
      <c r="ANH12" s="15"/>
      <c r="ANI12" s="15"/>
      <c r="ANJ12" s="15"/>
      <c r="ANK12" s="15"/>
      <c r="ANL12" s="15"/>
      <c r="ANM12" s="15"/>
      <c r="ANN12" s="15"/>
      <c r="ANO12" s="15"/>
      <c r="ANP12" s="15"/>
      <c r="ANQ12" s="15"/>
      <c r="ANR12" s="15"/>
      <c r="ANS12" s="15"/>
      <c r="ANT12" s="15"/>
      <c r="ANU12" s="15"/>
      <c r="ANV12" s="15"/>
      <c r="ANW12" s="15"/>
      <c r="ANX12" s="15"/>
      <c r="ANY12" s="15"/>
      <c r="ANZ12" s="15"/>
      <c r="AOA12" s="15"/>
      <c r="AOB12" s="15"/>
      <c r="AOC12" s="15"/>
      <c r="AOD12" s="15"/>
      <c r="AOE12" s="15"/>
      <c r="AOF12" s="15"/>
      <c r="AOG12" s="15"/>
      <c r="AOH12" s="15"/>
      <c r="AOI12" s="15"/>
      <c r="AOJ12" s="15"/>
      <c r="AOK12" s="15"/>
      <c r="AOL12" s="15"/>
      <c r="AOM12" s="15"/>
      <c r="AON12" s="15"/>
      <c r="AOO12" s="15"/>
      <c r="AOP12" s="15"/>
      <c r="AOQ12" s="15"/>
      <c r="AOR12" s="15"/>
      <c r="AOS12" s="15"/>
      <c r="AOT12" s="15"/>
      <c r="AOU12" s="15"/>
      <c r="AOV12" s="15"/>
      <c r="AOW12" s="15"/>
      <c r="AOX12" s="15"/>
      <c r="AOY12" s="15"/>
      <c r="AOZ12" s="15"/>
      <c r="APA12" s="15"/>
      <c r="APB12" s="15"/>
      <c r="APC12" s="15"/>
      <c r="APD12" s="15"/>
      <c r="APE12" s="15"/>
      <c r="APF12" s="15"/>
      <c r="APG12" s="15"/>
      <c r="APH12" s="15"/>
      <c r="API12" s="15"/>
      <c r="APJ12" s="15"/>
      <c r="APK12" s="15"/>
      <c r="APL12" s="15"/>
      <c r="APM12" s="15"/>
      <c r="APN12" s="15"/>
      <c r="APO12" s="15"/>
      <c r="APP12" s="15"/>
      <c r="APQ12" s="15"/>
      <c r="APR12" s="15"/>
      <c r="APS12" s="15"/>
      <c r="APT12" s="15"/>
      <c r="APU12" s="15"/>
      <c r="APV12" s="15"/>
      <c r="APW12" s="15"/>
      <c r="APX12" s="15"/>
      <c r="APY12" s="15"/>
      <c r="APZ12" s="15"/>
      <c r="AQA12" s="15"/>
      <c r="AQB12" s="15"/>
      <c r="AQC12" s="15"/>
      <c r="AQD12" s="15"/>
      <c r="AQE12" s="15"/>
      <c r="AQF12" s="15"/>
      <c r="AQG12" s="15"/>
      <c r="AQH12" s="15"/>
      <c r="AQI12" s="15"/>
      <c r="AQJ12" s="15"/>
      <c r="AQK12" s="15"/>
      <c r="AQL12" s="15"/>
      <c r="AQM12" s="15"/>
      <c r="AQN12" s="15"/>
      <c r="AQO12" s="15"/>
      <c r="AQP12" s="15"/>
      <c r="AQQ12" s="15"/>
      <c r="AQR12" s="15"/>
      <c r="AQS12" s="15"/>
      <c r="AQT12" s="15"/>
      <c r="AQU12" s="15"/>
      <c r="AQV12" s="15"/>
      <c r="AQW12" s="15"/>
      <c r="AQX12" s="15"/>
      <c r="AQY12" s="15"/>
      <c r="AQZ12" s="15"/>
      <c r="ARA12" s="15"/>
      <c r="ARB12" s="15"/>
      <c r="ARC12" s="15"/>
      <c r="ARD12" s="15"/>
      <c r="ARE12" s="15"/>
      <c r="ARF12" s="15"/>
      <c r="ARG12" s="15"/>
      <c r="ARH12" s="15"/>
      <c r="ARI12" s="15"/>
      <c r="ARJ12" s="15"/>
      <c r="ARK12" s="15"/>
      <c r="ARL12" s="15"/>
      <c r="ARM12" s="15"/>
      <c r="ARN12" s="15"/>
      <c r="ARO12" s="15"/>
      <c r="ARP12" s="15"/>
      <c r="ARQ12" s="15"/>
      <c r="ARR12" s="15"/>
      <c r="ARS12" s="15"/>
      <c r="ART12" s="15"/>
      <c r="ARU12" s="15"/>
      <c r="ARV12" s="15"/>
      <c r="ARW12" s="15"/>
      <c r="ARX12" s="15"/>
      <c r="ARY12" s="15"/>
      <c r="ARZ12" s="15"/>
      <c r="ASA12" s="15"/>
      <c r="ASB12" s="15"/>
      <c r="ASC12" s="15"/>
      <c r="ASD12" s="15"/>
      <c r="ASE12" s="15"/>
      <c r="ASF12" s="15"/>
      <c r="ASG12" s="15"/>
      <c r="ASH12" s="15"/>
      <c r="ASI12" s="15"/>
      <c r="ASJ12" s="15"/>
      <c r="ASK12" s="15"/>
      <c r="ASL12" s="15"/>
      <c r="ASM12" s="15"/>
      <c r="ASN12" s="15"/>
      <c r="ASO12" s="15"/>
      <c r="ASP12" s="15"/>
      <c r="ASQ12" s="15"/>
      <c r="ASR12" s="15"/>
      <c r="ASS12" s="15"/>
      <c r="AST12" s="15"/>
      <c r="ASU12" s="15"/>
      <c r="ASV12" s="15"/>
      <c r="ASW12" s="15"/>
      <c r="ASX12" s="15"/>
      <c r="ASY12" s="15"/>
      <c r="ASZ12" s="15"/>
      <c r="ATA12" s="15"/>
      <c r="ATB12" s="15"/>
      <c r="ATC12" s="15"/>
      <c r="ATD12" s="15"/>
      <c r="ATE12" s="15"/>
      <c r="ATF12" s="15"/>
      <c r="ATG12" s="15"/>
      <c r="ATH12" s="15"/>
      <c r="ATI12" s="15"/>
      <c r="ATJ12" s="15"/>
      <c r="ATK12" s="15"/>
      <c r="ATL12" s="15"/>
      <c r="ATM12" s="15"/>
      <c r="ATN12" s="15"/>
      <c r="ATO12" s="15"/>
      <c r="ATP12" s="15"/>
      <c r="ATQ12" s="15"/>
      <c r="ATR12" s="15"/>
      <c r="ATS12" s="15"/>
      <c r="ATT12" s="15"/>
      <c r="ATU12" s="15"/>
      <c r="ATV12" s="15"/>
      <c r="ATW12" s="15"/>
      <c r="ATX12" s="15"/>
      <c r="ATY12" s="15"/>
      <c r="ATZ12" s="15"/>
      <c r="AUA12" s="15"/>
      <c r="AUB12" s="15"/>
      <c r="AUC12" s="15"/>
      <c r="AUD12" s="15"/>
      <c r="AUE12" s="15"/>
      <c r="AUF12" s="15"/>
      <c r="AUG12" s="15"/>
      <c r="AUH12" s="15"/>
      <c r="AUI12" s="15"/>
      <c r="AUJ12" s="15"/>
      <c r="AUK12" s="15"/>
      <c r="AUL12" s="15"/>
      <c r="AUM12" s="15"/>
      <c r="AUN12" s="15"/>
      <c r="AUO12" s="15"/>
      <c r="AUP12" s="15"/>
      <c r="AUQ12" s="15"/>
      <c r="AUR12" s="15"/>
      <c r="AUS12" s="15"/>
      <c r="AUT12" s="15"/>
      <c r="AUU12" s="15"/>
      <c r="AUV12" s="15"/>
      <c r="AUW12" s="15"/>
      <c r="AUX12" s="15"/>
      <c r="AUY12" s="15"/>
      <c r="AUZ12" s="15"/>
      <c r="AVA12" s="15"/>
      <c r="AVB12" s="15"/>
      <c r="AVC12" s="15"/>
      <c r="AVD12" s="15"/>
      <c r="AVE12" s="15"/>
      <c r="AVF12" s="15"/>
      <c r="AVG12" s="15"/>
      <c r="AVH12" s="15"/>
      <c r="AVI12" s="15"/>
      <c r="AVJ12" s="15"/>
      <c r="AVK12" s="15"/>
      <c r="AVL12" s="15"/>
      <c r="AVM12" s="15"/>
      <c r="AVN12" s="15"/>
      <c r="AVO12" s="15"/>
      <c r="AVP12" s="15"/>
      <c r="AVQ12" s="15"/>
      <c r="AVR12" s="15"/>
      <c r="AVS12" s="15"/>
      <c r="AVT12" s="15"/>
      <c r="AVU12" s="15"/>
      <c r="AVV12" s="15"/>
      <c r="AVW12" s="15"/>
      <c r="AVX12" s="15"/>
      <c r="AVY12" s="15"/>
      <c r="AVZ12" s="15"/>
      <c r="AWA12" s="15"/>
      <c r="AWB12" s="15"/>
      <c r="AWC12" s="15"/>
      <c r="AWD12" s="15"/>
      <c r="AWE12" s="15"/>
      <c r="AWF12" s="15"/>
      <c r="AWG12" s="15"/>
      <c r="AWH12" s="15"/>
      <c r="AWI12" s="15"/>
      <c r="AWJ12" s="15"/>
      <c r="AWK12" s="15"/>
      <c r="AWL12" s="15"/>
      <c r="AWM12" s="15"/>
      <c r="AWN12" s="15"/>
      <c r="AWO12" s="15"/>
      <c r="AWP12" s="15"/>
      <c r="AWQ12" s="15"/>
      <c r="AWR12" s="15"/>
      <c r="AWS12" s="15"/>
      <c r="AWT12" s="15"/>
      <c r="AWU12" s="15"/>
      <c r="AWV12" s="15"/>
      <c r="AWW12" s="15"/>
      <c r="AWX12" s="15"/>
      <c r="AWY12" s="15"/>
      <c r="AWZ12" s="15"/>
      <c r="AXA12" s="15"/>
      <c r="AXB12" s="15"/>
      <c r="AXC12" s="15"/>
      <c r="AXD12" s="15"/>
      <c r="AXE12" s="15"/>
      <c r="AXF12" s="15"/>
      <c r="AXG12" s="15"/>
      <c r="AXH12" s="15"/>
      <c r="AXI12" s="15"/>
      <c r="AXJ12" s="15"/>
      <c r="AXK12" s="15"/>
      <c r="AXL12" s="15"/>
      <c r="AXM12" s="15"/>
      <c r="AXN12" s="15"/>
      <c r="AXO12" s="15"/>
      <c r="AXP12" s="15"/>
      <c r="AXQ12" s="15"/>
      <c r="AXR12" s="15"/>
      <c r="AXS12" s="15"/>
      <c r="AXT12" s="15"/>
      <c r="AXU12" s="15"/>
      <c r="AXV12" s="15"/>
      <c r="AXW12" s="15"/>
      <c r="AXX12" s="15"/>
      <c r="AXY12" s="15"/>
      <c r="AXZ12" s="15"/>
      <c r="AYA12" s="15"/>
      <c r="AYB12" s="15"/>
      <c r="AYC12" s="15"/>
      <c r="AYD12" s="15"/>
      <c r="AYE12" s="15"/>
      <c r="AYF12" s="15"/>
      <c r="AYG12" s="15"/>
      <c r="AYH12" s="15"/>
      <c r="AYI12" s="15"/>
      <c r="AYJ12" s="15"/>
      <c r="AYK12" s="15"/>
      <c r="AYL12" s="15"/>
      <c r="AYM12" s="15"/>
      <c r="AYN12" s="15"/>
      <c r="AYO12" s="15"/>
      <c r="AYP12" s="15"/>
      <c r="AYQ12" s="15"/>
      <c r="AYR12" s="15"/>
      <c r="AYS12" s="15"/>
      <c r="AYT12" s="15"/>
      <c r="AYU12" s="15"/>
      <c r="AYV12" s="15"/>
      <c r="AYW12" s="15"/>
      <c r="AYX12" s="15"/>
      <c r="AYY12" s="15"/>
      <c r="AYZ12" s="15"/>
      <c r="AZA12" s="15"/>
      <c r="AZB12" s="15"/>
      <c r="AZC12" s="15"/>
      <c r="AZD12" s="15"/>
      <c r="AZE12" s="15"/>
      <c r="AZF12" s="15"/>
      <c r="AZG12" s="15"/>
      <c r="AZH12" s="15"/>
      <c r="AZI12" s="15"/>
      <c r="AZJ12" s="15"/>
      <c r="AZK12" s="15"/>
      <c r="AZL12" s="15"/>
      <c r="AZM12" s="15"/>
      <c r="AZN12" s="15"/>
      <c r="AZO12" s="15"/>
      <c r="AZP12" s="15"/>
      <c r="AZQ12" s="15"/>
      <c r="AZR12" s="15"/>
      <c r="AZS12" s="15"/>
      <c r="AZT12" s="15"/>
      <c r="AZU12" s="15"/>
      <c r="AZV12" s="15"/>
      <c r="AZW12" s="15"/>
      <c r="AZX12" s="15"/>
      <c r="AZY12" s="15"/>
      <c r="AZZ12" s="15"/>
      <c r="BAA12" s="15"/>
      <c r="BAB12" s="15"/>
      <c r="BAC12" s="15"/>
      <c r="BAD12" s="15"/>
      <c r="BAE12" s="15"/>
      <c r="BAF12" s="15"/>
      <c r="BAG12" s="15"/>
      <c r="BAH12" s="15"/>
      <c r="BAI12" s="15"/>
      <c r="BAJ12" s="15"/>
      <c r="BAK12" s="15"/>
      <c r="BAL12" s="15"/>
      <c r="BAM12" s="15"/>
      <c r="BAN12" s="15"/>
      <c r="BAO12" s="15"/>
      <c r="BAP12" s="15"/>
      <c r="BAQ12" s="15"/>
      <c r="BAR12" s="15"/>
      <c r="BAS12" s="15"/>
      <c r="BAT12" s="15"/>
      <c r="BAU12" s="15"/>
      <c r="BAV12" s="15"/>
      <c r="BAW12" s="15"/>
      <c r="BAX12" s="15"/>
      <c r="BAY12" s="15"/>
      <c r="BAZ12" s="15"/>
      <c r="BBA12" s="15"/>
      <c r="BBB12" s="15"/>
      <c r="BBC12" s="15"/>
      <c r="BBD12" s="15"/>
      <c r="BBE12" s="15"/>
      <c r="BBF12" s="15"/>
      <c r="BBG12" s="15"/>
      <c r="BBH12" s="15"/>
      <c r="BBI12" s="15"/>
      <c r="BBJ12" s="15"/>
      <c r="BBK12" s="15"/>
      <c r="BBL12" s="15"/>
      <c r="BBM12" s="15"/>
      <c r="BBN12" s="15"/>
      <c r="BBO12" s="15"/>
      <c r="BBP12" s="15"/>
      <c r="BBQ12" s="15"/>
      <c r="BBR12" s="15"/>
      <c r="BBS12" s="15"/>
      <c r="BBT12" s="15"/>
      <c r="BBU12" s="15"/>
      <c r="BBV12" s="15"/>
      <c r="BBW12" s="15"/>
      <c r="BBX12" s="15"/>
      <c r="BBY12" s="15"/>
      <c r="BBZ12" s="15"/>
      <c r="BCA12" s="15"/>
      <c r="BCB12" s="15"/>
      <c r="BCC12" s="15"/>
      <c r="BCD12" s="15"/>
      <c r="BCE12" s="15"/>
      <c r="BCF12" s="15"/>
      <c r="BCG12" s="15"/>
      <c r="BCH12" s="15"/>
      <c r="BCI12" s="15"/>
      <c r="BCJ12" s="15"/>
      <c r="BCK12" s="15"/>
      <c r="BCL12" s="15"/>
      <c r="BCM12" s="15"/>
      <c r="BCN12" s="15"/>
      <c r="BCO12" s="15"/>
      <c r="BCP12" s="15"/>
      <c r="BCQ12" s="15"/>
      <c r="BCR12" s="15"/>
      <c r="BCS12" s="15"/>
      <c r="BCT12" s="15"/>
      <c r="BCU12" s="15"/>
      <c r="BCV12" s="15"/>
      <c r="BCW12" s="15"/>
      <c r="BCX12" s="15"/>
      <c r="BCY12" s="15"/>
      <c r="BCZ12" s="15"/>
      <c r="BDA12" s="15"/>
      <c r="BDB12" s="15"/>
      <c r="BDC12" s="15"/>
      <c r="BDD12" s="15"/>
      <c r="BDE12" s="15"/>
      <c r="BDF12" s="15"/>
      <c r="BDG12" s="15"/>
      <c r="BDH12" s="15"/>
      <c r="BDI12" s="15"/>
      <c r="BDJ12" s="15"/>
      <c r="BDK12" s="15"/>
      <c r="BDL12" s="15"/>
      <c r="BDM12" s="15"/>
      <c r="BDN12" s="15"/>
      <c r="BDO12" s="15"/>
      <c r="BDP12" s="15"/>
      <c r="BDQ12" s="15"/>
      <c r="BDR12" s="15"/>
      <c r="BDS12" s="15"/>
      <c r="BDT12" s="15"/>
      <c r="BDU12" s="15"/>
      <c r="BDV12" s="15"/>
      <c r="BDW12" s="15"/>
      <c r="BDX12" s="15"/>
      <c r="BDY12" s="15"/>
      <c r="BDZ12" s="15"/>
      <c r="BEA12" s="15"/>
      <c r="BEB12" s="15"/>
      <c r="BEC12" s="15"/>
      <c r="BED12" s="15"/>
      <c r="BEE12" s="15"/>
      <c r="BEF12" s="15"/>
      <c r="BEG12" s="15"/>
      <c r="BEH12" s="15"/>
      <c r="BEI12" s="15"/>
      <c r="BEJ12" s="15"/>
      <c r="BEK12" s="15"/>
      <c r="BEL12" s="15"/>
      <c r="BEM12" s="15"/>
      <c r="BEN12" s="15"/>
      <c r="BEO12" s="15"/>
      <c r="BEP12" s="15"/>
      <c r="BEQ12" s="15"/>
      <c r="BER12" s="15"/>
      <c r="BES12" s="15"/>
      <c r="BET12" s="15"/>
      <c r="BEU12" s="15"/>
      <c r="BEV12" s="15"/>
      <c r="BEW12" s="15"/>
      <c r="BEX12" s="15"/>
      <c r="BEY12" s="15"/>
      <c r="BEZ12" s="15"/>
      <c r="BFA12" s="15"/>
      <c r="BFB12" s="15"/>
      <c r="BFC12" s="15"/>
      <c r="BFD12" s="15"/>
      <c r="BFE12" s="15"/>
      <c r="BFF12" s="15"/>
      <c r="BFG12" s="15"/>
      <c r="BFH12" s="15"/>
      <c r="BFI12" s="15"/>
      <c r="BFJ12" s="15"/>
      <c r="BFK12" s="15"/>
      <c r="BFL12" s="15"/>
      <c r="BFM12" s="15"/>
      <c r="BFN12" s="15"/>
      <c r="BFO12" s="15"/>
      <c r="BFP12" s="15"/>
      <c r="BFQ12" s="15"/>
      <c r="BFR12" s="15"/>
      <c r="BFS12" s="15"/>
      <c r="BFT12" s="15"/>
      <c r="BFU12" s="15"/>
      <c r="BFV12" s="15"/>
      <c r="BFW12" s="15"/>
      <c r="BFX12" s="15"/>
      <c r="BFY12" s="15"/>
      <c r="BFZ12" s="15"/>
      <c r="BGA12" s="15"/>
      <c r="BGB12" s="15"/>
      <c r="BGC12" s="15"/>
      <c r="BGD12" s="15"/>
      <c r="BGE12" s="15"/>
      <c r="BGF12" s="15"/>
      <c r="BGG12" s="15"/>
      <c r="BGH12" s="15"/>
      <c r="BGI12" s="15"/>
      <c r="BGJ12" s="15"/>
      <c r="BGK12" s="15"/>
      <c r="BGL12" s="15"/>
      <c r="BGM12" s="15"/>
      <c r="BGN12" s="15"/>
      <c r="BGO12" s="15"/>
      <c r="BGP12" s="15"/>
      <c r="BGQ12" s="15"/>
      <c r="BGR12" s="15"/>
      <c r="BGS12" s="15"/>
      <c r="BGT12" s="15"/>
      <c r="BGU12" s="15"/>
      <c r="BGV12" s="15"/>
      <c r="BGW12" s="15"/>
      <c r="BGX12" s="15"/>
      <c r="BGY12" s="15"/>
      <c r="BGZ12" s="15"/>
      <c r="BHA12" s="15"/>
      <c r="BHB12" s="15"/>
      <c r="BHC12" s="15"/>
      <c r="BHD12" s="15"/>
      <c r="BHE12" s="15"/>
      <c r="BHF12" s="15"/>
      <c r="BHG12" s="15"/>
      <c r="BHH12" s="15"/>
      <c r="BHI12" s="15"/>
      <c r="BHJ12" s="15"/>
      <c r="BHK12" s="15"/>
      <c r="BHL12" s="15"/>
      <c r="BHM12" s="15"/>
      <c r="BHN12" s="15"/>
      <c r="BHO12" s="15"/>
      <c r="BHP12" s="15"/>
      <c r="BHQ12" s="15"/>
      <c r="BHR12" s="15"/>
      <c r="BHS12" s="15"/>
      <c r="BHT12" s="15"/>
      <c r="BHU12" s="15"/>
      <c r="BHV12" s="15"/>
      <c r="BHW12" s="15"/>
      <c r="BHX12" s="15"/>
      <c r="BHY12" s="15"/>
      <c r="BHZ12" s="15"/>
      <c r="BIA12" s="15"/>
      <c r="BIB12" s="15"/>
      <c r="BIC12" s="15"/>
      <c r="BID12" s="15"/>
      <c r="BIE12" s="15"/>
      <c r="BIF12" s="15"/>
      <c r="BIG12" s="15"/>
      <c r="BIH12" s="15"/>
      <c r="BII12" s="15"/>
      <c r="BIJ12" s="15"/>
      <c r="BIK12" s="15"/>
      <c r="BIL12" s="15"/>
      <c r="BIM12" s="15"/>
      <c r="BIN12" s="15"/>
      <c r="BIO12" s="15"/>
      <c r="BIP12" s="15"/>
      <c r="BIQ12" s="15"/>
      <c r="BIR12" s="15"/>
      <c r="BIS12" s="15"/>
      <c r="BIT12" s="15"/>
      <c r="BIU12" s="15"/>
      <c r="BIV12" s="15"/>
      <c r="BIW12" s="15"/>
      <c r="BIX12" s="15"/>
      <c r="BIY12" s="15"/>
      <c r="BIZ12" s="15"/>
      <c r="BJA12" s="15"/>
      <c r="BJB12" s="15"/>
      <c r="BJC12" s="15"/>
      <c r="BJD12" s="15"/>
      <c r="BJE12" s="15"/>
      <c r="BJF12" s="15"/>
      <c r="BJG12" s="15"/>
      <c r="BJH12" s="15"/>
      <c r="BJI12" s="15"/>
      <c r="BJJ12" s="15"/>
      <c r="BJK12" s="15"/>
      <c r="BJL12" s="15"/>
      <c r="BJM12" s="15"/>
      <c r="BJN12" s="15"/>
      <c r="BJO12" s="15"/>
      <c r="BJP12" s="15"/>
      <c r="BJQ12" s="15"/>
      <c r="BJR12" s="15"/>
      <c r="BJS12" s="15"/>
      <c r="BJT12" s="15"/>
      <c r="BJU12" s="15"/>
      <c r="BJV12" s="15"/>
      <c r="BJW12" s="15"/>
      <c r="BJX12" s="15"/>
      <c r="BJY12" s="15"/>
      <c r="BJZ12" s="15"/>
      <c r="BKA12" s="15"/>
      <c r="BKB12" s="15"/>
      <c r="BKC12" s="15"/>
      <c r="BKD12" s="15"/>
      <c r="BKE12" s="15"/>
      <c r="BKF12" s="15"/>
      <c r="BKG12" s="15"/>
      <c r="BKH12" s="15"/>
      <c r="BKI12" s="15"/>
      <c r="BKJ12" s="15"/>
      <c r="BKK12" s="15"/>
      <c r="BKL12" s="15"/>
      <c r="BKM12" s="15"/>
      <c r="BKN12" s="15"/>
      <c r="BKO12" s="15"/>
      <c r="BKP12" s="15"/>
      <c r="BKQ12" s="15"/>
      <c r="BKR12" s="15"/>
      <c r="BKS12" s="15"/>
      <c r="BKT12" s="15"/>
      <c r="BKU12" s="15"/>
      <c r="BKV12" s="15"/>
      <c r="BKW12" s="15"/>
      <c r="BKX12" s="15"/>
      <c r="BKY12" s="15"/>
      <c r="BKZ12" s="15"/>
      <c r="BLA12" s="15"/>
      <c r="BLB12" s="15"/>
      <c r="BLC12" s="15"/>
      <c r="BLD12" s="15"/>
      <c r="BLE12" s="15"/>
      <c r="BLF12" s="15"/>
      <c r="BLG12" s="15"/>
      <c r="BLH12" s="15"/>
      <c r="BLI12" s="15"/>
      <c r="BLJ12" s="15"/>
      <c r="BLK12" s="15"/>
      <c r="BLL12" s="15"/>
      <c r="BLM12" s="15"/>
      <c r="BLN12" s="15"/>
      <c r="BLO12" s="15"/>
      <c r="BLP12" s="15"/>
      <c r="BLQ12" s="15"/>
      <c r="BLR12" s="15"/>
      <c r="BLS12" s="15"/>
      <c r="BLT12" s="15"/>
      <c r="BLU12" s="15"/>
      <c r="BLV12" s="15"/>
      <c r="BLW12" s="15"/>
      <c r="BLX12" s="15"/>
      <c r="BLY12" s="15"/>
      <c r="BLZ12" s="15"/>
      <c r="BMA12" s="15"/>
      <c r="BMB12" s="15"/>
      <c r="BMC12" s="15"/>
      <c r="BMD12" s="15"/>
      <c r="BME12" s="15"/>
      <c r="BMF12" s="15"/>
      <c r="BMG12" s="15"/>
      <c r="BMH12" s="15"/>
      <c r="BMI12" s="15"/>
      <c r="BMJ12" s="15"/>
      <c r="BMK12" s="15"/>
      <c r="BML12" s="15"/>
      <c r="BMM12" s="15"/>
      <c r="BMN12" s="15"/>
      <c r="BMO12" s="15"/>
      <c r="BMP12" s="15"/>
      <c r="BMQ12" s="15"/>
      <c r="BMR12" s="15"/>
      <c r="BMS12" s="15"/>
      <c r="BMT12" s="15"/>
      <c r="BMU12" s="15"/>
      <c r="BMV12" s="15"/>
      <c r="BMW12" s="15"/>
      <c r="BMX12" s="15"/>
      <c r="BMY12" s="15"/>
      <c r="BMZ12" s="15"/>
      <c r="BNA12" s="15"/>
      <c r="BNB12" s="15"/>
      <c r="BNC12" s="15"/>
      <c r="BND12" s="15"/>
      <c r="BNE12" s="15"/>
      <c r="BNF12" s="15"/>
      <c r="BNG12" s="15"/>
      <c r="BNH12" s="15"/>
      <c r="BNI12" s="15"/>
      <c r="BNJ12" s="15"/>
      <c r="BNK12" s="15"/>
      <c r="BNL12" s="15"/>
      <c r="BNM12" s="15"/>
      <c r="BNN12" s="15"/>
      <c r="BNO12" s="15"/>
      <c r="BNP12" s="15"/>
      <c r="BNQ12" s="15"/>
      <c r="BNR12" s="15"/>
      <c r="BNS12" s="15"/>
      <c r="BNT12" s="15"/>
      <c r="BNU12" s="15"/>
      <c r="BNV12" s="15"/>
      <c r="BNW12" s="15"/>
      <c r="BNX12" s="15"/>
      <c r="BNY12" s="15"/>
      <c r="BNZ12" s="15"/>
      <c r="BOA12" s="15"/>
      <c r="BOB12" s="15"/>
      <c r="BOC12" s="15"/>
      <c r="BOD12" s="15"/>
      <c r="BOE12" s="15"/>
      <c r="BOF12" s="15"/>
      <c r="BOG12" s="15"/>
      <c r="BOH12" s="15"/>
      <c r="BOI12" s="15"/>
      <c r="BOJ12" s="15"/>
      <c r="BOK12" s="15"/>
      <c r="BOL12" s="15"/>
      <c r="BOM12" s="15"/>
      <c r="BON12" s="15"/>
      <c r="BOO12" s="15"/>
      <c r="BOP12" s="15"/>
      <c r="BOQ12" s="15"/>
      <c r="BOR12" s="15"/>
      <c r="BOS12" s="15"/>
      <c r="BOT12" s="15"/>
      <c r="BOU12" s="15"/>
      <c r="BOV12" s="15"/>
      <c r="BOW12" s="15"/>
      <c r="BOX12" s="15"/>
      <c r="BOY12" s="15"/>
      <c r="BOZ12" s="15"/>
      <c r="BPA12" s="15"/>
      <c r="BPB12" s="15"/>
      <c r="BPC12" s="15"/>
      <c r="BPD12" s="15"/>
      <c r="BPE12" s="15"/>
      <c r="BPF12" s="15"/>
      <c r="BPG12" s="15"/>
      <c r="BPH12" s="15"/>
      <c r="BPI12" s="15"/>
      <c r="BPJ12" s="15"/>
      <c r="BPK12" s="15"/>
      <c r="BPL12" s="15"/>
      <c r="BPM12" s="15"/>
      <c r="BPN12" s="15"/>
      <c r="BPO12" s="15"/>
      <c r="BPP12" s="15"/>
      <c r="BPQ12" s="15"/>
      <c r="BPR12" s="15"/>
      <c r="BPS12" s="15"/>
      <c r="BPT12" s="15"/>
      <c r="BPU12" s="15"/>
      <c r="BPV12" s="15"/>
      <c r="BPW12" s="15"/>
      <c r="BPX12" s="15"/>
      <c r="BPY12" s="15"/>
      <c r="BPZ12" s="15"/>
      <c r="BQA12" s="15"/>
      <c r="BQB12" s="15"/>
      <c r="BQC12" s="15"/>
      <c r="BQD12" s="15"/>
      <c r="BQE12" s="15"/>
      <c r="BQF12" s="15"/>
      <c r="BQG12" s="15"/>
      <c r="BQH12" s="15"/>
      <c r="BQI12" s="15"/>
      <c r="BQJ12" s="15"/>
      <c r="BQK12" s="15"/>
      <c r="BQL12" s="15"/>
      <c r="BQM12" s="15"/>
      <c r="BQN12" s="15"/>
      <c r="BQO12" s="15"/>
      <c r="BQP12" s="15"/>
      <c r="BQQ12" s="15"/>
      <c r="BQR12" s="15"/>
      <c r="BQS12" s="15"/>
      <c r="BQT12" s="15"/>
      <c r="BQU12" s="15"/>
      <c r="BQV12" s="15"/>
      <c r="BQW12" s="15"/>
      <c r="BQX12" s="15"/>
      <c r="BQY12" s="15"/>
      <c r="BQZ12" s="15"/>
      <c r="BRA12" s="15"/>
      <c r="BRB12" s="15"/>
      <c r="BRC12" s="15"/>
      <c r="BRD12" s="15"/>
      <c r="BRE12" s="15"/>
      <c r="BRF12" s="15"/>
      <c r="BRG12" s="15"/>
      <c r="BRH12" s="15"/>
      <c r="BRI12" s="15"/>
      <c r="BRJ12" s="15"/>
      <c r="BRK12" s="15"/>
      <c r="BRL12" s="15"/>
      <c r="BRM12" s="15"/>
      <c r="BRN12" s="15"/>
      <c r="BRO12" s="15"/>
      <c r="BRP12" s="15"/>
      <c r="BRQ12" s="15"/>
      <c r="BRR12" s="15"/>
      <c r="BRS12" s="15"/>
      <c r="BRT12" s="15"/>
      <c r="BRU12" s="15"/>
      <c r="BRV12" s="15"/>
      <c r="BRW12" s="15"/>
      <c r="BRX12" s="15"/>
      <c r="BRY12" s="15"/>
      <c r="BRZ12" s="15"/>
      <c r="BSA12" s="15"/>
      <c r="BSB12" s="15"/>
      <c r="BSC12" s="15"/>
      <c r="BSD12" s="15"/>
      <c r="BSE12" s="15"/>
      <c r="BSF12" s="15"/>
      <c r="BSG12" s="15"/>
      <c r="BSH12" s="15"/>
      <c r="BSI12" s="15"/>
      <c r="BSJ12" s="15"/>
      <c r="BSK12" s="15"/>
      <c r="BSL12" s="15"/>
      <c r="BSM12" s="15"/>
      <c r="BSN12" s="15"/>
      <c r="BSO12" s="15"/>
      <c r="BSP12" s="15"/>
      <c r="BSQ12" s="15"/>
      <c r="BSR12" s="15"/>
      <c r="BSS12" s="15"/>
      <c r="BST12" s="15"/>
      <c r="BSU12" s="15"/>
      <c r="BSV12" s="15"/>
      <c r="BSW12" s="15"/>
      <c r="BSX12" s="15"/>
      <c r="BSY12" s="15"/>
      <c r="BSZ12" s="15"/>
      <c r="BTA12" s="15"/>
      <c r="BTB12" s="15"/>
      <c r="BTC12" s="15"/>
      <c r="BTD12" s="15"/>
      <c r="BTE12" s="15"/>
      <c r="BTF12" s="15"/>
      <c r="BTG12" s="15"/>
      <c r="BTH12" s="15"/>
      <c r="BTI12" s="15"/>
      <c r="BTJ12" s="15"/>
      <c r="BTK12" s="15"/>
      <c r="BTL12" s="15"/>
      <c r="BTM12" s="15"/>
      <c r="BTN12" s="15"/>
      <c r="BTO12" s="15"/>
      <c r="BTP12" s="15"/>
      <c r="BTQ12" s="15"/>
      <c r="BTR12" s="15"/>
      <c r="BTS12" s="15"/>
      <c r="BTT12" s="15"/>
      <c r="BTU12" s="15"/>
      <c r="BTV12" s="15"/>
      <c r="BTW12" s="15"/>
      <c r="BTX12" s="15"/>
      <c r="BTY12" s="15"/>
      <c r="BTZ12" s="15"/>
      <c r="BUA12" s="15"/>
      <c r="BUB12" s="15"/>
      <c r="BUC12" s="15"/>
      <c r="BUD12" s="15"/>
      <c r="BUE12" s="15"/>
      <c r="BUF12" s="15"/>
      <c r="BUG12" s="15"/>
      <c r="BUH12" s="15"/>
      <c r="BUI12" s="15"/>
      <c r="BUJ12" s="15"/>
      <c r="BUK12" s="15"/>
      <c r="BUL12" s="15"/>
      <c r="BUM12" s="15"/>
      <c r="BUN12" s="15"/>
      <c r="BUO12" s="15"/>
      <c r="BUP12" s="15"/>
      <c r="BUQ12" s="15"/>
      <c r="BUR12" s="15"/>
      <c r="BUS12" s="15"/>
      <c r="BUT12" s="15"/>
      <c r="BUU12" s="15"/>
      <c r="BUV12" s="15"/>
      <c r="BUW12" s="15"/>
      <c r="BUX12" s="15"/>
      <c r="BUY12" s="15"/>
      <c r="BUZ12" s="15"/>
      <c r="BVA12" s="15"/>
      <c r="BVB12" s="15"/>
      <c r="BVC12" s="15"/>
      <c r="BVD12" s="15"/>
      <c r="BVE12" s="15"/>
      <c r="BVF12" s="15"/>
      <c r="BVG12" s="15"/>
      <c r="BVH12" s="15"/>
      <c r="BVI12" s="15"/>
      <c r="BVJ12" s="15"/>
      <c r="BVK12" s="15"/>
      <c r="BVL12" s="15"/>
      <c r="BVM12" s="15"/>
      <c r="BVN12" s="15"/>
      <c r="BVO12" s="15"/>
      <c r="BVP12" s="15"/>
      <c r="BVQ12" s="15"/>
      <c r="BVR12" s="15"/>
      <c r="BVS12" s="15"/>
      <c r="BVT12" s="15"/>
      <c r="BVU12" s="15"/>
      <c r="BVV12" s="15"/>
      <c r="BVW12" s="15"/>
      <c r="BVX12" s="15"/>
      <c r="BVY12" s="15"/>
      <c r="BVZ12" s="15"/>
      <c r="BWA12" s="15"/>
      <c r="BWB12" s="15"/>
      <c r="BWC12" s="15"/>
      <c r="BWD12" s="15"/>
      <c r="BWE12" s="15"/>
      <c r="BWF12" s="15"/>
      <c r="BWG12" s="15"/>
      <c r="BWH12" s="15"/>
      <c r="BWI12" s="15"/>
      <c r="BWJ12" s="15"/>
      <c r="BWK12" s="15"/>
      <c r="BWL12" s="15"/>
      <c r="BWM12" s="15"/>
      <c r="BWN12" s="15"/>
      <c r="BWO12" s="15"/>
      <c r="BWP12" s="15"/>
      <c r="BWQ12" s="15"/>
      <c r="BWR12" s="15"/>
      <c r="BWS12" s="15"/>
      <c r="BWT12" s="15"/>
      <c r="BWU12" s="15"/>
      <c r="BWV12" s="15"/>
      <c r="BWW12" s="15"/>
      <c r="BWX12" s="15"/>
      <c r="BWY12" s="15"/>
      <c r="BWZ12" s="15"/>
      <c r="BXA12" s="15"/>
      <c r="BXB12" s="15"/>
      <c r="BXC12" s="15"/>
      <c r="BXD12" s="15"/>
      <c r="BXE12" s="15"/>
      <c r="BXF12" s="15"/>
      <c r="BXG12" s="15"/>
      <c r="BXH12" s="15"/>
      <c r="BXI12" s="15"/>
      <c r="BXJ12" s="15"/>
      <c r="BXK12" s="15"/>
      <c r="BXL12" s="15"/>
      <c r="BXM12" s="15"/>
      <c r="BXN12" s="15"/>
      <c r="BXO12" s="15"/>
      <c r="BXP12" s="15"/>
      <c r="BXQ12" s="15"/>
      <c r="BXR12" s="15"/>
      <c r="BXS12" s="15"/>
      <c r="BXT12" s="15"/>
      <c r="BXU12" s="15"/>
      <c r="BXV12" s="15"/>
      <c r="BXW12" s="15"/>
      <c r="BXX12" s="15"/>
      <c r="BXY12" s="15"/>
      <c r="BXZ12" s="15"/>
      <c r="BYA12" s="15"/>
      <c r="BYB12" s="15"/>
      <c r="BYC12" s="15"/>
      <c r="BYD12" s="15"/>
      <c r="BYE12" s="15"/>
      <c r="BYF12" s="15"/>
      <c r="BYG12" s="15"/>
      <c r="BYH12" s="15"/>
      <c r="BYI12" s="15"/>
      <c r="BYJ12" s="15"/>
      <c r="BYK12" s="15"/>
      <c r="BYL12" s="15"/>
      <c r="BYM12" s="15"/>
      <c r="BYN12" s="15"/>
      <c r="BYO12" s="15"/>
      <c r="BYP12" s="15"/>
      <c r="BYQ12" s="15"/>
      <c r="BYR12" s="15"/>
      <c r="BYS12" s="15"/>
      <c r="BYT12" s="15"/>
      <c r="BYU12" s="15"/>
      <c r="BYV12" s="15"/>
      <c r="BYW12" s="15"/>
      <c r="BYX12" s="15"/>
      <c r="BYY12" s="15"/>
      <c r="BYZ12" s="15"/>
      <c r="BZA12" s="15"/>
      <c r="BZB12" s="15"/>
      <c r="BZC12" s="15"/>
      <c r="BZD12" s="15"/>
      <c r="BZE12" s="15"/>
      <c r="BZF12" s="15"/>
      <c r="BZG12" s="15"/>
      <c r="BZH12" s="15"/>
      <c r="BZI12" s="15"/>
      <c r="BZJ12" s="15"/>
      <c r="BZK12" s="15"/>
      <c r="BZL12" s="15"/>
      <c r="BZM12" s="15"/>
      <c r="BZN12" s="15"/>
      <c r="BZO12" s="15"/>
      <c r="BZP12" s="15"/>
      <c r="BZQ12" s="15"/>
      <c r="BZR12" s="15"/>
      <c r="BZS12" s="15"/>
      <c r="BZT12" s="15"/>
      <c r="BZU12" s="15"/>
      <c r="BZV12" s="15"/>
      <c r="BZW12" s="15"/>
      <c r="BZX12" s="15"/>
      <c r="BZY12" s="15"/>
      <c r="BZZ12" s="15"/>
      <c r="CAA12" s="15"/>
      <c r="CAB12" s="15"/>
      <c r="CAC12" s="15"/>
      <c r="CAD12" s="15"/>
      <c r="CAE12" s="15"/>
      <c r="CAF12" s="15"/>
      <c r="CAG12" s="15"/>
      <c r="CAH12" s="15"/>
      <c r="CAI12" s="15"/>
      <c r="CAJ12" s="15"/>
      <c r="CAK12" s="15"/>
      <c r="CAL12" s="15"/>
      <c r="CAM12" s="15"/>
      <c r="CAN12" s="15"/>
      <c r="CAO12" s="15"/>
      <c r="CAP12" s="15"/>
      <c r="CAQ12" s="15"/>
      <c r="CAR12" s="15"/>
      <c r="CAS12" s="15"/>
      <c r="CAT12" s="15"/>
      <c r="CAU12" s="15"/>
      <c r="CAV12" s="15"/>
      <c r="CAW12" s="15"/>
      <c r="CAX12" s="15"/>
      <c r="CAY12" s="15"/>
      <c r="CAZ12" s="15"/>
      <c r="CBA12" s="15"/>
      <c r="CBB12" s="15"/>
      <c r="CBC12" s="15"/>
      <c r="CBD12" s="15"/>
      <c r="CBE12" s="15"/>
      <c r="CBF12" s="15"/>
      <c r="CBG12" s="15"/>
      <c r="CBH12" s="15"/>
      <c r="CBI12" s="15"/>
      <c r="CBJ12" s="15"/>
      <c r="CBK12" s="15"/>
      <c r="CBL12" s="15"/>
      <c r="CBM12" s="15"/>
      <c r="CBN12" s="15"/>
      <c r="CBO12" s="15"/>
      <c r="CBP12" s="15"/>
      <c r="CBQ12" s="15"/>
      <c r="CBR12" s="15"/>
      <c r="CBS12" s="15"/>
      <c r="CBT12" s="15"/>
      <c r="CBU12" s="15"/>
      <c r="CBV12" s="15"/>
      <c r="CBW12" s="15"/>
      <c r="CBX12" s="15"/>
      <c r="CBY12" s="15"/>
      <c r="CBZ12" s="15"/>
      <c r="CCA12" s="15"/>
      <c r="CCB12" s="15"/>
      <c r="CCC12" s="15"/>
      <c r="CCD12" s="15"/>
      <c r="CCE12" s="15"/>
      <c r="CCF12" s="15"/>
      <c r="CCG12" s="15"/>
      <c r="CCH12" s="15"/>
      <c r="CCI12" s="15"/>
      <c r="CCJ12" s="15"/>
      <c r="CCK12" s="15"/>
      <c r="CCL12" s="15"/>
      <c r="CCM12" s="15"/>
      <c r="CCN12" s="15"/>
      <c r="CCO12" s="15"/>
      <c r="CCP12" s="15"/>
      <c r="CCQ12" s="15"/>
      <c r="CCR12" s="15"/>
      <c r="CCS12" s="15"/>
      <c r="CCT12" s="15"/>
      <c r="CCU12" s="15"/>
      <c r="CCV12" s="15"/>
      <c r="CCW12" s="15"/>
      <c r="CCX12" s="15"/>
      <c r="CCY12" s="15"/>
      <c r="CCZ12" s="15"/>
      <c r="CDA12" s="15"/>
      <c r="CDB12" s="15"/>
      <c r="CDC12" s="15"/>
      <c r="CDD12" s="15"/>
      <c r="CDE12" s="15"/>
      <c r="CDF12" s="15"/>
      <c r="CDG12" s="15"/>
      <c r="CDH12" s="15"/>
      <c r="CDI12" s="15"/>
      <c r="CDJ12" s="15"/>
      <c r="CDK12" s="15"/>
      <c r="CDL12" s="15"/>
      <c r="CDM12" s="15"/>
      <c r="CDN12" s="15"/>
      <c r="CDO12" s="15"/>
      <c r="CDP12" s="15"/>
      <c r="CDQ12" s="15"/>
      <c r="CDR12" s="15"/>
      <c r="CDS12" s="15"/>
      <c r="CDT12" s="15"/>
      <c r="CDU12" s="15"/>
      <c r="CDV12" s="15"/>
      <c r="CDW12" s="15"/>
      <c r="CDX12" s="15"/>
      <c r="CDY12" s="15"/>
      <c r="CDZ12" s="15"/>
      <c r="CEA12" s="15"/>
      <c r="CEB12" s="15"/>
      <c r="CEC12" s="15"/>
      <c r="CED12" s="15"/>
      <c r="CEE12" s="15"/>
      <c r="CEF12" s="15"/>
      <c r="CEG12" s="15"/>
      <c r="CEH12" s="15"/>
      <c r="CEI12" s="15"/>
      <c r="CEJ12" s="15"/>
      <c r="CEK12" s="15"/>
      <c r="CEL12" s="15"/>
      <c r="CEM12" s="15"/>
      <c r="CEN12" s="15"/>
      <c r="CEO12" s="15"/>
      <c r="CEP12" s="15"/>
      <c r="CEQ12" s="15"/>
      <c r="CER12" s="15"/>
      <c r="CES12" s="15"/>
      <c r="CET12" s="15"/>
      <c r="CEU12" s="15"/>
      <c r="CEV12" s="15"/>
      <c r="CEW12" s="15"/>
      <c r="CEX12" s="15"/>
      <c r="CEY12" s="15"/>
      <c r="CEZ12" s="15"/>
      <c r="CFA12" s="15"/>
      <c r="CFB12" s="15"/>
      <c r="CFC12" s="15"/>
      <c r="CFD12" s="15"/>
      <c r="CFE12" s="15"/>
      <c r="CFF12" s="15"/>
      <c r="CFG12" s="15"/>
      <c r="CFH12" s="15"/>
      <c r="CFI12" s="15"/>
      <c r="CFJ12" s="15"/>
      <c r="CFK12" s="15"/>
      <c r="CFL12" s="15"/>
      <c r="CFM12" s="15"/>
      <c r="CFN12" s="15"/>
      <c r="CFO12" s="15"/>
      <c r="CFP12" s="15"/>
      <c r="CFQ12" s="15"/>
      <c r="CFR12" s="15"/>
      <c r="CFS12" s="15"/>
      <c r="CFT12" s="15"/>
      <c r="CFU12" s="15"/>
      <c r="CFV12" s="15"/>
      <c r="CFW12" s="15"/>
      <c r="CFX12" s="15"/>
      <c r="CFY12" s="15"/>
      <c r="CFZ12" s="15"/>
      <c r="CGA12" s="15"/>
      <c r="CGB12" s="15"/>
      <c r="CGC12" s="15"/>
      <c r="CGD12" s="15"/>
      <c r="CGE12" s="15"/>
      <c r="CGF12" s="15"/>
      <c r="CGG12" s="15"/>
      <c r="CGH12" s="15"/>
      <c r="CGI12" s="15"/>
      <c r="CGJ12" s="15"/>
      <c r="CGK12" s="15"/>
      <c r="CGL12" s="15"/>
      <c r="CGM12" s="15"/>
      <c r="CGN12" s="15"/>
      <c r="CGO12" s="15"/>
      <c r="CGP12" s="15"/>
      <c r="CGQ12" s="15"/>
      <c r="CGR12" s="15"/>
      <c r="CGS12" s="15"/>
      <c r="CGT12" s="15"/>
      <c r="CGU12" s="15"/>
      <c r="CGV12" s="15"/>
      <c r="CGW12" s="15"/>
      <c r="CGX12" s="15"/>
      <c r="CGY12" s="15"/>
      <c r="CGZ12" s="15"/>
      <c r="CHA12" s="15"/>
      <c r="CHB12" s="15"/>
      <c r="CHC12" s="15"/>
      <c r="CHD12" s="15"/>
      <c r="CHE12" s="15"/>
      <c r="CHF12" s="15"/>
      <c r="CHG12" s="15"/>
      <c r="CHH12" s="15"/>
      <c r="CHI12" s="15"/>
      <c r="CHJ12" s="15"/>
      <c r="CHK12" s="15"/>
      <c r="CHL12" s="15"/>
      <c r="CHM12" s="15"/>
      <c r="CHN12" s="15"/>
      <c r="CHO12" s="15"/>
      <c r="CHP12" s="15"/>
      <c r="CHQ12" s="15"/>
      <c r="CHR12" s="15"/>
      <c r="CHS12" s="15"/>
      <c r="CHT12" s="15"/>
      <c r="CHU12" s="15"/>
      <c r="CHV12" s="15"/>
      <c r="CHW12" s="15"/>
      <c r="CHX12" s="15"/>
      <c r="CHY12" s="15"/>
      <c r="CHZ12" s="15"/>
      <c r="CIA12" s="15"/>
      <c r="CIB12" s="15"/>
      <c r="CIC12" s="15"/>
      <c r="CID12" s="15"/>
      <c r="CIE12" s="15"/>
      <c r="CIF12" s="15"/>
      <c r="CIG12" s="15"/>
      <c r="CIH12" s="15"/>
      <c r="CII12" s="15"/>
      <c r="CIJ12" s="15"/>
      <c r="CIK12" s="15"/>
      <c r="CIL12" s="15"/>
      <c r="CIM12" s="15"/>
      <c r="CIN12" s="15"/>
      <c r="CIO12" s="15"/>
      <c r="CIP12" s="15"/>
      <c r="CIQ12" s="15"/>
      <c r="CIR12" s="15"/>
      <c r="CIS12" s="15"/>
      <c r="CIT12" s="15"/>
      <c r="CIU12" s="15"/>
      <c r="CIV12" s="15"/>
      <c r="CIW12" s="15"/>
      <c r="CIX12" s="15"/>
      <c r="CIY12" s="15"/>
      <c r="CIZ12" s="15"/>
      <c r="CJA12" s="15"/>
      <c r="CJB12" s="15"/>
      <c r="CJC12" s="15"/>
      <c r="CJD12" s="15"/>
      <c r="CJE12" s="15"/>
      <c r="CJF12" s="15"/>
      <c r="CJG12" s="15"/>
      <c r="CJH12" s="15"/>
      <c r="CJI12" s="15"/>
      <c r="CJJ12" s="15"/>
      <c r="CJK12" s="15"/>
      <c r="CJL12" s="15"/>
      <c r="CJM12" s="15"/>
      <c r="CJN12" s="15"/>
      <c r="CJO12" s="15"/>
      <c r="CJP12" s="15"/>
      <c r="CJQ12" s="15"/>
      <c r="CJR12" s="15"/>
      <c r="CJS12" s="15"/>
      <c r="CJT12" s="15"/>
      <c r="CJU12" s="15"/>
      <c r="CJV12" s="15"/>
      <c r="CJW12" s="15"/>
      <c r="CJX12" s="15"/>
      <c r="CJY12" s="15"/>
      <c r="CJZ12" s="15"/>
      <c r="CKA12" s="15"/>
      <c r="CKB12" s="15"/>
      <c r="CKC12" s="15"/>
      <c r="CKD12" s="15"/>
      <c r="CKE12" s="15"/>
      <c r="CKF12" s="15"/>
      <c r="CKG12" s="15"/>
      <c r="CKH12" s="15"/>
      <c r="CKI12" s="15"/>
      <c r="CKJ12" s="15"/>
      <c r="CKK12" s="15"/>
      <c r="CKL12" s="15"/>
      <c r="CKM12" s="15"/>
      <c r="CKN12" s="15"/>
      <c r="CKO12" s="15"/>
      <c r="CKP12" s="15"/>
      <c r="CKQ12" s="15"/>
      <c r="CKR12" s="15"/>
      <c r="CKS12" s="15"/>
      <c r="CKT12" s="15"/>
      <c r="CKU12" s="15"/>
      <c r="CKV12" s="15"/>
      <c r="CKW12" s="15"/>
      <c r="CKX12" s="15"/>
      <c r="CKY12" s="15"/>
      <c r="CKZ12" s="15"/>
      <c r="CLA12" s="15"/>
      <c r="CLB12" s="15"/>
      <c r="CLC12" s="15"/>
      <c r="CLD12" s="15"/>
      <c r="CLE12" s="15"/>
      <c r="CLF12" s="15"/>
      <c r="CLG12" s="15"/>
      <c r="CLH12" s="15"/>
      <c r="CLI12" s="15"/>
      <c r="CLJ12" s="15"/>
      <c r="CLK12" s="15"/>
      <c r="CLL12" s="15"/>
      <c r="CLM12" s="15"/>
      <c r="CLN12" s="15"/>
      <c r="CLO12" s="15"/>
      <c r="CLP12" s="15"/>
      <c r="CLQ12" s="15"/>
      <c r="CLR12" s="15"/>
      <c r="CLS12" s="15"/>
      <c r="CLT12" s="15"/>
      <c r="CLU12" s="15"/>
      <c r="CLV12" s="15"/>
      <c r="CLW12" s="15"/>
      <c r="CLX12" s="15"/>
      <c r="CLY12" s="15"/>
      <c r="CLZ12" s="15"/>
      <c r="CMA12" s="15"/>
      <c r="CMB12" s="15"/>
      <c r="CMC12" s="15"/>
      <c r="CMD12" s="15"/>
      <c r="CME12" s="15"/>
      <c r="CMF12" s="15"/>
      <c r="CMG12" s="15"/>
      <c r="CMH12" s="15"/>
      <c r="CMI12" s="15"/>
      <c r="CMJ12" s="15"/>
      <c r="CMK12" s="15"/>
      <c r="CML12" s="15"/>
      <c r="CMM12" s="15"/>
      <c r="CMN12" s="15"/>
      <c r="CMO12" s="15"/>
      <c r="CMP12" s="15"/>
      <c r="CMQ12" s="15"/>
      <c r="CMR12" s="15"/>
      <c r="CMS12" s="15"/>
      <c r="CMT12" s="15"/>
      <c r="CMU12" s="15"/>
      <c r="CMV12" s="15"/>
      <c r="CMW12" s="15"/>
      <c r="CMX12" s="15"/>
      <c r="CMY12" s="15"/>
      <c r="CMZ12" s="15"/>
      <c r="CNA12" s="15"/>
      <c r="CNB12" s="15"/>
      <c r="CNC12" s="15"/>
      <c r="CND12" s="15"/>
      <c r="CNE12" s="15"/>
      <c r="CNF12" s="15"/>
      <c r="CNG12" s="15"/>
      <c r="CNH12" s="15"/>
      <c r="CNI12" s="15"/>
      <c r="CNJ12" s="15"/>
      <c r="CNK12" s="15"/>
      <c r="CNL12" s="15"/>
      <c r="CNM12" s="15"/>
      <c r="CNN12" s="15"/>
      <c r="CNO12" s="15"/>
      <c r="CNP12" s="15"/>
      <c r="CNQ12" s="15"/>
      <c r="CNR12" s="15"/>
      <c r="CNS12" s="15"/>
      <c r="CNT12" s="15"/>
      <c r="CNU12" s="15"/>
      <c r="CNV12" s="15"/>
      <c r="CNW12" s="15"/>
      <c r="CNX12" s="15"/>
      <c r="CNY12" s="15"/>
      <c r="CNZ12" s="15"/>
      <c r="COA12" s="15"/>
      <c r="COB12" s="15"/>
      <c r="COC12" s="15"/>
      <c r="COD12" s="15"/>
      <c r="COE12" s="15"/>
      <c r="COF12" s="15"/>
      <c r="COG12" s="15"/>
      <c r="COH12" s="15"/>
      <c r="COI12" s="15"/>
      <c r="COJ12" s="15"/>
      <c r="COK12" s="15"/>
      <c r="COL12" s="15"/>
      <c r="COM12" s="15"/>
      <c r="CON12" s="15"/>
      <c r="COO12" s="15"/>
      <c r="COP12" s="15"/>
      <c r="COQ12" s="15"/>
      <c r="COR12" s="15"/>
      <c r="COS12" s="15"/>
      <c r="COT12" s="15"/>
      <c r="COU12" s="15"/>
      <c r="COV12" s="15"/>
      <c r="COW12" s="15"/>
      <c r="COX12" s="15"/>
      <c r="COY12" s="15"/>
      <c r="COZ12" s="15"/>
      <c r="CPA12" s="15"/>
      <c r="CPB12" s="15"/>
      <c r="CPC12" s="15"/>
      <c r="CPD12" s="15"/>
      <c r="CPE12" s="15"/>
      <c r="CPF12" s="15"/>
      <c r="CPG12" s="15"/>
      <c r="CPH12" s="15"/>
      <c r="CPI12" s="15"/>
      <c r="CPJ12" s="15"/>
      <c r="CPK12" s="15"/>
      <c r="CPL12" s="15"/>
      <c r="CPM12" s="15"/>
      <c r="CPN12" s="15"/>
      <c r="CPO12" s="15"/>
      <c r="CPP12" s="15"/>
      <c r="CPQ12" s="15"/>
      <c r="CPR12" s="15"/>
      <c r="CPS12" s="15"/>
      <c r="CPT12" s="15"/>
      <c r="CPU12" s="15"/>
      <c r="CPV12" s="15"/>
      <c r="CPW12" s="15"/>
      <c r="CPX12" s="15"/>
      <c r="CPY12" s="15"/>
      <c r="CPZ12" s="15"/>
      <c r="CQA12" s="15"/>
      <c r="CQB12" s="15"/>
      <c r="CQC12" s="15"/>
      <c r="CQD12" s="15"/>
      <c r="CQE12" s="15"/>
      <c r="CQF12" s="15"/>
      <c r="CQG12" s="15"/>
      <c r="CQH12" s="15"/>
      <c r="CQI12" s="15"/>
      <c r="CQJ12" s="15"/>
      <c r="CQK12" s="15"/>
      <c r="CQL12" s="15"/>
      <c r="CQM12" s="15"/>
      <c r="CQN12" s="15"/>
      <c r="CQO12" s="15"/>
      <c r="CQP12" s="15"/>
      <c r="CQQ12" s="15"/>
      <c r="CQR12" s="15"/>
      <c r="CQS12" s="15"/>
      <c r="CQT12" s="15"/>
      <c r="CQU12" s="15"/>
      <c r="CQV12" s="15"/>
      <c r="CQW12" s="15"/>
      <c r="CQX12" s="15"/>
      <c r="CQY12" s="15"/>
      <c r="CQZ12" s="15"/>
      <c r="CRA12" s="15"/>
      <c r="CRB12" s="15"/>
      <c r="CRC12" s="15"/>
      <c r="CRD12" s="15"/>
      <c r="CRE12" s="15"/>
      <c r="CRF12" s="15"/>
      <c r="CRG12" s="15"/>
      <c r="CRH12" s="15"/>
      <c r="CRI12" s="15"/>
      <c r="CRJ12" s="15"/>
      <c r="CRK12" s="15"/>
      <c r="CRL12" s="15"/>
      <c r="CRM12" s="15"/>
      <c r="CRN12" s="15"/>
      <c r="CRO12" s="15"/>
      <c r="CRP12" s="15"/>
      <c r="CRQ12" s="15"/>
      <c r="CRR12" s="15"/>
      <c r="CRS12" s="15"/>
      <c r="CRT12" s="15"/>
      <c r="CRU12" s="15"/>
      <c r="CRV12" s="15"/>
      <c r="CRW12" s="15"/>
      <c r="CRX12" s="15"/>
      <c r="CRY12" s="15"/>
      <c r="CRZ12" s="15"/>
      <c r="CSA12" s="15"/>
      <c r="CSB12" s="15"/>
      <c r="CSC12" s="15"/>
      <c r="CSD12" s="15"/>
      <c r="CSE12" s="15"/>
      <c r="CSF12" s="15"/>
      <c r="CSG12" s="15"/>
      <c r="CSH12" s="15"/>
      <c r="CSI12" s="15"/>
      <c r="CSJ12" s="15"/>
      <c r="CSK12" s="15"/>
      <c r="CSL12" s="15"/>
      <c r="CSM12" s="15"/>
      <c r="CSN12" s="15"/>
      <c r="CSO12" s="15"/>
      <c r="CSP12" s="15"/>
      <c r="CSQ12" s="15"/>
      <c r="CSR12" s="15"/>
      <c r="CSS12" s="15"/>
      <c r="CST12" s="15"/>
      <c r="CSU12" s="15"/>
      <c r="CSV12" s="15"/>
      <c r="CSW12" s="15"/>
      <c r="CSX12" s="15"/>
      <c r="CSY12" s="15"/>
      <c r="CSZ12" s="15"/>
      <c r="CTA12" s="15"/>
      <c r="CTB12" s="15"/>
      <c r="CTC12" s="15"/>
      <c r="CTD12" s="15"/>
      <c r="CTE12" s="15"/>
      <c r="CTF12" s="15"/>
      <c r="CTG12" s="15"/>
      <c r="CTH12" s="15"/>
      <c r="CTI12" s="15"/>
      <c r="CTJ12" s="15"/>
      <c r="CTK12" s="15"/>
      <c r="CTL12" s="15"/>
      <c r="CTM12" s="15"/>
      <c r="CTN12" s="15"/>
      <c r="CTO12" s="15"/>
      <c r="CTP12" s="15"/>
      <c r="CTQ12" s="15"/>
      <c r="CTR12" s="15"/>
      <c r="CTS12" s="15"/>
      <c r="CTT12" s="15"/>
      <c r="CTU12" s="15"/>
      <c r="CTV12" s="15"/>
      <c r="CTW12" s="15"/>
      <c r="CTX12" s="15"/>
      <c r="CTY12" s="15"/>
      <c r="CTZ12" s="15"/>
      <c r="CUA12" s="15"/>
      <c r="CUB12" s="15"/>
      <c r="CUC12" s="15"/>
      <c r="CUD12" s="15"/>
      <c r="CUE12" s="15"/>
      <c r="CUF12" s="15"/>
      <c r="CUG12" s="15"/>
      <c r="CUH12" s="15"/>
      <c r="CUI12" s="15"/>
      <c r="CUJ12" s="15"/>
      <c r="CUK12" s="15"/>
      <c r="CUL12" s="15"/>
      <c r="CUM12" s="15"/>
      <c r="CUN12" s="15"/>
      <c r="CUO12" s="15"/>
      <c r="CUP12" s="15"/>
      <c r="CUQ12" s="15"/>
      <c r="CUR12" s="15"/>
      <c r="CUS12" s="15"/>
      <c r="CUT12" s="15"/>
      <c r="CUU12" s="15"/>
      <c r="CUV12" s="15"/>
      <c r="CUW12" s="15"/>
      <c r="CUX12" s="15"/>
      <c r="CUY12" s="15"/>
      <c r="CUZ12" s="15"/>
      <c r="CVA12" s="15"/>
      <c r="CVB12" s="15"/>
      <c r="CVC12" s="15"/>
      <c r="CVD12" s="15"/>
      <c r="CVE12" s="15"/>
      <c r="CVF12" s="15"/>
      <c r="CVG12" s="15"/>
      <c r="CVH12" s="15"/>
      <c r="CVI12" s="15"/>
      <c r="CVJ12" s="15"/>
      <c r="CVK12" s="15"/>
      <c r="CVL12" s="15"/>
      <c r="CVM12" s="15"/>
      <c r="CVN12" s="15"/>
      <c r="CVO12" s="15"/>
      <c r="CVP12" s="15"/>
      <c r="CVQ12" s="15"/>
      <c r="CVR12" s="15"/>
      <c r="CVS12" s="15"/>
      <c r="CVT12" s="15"/>
      <c r="CVU12" s="15"/>
      <c r="CVV12" s="15"/>
      <c r="CVW12" s="15"/>
      <c r="CVX12" s="15"/>
      <c r="CVY12" s="15"/>
      <c r="CVZ12" s="15"/>
      <c r="CWA12" s="15"/>
      <c r="CWB12" s="15"/>
      <c r="CWC12" s="15"/>
      <c r="CWD12" s="15"/>
      <c r="CWE12" s="15"/>
      <c r="CWF12" s="15"/>
      <c r="CWG12" s="15"/>
      <c r="CWH12" s="15"/>
      <c r="CWI12" s="15"/>
      <c r="CWJ12" s="15"/>
      <c r="CWK12" s="15"/>
      <c r="CWL12" s="15"/>
      <c r="CWM12" s="15"/>
      <c r="CWN12" s="15"/>
      <c r="CWO12" s="15"/>
      <c r="CWP12" s="15"/>
      <c r="CWQ12" s="15"/>
      <c r="CWR12" s="15"/>
      <c r="CWS12" s="15"/>
      <c r="CWT12" s="15"/>
      <c r="CWU12" s="15"/>
      <c r="CWV12" s="15"/>
      <c r="CWW12" s="15"/>
      <c r="CWX12" s="15"/>
      <c r="CWY12" s="15"/>
      <c r="CWZ12" s="15"/>
      <c r="CXA12" s="15"/>
      <c r="CXB12" s="15"/>
      <c r="CXC12" s="15"/>
      <c r="CXD12" s="15"/>
      <c r="CXE12" s="15"/>
      <c r="CXF12" s="15"/>
      <c r="CXG12" s="15"/>
      <c r="CXH12" s="15"/>
      <c r="CXI12" s="15"/>
      <c r="CXJ12" s="15"/>
      <c r="CXK12" s="15"/>
      <c r="CXL12" s="15"/>
      <c r="CXM12" s="15"/>
      <c r="CXN12" s="15"/>
      <c r="CXO12" s="15"/>
      <c r="CXP12" s="15"/>
      <c r="CXQ12" s="15"/>
      <c r="CXR12" s="15"/>
      <c r="CXS12" s="15"/>
      <c r="CXT12" s="15"/>
      <c r="CXU12" s="15"/>
      <c r="CXV12" s="15"/>
      <c r="CXW12" s="15"/>
      <c r="CXX12" s="15"/>
      <c r="CXY12" s="15"/>
      <c r="CXZ12" s="15"/>
      <c r="CYA12" s="15"/>
      <c r="CYB12" s="15"/>
      <c r="CYC12" s="15"/>
      <c r="CYD12" s="15"/>
      <c r="CYE12" s="15"/>
      <c r="CYF12" s="15"/>
      <c r="CYG12" s="15"/>
      <c r="CYH12" s="15"/>
      <c r="CYI12" s="15"/>
      <c r="CYJ12" s="15"/>
      <c r="CYK12" s="15"/>
      <c r="CYL12" s="15"/>
      <c r="CYM12" s="15"/>
      <c r="CYN12" s="15"/>
      <c r="CYO12" s="15"/>
      <c r="CYP12" s="15"/>
      <c r="CYQ12" s="15"/>
      <c r="CYR12" s="15"/>
      <c r="CYS12" s="15"/>
      <c r="CYT12" s="15"/>
      <c r="CYU12" s="15"/>
      <c r="CYV12" s="15"/>
      <c r="CYW12" s="15"/>
      <c r="CYX12" s="15"/>
      <c r="CYY12" s="15"/>
      <c r="CYZ12" s="15"/>
      <c r="CZA12" s="15"/>
      <c r="CZB12" s="15"/>
      <c r="CZC12" s="15"/>
      <c r="CZD12" s="15"/>
      <c r="CZE12" s="15"/>
      <c r="CZF12" s="15"/>
      <c r="CZG12" s="15"/>
      <c r="CZH12" s="15"/>
      <c r="CZI12" s="15"/>
      <c r="CZJ12" s="15"/>
      <c r="CZK12" s="15"/>
      <c r="CZL12" s="15"/>
      <c r="CZM12" s="15"/>
      <c r="CZN12" s="15"/>
      <c r="CZO12" s="15"/>
      <c r="CZP12" s="15"/>
      <c r="CZQ12" s="15"/>
      <c r="CZR12" s="15"/>
      <c r="CZS12" s="15"/>
      <c r="CZT12" s="15"/>
      <c r="CZU12" s="15"/>
      <c r="CZV12" s="15"/>
      <c r="CZW12" s="15"/>
      <c r="CZX12" s="15"/>
      <c r="CZY12" s="15"/>
      <c r="CZZ12" s="15"/>
      <c r="DAA12" s="15"/>
      <c r="DAB12" s="15"/>
      <c r="DAC12" s="15"/>
      <c r="DAD12" s="15"/>
      <c r="DAE12" s="15"/>
      <c r="DAF12" s="15"/>
      <c r="DAG12" s="15"/>
      <c r="DAH12" s="15"/>
      <c r="DAI12" s="15"/>
      <c r="DAJ12" s="15"/>
      <c r="DAK12" s="15"/>
      <c r="DAL12" s="15"/>
      <c r="DAM12" s="15"/>
      <c r="DAN12" s="15"/>
      <c r="DAO12" s="15"/>
      <c r="DAP12" s="15"/>
      <c r="DAQ12" s="15"/>
      <c r="DAR12" s="15"/>
      <c r="DAS12" s="15"/>
      <c r="DAT12" s="15"/>
      <c r="DAU12" s="15"/>
      <c r="DAV12" s="15"/>
      <c r="DAW12" s="15"/>
      <c r="DAX12" s="15"/>
      <c r="DAY12" s="15"/>
      <c r="DAZ12" s="15"/>
      <c r="DBA12" s="15"/>
      <c r="DBB12" s="15"/>
      <c r="DBC12" s="15"/>
      <c r="DBD12" s="15"/>
      <c r="DBE12" s="15"/>
      <c r="DBF12" s="15"/>
      <c r="DBG12" s="15"/>
      <c r="DBH12" s="15"/>
      <c r="DBI12" s="15"/>
      <c r="DBJ12" s="15"/>
      <c r="DBK12" s="15"/>
      <c r="DBL12" s="15"/>
      <c r="DBM12" s="15"/>
      <c r="DBN12" s="15"/>
      <c r="DBO12" s="15"/>
      <c r="DBP12" s="15"/>
      <c r="DBQ12" s="15"/>
      <c r="DBR12" s="15"/>
      <c r="DBS12" s="15"/>
      <c r="DBT12" s="15"/>
      <c r="DBU12" s="15"/>
      <c r="DBV12" s="15"/>
      <c r="DBW12" s="15"/>
      <c r="DBX12" s="15"/>
      <c r="DBY12" s="15"/>
      <c r="DBZ12" s="15"/>
      <c r="DCA12" s="15"/>
      <c r="DCB12" s="15"/>
      <c r="DCC12" s="15"/>
      <c r="DCD12" s="15"/>
      <c r="DCE12" s="15"/>
      <c r="DCF12" s="15"/>
      <c r="DCG12" s="15"/>
      <c r="DCH12" s="15"/>
      <c r="DCI12" s="15"/>
      <c r="DCJ12" s="15"/>
      <c r="DCK12" s="15"/>
      <c r="DCL12" s="15"/>
      <c r="DCM12" s="15"/>
      <c r="DCN12" s="15"/>
      <c r="DCO12" s="15"/>
      <c r="DCP12" s="15"/>
      <c r="DCQ12" s="15"/>
      <c r="DCR12" s="15"/>
      <c r="DCS12" s="15"/>
      <c r="DCT12" s="15"/>
      <c r="DCU12" s="15"/>
      <c r="DCV12" s="15"/>
      <c r="DCW12" s="15"/>
      <c r="DCX12" s="15"/>
      <c r="DCY12" s="15"/>
      <c r="DCZ12" s="15"/>
      <c r="DDA12" s="15"/>
      <c r="DDB12" s="15"/>
      <c r="DDC12" s="15"/>
      <c r="DDD12" s="15"/>
      <c r="DDE12" s="15"/>
      <c r="DDF12" s="15"/>
      <c r="DDG12" s="15"/>
      <c r="DDH12" s="15"/>
      <c r="DDI12" s="15"/>
      <c r="DDJ12" s="15"/>
      <c r="DDK12" s="15"/>
      <c r="DDL12" s="15"/>
      <c r="DDM12" s="15"/>
      <c r="DDN12" s="15"/>
      <c r="DDO12" s="15"/>
      <c r="DDP12" s="15"/>
      <c r="DDQ12" s="15"/>
      <c r="DDR12" s="15"/>
      <c r="DDS12" s="15"/>
      <c r="DDT12" s="15"/>
      <c r="DDU12" s="15"/>
      <c r="DDV12" s="15"/>
      <c r="DDW12" s="15"/>
      <c r="DDX12" s="15"/>
      <c r="DDY12" s="15"/>
      <c r="DDZ12" s="15"/>
      <c r="DEA12" s="15"/>
      <c r="DEB12" s="15"/>
      <c r="DEC12" s="15"/>
      <c r="DED12" s="15"/>
      <c r="DEE12" s="15"/>
      <c r="DEF12" s="15"/>
      <c r="DEG12" s="15"/>
      <c r="DEH12" s="15"/>
      <c r="DEI12" s="15"/>
      <c r="DEJ12" s="15"/>
      <c r="DEK12" s="15"/>
      <c r="DEL12" s="15"/>
      <c r="DEM12" s="15"/>
      <c r="DEN12" s="15"/>
      <c r="DEO12" s="15"/>
      <c r="DEP12" s="15"/>
      <c r="DEQ12" s="15"/>
      <c r="DER12" s="15"/>
      <c r="DES12" s="15"/>
      <c r="DET12" s="15"/>
      <c r="DEU12" s="15"/>
      <c r="DEV12" s="15"/>
      <c r="DEW12" s="15"/>
      <c r="DEX12" s="15"/>
      <c r="DEY12" s="15"/>
      <c r="DEZ12" s="15"/>
      <c r="DFA12" s="15"/>
      <c r="DFB12" s="15"/>
      <c r="DFC12" s="15"/>
      <c r="DFD12" s="15"/>
      <c r="DFE12" s="15"/>
      <c r="DFF12" s="15"/>
      <c r="DFG12" s="15"/>
      <c r="DFH12" s="15"/>
      <c r="DFI12" s="15"/>
      <c r="DFJ12" s="15"/>
      <c r="DFK12" s="15"/>
      <c r="DFL12" s="15"/>
      <c r="DFM12" s="15"/>
      <c r="DFN12" s="15"/>
      <c r="DFO12" s="15"/>
      <c r="DFP12" s="15"/>
      <c r="DFQ12" s="15"/>
      <c r="DFR12" s="15"/>
      <c r="DFS12" s="15"/>
      <c r="DFT12" s="15"/>
      <c r="DFU12" s="15"/>
      <c r="DFV12" s="15"/>
      <c r="DFW12" s="15"/>
      <c r="DFX12" s="15"/>
      <c r="DFY12" s="15"/>
      <c r="DFZ12" s="15"/>
      <c r="DGA12" s="15"/>
      <c r="DGB12" s="15"/>
      <c r="DGC12" s="15"/>
      <c r="DGD12" s="15"/>
      <c r="DGE12" s="15"/>
      <c r="DGF12" s="15"/>
      <c r="DGG12" s="15"/>
      <c r="DGH12" s="15"/>
      <c r="DGI12" s="15"/>
      <c r="DGJ12" s="15"/>
      <c r="DGK12" s="15"/>
      <c r="DGL12" s="15"/>
      <c r="DGM12" s="15"/>
      <c r="DGN12" s="15"/>
      <c r="DGO12" s="15"/>
      <c r="DGP12" s="15"/>
      <c r="DGQ12" s="15"/>
      <c r="DGR12" s="15"/>
      <c r="DGS12" s="15"/>
      <c r="DGT12" s="15"/>
      <c r="DGU12" s="15"/>
      <c r="DGV12" s="15"/>
      <c r="DGW12" s="15"/>
      <c r="DGX12" s="15"/>
      <c r="DGY12" s="15"/>
      <c r="DGZ12" s="15"/>
      <c r="DHA12" s="15"/>
      <c r="DHB12" s="15"/>
      <c r="DHC12" s="15"/>
      <c r="DHD12" s="15"/>
      <c r="DHE12" s="15"/>
      <c r="DHF12" s="15"/>
      <c r="DHG12" s="15"/>
      <c r="DHH12" s="15"/>
      <c r="DHI12" s="15"/>
      <c r="DHJ12" s="15"/>
      <c r="DHK12" s="15"/>
      <c r="DHL12" s="15"/>
      <c r="DHM12" s="15"/>
      <c r="DHN12" s="15"/>
      <c r="DHO12" s="15"/>
      <c r="DHP12" s="15"/>
      <c r="DHQ12" s="15"/>
      <c r="DHR12" s="15"/>
      <c r="DHS12" s="15"/>
      <c r="DHT12" s="15"/>
      <c r="DHU12" s="15"/>
      <c r="DHV12" s="15"/>
      <c r="DHW12" s="15"/>
      <c r="DHX12" s="15"/>
      <c r="DHY12" s="15"/>
      <c r="DHZ12" s="15"/>
      <c r="DIA12" s="15"/>
      <c r="DIB12" s="15"/>
      <c r="DIC12" s="15"/>
      <c r="DID12" s="15"/>
      <c r="DIE12" s="15"/>
      <c r="DIF12" s="15"/>
      <c r="DIG12" s="15"/>
      <c r="DIH12" s="15"/>
      <c r="DII12" s="15"/>
      <c r="DIJ12" s="15"/>
      <c r="DIK12" s="15"/>
      <c r="DIL12" s="15"/>
      <c r="DIM12" s="15"/>
      <c r="DIN12" s="15"/>
      <c r="DIO12" s="15"/>
      <c r="DIP12" s="15"/>
      <c r="DIQ12" s="15"/>
      <c r="DIR12" s="15"/>
      <c r="DIS12" s="15"/>
      <c r="DIT12" s="15"/>
      <c r="DIU12" s="15"/>
      <c r="DIV12" s="15"/>
      <c r="DIW12" s="15"/>
      <c r="DIX12" s="15"/>
      <c r="DIY12" s="15"/>
      <c r="DIZ12" s="15"/>
      <c r="DJA12" s="15"/>
      <c r="DJB12" s="15"/>
      <c r="DJC12" s="15"/>
      <c r="DJD12" s="15"/>
      <c r="DJE12" s="15"/>
      <c r="DJF12" s="15"/>
      <c r="DJG12" s="15"/>
      <c r="DJH12" s="15"/>
      <c r="DJI12" s="15"/>
      <c r="DJJ12" s="15"/>
      <c r="DJK12" s="15"/>
      <c r="DJL12" s="15"/>
      <c r="DJM12" s="15"/>
      <c r="DJN12" s="15"/>
      <c r="DJO12" s="15"/>
      <c r="DJP12" s="15"/>
      <c r="DJQ12" s="15"/>
      <c r="DJR12" s="15"/>
      <c r="DJS12" s="15"/>
      <c r="DJT12" s="15"/>
      <c r="DJU12" s="15"/>
      <c r="DJV12" s="15"/>
      <c r="DJW12" s="15"/>
      <c r="DJX12" s="15"/>
      <c r="DJY12" s="15"/>
      <c r="DJZ12" s="15"/>
      <c r="DKA12" s="15"/>
      <c r="DKB12" s="15"/>
      <c r="DKC12" s="15"/>
      <c r="DKD12" s="15"/>
      <c r="DKE12" s="15"/>
      <c r="DKF12" s="15"/>
      <c r="DKG12" s="15"/>
      <c r="DKH12" s="15"/>
      <c r="DKI12" s="15"/>
      <c r="DKJ12" s="15"/>
      <c r="DKK12" s="15"/>
      <c r="DKL12" s="15"/>
      <c r="DKM12" s="15"/>
      <c r="DKN12" s="15"/>
      <c r="DKO12" s="15"/>
      <c r="DKP12" s="15"/>
      <c r="DKQ12" s="15"/>
      <c r="DKR12" s="15"/>
      <c r="DKS12" s="15"/>
      <c r="DKT12" s="15"/>
      <c r="DKU12" s="15"/>
      <c r="DKV12" s="15"/>
      <c r="DKW12" s="15"/>
      <c r="DKX12" s="15"/>
      <c r="DKY12" s="15"/>
      <c r="DKZ12" s="15"/>
      <c r="DLA12" s="15"/>
      <c r="DLB12" s="15"/>
      <c r="DLC12" s="15"/>
      <c r="DLD12" s="15"/>
      <c r="DLE12" s="15"/>
      <c r="DLF12" s="15"/>
      <c r="DLG12" s="15"/>
      <c r="DLH12" s="15"/>
      <c r="DLI12" s="15"/>
      <c r="DLJ12" s="15"/>
      <c r="DLK12" s="15"/>
      <c r="DLL12" s="15"/>
      <c r="DLM12" s="15"/>
      <c r="DLN12" s="15"/>
      <c r="DLO12" s="15"/>
      <c r="DLP12" s="15"/>
      <c r="DLQ12" s="15"/>
      <c r="DLR12" s="15"/>
      <c r="DLS12" s="15"/>
      <c r="DLT12" s="15"/>
      <c r="DLU12" s="15"/>
      <c r="DLV12" s="15"/>
      <c r="DLW12" s="15"/>
      <c r="DLX12" s="15"/>
      <c r="DLY12" s="15"/>
      <c r="DLZ12" s="15"/>
      <c r="DMA12" s="15"/>
      <c r="DMB12" s="15"/>
      <c r="DMC12" s="15"/>
      <c r="DMD12" s="15"/>
      <c r="DME12" s="15"/>
      <c r="DMF12" s="15"/>
      <c r="DMG12" s="15"/>
      <c r="DMH12" s="15"/>
      <c r="DMI12" s="15"/>
      <c r="DMJ12" s="15"/>
      <c r="DMK12" s="15"/>
      <c r="DML12" s="15"/>
      <c r="DMM12" s="15"/>
      <c r="DMN12" s="15"/>
      <c r="DMO12" s="15"/>
      <c r="DMP12" s="15"/>
      <c r="DMQ12" s="15"/>
      <c r="DMR12" s="15"/>
      <c r="DMS12" s="15"/>
      <c r="DMT12" s="15"/>
      <c r="DMU12" s="15"/>
      <c r="DMV12" s="15"/>
      <c r="DMW12" s="15"/>
      <c r="DMX12" s="15"/>
      <c r="DMY12" s="15"/>
      <c r="DMZ12" s="15"/>
      <c r="DNA12" s="15"/>
      <c r="DNB12" s="15"/>
      <c r="DNC12" s="15"/>
      <c r="DND12" s="15"/>
      <c r="DNE12" s="15"/>
      <c r="DNF12" s="15"/>
      <c r="DNG12" s="15"/>
      <c r="DNH12" s="15"/>
      <c r="DNI12" s="15"/>
      <c r="DNJ12" s="15"/>
      <c r="DNK12" s="15"/>
      <c r="DNL12" s="15"/>
      <c r="DNM12" s="15"/>
      <c r="DNN12" s="15"/>
      <c r="DNO12" s="15"/>
      <c r="DNP12" s="15"/>
      <c r="DNQ12" s="15"/>
      <c r="DNR12" s="15"/>
      <c r="DNS12" s="15"/>
      <c r="DNT12" s="15"/>
      <c r="DNU12" s="15"/>
      <c r="DNV12" s="15"/>
      <c r="DNW12" s="15"/>
      <c r="DNX12" s="15"/>
      <c r="DNY12" s="15"/>
      <c r="DNZ12" s="15"/>
      <c r="DOA12" s="15"/>
      <c r="DOB12" s="15"/>
      <c r="DOC12" s="15"/>
      <c r="DOD12" s="15"/>
      <c r="DOE12" s="15"/>
      <c r="DOF12" s="15"/>
      <c r="DOG12" s="15"/>
      <c r="DOH12" s="15"/>
      <c r="DOI12" s="15"/>
      <c r="DOJ12" s="15"/>
      <c r="DOK12" s="15"/>
      <c r="DOL12" s="15"/>
      <c r="DOM12" s="15"/>
      <c r="DON12" s="15"/>
      <c r="DOO12" s="15"/>
      <c r="DOP12" s="15"/>
      <c r="DOQ12" s="15"/>
      <c r="DOR12" s="15"/>
      <c r="DOS12" s="15"/>
      <c r="DOT12" s="15"/>
      <c r="DOU12" s="15"/>
      <c r="DOV12" s="15"/>
      <c r="DOW12" s="15"/>
      <c r="DOX12" s="15"/>
      <c r="DOY12" s="15"/>
      <c r="DOZ12" s="15"/>
      <c r="DPA12" s="15"/>
      <c r="DPB12" s="15"/>
      <c r="DPC12" s="15"/>
      <c r="DPD12" s="15"/>
      <c r="DPE12" s="15"/>
      <c r="DPF12" s="15"/>
      <c r="DPG12" s="15"/>
      <c r="DPH12" s="15"/>
      <c r="DPI12" s="15"/>
      <c r="DPJ12" s="15"/>
      <c r="DPK12" s="15"/>
      <c r="DPL12" s="15"/>
      <c r="DPM12" s="15"/>
      <c r="DPN12" s="15"/>
      <c r="DPO12" s="15"/>
      <c r="DPP12" s="15"/>
      <c r="DPQ12" s="15"/>
      <c r="DPR12" s="15"/>
      <c r="DPS12" s="15"/>
      <c r="DPT12" s="15"/>
      <c r="DPU12" s="15"/>
      <c r="DPV12" s="15"/>
      <c r="DPW12" s="15"/>
      <c r="DPX12" s="15"/>
      <c r="DPY12" s="15"/>
      <c r="DPZ12" s="15"/>
      <c r="DQA12" s="15"/>
      <c r="DQB12" s="15"/>
      <c r="DQC12" s="15"/>
      <c r="DQD12" s="15"/>
      <c r="DQE12" s="15"/>
      <c r="DQF12" s="15"/>
      <c r="DQG12" s="15"/>
      <c r="DQH12" s="15"/>
      <c r="DQI12" s="15"/>
      <c r="DQJ12" s="15"/>
      <c r="DQK12" s="15"/>
      <c r="DQL12" s="15"/>
      <c r="DQM12" s="15"/>
      <c r="DQN12" s="15"/>
      <c r="DQO12" s="15"/>
      <c r="DQP12" s="15"/>
      <c r="DQQ12" s="15"/>
      <c r="DQR12" s="15"/>
      <c r="DQS12" s="15"/>
      <c r="DQT12" s="15"/>
      <c r="DQU12" s="15"/>
      <c r="DQV12" s="15"/>
      <c r="DQW12" s="15"/>
      <c r="DQX12" s="15"/>
      <c r="DQY12" s="15"/>
      <c r="DQZ12" s="15"/>
      <c r="DRA12" s="15"/>
      <c r="DRB12" s="15"/>
      <c r="DRC12" s="15"/>
      <c r="DRD12" s="15"/>
      <c r="DRE12" s="15"/>
      <c r="DRF12" s="15"/>
      <c r="DRG12" s="15"/>
      <c r="DRH12" s="15"/>
      <c r="DRI12" s="15"/>
      <c r="DRJ12" s="15"/>
      <c r="DRK12" s="15"/>
      <c r="DRL12" s="15"/>
      <c r="DRM12" s="15"/>
      <c r="DRN12" s="15"/>
      <c r="DRO12" s="15"/>
      <c r="DRP12" s="15"/>
      <c r="DRQ12" s="15"/>
      <c r="DRR12" s="15"/>
      <c r="DRS12" s="15"/>
      <c r="DRT12" s="15"/>
      <c r="DRU12" s="15"/>
      <c r="DRV12" s="15"/>
      <c r="DRW12" s="15"/>
      <c r="DRX12" s="15"/>
      <c r="DRY12" s="15"/>
      <c r="DRZ12" s="15"/>
      <c r="DSA12" s="15"/>
      <c r="DSB12" s="15"/>
      <c r="DSC12" s="15"/>
      <c r="DSD12" s="15"/>
      <c r="DSE12" s="15"/>
      <c r="DSF12" s="15"/>
      <c r="DSG12" s="15"/>
      <c r="DSH12" s="15"/>
      <c r="DSI12" s="15"/>
      <c r="DSJ12" s="15"/>
      <c r="DSK12" s="15"/>
      <c r="DSL12" s="15"/>
      <c r="DSM12" s="15"/>
      <c r="DSN12" s="15"/>
      <c r="DSO12" s="15"/>
      <c r="DSP12" s="15"/>
      <c r="DSQ12" s="15"/>
      <c r="DSR12" s="15"/>
      <c r="DSS12" s="15"/>
      <c r="DST12" s="15"/>
      <c r="DSU12" s="15"/>
      <c r="DSV12" s="15"/>
      <c r="DSW12" s="15"/>
      <c r="DSX12" s="15"/>
      <c r="DSY12" s="15"/>
      <c r="DSZ12" s="15"/>
      <c r="DTA12" s="15"/>
      <c r="DTB12" s="15"/>
      <c r="DTC12" s="15"/>
      <c r="DTD12" s="15"/>
      <c r="DTE12" s="15"/>
      <c r="DTF12" s="15"/>
      <c r="DTG12" s="15"/>
      <c r="DTH12" s="15"/>
      <c r="DTI12" s="15"/>
      <c r="DTJ12" s="15"/>
      <c r="DTK12" s="15"/>
      <c r="DTL12" s="15"/>
      <c r="DTM12" s="15"/>
      <c r="DTN12" s="15"/>
      <c r="DTO12" s="15"/>
      <c r="DTP12" s="15"/>
      <c r="DTQ12" s="15"/>
      <c r="DTR12" s="15"/>
      <c r="DTS12" s="15"/>
      <c r="DTT12" s="15"/>
      <c r="DTU12" s="15"/>
      <c r="DTV12" s="15"/>
      <c r="DTW12" s="15"/>
      <c r="DTX12" s="15"/>
      <c r="DTY12" s="15"/>
      <c r="DTZ12" s="15"/>
      <c r="DUA12" s="15"/>
      <c r="DUB12" s="15"/>
      <c r="DUC12" s="15"/>
      <c r="DUD12" s="15"/>
      <c r="DUE12" s="15"/>
      <c r="DUF12" s="15"/>
      <c r="DUG12" s="15"/>
      <c r="DUH12" s="15"/>
      <c r="DUI12" s="15"/>
      <c r="DUJ12" s="15"/>
      <c r="DUK12" s="15"/>
      <c r="DUL12" s="15"/>
      <c r="DUM12" s="15"/>
      <c r="DUN12" s="15"/>
      <c r="DUO12" s="15"/>
      <c r="DUP12" s="15"/>
      <c r="DUQ12" s="15"/>
      <c r="DUR12" s="15"/>
      <c r="DUS12" s="15"/>
      <c r="DUT12" s="15"/>
      <c r="DUU12" s="15"/>
      <c r="DUV12" s="15"/>
      <c r="DUW12" s="15"/>
      <c r="DUX12" s="15"/>
      <c r="DUY12" s="15"/>
      <c r="DUZ12" s="15"/>
      <c r="DVA12" s="15"/>
      <c r="DVB12" s="15"/>
      <c r="DVC12" s="15"/>
      <c r="DVD12" s="15"/>
      <c r="DVE12" s="15"/>
      <c r="DVF12" s="15"/>
      <c r="DVG12" s="15"/>
      <c r="DVH12" s="15"/>
      <c r="DVI12" s="15"/>
      <c r="DVJ12" s="15"/>
      <c r="DVK12" s="15"/>
      <c r="DVL12" s="15"/>
      <c r="DVM12" s="15"/>
      <c r="DVN12" s="15"/>
      <c r="DVO12" s="15"/>
      <c r="DVP12" s="15"/>
      <c r="DVQ12" s="15"/>
      <c r="DVR12" s="15"/>
      <c r="DVS12" s="15"/>
      <c r="DVT12" s="15"/>
      <c r="DVU12" s="15"/>
      <c r="DVV12" s="15"/>
      <c r="DVW12" s="15"/>
      <c r="DVX12" s="15"/>
      <c r="DVY12" s="15"/>
      <c r="DVZ12" s="15"/>
      <c r="DWA12" s="15"/>
      <c r="DWB12" s="15"/>
      <c r="DWC12" s="15"/>
      <c r="DWD12" s="15"/>
      <c r="DWE12" s="15"/>
      <c r="DWF12" s="15"/>
      <c r="DWG12" s="15"/>
      <c r="DWH12" s="15"/>
      <c r="DWI12" s="15"/>
      <c r="DWJ12" s="15"/>
      <c r="DWK12" s="15"/>
      <c r="DWL12" s="15"/>
      <c r="DWM12" s="15"/>
      <c r="DWN12" s="15"/>
      <c r="DWO12" s="15"/>
      <c r="DWP12" s="15"/>
      <c r="DWQ12" s="15"/>
      <c r="DWR12" s="15"/>
      <c r="DWS12" s="15"/>
      <c r="DWT12" s="15"/>
      <c r="DWU12" s="15"/>
      <c r="DWV12" s="15"/>
      <c r="DWW12" s="15"/>
      <c r="DWX12" s="15"/>
      <c r="DWY12" s="15"/>
      <c r="DWZ12" s="15"/>
      <c r="DXA12" s="15"/>
      <c r="DXB12" s="15"/>
      <c r="DXC12" s="15"/>
      <c r="DXD12" s="15"/>
      <c r="DXE12" s="15"/>
      <c r="DXF12" s="15"/>
      <c r="DXG12" s="15"/>
      <c r="DXH12" s="15"/>
      <c r="DXI12" s="15"/>
      <c r="DXJ12" s="15"/>
      <c r="DXK12" s="15"/>
      <c r="DXL12" s="15"/>
      <c r="DXM12" s="15"/>
      <c r="DXN12" s="15"/>
      <c r="DXO12" s="15"/>
      <c r="DXP12" s="15"/>
      <c r="DXQ12" s="15"/>
      <c r="DXR12" s="15"/>
      <c r="DXS12" s="15"/>
      <c r="DXT12" s="15"/>
      <c r="DXU12" s="15"/>
      <c r="DXV12" s="15"/>
      <c r="DXW12" s="15"/>
      <c r="DXX12" s="15"/>
      <c r="DXY12" s="15"/>
      <c r="DXZ12" s="15"/>
      <c r="DYA12" s="15"/>
      <c r="DYB12" s="15"/>
      <c r="DYC12" s="15"/>
      <c r="DYD12" s="15"/>
      <c r="DYE12" s="15"/>
      <c r="DYF12" s="15"/>
      <c r="DYG12" s="15"/>
      <c r="DYH12" s="15"/>
      <c r="DYI12" s="15"/>
      <c r="DYJ12" s="15"/>
      <c r="DYK12" s="15"/>
      <c r="DYL12" s="15"/>
      <c r="DYM12" s="15"/>
      <c r="DYN12" s="15"/>
      <c r="DYO12" s="15"/>
      <c r="DYP12" s="15"/>
      <c r="DYQ12" s="15"/>
      <c r="DYR12" s="15"/>
      <c r="DYS12" s="15"/>
      <c r="DYT12" s="15"/>
      <c r="DYU12" s="15"/>
      <c r="DYV12" s="15"/>
      <c r="DYW12" s="15"/>
      <c r="DYX12" s="15"/>
      <c r="DYY12" s="15"/>
      <c r="DYZ12" s="15"/>
      <c r="DZA12" s="15"/>
      <c r="DZB12" s="15"/>
      <c r="DZC12" s="15"/>
      <c r="DZD12" s="15"/>
      <c r="DZE12" s="15"/>
      <c r="DZF12" s="15"/>
      <c r="DZG12" s="15"/>
      <c r="DZH12" s="15"/>
      <c r="DZI12" s="15"/>
      <c r="DZJ12" s="15"/>
      <c r="DZK12" s="15"/>
      <c r="DZL12" s="15"/>
      <c r="DZM12" s="15"/>
      <c r="DZN12" s="15"/>
      <c r="DZO12" s="15"/>
      <c r="DZP12" s="15"/>
      <c r="DZQ12" s="15"/>
      <c r="DZR12" s="15"/>
      <c r="DZS12" s="15"/>
      <c r="DZT12" s="15"/>
      <c r="DZU12" s="15"/>
      <c r="DZV12" s="15"/>
      <c r="DZW12" s="15"/>
      <c r="DZX12" s="15"/>
      <c r="DZY12" s="15"/>
      <c r="DZZ12" s="15"/>
      <c r="EAA12" s="15"/>
      <c r="EAB12" s="15"/>
      <c r="EAC12" s="15"/>
      <c r="EAD12" s="15"/>
      <c r="EAE12" s="15"/>
      <c r="EAF12" s="15"/>
      <c r="EAG12" s="15"/>
      <c r="EAH12" s="15"/>
      <c r="EAI12" s="15"/>
      <c r="EAJ12" s="15"/>
      <c r="EAK12" s="15"/>
      <c r="EAL12" s="15"/>
      <c r="EAM12" s="15"/>
      <c r="EAN12" s="15"/>
      <c r="EAO12" s="15"/>
      <c r="EAP12" s="15"/>
      <c r="EAQ12" s="15"/>
      <c r="EAR12" s="15"/>
      <c r="EAS12" s="15"/>
      <c r="EAT12" s="15"/>
      <c r="EAU12" s="15"/>
      <c r="EAV12" s="15"/>
      <c r="EAW12" s="15"/>
      <c r="EAX12" s="15"/>
      <c r="EAY12" s="15"/>
      <c r="EAZ12" s="15"/>
      <c r="EBA12" s="15"/>
      <c r="EBB12" s="15"/>
      <c r="EBC12" s="15"/>
      <c r="EBD12" s="15"/>
      <c r="EBE12" s="15"/>
      <c r="EBF12" s="15"/>
      <c r="EBG12" s="15"/>
      <c r="EBH12" s="15"/>
      <c r="EBI12" s="15"/>
      <c r="EBJ12" s="15"/>
      <c r="EBK12" s="15"/>
      <c r="EBL12" s="15"/>
      <c r="EBM12" s="15"/>
      <c r="EBN12" s="15"/>
      <c r="EBO12" s="15"/>
      <c r="EBP12" s="15"/>
      <c r="EBQ12" s="15"/>
      <c r="EBR12" s="15"/>
      <c r="EBS12" s="15"/>
      <c r="EBT12" s="15"/>
      <c r="EBU12" s="15"/>
      <c r="EBV12" s="15"/>
      <c r="EBW12" s="15"/>
      <c r="EBX12" s="15"/>
      <c r="EBY12" s="15"/>
      <c r="EBZ12" s="15"/>
      <c r="ECA12" s="15"/>
      <c r="ECB12" s="15"/>
      <c r="ECC12" s="15"/>
      <c r="ECD12" s="15"/>
      <c r="ECE12" s="15"/>
      <c r="ECF12" s="15"/>
      <c r="ECG12" s="15"/>
      <c r="ECH12" s="15"/>
      <c r="ECI12" s="15"/>
      <c r="ECJ12" s="15"/>
      <c r="ECK12" s="15"/>
      <c r="ECL12" s="15"/>
      <c r="ECM12" s="15"/>
      <c r="ECN12" s="15"/>
      <c r="ECO12" s="15"/>
      <c r="ECP12" s="15"/>
      <c r="ECQ12" s="15"/>
      <c r="ECR12" s="15"/>
      <c r="ECS12" s="15"/>
      <c r="ECT12" s="15"/>
      <c r="ECU12" s="15"/>
      <c r="ECV12" s="15"/>
      <c r="ECW12" s="15"/>
      <c r="ECX12" s="15"/>
      <c r="ECY12" s="15"/>
      <c r="ECZ12" s="15"/>
      <c r="EDA12" s="15"/>
      <c r="EDB12" s="15"/>
      <c r="EDC12" s="15"/>
      <c r="EDD12" s="15"/>
      <c r="EDE12" s="15"/>
      <c r="EDF12" s="15"/>
      <c r="EDG12" s="15"/>
      <c r="EDH12" s="15"/>
      <c r="EDI12" s="15"/>
      <c r="EDJ12" s="15"/>
      <c r="EDK12" s="15"/>
      <c r="EDL12" s="15"/>
      <c r="EDM12" s="15"/>
      <c r="EDN12" s="15"/>
      <c r="EDO12" s="15"/>
      <c r="EDP12" s="15"/>
      <c r="EDQ12" s="15"/>
      <c r="EDR12" s="15"/>
      <c r="EDS12" s="15"/>
      <c r="EDT12" s="15"/>
      <c r="EDU12" s="15"/>
      <c r="EDV12" s="15"/>
      <c r="EDW12" s="15"/>
      <c r="EDX12" s="15"/>
      <c r="EDY12" s="15"/>
      <c r="EDZ12" s="15"/>
      <c r="EEA12" s="15"/>
      <c r="EEB12" s="15"/>
      <c r="EEC12" s="15"/>
      <c r="EED12" s="15"/>
      <c r="EEE12" s="15"/>
      <c r="EEF12" s="15"/>
      <c r="EEG12" s="15"/>
      <c r="EEH12" s="15"/>
      <c r="EEI12" s="15"/>
      <c r="EEJ12" s="15"/>
      <c r="EEK12" s="15"/>
      <c r="EEL12" s="15"/>
      <c r="EEM12" s="15"/>
      <c r="EEN12" s="15"/>
      <c r="EEO12" s="15"/>
      <c r="EEP12" s="15"/>
      <c r="EEQ12" s="15"/>
      <c r="EER12" s="15"/>
      <c r="EES12" s="15"/>
      <c r="EET12" s="15"/>
      <c r="EEU12" s="15"/>
      <c r="EEV12" s="15"/>
      <c r="EEW12" s="15"/>
      <c r="EEX12" s="15"/>
      <c r="EEY12" s="15"/>
      <c r="EEZ12" s="15"/>
      <c r="EFA12" s="15"/>
      <c r="EFB12" s="15"/>
      <c r="EFC12" s="15"/>
      <c r="EFD12" s="15"/>
      <c r="EFE12" s="15"/>
      <c r="EFF12" s="15"/>
      <c r="EFG12" s="15"/>
      <c r="EFH12" s="15"/>
      <c r="EFI12" s="15"/>
      <c r="EFJ12" s="15"/>
      <c r="EFK12" s="15"/>
      <c r="EFL12" s="15"/>
      <c r="EFM12" s="15"/>
      <c r="EFN12" s="15"/>
      <c r="EFO12" s="15"/>
      <c r="EFP12" s="15"/>
      <c r="EFQ12" s="15"/>
      <c r="EFR12" s="15"/>
      <c r="EFS12" s="15"/>
      <c r="EFT12" s="15"/>
      <c r="EFU12" s="15"/>
      <c r="EFV12" s="15"/>
      <c r="EFW12" s="15"/>
      <c r="EFX12" s="15"/>
      <c r="EFY12" s="15"/>
      <c r="EFZ12" s="15"/>
      <c r="EGA12" s="15"/>
      <c r="EGB12" s="15"/>
      <c r="EGC12" s="15"/>
      <c r="EGD12" s="15"/>
      <c r="EGE12" s="15"/>
      <c r="EGF12" s="15"/>
      <c r="EGG12" s="15"/>
      <c r="EGH12" s="15"/>
      <c r="EGI12" s="15"/>
      <c r="EGJ12" s="15"/>
      <c r="EGK12" s="15"/>
      <c r="EGL12" s="15"/>
      <c r="EGM12" s="15"/>
      <c r="EGN12" s="15"/>
      <c r="EGO12" s="15"/>
      <c r="EGP12" s="15"/>
      <c r="EGQ12" s="15"/>
      <c r="EGR12" s="15"/>
      <c r="EGS12" s="15"/>
      <c r="EGT12" s="15"/>
      <c r="EGU12" s="15"/>
      <c r="EGV12" s="15"/>
      <c r="EGW12" s="15"/>
      <c r="EGX12" s="15"/>
      <c r="EGY12" s="15"/>
      <c r="EGZ12" s="15"/>
      <c r="EHA12" s="15"/>
      <c r="EHB12" s="15"/>
      <c r="EHC12" s="15"/>
      <c r="EHD12" s="15"/>
      <c r="EHE12" s="15"/>
      <c r="EHF12" s="15"/>
      <c r="EHG12" s="15"/>
      <c r="EHH12" s="15"/>
      <c r="EHI12" s="15"/>
      <c r="EHJ12" s="15"/>
      <c r="EHK12" s="15"/>
      <c r="EHL12" s="15"/>
      <c r="EHM12" s="15"/>
      <c r="EHN12" s="15"/>
      <c r="EHO12" s="15"/>
      <c r="EHP12" s="15"/>
      <c r="EHQ12" s="15"/>
      <c r="EHR12" s="15"/>
      <c r="EHS12" s="15"/>
      <c r="EHT12" s="15"/>
      <c r="EHU12" s="15"/>
      <c r="EHV12" s="15"/>
      <c r="EHW12" s="15"/>
      <c r="EHX12" s="15"/>
      <c r="EHY12" s="15"/>
      <c r="EHZ12" s="15"/>
      <c r="EIA12" s="15"/>
      <c r="EIB12" s="15"/>
      <c r="EIC12" s="15"/>
      <c r="EID12" s="15"/>
      <c r="EIE12" s="15"/>
      <c r="EIF12" s="15"/>
      <c r="EIG12" s="15"/>
      <c r="EIH12" s="15"/>
      <c r="EII12" s="15"/>
      <c r="EIJ12" s="15"/>
      <c r="EIK12" s="15"/>
      <c r="EIL12" s="15"/>
      <c r="EIM12" s="15"/>
      <c r="EIN12" s="15"/>
      <c r="EIO12" s="15"/>
      <c r="EIP12" s="15"/>
      <c r="EIQ12" s="15"/>
      <c r="EIR12" s="15"/>
      <c r="EIS12" s="15"/>
      <c r="EIT12" s="15"/>
      <c r="EIU12" s="15"/>
      <c r="EIV12" s="15"/>
      <c r="EIW12" s="15"/>
      <c r="EIX12" s="15"/>
      <c r="EIY12" s="15"/>
      <c r="EIZ12" s="15"/>
      <c r="EJA12" s="15"/>
      <c r="EJB12" s="15"/>
      <c r="EJC12" s="15"/>
      <c r="EJD12" s="15"/>
      <c r="EJE12" s="15"/>
      <c r="EJF12" s="15"/>
      <c r="EJG12" s="15"/>
      <c r="EJH12" s="15"/>
      <c r="EJI12" s="15"/>
      <c r="EJJ12" s="15"/>
      <c r="EJK12" s="15"/>
      <c r="EJL12" s="15"/>
      <c r="EJM12" s="15"/>
      <c r="EJN12" s="15"/>
      <c r="EJO12" s="15"/>
      <c r="EJP12" s="15"/>
      <c r="EJQ12" s="15"/>
      <c r="EJR12" s="15"/>
      <c r="EJS12" s="15"/>
      <c r="EJT12" s="15"/>
      <c r="EJU12" s="15"/>
      <c r="EJV12" s="15"/>
      <c r="EJW12" s="15"/>
      <c r="EJX12" s="15"/>
      <c r="EJY12" s="15"/>
      <c r="EJZ12" s="15"/>
      <c r="EKA12" s="15"/>
      <c r="EKB12" s="15"/>
      <c r="EKC12" s="15"/>
      <c r="EKD12" s="15"/>
      <c r="EKE12" s="15"/>
      <c r="EKF12" s="15"/>
      <c r="EKG12" s="15"/>
      <c r="EKH12" s="15"/>
      <c r="EKI12" s="15"/>
      <c r="EKJ12" s="15"/>
      <c r="EKK12" s="15"/>
      <c r="EKL12" s="15"/>
      <c r="EKM12" s="15"/>
      <c r="EKN12" s="15"/>
      <c r="EKO12" s="15"/>
      <c r="EKP12" s="15"/>
      <c r="EKQ12" s="15"/>
      <c r="EKR12" s="15"/>
      <c r="EKS12" s="15"/>
      <c r="EKT12" s="15"/>
      <c r="EKU12" s="15"/>
      <c r="EKV12" s="15"/>
      <c r="EKW12" s="15"/>
      <c r="EKX12" s="15"/>
      <c r="EKY12" s="15"/>
      <c r="EKZ12" s="15"/>
      <c r="ELA12" s="15"/>
      <c r="ELB12" s="15"/>
      <c r="ELC12" s="15"/>
      <c r="ELD12" s="15"/>
      <c r="ELE12" s="15"/>
      <c r="ELF12" s="15"/>
      <c r="ELG12" s="15"/>
      <c r="ELH12" s="15"/>
      <c r="ELI12" s="15"/>
      <c r="ELJ12" s="15"/>
      <c r="ELK12" s="15"/>
      <c r="ELL12" s="15"/>
      <c r="ELM12" s="15"/>
      <c r="ELN12" s="15"/>
      <c r="ELO12" s="15"/>
      <c r="ELP12" s="15"/>
      <c r="ELQ12" s="15"/>
      <c r="ELR12" s="15"/>
      <c r="ELS12" s="15"/>
      <c r="ELT12" s="15"/>
      <c r="ELU12" s="15"/>
      <c r="ELV12" s="15"/>
      <c r="ELW12" s="15"/>
      <c r="ELX12" s="15"/>
      <c r="ELY12" s="15"/>
      <c r="ELZ12" s="15"/>
      <c r="EMA12" s="15"/>
      <c r="EMB12" s="15"/>
      <c r="EMC12" s="15"/>
      <c r="EMD12" s="15"/>
      <c r="EME12" s="15"/>
      <c r="EMF12" s="15"/>
      <c r="EMG12" s="15"/>
      <c r="EMH12" s="15"/>
      <c r="EMI12" s="15"/>
      <c r="EMJ12" s="15"/>
      <c r="EMK12" s="15"/>
      <c r="EML12" s="15"/>
      <c r="EMM12" s="15"/>
      <c r="EMN12" s="15"/>
      <c r="EMO12" s="15"/>
      <c r="EMP12" s="15"/>
      <c r="EMQ12" s="15"/>
      <c r="EMR12" s="15"/>
      <c r="EMS12" s="15"/>
      <c r="EMT12" s="15"/>
      <c r="EMU12" s="15"/>
      <c r="EMV12" s="15"/>
      <c r="EMW12" s="15"/>
      <c r="EMX12" s="15"/>
      <c r="EMY12" s="15"/>
      <c r="EMZ12" s="15"/>
      <c r="ENA12" s="15"/>
      <c r="ENB12" s="15"/>
      <c r="ENC12" s="15"/>
      <c r="END12" s="15"/>
      <c r="ENE12" s="15"/>
      <c r="ENF12" s="15"/>
      <c r="ENG12" s="15"/>
      <c r="ENH12" s="15"/>
      <c r="ENI12" s="15"/>
      <c r="ENJ12" s="15"/>
      <c r="ENK12" s="15"/>
      <c r="ENL12" s="15"/>
      <c r="ENM12" s="15"/>
      <c r="ENN12" s="15"/>
      <c r="ENO12" s="15"/>
      <c r="ENP12" s="15"/>
      <c r="ENQ12" s="15"/>
      <c r="ENR12" s="15"/>
      <c r="ENS12" s="15"/>
      <c r="ENT12" s="15"/>
      <c r="ENU12" s="15"/>
      <c r="ENV12" s="15"/>
      <c r="ENW12" s="15"/>
      <c r="ENX12" s="15"/>
      <c r="ENY12" s="15"/>
      <c r="ENZ12" s="15"/>
      <c r="EOA12" s="15"/>
      <c r="EOB12" s="15"/>
      <c r="EOC12" s="15"/>
      <c r="EOD12" s="15"/>
      <c r="EOE12" s="15"/>
      <c r="EOF12" s="15"/>
      <c r="EOG12" s="15"/>
      <c r="EOH12" s="15"/>
      <c r="EOI12" s="15"/>
      <c r="EOJ12" s="15"/>
      <c r="EOK12" s="15"/>
      <c r="EOL12" s="15"/>
      <c r="EOM12" s="15"/>
      <c r="EON12" s="15"/>
      <c r="EOO12" s="15"/>
      <c r="EOP12" s="15"/>
      <c r="EOQ12" s="15"/>
      <c r="EOR12" s="15"/>
      <c r="EOS12" s="15"/>
      <c r="EOT12" s="15"/>
      <c r="EOU12" s="15"/>
      <c r="EOV12" s="15"/>
      <c r="EOW12" s="15"/>
      <c r="EOX12" s="15"/>
      <c r="EOY12" s="15"/>
      <c r="EOZ12" s="15"/>
      <c r="EPA12" s="15"/>
      <c r="EPB12" s="15"/>
      <c r="EPC12" s="15"/>
      <c r="EPD12" s="15"/>
      <c r="EPE12" s="15"/>
      <c r="EPF12" s="15"/>
      <c r="EPG12" s="15"/>
      <c r="EPH12" s="15"/>
      <c r="EPI12" s="15"/>
      <c r="EPJ12" s="15"/>
      <c r="EPK12" s="15"/>
      <c r="EPL12" s="15"/>
      <c r="EPM12" s="15"/>
      <c r="EPN12" s="15"/>
      <c r="EPO12" s="15"/>
      <c r="EPP12" s="15"/>
      <c r="EPQ12" s="15"/>
      <c r="EPR12" s="15"/>
      <c r="EPS12" s="15"/>
      <c r="EPT12" s="15"/>
      <c r="EPU12" s="15"/>
      <c r="EPV12" s="15"/>
      <c r="EPW12" s="15"/>
      <c r="EPX12" s="15"/>
      <c r="EPY12" s="15"/>
      <c r="EPZ12" s="15"/>
      <c r="EQA12" s="15"/>
      <c r="EQB12" s="15"/>
      <c r="EQC12" s="15"/>
      <c r="EQD12" s="15"/>
      <c r="EQE12" s="15"/>
      <c r="EQF12" s="15"/>
      <c r="EQG12" s="15"/>
      <c r="EQH12" s="15"/>
      <c r="EQI12" s="15"/>
      <c r="EQJ12" s="15"/>
      <c r="EQK12" s="15"/>
      <c r="EQL12" s="15"/>
      <c r="EQM12" s="15"/>
      <c r="EQN12" s="15"/>
      <c r="EQO12" s="15"/>
      <c r="EQP12" s="15"/>
      <c r="EQQ12" s="15"/>
      <c r="EQR12" s="15"/>
      <c r="EQS12" s="15"/>
      <c r="EQT12" s="15"/>
      <c r="EQU12" s="15"/>
      <c r="EQV12" s="15"/>
      <c r="EQW12" s="15"/>
      <c r="EQX12" s="15"/>
      <c r="EQY12" s="15"/>
      <c r="EQZ12" s="15"/>
      <c r="ERA12" s="15"/>
      <c r="ERB12" s="15"/>
      <c r="ERC12" s="15"/>
      <c r="ERD12" s="15"/>
      <c r="ERE12" s="15"/>
      <c r="ERF12" s="15"/>
      <c r="ERG12" s="15"/>
      <c r="ERH12" s="15"/>
      <c r="ERI12" s="15"/>
      <c r="ERJ12" s="15"/>
      <c r="ERK12" s="15"/>
      <c r="ERL12" s="15"/>
      <c r="ERM12" s="15"/>
      <c r="ERN12" s="15"/>
      <c r="ERO12" s="15"/>
      <c r="ERP12" s="15"/>
      <c r="ERQ12" s="15"/>
      <c r="ERR12" s="15"/>
      <c r="ERS12" s="15"/>
      <c r="ERT12" s="15"/>
      <c r="ERU12" s="15"/>
      <c r="ERV12" s="15"/>
      <c r="ERW12" s="15"/>
      <c r="ERX12" s="15"/>
      <c r="ERY12" s="15"/>
      <c r="ERZ12" s="15"/>
      <c r="ESA12" s="15"/>
      <c r="ESB12" s="15"/>
      <c r="ESC12" s="15"/>
      <c r="ESD12" s="15"/>
      <c r="ESE12" s="15"/>
      <c r="ESF12" s="15"/>
      <c r="ESG12" s="15"/>
      <c r="ESH12" s="15"/>
      <c r="ESI12" s="15"/>
      <c r="ESJ12" s="15"/>
      <c r="ESK12" s="15"/>
      <c r="ESL12" s="15"/>
      <c r="ESM12" s="15"/>
      <c r="ESN12" s="15"/>
      <c r="ESO12" s="15"/>
      <c r="ESP12" s="15"/>
      <c r="ESQ12" s="15"/>
      <c r="ESR12" s="15"/>
      <c r="ESS12" s="15"/>
      <c r="EST12" s="15"/>
      <c r="ESU12" s="15"/>
      <c r="ESV12" s="15"/>
      <c r="ESW12" s="15"/>
      <c r="ESX12" s="15"/>
      <c r="ESY12" s="15"/>
      <c r="ESZ12" s="15"/>
      <c r="ETA12" s="15"/>
      <c r="ETB12" s="15"/>
      <c r="ETC12" s="15"/>
      <c r="ETD12" s="15"/>
      <c r="ETE12" s="15"/>
      <c r="ETF12" s="15"/>
      <c r="ETG12" s="15"/>
      <c r="ETH12" s="15"/>
      <c r="ETI12" s="15"/>
      <c r="ETJ12" s="15"/>
      <c r="ETK12" s="15"/>
      <c r="ETL12" s="15"/>
      <c r="ETM12" s="15"/>
      <c r="ETN12" s="15"/>
      <c r="ETO12" s="15"/>
      <c r="ETP12" s="15"/>
      <c r="ETQ12" s="15"/>
      <c r="ETR12" s="15"/>
      <c r="ETS12" s="15"/>
      <c r="ETT12" s="15"/>
      <c r="ETU12" s="15"/>
      <c r="ETV12" s="15"/>
      <c r="ETW12" s="15"/>
      <c r="ETX12" s="15"/>
      <c r="ETY12" s="15"/>
      <c r="ETZ12" s="15"/>
      <c r="EUA12" s="15"/>
      <c r="EUB12" s="15"/>
      <c r="EUC12" s="15"/>
      <c r="EUD12" s="15"/>
      <c r="EUE12" s="15"/>
      <c r="EUF12" s="15"/>
      <c r="EUG12" s="15"/>
      <c r="EUH12" s="15"/>
      <c r="EUI12" s="15"/>
      <c r="EUJ12" s="15"/>
      <c r="EUK12" s="15"/>
      <c r="EUL12" s="15"/>
      <c r="EUM12" s="15"/>
      <c r="EUN12" s="15"/>
      <c r="EUO12" s="15"/>
      <c r="EUP12" s="15"/>
      <c r="EUQ12" s="15"/>
      <c r="EUR12" s="15"/>
      <c r="EUS12" s="15"/>
      <c r="EUT12" s="15"/>
      <c r="EUU12" s="15"/>
      <c r="EUV12" s="15"/>
      <c r="EUW12" s="15"/>
      <c r="EUX12" s="15"/>
      <c r="EUY12" s="15"/>
      <c r="EUZ12" s="15"/>
      <c r="EVA12" s="15"/>
      <c r="EVB12" s="15"/>
      <c r="EVC12" s="15"/>
      <c r="EVD12" s="15"/>
      <c r="EVE12" s="15"/>
      <c r="EVF12" s="15"/>
      <c r="EVG12" s="15"/>
      <c r="EVH12" s="15"/>
      <c r="EVI12" s="15"/>
      <c r="EVJ12" s="15"/>
      <c r="EVK12" s="15"/>
      <c r="EVL12" s="15"/>
      <c r="EVM12" s="15"/>
      <c r="EVN12" s="15"/>
      <c r="EVO12" s="15"/>
      <c r="EVP12" s="15"/>
      <c r="EVQ12" s="15"/>
      <c r="EVR12" s="15"/>
      <c r="EVS12" s="15"/>
      <c r="EVT12" s="15"/>
      <c r="EVU12" s="15"/>
      <c r="EVV12" s="15"/>
      <c r="EVW12" s="15"/>
      <c r="EVX12" s="15"/>
      <c r="EVY12" s="15"/>
      <c r="EVZ12" s="15"/>
      <c r="EWA12" s="15"/>
      <c r="EWB12" s="15"/>
      <c r="EWC12" s="15"/>
      <c r="EWD12" s="15"/>
      <c r="EWE12" s="15"/>
      <c r="EWF12" s="15"/>
      <c r="EWG12" s="15"/>
      <c r="EWH12" s="15"/>
      <c r="EWI12" s="15"/>
      <c r="EWJ12" s="15"/>
      <c r="EWK12" s="15"/>
      <c r="EWL12" s="15"/>
      <c r="EWM12" s="15"/>
      <c r="EWN12" s="15"/>
      <c r="EWO12" s="15"/>
      <c r="EWP12" s="15"/>
      <c r="EWQ12" s="15"/>
      <c r="EWR12" s="15"/>
      <c r="EWS12" s="15"/>
      <c r="EWT12" s="15"/>
      <c r="EWU12" s="15"/>
      <c r="EWV12" s="15"/>
      <c r="EWW12" s="15"/>
      <c r="EWX12" s="15"/>
      <c r="EWY12" s="15"/>
      <c r="EWZ12" s="15"/>
      <c r="EXA12" s="15"/>
      <c r="EXB12" s="15"/>
      <c r="EXC12" s="15"/>
      <c r="EXD12" s="15"/>
      <c r="EXE12" s="15"/>
      <c r="EXF12" s="15"/>
      <c r="EXG12" s="15"/>
      <c r="EXH12" s="15"/>
      <c r="EXI12" s="15"/>
      <c r="EXJ12" s="15"/>
      <c r="EXK12" s="15"/>
      <c r="EXL12" s="15"/>
      <c r="EXM12" s="15"/>
      <c r="EXN12" s="15"/>
      <c r="EXO12" s="15"/>
      <c r="EXP12" s="15"/>
      <c r="EXQ12" s="15"/>
      <c r="EXR12" s="15"/>
      <c r="EXS12" s="15"/>
      <c r="EXT12" s="15"/>
      <c r="EXU12" s="15"/>
      <c r="EXV12" s="15"/>
      <c r="EXW12" s="15"/>
      <c r="EXX12" s="15"/>
      <c r="EXY12" s="15"/>
      <c r="EXZ12" s="15"/>
      <c r="EYA12" s="15"/>
      <c r="EYB12" s="15"/>
      <c r="EYC12" s="15"/>
      <c r="EYD12" s="15"/>
      <c r="EYE12" s="15"/>
      <c r="EYF12" s="15"/>
      <c r="EYG12" s="15"/>
      <c r="EYH12" s="15"/>
      <c r="EYI12" s="15"/>
      <c r="EYJ12" s="15"/>
      <c r="EYK12" s="15"/>
      <c r="EYL12" s="15"/>
      <c r="EYM12" s="15"/>
      <c r="EYN12" s="15"/>
      <c r="EYO12" s="15"/>
      <c r="EYP12" s="15"/>
      <c r="EYQ12" s="15"/>
      <c r="EYR12" s="15"/>
      <c r="EYS12" s="15"/>
      <c r="EYT12" s="15"/>
      <c r="EYU12" s="15"/>
      <c r="EYV12" s="15"/>
      <c r="EYW12" s="15"/>
      <c r="EYX12" s="15"/>
      <c r="EYY12" s="15"/>
      <c r="EYZ12" s="15"/>
      <c r="EZA12" s="15"/>
      <c r="EZB12" s="15"/>
      <c r="EZC12" s="15"/>
      <c r="EZD12" s="15"/>
      <c r="EZE12" s="15"/>
      <c r="EZF12" s="15"/>
      <c r="EZG12" s="15"/>
      <c r="EZH12" s="15"/>
      <c r="EZI12" s="15"/>
      <c r="EZJ12" s="15"/>
      <c r="EZK12" s="15"/>
      <c r="EZL12" s="15"/>
      <c r="EZM12" s="15"/>
      <c r="EZN12" s="15"/>
      <c r="EZO12" s="15"/>
      <c r="EZP12" s="15"/>
      <c r="EZQ12" s="15"/>
      <c r="EZR12" s="15"/>
      <c r="EZS12" s="15"/>
      <c r="EZT12" s="15"/>
      <c r="EZU12" s="15"/>
      <c r="EZV12" s="15"/>
      <c r="EZW12" s="15"/>
      <c r="EZX12" s="15"/>
      <c r="EZY12" s="15"/>
      <c r="EZZ12" s="15"/>
      <c r="FAA12" s="15"/>
      <c r="FAB12" s="15"/>
      <c r="FAC12" s="15"/>
      <c r="FAD12" s="15"/>
      <c r="FAE12" s="15"/>
      <c r="FAF12" s="15"/>
      <c r="FAG12" s="15"/>
      <c r="FAH12" s="15"/>
      <c r="FAI12" s="15"/>
      <c r="FAJ12" s="15"/>
      <c r="FAK12" s="15"/>
      <c r="FAL12" s="15"/>
      <c r="FAM12" s="15"/>
      <c r="FAN12" s="15"/>
      <c r="FAO12" s="15"/>
      <c r="FAP12" s="15"/>
      <c r="FAQ12" s="15"/>
      <c r="FAR12" s="15"/>
      <c r="FAS12" s="15"/>
      <c r="FAT12" s="15"/>
      <c r="FAU12" s="15"/>
      <c r="FAV12" s="15"/>
      <c r="FAW12" s="15"/>
      <c r="FAX12" s="15"/>
      <c r="FAY12" s="15"/>
      <c r="FAZ12" s="15"/>
      <c r="FBA12" s="15"/>
      <c r="FBB12" s="15"/>
      <c r="FBC12" s="15"/>
      <c r="FBD12" s="15"/>
      <c r="FBE12" s="15"/>
      <c r="FBF12" s="15"/>
      <c r="FBG12" s="15"/>
      <c r="FBH12" s="15"/>
      <c r="FBI12" s="15"/>
      <c r="FBJ12" s="15"/>
      <c r="FBK12" s="15"/>
      <c r="FBL12" s="15"/>
      <c r="FBM12" s="15"/>
      <c r="FBN12" s="15"/>
      <c r="FBO12" s="15"/>
      <c r="FBP12" s="15"/>
      <c r="FBQ12" s="15"/>
      <c r="FBR12" s="15"/>
      <c r="FBS12" s="15"/>
      <c r="FBT12" s="15"/>
      <c r="FBU12" s="15"/>
      <c r="FBV12" s="15"/>
      <c r="FBW12" s="15"/>
      <c r="FBX12" s="15"/>
      <c r="FBY12" s="15"/>
      <c r="FBZ12" s="15"/>
      <c r="FCA12" s="15"/>
      <c r="FCB12" s="15"/>
      <c r="FCC12" s="15"/>
      <c r="FCD12" s="15"/>
      <c r="FCE12" s="15"/>
      <c r="FCF12" s="15"/>
      <c r="FCG12" s="15"/>
      <c r="FCH12" s="15"/>
      <c r="FCI12" s="15"/>
      <c r="FCJ12" s="15"/>
      <c r="FCK12" s="15"/>
      <c r="FCL12" s="15"/>
      <c r="FCM12" s="15"/>
      <c r="FCN12" s="15"/>
      <c r="FCO12" s="15"/>
      <c r="FCP12" s="15"/>
      <c r="FCQ12" s="15"/>
      <c r="FCR12" s="15"/>
      <c r="FCS12" s="15"/>
      <c r="FCT12" s="15"/>
      <c r="FCU12" s="15"/>
      <c r="FCV12" s="15"/>
      <c r="FCW12" s="15"/>
      <c r="FCX12" s="15"/>
      <c r="FCY12" s="15"/>
      <c r="FCZ12" s="15"/>
      <c r="FDA12" s="15"/>
      <c r="FDB12" s="15"/>
      <c r="FDC12" s="15"/>
      <c r="FDD12" s="15"/>
      <c r="FDE12" s="15"/>
      <c r="FDF12" s="15"/>
      <c r="FDG12" s="15"/>
      <c r="FDH12" s="15"/>
      <c r="FDI12" s="15"/>
      <c r="FDJ12" s="15"/>
      <c r="FDK12" s="15"/>
      <c r="FDL12" s="15"/>
      <c r="FDM12" s="15"/>
      <c r="FDN12" s="15"/>
      <c r="FDO12" s="15"/>
      <c r="FDP12" s="15"/>
      <c r="FDQ12" s="15"/>
      <c r="FDR12" s="15"/>
      <c r="FDS12" s="15"/>
      <c r="FDT12" s="15"/>
      <c r="FDU12" s="15"/>
      <c r="FDV12" s="15"/>
      <c r="FDW12" s="15"/>
      <c r="FDX12" s="15"/>
      <c r="FDY12" s="15"/>
      <c r="FDZ12" s="15"/>
      <c r="FEA12" s="15"/>
      <c r="FEB12" s="15"/>
      <c r="FEC12" s="15"/>
      <c r="FED12" s="15"/>
      <c r="FEE12" s="15"/>
      <c r="FEF12" s="15"/>
      <c r="FEG12" s="15"/>
      <c r="FEH12" s="15"/>
      <c r="FEI12" s="15"/>
      <c r="FEJ12" s="15"/>
      <c r="FEK12" s="15"/>
      <c r="FEL12" s="15"/>
      <c r="FEM12" s="15"/>
      <c r="FEN12" s="15"/>
      <c r="FEO12" s="15"/>
      <c r="FEP12" s="15"/>
      <c r="FEQ12" s="15"/>
      <c r="FER12" s="15"/>
      <c r="FES12" s="15"/>
      <c r="FET12" s="15"/>
      <c r="FEU12" s="15"/>
      <c r="FEV12" s="15"/>
      <c r="FEW12" s="15"/>
      <c r="FEX12" s="15"/>
      <c r="FEY12" s="15"/>
      <c r="FEZ12" s="15"/>
      <c r="FFA12" s="15"/>
      <c r="FFB12" s="15"/>
      <c r="FFC12" s="15"/>
      <c r="FFD12" s="15"/>
      <c r="FFE12" s="15"/>
      <c r="FFF12" s="15"/>
      <c r="FFG12" s="15"/>
      <c r="FFH12" s="15"/>
      <c r="FFI12" s="15"/>
      <c r="FFJ12" s="15"/>
      <c r="FFK12" s="15"/>
      <c r="FFL12" s="15"/>
      <c r="FFM12" s="15"/>
      <c r="FFN12" s="15"/>
      <c r="FFO12" s="15"/>
      <c r="FFP12" s="15"/>
      <c r="FFQ12" s="15"/>
      <c r="FFR12" s="15"/>
      <c r="FFS12" s="15"/>
      <c r="FFT12" s="15"/>
      <c r="FFU12" s="15"/>
      <c r="FFV12" s="15"/>
      <c r="FFW12" s="15"/>
      <c r="FFX12" s="15"/>
      <c r="FFY12" s="15"/>
      <c r="FFZ12" s="15"/>
      <c r="FGA12" s="15"/>
      <c r="FGB12" s="15"/>
      <c r="FGC12" s="15"/>
      <c r="FGD12" s="15"/>
      <c r="FGE12" s="15"/>
      <c r="FGF12" s="15"/>
      <c r="FGG12" s="15"/>
      <c r="FGH12" s="15"/>
      <c r="FGI12" s="15"/>
      <c r="FGJ12" s="15"/>
      <c r="FGK12" s="15"/>
      <c r="FGL12" s="15"/>
      <c r="FGM12" s="15"/>
      <c r="FGN12" s="15"/>
      <c r="FGO12" s="15"/>
      <c r="FGP12" s="15"/>
      <c r="FGQ12" s="15"/>
      <c r="FGR12" s="15"/>
      <c r="FGS12" s="15"/>
      <c r="FGT12" s="15"/>
      <c r="FGU12" s="15"/>
      <c r="FGV12" s="15"/>
      <c r="FGW12" s="15"/>
      <c r="FGX12" s="15"/>
      <c r="FGY12" s="15"/>
      <c r="FGZ12" s="15"/>
      <c r="FHA12" s="15"/>
      <c r="FHB12" s="15"/>
      <c r="FHC12" s="15"/>
      <c r="FHD12" s="15"/>
      <c r="FHE12" s="15"/>
      <c r="FHF12" s="15"/>
      <c r="FHG12" s="15"/>
      <c r="FHH12" s="15"/>
      <c r="FHI12" s="15"/>
      <c r="FHJ12" s="15"/>
      <c r="FHK12" s="15"/>
      <c r="FHL12" s="15"/>
      <c r="FHM12" s="15"/>
      <c r="FHN12" s="15"/>
      <c r="FHO12" s="15"/>
      <c r="FHP12" s="15"/>
      <c r="FHQ12" s="15"/>
      <c r="FHR12" s="15"/>
      <c r="FHS12" s="15"/>
      <c r="FHT12" s="15"/>
      <c r="FHU12" s="15"/>
      <c r="FHV12" s="15"/>
      <c r="FHW12" s="15"/>
      <c r="FHX12" s="15"/>
      <c r="FHY12" s="15"/>
      <c r="FHZ12" s="15"/>
      <c r="FIA12" s="15"/>
      <c r="FIB12" s="15"/>
      <c r="FIC12" s="15"/>
      <c r="FID12" s="15"/>
      <c r="FIE12" s="15"/>
      <c r="FIF12" s="15"/>
      <c r="FIG12" s="15"/>
      <c r="FIH12" s="15"/>
      <c r="FII12" s="15"/>
      <c r="FIJ12" s="15"/>
      <c r="FIK12" s="15"/>
      <c r="FIL12" s="15"/>
      <c r="FIM12" s="15"/>
      <c r="FIN12" s="15"/>
      <c r="FIO12" s="15"/>
      <c r="FIP12" s="15"/>
      <c r="FIQ12" s="15"/>
      <c r="FIR12" s="15"/>
      <c r="FIS12" s="15"/>
      <c r="FIT12" s="15"/>
      <c r="FIU12" s="15"/>
      <c r="FIV12" s="15"/>
      <c r="FIW12" s="15"/>
      <c r="FIX12" s="15"/>
      <c r="FIY12" s="15"/>
      <c r="FIZ12" s="15"/>
      <c r="FJA12" s="15"/>
      <c r="FJB12" s="15"/>
      <c r="FJC12" s="15"/>
      <c r="FJD12" s="15"/>
      <c r="FJE12" s="15"/>
      <c r="FJF12" s="15"/>
      <c r="FJG12" s="15"/>
      <c r="FJH12" s="15"/>
      <c r="FJI12" s="15"/>
      <c r="FJJ12" s="15"/>
      <c r="FJK12" s="15"/>
      <c r="FJL12" s="15"/>
      <c r="FJM12" s="15"/>
      <c r="FJN12" s="15"/>
      <c r="FJO12" s="15"/>
      <c r="FJP12" s="15"/>
      <c r="FJQ12" s="15"/>
      <c r="FJR12" s="15"/>
      <c r="FJS12" s="15"/>
      <c r="FJT12" s="15"/>
      <c r="FJU12" s="15"/>
      <c r="FJV12" s="15"/>
      <c r="FJW12" s="15"/>
      <c r="FJX12" s="15"/>
      <c r="FJY12" s="15"/>
      <c r="FJZ12" s="15"/>
      <c r="FKA12" s="15"/>
      <c r="FKB12" s="15"/>
      <c r="FKC12" s="15"/>
      <c r="FKD12" s="15"/>
      <c r="FKE12" s="15"/>
      <c r="FKF12" s="15"/>
      <c r="FKG12" s="15"/>
      <c r="FKH12" s="15"/>
      <c r="FKI12" s="15"/>
      <c r="FKJ12" s="15"/>
      <c r="FKK12" s="15"/>
      <c r="FKL12" s="15"/>
      <c r="FKM12" s="15"/>
      <c r="FKN12" s="15"/>
      <c r="FKO12" s="15"/>
      <c r="FKP12" s="15"/>
      <c r="FKQ12" s="15"/>
      <c r="FKR12" s="15"/>
      <c r="FKS12" s="15"/>
      <c r="FKT12" s="15"/>
      <c r="FKU12" s="15"/>
      <c r="FKV12" s="15"/>
      <c r="FKW12" s="15"/>
      <c r="FKX12" s="15"/>
      <c r="FKY12" s="15"/>
      <c r="FKZ12" s="15"/>
      <c r="FLA12" s="15"/>
      <c r="FLB12" s="15"/>
      <c r="FLC12" s="15"/>
      <c r="FLD12" s="15"/>
      <c r="FLE12" s="15"/>
      <c r="FLF12" s="15"/>
      <c r="FLG12" s="15"/>
      <c r="FLH12" s="15"/>
      <c r="FLI12" s="15"/>
      <c r="FLJ12" s="15"/>
      <c r="FLK12" s="15"/>
      <c r="FLL12" s="15"/>
      <c r="FLM12" s="15"/>
      <c r="FLN12" s="15"/>
      <c r="FLO12" s="15"/>
      <c r="FLP12" s="15"/>
      <c r="FLQ12" s="15"/>
      <c r="FLR12" s="15"/>
      <c r="FLS12" s="15"/>
      <c r="FLT12" s="15"/>
      <c r="FLU12" s="15"/>
      <c r="FLV12" s="15"/>
      <c r="FLW12" s="15"/>
      <c r="FLX12" s="15"/>
      <c r="FLY12" s="15"/>
      <c r="FLZ12" s="15"/>
      <c r="FMA12" s="15"/>
      <c r="FMB12" s="15"/>
      <c r="FMC12" s="15"/>
      <c r="FMD12" s="15"/>
      <c r="FME12" s="15"/>
      <c r="FMF12" s="15"/>
      <c r="FMG12" s="15"/>
      <c r="FMH12" s="15"/>
      <c r="FMI12" s="15"/>
      <c r="FMJ12" s="15"/>
      <c r="FMK12" s="15"/>
      <c r="FML12" s="15"/>
      <c r="FMM12" s="15"/>
      <c r="FMN12" s="15"/>
      <c r="FMO12" s="15"/>
      <c r="FMP12" s="15"/>
      <c r="FMQ12" s="15"/>
      <c r="FMR12" s="15"/>
      <c r="FMS12" s="15"/>
      <c r="FMT12" s="15"/>
      <c r="FMU12" s="15"/>
      <c r="FMV12" s="15"/>
      <c r="FMW12" s="15"/>
      <c r="FMX12" s="15"/>
      <c r="FMY12" s="15"/>
      <c r="FMZ12" s="15"/>
      <c r="FNA12" s="15"/>
      <c r="FNB12" s="15"/>
      <c r="FNC12" s="15"/>
      <c r="FND12" s="15"/>
      <c r="FNE12" s="15"/>
      <c r="FNF12" s="15"/>
      <c r="FNG12" s="15"/>
      <c r="FNH12" s="15"/>
      <c r="FNI12" s="15"/>
      <c r="FNJ12" s="15"/>
      <c r="FNK12" s="15"/>
      <c r="FNL12" s="15"/>
      <c r="FNM12" s="15"/>
      <c r="FNN12" s="15"/>
      <c r="FNO12" s="15"/>
      <c r="FNP12" s="15"/>
      <c r="FNQ12" s="15"/>
      <c r="FNR12" s="15"/>
      <c r="FNS12" s="15"/>
      <c r="FNT12" s="15"/>
      <c r="FNU12" s="15"/>
      <c r="FNV12" s="15"/>
      <c r="FNW12" s="15"/>
      <c r="FNX12" s="15"/>
      <c r="FNY12" s="15"/>
      <c r="FNZ12" s="15"/>
      <c r="FOA12" s="15"/>
      <c r="FOB12" s="15"/>
      <c r="FOC12" s="15"/>
      <c r="FOD12" s="15"/>
      <c r="FOE12" s="15"/>
      <c r="FOF12" s="15"/>
      <c r="FOG12" s="15"/>
      <c r="FOH12" s="15"/>
      <c r="FOI12" s="15"/>
      <c r="FOJ12" s="15"/>
      <c r="FOK12" s="15"/>
      <c r="FOL12" s="15"/>
      <c r="FOM12" s="15"/>
      <c r="FON12" s="15"/>
      <c r="FOO12" s="15"/>
      <c r="FOP12" s="15"/>
      <c r="FOQ12" s="15"/>
      <c r="FOR12" s="15"/>
      <c r="FOS12" s="15"/>
      <c r="FOT12" s="15"/>
      <c r="FOU12" s="15"/>
      <c r="FOV12" s="15"/>
      <c r="FOW12" s="15"/>
      <c r="FOX12" s="15"/>
      <c r="FOY12" s="15"/>
      <c r="FOZ12" s="15"/>
      <c r="FPA12" s="15"/>
      <c r="FPB12" s="15"/>
      <c r="FPC12" s="15"/>
      <c r="FPD12" s="15"/>
      <c r="FPE12" s="15"/>
      <c r="FPF12" s="15"/>
      <c r="FPG12" s="15"/>
      <c r="FPH12" s="15"/>
      <c r="FPI12" s="15"/>
      <c r="FPJ12" s="15"/>
      <c r="FPK12" s="15"/>
      <c r="FPL12" s="15"/>
      <c r="FPM12" s="15"/>
      <c r="FPN12" s="15"/>
      <c r="FPO12" s="15"/>
      <c r="FPP12" s="15"/>
      <c r="FPQ12" s="15"/>
      <c r="FPR12" s="15"/>
      <c r="FPS12" s="15"/>
      <c r="FPT12" s="15"/>
      <c r="FPU12" s="15"/>
      <c r="FPV12" s="15"/>
      <c r="FPW12" s="15"/>
      <c r="FPX12" s="15"/>
      <c r="FPY12" s="15"/>
      <c r="FPZ12" s="15"/>
      <c r="FQA12" s="15"/>
      <c r="FQB12" s="15"/>
      <c r="FQC12" s="15"/>
      <c r="FQD12" s="15"/>
      <c r="FQE12" s="15"/>
      <c r="FQF12" s="15"/>
      <c r="FQG12" s="15"/>
      <c r="FQH12" s="15"/>
      <c r="FQI12" s="15"/>
      <c r="FQJ12" s="15"/>
      <c r="FQK12" s="15"/>
      <c r="FQL12" s="15"/>
      <c r="FQM12" s="15"/>
      <c r="FQN12" s="15"/>
      <c r="FQO12" s="15"/>
      <c r="FQP12" s="15"/>
      <c r="FQQ12" s="15"/>
      <c r="FQR12" s="15"/>
      <c r="FQS12" s="15"/>
      <c r="FQT12" s="15"/>
      <c r="FQU12" s="15"/>
      <c r="FQV12" s="15"/>
      <c r="FQW12" s="15"/>
      <c r="FQX12" s="15"/>
      <c r="FQY12" s="15"/>
      <c r="FQZ12" s="15"/>
      <c r="FRA12" s="15"/>
      <c r="FRB12" s="15"/>
      <c r="FRC12" s="15"/>
      <c r="FRD12" s="15"/>
      <c r="FRE12" s="15"/>
      <c r="FRF12" s="15"/>
      <c r="FRG12" s="15"/>
      <c r="FRH12" s="15"/>
      <c r="FRI12" s="15"/>
      <c r="FRJ12" s="15"/>
      <c r="FRK12" s="15"/>
      <c r="FRL12" s="15"/>
      <c r="FRM12" s="15"/>
      <c r="FRN12" s="15"/>
      <c r="FRO12" s="15"/>
      <c r="FRP12" s="15"/>
      <c r="FRQ12" s="15"/>
      <c r="FRR12" s="15"/>
      <c r="FRS12" s="15"/>
      <c r="FRT12" s="15"/>
      <c r="FRU12" s="15"/>
      <c r="FRV12" s="15"/>
      <c r="FRW12" s="15"/>
      <c r="FRX12" s="15"/>
      <c r="FRY12" s="15"/>
      <c r="FRZ12" s="15"/>
      <c r="FSA12" s="15"/>
      <c r="FSB12" s="15"/>
      <c r="FSC12" s="15"/>
      <c r="FSD12" s="15"/>
      <c r="FSE12" s="15"/>
      <c r="FSF12" s="15"/>
      <c r="FSG12" s="15"/>
      <c r="FSH12" s="15"/>
      <c r="FSI12" s="15"/>
      <c r="FSJ12" s="15"/>
      <c r="FSK12" s="15"/>
      <c r="FSL12" s="15"/>
      <c r="FSM12" s="15"/>
      <c r="FSN12" s="15"/>
      <c r="FSO12" s="15"/>
      <c r="FSP12" s="15"/>
      <c r="FSQ12" s="15"/>
      <c r="FSR12" s="15"/>
      <c r="FSS12" s="15"/>
      <c r="FST12" s="15"/>
      <c r="FSU12" s="15"/>
      <c r="FSV12" s="15"/>
      <c r="FSW12" s="15"/>
      <c r="FSX12" s="15"/>
      <c r="FSY12" s="15"/>
      <c r="FSZ12" s="15"/>
      <c r="FTA12" s="15"/>
      <c r="FTB12" s="15"/>
      <c r="FTC12" s="15"/>
      <c r="FTD12" s="15"/>
      <c r="FTE12" s="15"/>
      <c r="FTF12" s="15"/>
      <c r="FTG12" s="15"/>
      <c r="FTH12" s="15"/>
      <c r="FTI12" s="15"/>
      <c r="FTJ12" s="15"/>
      <c r="FTK12" s="15"/>
      <c r="FTL12" s="15"/>
      <c r="FTM12" s="15"/>
      <c r="FTN12" s="15"/>
      <c r="FTO12" s="15"/>
      <c r="FTP12" s="15"/>
      <c r="FTQ12" s="15"/>
      <c r="FTR12" s="15"/>
      <c r="FTS12" s="15"/>
      <c r="FTT12" s="15"/>
      <c r="FTU12" s="15"/>
      <c r="FTV12" s="15"/>
      <c r="FTW12" s="15"/>
      <c r="FTX12" s="15"/>
      <c r="FTY12" s="15"/>
      <c r="FTZ12" s="15"/>
      <c r="FUA12" s="15"/>
      <c r="FUB12" s="15"/>
      <c r="FUC12" s="15"/>
      <c r="FUD12" s="15"/>
      <c r="FUE12" s="15"/>
      <c r="FUF12" s="15"/>
      <c r="FUG12" s="15"/>
      <c r="FUH12" s="15"/>
      <c r="FUI12" s="15"/>
      <c r="FUJ12" s="15"/>
      <c r="FUK12" s="15"/>
      <c r="FUL12" s="15"/>
      <c r="FUM12" s="15"/>
      <c r="FUN12" s="15"/>
      <c r="FUO12" s="15"/>
      <c r="FUP12" s="15"/>
      <c r="FUQ12" s="15"/>
      <c r="FUR12" s="15"/>
      <c r="FUS12" s="15"/>
      <c r="FUT12" s="15"/>
      <c r="FUU12" s="15"/>
      <c r="FUV12" s="15"/>
      <c r="FUW12" s="15"/>
      <c r="FUX12" s="15"/>
      <c r="FUY12" s="15"/>
      <c r="FUZ12" s="15"/>
      <c r="FVA12" s="15"/>
      <c r="FVB12" s="15"/>
      <c r="FVC12" s="15"/>
      <c r="FVD12" s="15"/>
      <c r="FVE12" s="15"/>
      <c r="FVF12" s="15"/>
      <c r="FVG12" s="15"/>
      <c r="FVH12" s="15"/>
      <c r="FVI12" s="15"/>
      <c r="FVJ12" s="15"/>
      <c r="FVK12" s="15"/>
      <c r="FVL12" s="15"/>
      <c r="FVM12" s="15"/>
      <c r="FVN12" s="15"/>
      <c r="FVO12" s="15"/>
      <c r="FVP12" s="15"/>
      <c r="FVQ12" s="15"/>
      <c r="FVR12" s="15"/>
      <c r="FVS12" s="15"/>
      <c r="FVT12" s="15"/>
      <c r="FVU12" s="15"/>
      <c r="FVV12" s="15"/>
      <c r="FVW12" s="15"/>
      <c r="FVX12" s="15"/>
      <c r="FVY12" s="15"/>
      <c r="FVZ12" s="15"/>
      <c r="FWA12" s="15"/>
      <c r="FWB12" s="15"/>
      <c r="FWC12" s="15"/>
      <c r="FWD12" s="15"/>
      <c r="FWE12" s="15"/>
      <c r="FWF12" s="15"/>
      <c r="FWG12" s="15"/>
      <c r="FWH12" s="15"/>
      <c r="FWI12" s="15"/>
      <c r="FWJ12" s="15"/>
      <c r="FWK12" s="15"/>
      <c r="FWL12" s="15"/>
      <c r="FWM12" s="15"/>
      <c r="FWN12" s="15"/>
      <c r="FWO12" s="15"/>
      <c r="FWP12" s="15"/>
      <c r="FWQ12" s="15"/>
      <c r="FWR12" s="15"/>
      <c r="FWS12" s="15"/>
      <c r="FWT12" s="15"/>
      <c r="FWU12" s="15"/>
      <c r="FWV12" s="15"/>
      <c r="FWW12" s="15"/>
      <c r="FWX12" s="15"/>
      <c r="FWY12" s="15"/>
      <c r="FWZ12" s="15"/>
      <c r="FXA12" s="15"/>
      <c r="FXB12" s="15"/>
      <c r="FXC12" s="15"/>
      <c r="FXD12" s="15"/>
      <c r="FXE12" s="15"/>
      <c r="FXF12" s="15"/>
      <c r="FXG12" s="15"/>
      <c r="FXH12" s="15"/>
      <c r="FXI12" s="15"/>
      <c r="FXJ12" s="15"/>
      <c r="FXK12" s="15"/>
      <c r="FXL12" s="15"/>
      <c r="FXM12" s="15"/>
      <c r="FXN12" s="15"/>
      <c r="FXO12" s="15"/>
      <c r="FXP12" s="15"/>
      <c r="FXQ12" s="15"/>
      <c r="FXR12" s="15"/>
      <c r="FXS12" s="15"/>
      <c r="FXT12" s="15"/>
      <c r="FXU12" s="15"/>
      <c r="FXV12" s="15"/>
      <c r="FXW12" s="15"/>
      <c r="FXX12" s="15"/>
      <c r="FXY12" s="15"/>
      <c r="FXZ12" s="15"/>
      <c r="FYA12" s="15"/>
      <c r="FYB12" s="15"/>
      <c r="FYC12" s="15"/>
      <c r="FYD12" s="15"/>
      <c r="FYE12" s="15"/>
      <c r="FYF12" s="15"/>
      <c r="FYG12" s="15"/>
      <c r="FYH12" s="15"/>
      <c r="FYI12" s="15"/>
      <c r="FYJ12" s="15"/>
      <c r="FYK12" s="15"/>
      <c r="FYL12" s="15"/>
      <c r="FYM12" s="15"/>
      <c r="FYN12" s="15"/>
      <c r="FYO12" s="15"/>
      <c r="FYP12" s="15"/>
      <c r="FYQ12" s="15"/>
      <c r="FYR12" s="15"/>
      <c r="FYS12" s="15"/>
      <c r="FYT12" s="15"/>
      <c r="FYU12" s="15"/>
      <c r="FYV12" s="15"/>
      <c r="FYW12" s="15"/>
      <c r="FYX12" s="15"/>
      <c r="FYY12" s="15"/>
      <c r="FYZ12" s="15"/>
      <c r="FZA12" s="15"/>
      <c r="FZB12" s="15"/>
      <c r="FZC12" s="15"/>
      <c r="FZD12" s="15"/>
      <c r="FZE12" s="15"/>
      <c r="FZF12" s="15"/>
      <c r="FZG12" s="15"/>
      <c r="FZH12" s="15"/>
      <c r="FZI12" s="15"/>
      <c r="FZJ12" s="15"/>
      <c r="FZK12" s="15"/>
      <c r="FZL12" s="15"/>
      <c r="FZM12" s="15"/>
      <c r="FZN12" s="15"/>
      <c r="FZO12" s="15"/>
      <c r="FZP12" s="15"/>
      <c r="FZQ12" s="15"/>
      <c r="FZR12" s="15"/>
      <c r="FZS12" s="15"/>
      <c r="FZT12" s="15"/>
      <c r="FZU12" s="15"/>
      <c r="FZV12" s="15"/>
      <c r="FZW12" s="15"/>
      <c r="FZX12" s="15"/>
      <c r="FZY12" s="15"/>
      <c r="FZZ12" s="15"/>
      <c r="GAA12" s="15"/>
      <c r="GAB12" s="15"/>
      <c r="GAC12" s="15"/>
      <c r="GAD12" s="15"/>
      <c r="GAE12" s="15"/>
      <c r="GAF12" s="15"/>
      <c r="GAG12" s="15"/>
      <c r="GAH12" s="15"/>
      <c r="GAI12" s="15"/>
      <c r="GAJ12" s="15"/>
      <c r="GAK12" s="15"/>
      <c r="GAL12" s="15"/>
      <c r="GAM12" s="15"/>
      <c r="GAN12" s="15"/>
      <c r="GAO12" s="15"/>
      <c r="GAP12" s="15"/>
      <c r="GAQ12" s="15"/>
      <c r="GAR12" s="15"/>
      <c r="GAS12" s="15"/>
      <c r="GAT12" s="15"/>
      <c r="GAU12" s="15"/>
      <c r="GAV12" s="15"/>
      <c r="GAW12" s="15"/>
      <c r="GAX12" s="15"/>
      <c r="GAY12" s="15"/>
      <c r="GAZ12" s="15"/>
      <c r="GBA12" s="15"/>
      <c r="GBB12" s="15"/>
      <c r="GBC12" s="15"/>
      <c r="GBD12" s="15"/>
      <c r="GBE12" s="15"/>
      <c r="GBF12" s="15"/>
      <c r="GBG12" s="15"/>
      <c r="GBH12" s="15"/>
      <c r="GBI12" s="15"/>
      <c r="GBJ12" s="15"/>
      <c r="GBK12" s="15"/>
      <c r="GBL12" s="15"/>
      <c r="GBM12" s="15"/>
      <c r="GBN12" s="15"/>
      <c r="GBO12" s="15"/>
      <c r="GBP12" s="15"/>
      <c r="GBQ12" s="15"/>
      <c r="GBR12" s="15"/>
      <c r="GBS12" s="15"/>
      <c r="GBT12" s="15"/>
      <c r="GBU12" s="15"/>
      <c r="GBV12" s="15"/>
      <c r="GBW12" s="15"/>
      <c r="GBX12" s="15"/>
      <c r="GBY12" s="15"/>
      <c r="GBZ12" s="15"/>
      <c r="GCA12" s="15"/>
      <c r="GCB12" s="15"/>
      <c r="GCC12" s="15"/>
      <c r="GCD12" s="15"/>
      <c r="GCE12" s="15"/>
      <c r="GCF12" s="15"/>
      <c r="GCG12" s="15"/>
      <c r="GCH12" s="15"/>
      <c r="GCI12" s="15"/>
      <c r="GCJ12" s="15"/>
      <c r="GCK12" s="15"/>
      <c r="GCL12" s="15"/>
      <c r="GCM12" s="15"/>
      <c r="GCN12" s="15"/>
      <c r="GCO12" s="15"/>
      <c r="GCP12" s="15"/>
      <c r="GCQ12" s="15"/>
      <c r="GCR12" s="15"/>
      <c r="GCS12" s="15"/>
      <c r="GCT12" s="15"/>
      <c r="GCU12" s="15"/>
      <c r="GCV12" s="15"/>
      <c r="GCW12" s="15"/>
      <c r="GCX12" s="15"/>
      <c r="GCY12" s="15"/>
      <c r="GCZ12" s="15"/>
      <c r="GDA12" s="15"/>
      <c r="GDB12" s="15"/>
      <c r="GDC12" s="15"/>
      <c r="GDD12" s="15"/>
      <c r="GDE12" s="15"/>
      <c r="GDF12" s="15"/>
      <c r="GDG12" s="15"/>
      <c r="GDH12" s="15"/>
      <c r="GDI12" s="15"/>
      <c r="GDJ12" s="15"/>
      <c r="GDK12" s="15"/>
      <c r="GDL12" s="15"/>
      <c r="GDM12" s="15"/>
      <c r="GDN12" s="15"/>
      <c r="GDO12" s="15"/>
      <c r="GDP12" s="15"/>
      <c r="GDQ12" s="15"/>
      <c r="GDR12" s="15"/>
      <c r="GDS12" s="15"/>
      <c r="GDT12" s="15"/>
      <c r="GDU12" s="15"/>
      <c r="GDV12" s="15"/>
      <c r="GDW12" s="15"/>
      <c r="GDX12" s="15"/>
      <c r="GDY12" s="15"/>
      <c r="GDZ12" s="15"/>
      <c r="GEA12" s="15"/>
      <c r="GEB12" s="15"/>
      <c r="GEC12" s="15"/>
      <c r="GED12" s="15"/>
      <c r="GEE12" s="15"/>
      <c r="GEF12" s="15"/>
      <c r="GEG12" s="15"/>
      <c r="GEH12" s="15"/>
      <c r="GEI12" s="15"/>
      <c r="GEJ12" s="15"/>
      <c r="GEK12" s="15"/>
      <c r="GEL12" s="15"/>
      <c r="GEM12" s="15"/>
      <c r="GEN12" s="15"/>
      <c r="GEO12" s="15"/>
      <c r="GEP12" s="15"/>
      <c r="GEQ12" s="15"/>
      <c r="GER12" s="15"/>
      <c r="GES12" s="15"/>
      <c r="GET12" s="15"/>
      <c r="GEU12" s="15"/>
      <c r="GEV12" s="15"/>
      <c r="GEW12" s="15"/>
      <c r="GEX12" s="15"/>
      <c r="GEY12" s="15"/>
      <c r="GEZ12" s="15"/>
      <c r="GFA12" s="15"/>
      <c r="GFB12" s="15"/>
      <c r="GFC12" s="15"/>
      <c r="GFD12" s="15"/>
      <c r="GFE12" s="15"/>
      <c r="GFF12" s="15"/>
      <c r="GFG12" s="15"/>
      <c r="GFH12" s="15"/>
      <c r="GFI12" s="15"/>
      <c r="GFJ12" s="15"/>
      <c r="GFK12" s="15"/>
      <c r="GFL12" s="15"/>
      <c r="GFM12" s="15"/>
      <c r="GFN12" s="15"/>
      <c r="GFO12" s="15"/>
      <c r="GFP12" s="15"/>
      <c r="GFQ12" s="15"/>
      <c r="GFR12" s="15"/>
      <c r="GFS12" s="15"/>
      <c r="GFT12" s="15"/>
      <c r="GFU12" s="15"/>
      <c r="GFV12" s="15"/>
      <c r="GFW12" s="15"/>
      <c r="GFX12" s="15"/>
      <c r="GFY12" s="15"/>
      <c r="GFZ12" s="15"/>
      <c r="GGA12" s="15"/>
      <c r="GGB12" s="15"/>
      <c r="GGC12" s="15"/>
      <c r="GGD12" s="15"/>
      <c r="GGE12" s="15"/>
      <c r="GGF12" s="15"/>
      <c r="GGG12" s="15"/>
      <c r="GGH12" s="15"/>
      <c r="GGI12" s="15"/>
      <c r="GGJ12" s="15"/>
      <c r="GGK12" s="15"/>
      <c r="GGL12" s="15"/>
      <c r="GGM12" s="15"/>
      <c r="GGN12" s="15"/>
      <c r="GGO12" s="15"/>
      <c r="GGP12" s="15"/>
      <c r="GGQ12" s="15"/>
      <c r="GGR12" s="15"/>
      <c r="GGS12" s="15"/>
      <c r="GGT12" s="15"/>
      <c r="GGU12" s="15"/>
      <c r="GGV12" s="15"/>
      <c r="GGW12" s="15"/>
      <c r="GGX12" s="15"/>
      <c r="GGY12" s="15"/>
      <c r="GGZ12" s="15"/>
      <c r="GHA12" s="15"/>
      <c r="GHB12" s="15"/>
      <c r="GHC12" s="15"/>
      <c r="GHD12" s="15"/>
      <c r="GHE12" s="15"/>
      <c r="GHF12" s="15"/>
      <c r="GHG12" s="15"/>
      <c r="GHH12" s="15"/>
      <c r="GHI12" s="15"/>
      <c r="GHJ12" s="15"/>
      <c r="GHK12" s="15"/>
      <c r="GHL12" s="15"/>
      <c r="GHM12" s="15"/>
      <c r="GHN12" s="15"/>
      <c r="GHO12" s="15"/>
      <c r="GHP12" s="15"/>
      <c r="GHQ12" s="15"/>
      <c r="GHR12" s="15"/>
      <c r="GHS12" s="15"/>
      <c r="GHT12" s="15"/>
      <c r="GHU12" s="15"/>
      <c r="GHV12" s="15"/>
      <c r="GHW12" s="15"/>
      <c r="GHX12" s="15"/>
      <c r="GHY12" s="15"/>
      <c r="GHZ12" s="15"/>
      <c r="GIA12" s="15"/>
      <c r="GIB12" s="15"/>
      <c r="GIC12" s="15"/>
      <c r="GID12" s="15"/>
      <c r="GIE12" s="15"/>
      <c r="GIF12" s="15"/>
      <c r="GIG12" s="15"/>
      <c r="GIH12" s="15"/>
      <c r="GII12" s="15"/>
      <c r="GIJ12" s="15"/>
      <c r="GIK12" s="15"/>
      <c r="GIL12" s="15"/>
      <c r="GIM12" s="15"/>
      <c r="GIN12" s="15"/>
      <c r="GIO12" s="15"/>
      <c r="GIP12" s="15"/>
      <c r="GIQ12" s="15"/>
      <c r="GIR12" s="15"/>
      <c r="GIS12" s="15"/>
      <c r="GIT12" s="15"/>
      <c r="GIU12" s="15"/>
      <c r="GIV12" s="15"/>
      <c r="GIW12" s="15"/>
      <c r="GIX12" s="15"/>
      <c r="GIY12" s="15"/>
      <c r="GIZ12" s="15"/>
      <c r="GJA12" s="15"/>
      <c r="GJB12" s="15"/>
      <c r="GJC12" s="15"/>
      <c r="GJD12" s="15"/>
      <c r="GJE12" s="15"/>
      <c r="GJF12" s="15"/>
      <c r="GJG12" s="15"/>
      <c r="GJH12" s="15"/>
      <c r="GJI12" s="15"/>
      <c r="GJJ12" s="15"/>
      <c r="GJK12" s="15"/>
      <c r="GJL12" s="15"/>
      <c r="GJM12" s="15"/>
      <c r="GJN12" s="15"/>
      <c r="GJO12" s="15"/>
      <c r="GJP12" s="15"/>
      <c r="GJQ12" s="15"/>
      <c r="GJR12" s="15"/>
      <c r="GJS12" s="15"/>
      <c r="GJT12" s="15"/>
      <c r="GJU12" s="15"/>
      <c r="GJV12" s="15"/>
      <c r="GJW12" s="15"/>
      <c r="GJX12" s="15"/>
      <c r="GJY12" s="15"/>
      <c r="GJZ12" s="15"/>
      <c r="GKA12" s="15"/>
      <c r="GKB12" s="15"/>
      <c r="GKC12" s="15"/>
      <c r="GKD12" s="15"/>
      <c r="GKE12" s="15"/>
      <c r="GKF12" s="15"/>
      <c r="GKG12" s="15"/>
      <c r="GKH12" s="15"/>
      <c r="GKI12" s="15"/>
      <c r="GKJ12" s="15"/>
      <c r="GKK12" s="15"/>
      <c r="GKL12" s="15"/>
      <c r="GKM12" s="15"/>
      <c r="GKN12" s="15"/>
      <c r="GKO12" s="15"/>
      <c r="GKP12" s="15"/>
      <c r="GKQ12" s="15"/>
      <c r="GKR12" s="15"/>
      <c r="GKS12" s="15"/>
      <c r="GKT12" s="15"/>
      <c r="GKU12" s="15"/>
      <c r="GKV12" s="15"/>
      <c r="GKW12" s="15"/>
      <c r="GKX12" s="15"/>
      <c r="GKY12" s="15"/>
      <c r="GKZ12" s="15"/>
      <c r="GLA12" s="15"/>
      <c r="GLB12" s="15"/>
      <c r="GLC12" s="15"/>
      <c r="GLD12" s="15"/>
      <c r="GLE12" s="15"/>
      <c r="GLF12" s="15"/>
      <c r="GLG12" s="15"/>
      <c r="GLH12" s="15"/>
      <c r="GLI12" s="15"/>
      <c r="GLJ12" s="15"/>
      <c r="GLK12" s="15"/>
      <c r="GLL12" s="15"/>
      <c r="GLM12" s="15"/>
      <c r="GLN12" s="15"/>
      <c r="GLO12" s="15"/>
      <c r="GLP12" s="15"/>
      <c r="GLQ12" s="15"/>
      <c r="GLR12" s="15"/>
      <c r="GLS12" s="15"/>
      <c r="GLT12" s="15"/>
      <c r="GLU12" s="15"/>
      <c r="GLV12" s="15"/>
      <c r="GLW12" s="15"/>
      <c r="GLX12" s="15"/>
      <c r="GLY12" s="15"/>
      <c r="GLZ12" s="15"/>
      <c r="GMA12" s="15"/>
      <c r="GMB12" s="15"/>
      <c r="GMC12" s="15"/>
      <c r="GMD12" s="15"/>
      <c r="GME12" s="15"/>
      <c r="GMF12" s="15"/>
      <c r="GMG12" s="15"/>
      <c r="GMH12" s="15"/>
      <c r="GMI12" s="15"/>
      <c r="GMJ12" s="15"/>
      <c r="GMK12" s="15"/>
      <c r="GML12" s="15"/>
      <c r="GMM12" s="15"/>
      <c r="GMN12" s="15"/>
      <c r="GMO12" s="15"/>
      <c r="GMP12" s="15"/>
      <c r="GMQ12" s="15"/>
      <c r="GMR12" s="15"/>
      <c r="GMS12" s="15"/>
      <c r="GMT12" s="15"/>
      <c r="GMU12" s="15"/>
      <c r="GMV12" s="15"/>
      <c r="GMW12" s="15"/>
      <c r="GMX12" s="15"/>
      <c r="GMY12" s="15"/>
      <c r="GMZ12" s="15"/>
      <c r="GNA12" s="15"/>
      <c r="GNB12" s="15"/>
      <c r="GNC12" s="15"/>
      <c r="GND12" s="15"/>
      <c r="GNE12" s="15"/>
      <c r="GNF12" s="15"/>
      <c r="GNG12" s="15"/>
      <c r="GNH12" s="15"/>
      <c r="GNI12" s="15"/>
      <c r="GNJ12" s="15"/>
      <c r="GNK12" s="15"/>
      <c r="GNL12" s="15"/>
      <c r="GNM12" s="15"/>
      <c r="GNN12" s="15"/>
      <c r="GNO12" s="15"/>
      <c r="GNP12" s="15"/>
      <c r="GNQ12" s="15"/>
      <c r="GNR12" s="15"/>
      <c r="GNS12" s="15"/>
      <c r="GNT12" s="15"/>
      <c r="GNU12" s="15"/>
      <c r="GNV12" s="15"/>
      <c r="GNW12" s="15"/>
      <c r="GNX12" s="15"/>
      <c r="GNY12" s="15"/>
      <c r="GNZ12" s="15"/>
      <c r="GOA12" s="15"/>
      <c r="GOB12" s="15"/>
      <c r="GOC12" s="15"/>
      <c r="GOD12" s="15"/>
      <c r="GOE12" s="15"/>
      <c r="GOF12" s="15"/>
      <c r="GOG12" s="15"/>
      <c r="GOH12" s="15"/>
      <c r="GOI12" s="15"/>
      <c r="GOJ12" s="15"/>
      <c r="GOK12" s="15"/>
      <c r="GOL12" s="15"/>
      <c r="GOM12" s="15"/>
      <c r="GON12" s="15"/>
      <c r="GOO12" s="15"/>
      <c r="GOP12" s="15"/>
      <c r="GOQ12" s="15"/>
      <c r="GOR12" s="15"/>
      <c r="GOS12" s="15"/>
      <c r="GOT12" s="15"/>
      <c r="GOU12" s="15"/>
      <c r="GOV12" s="15"/>
      <c r="GOW12" s="15"/>
      <c r="GOX12" s="15"/>
      <c r="GOY12" s="15"/>
      <c r="GOZ12" s="15"/>
      <c r="GPA12" s="15"/>
      <c r="GPB12" s="15"/>
      <c r="GPC12" s="15"/>
      <c r="GPD12" s="15"/>
      <c r="GPE12" s="15"/>
      <c r="GPF12" s="15"/>
      <c r="GPG12" s="15"/>
      <c r="GPH12" s="15"/>
      <c r="GPI12" s="15"/>
      <c r="GPJ12" s="15"/>
      <c r="GPK12" s="15"/>
      <c r="GPL12" s="15"/>
      <c r="GPM12" s="15"/>
      <c r="GPN12" s="15"/>
      <c r="GPO12" s="15"/>
      <c r="GPP12" s="15"/>
      <c r="GPQ12" s="15"/>
      <c r="GPR12" s="15"/>
      <c r="GPS12" s="15"/>
      <c r="GPT12" s="15"/>
      <c r="GPU12" s="15"/>
      <c r="GPV12" s="15"/>
      <c r="GPW12" s="15"/>
      <c r="GPX12" s="15"/>
      <c r="GPY12" s="15"/>
      <c r="GPZ12" s="15"/>
      <c r="GQA12" s="15"/>
      <c r="GQB12" s="15"/>
      <c r="GQC12" s="15"/>
      <c r="GQD12" s="15"/>
      <c r="GQE12" s="15"/>
      <c r="GQF12" s="15"/>
      <c r="GQG12" s="15"/>
      <c r="GQH12" s="15"/>
      <c r="GQI12" s="15"/>
      <c r="GQJ12" s="15"/>
      <c r="GQK12" s="15"/>
      <c r="GQL12" s="15"/>
      <c r="GQM12" s="15"/>
      <c r="GQN12" s="15"/>
      <c r="GQO12" s="15"/>
      <c r="GQP12" s="15"/>
      <c r="GQQ12" s="15"/>
      <c r="GQR12" s="15"/>
      <c r="GQS12" s="15"/>
      <c r="GQT12" s="15"/>
      <c r="GQU12" s="15"/>
      <c r="GQV12" s="15"/>
      <c r="GQW12" s="15"/>
      <c r="GQX12" s="15"/>
      <c r="GQY12" s="15"/>
      <c r="GQZ12" s="15"/>
      <c r="GRA12" s="15"/>
      <c r="GRB12" s="15"/>
      <c r="GRC12" s="15"/>
      <c r="GRD12" s="15"/>
      <c r="GRE12" s="15"/>
      <c r="GRF12" s="15"/>
      <c r="GRG12" s="15"/>
      <c r="GRH12" s="15"/>
      <c r="GRI12" s="15"/>
      <c r="GRJ12" s="15"/>
      <c r="GRK12" s="15"/>
      <c r="GRL12" s="15"/>
      <c r="GRM12" s="15"/>
      <c r="GRN12" s="15"/>
      <c r="GRO12" s="15"/>
      <c r="GRP12" s="15"/>
      <c r="GRQ12" s="15"/>
      <c r="GRR12" s="15"/>
      <c r="GRS12" s="15"/>
      <c r="GRT12" s="15"/>
      <c r="GRU12" s="15"/>
      <c r="GRV12" s="15"/>
      <c r="GRW12" s="15"/>
      <c r="GRX12" s="15"/>
      <c r="GRY12" s="15"/>
      <c r="GRZ12" s="15"/>
      <c r="GSA12" s="15"/>
      <c r="GSB12" s="15"/>
      <c r="GSC12" s="15"/>
      <c r="GSD12" s="15"/>
      <c r="GSE12" s="15"/>
      <c r="GSF12" s="15"/>
      <c r="GSG12" s="15"/>
      <c r="GSH12" s="15"/>
      <c r="GSI12" s="15"/>
      <c r="GSJ12" s="15"/>
      <c r="GSK12" s="15"/>
      <c r="GSL12" s="15"/>
      <c r="GSM12" s="15"/>
      <c r="GSN12" s="15"/>
      <c r="GSO12" s="15"/>
      <c r="GSP12" s="15"/>
      <c r="GSQ12" s="15"/>
      <c r="GSR12" s="15"/>
      <c r="GSS12" s="15"/>
      <c r="GST12" s="15"/>
      <c r="GSU12" s="15"/>
      <c r="GSV12" s="15"/>
      <c r="GSW12" s="15"/>
      <c r="GSX12" s="15"/>
      <c r="GSY12" s="15"/>
      <c r="GSZ12" s="15"/>
      <c r="GTA12" s="15"/>
      <c r="GTB12" s="15"/>
      <c r="GTC12" s="15"/>
      <c r="GTD12" s="15"/>
      <c r="GTE12" s="15"/>
      <c r="GTF12" s="15"/>
      <c r="GTG12" s="15"/>
      <c r="GTH12" s="15"/>
      <c r="GTI12" s="15"/>
      <c r="GTJ12" s="15"/>
      <c r="GTK12" s="15"/>
      <c r="GTL12" s="15"/>
      <c r="GTM12" s="15"/>
      <c r="GTN12" s="15"/>
      <c r="GTO12" s="15"/>
      <c r="GTP12" s="15"/>
      <c r="GTQ12" s="15"/>
      <c r="GTR12" s="15"/>
      <c r="GTS12" s="15"/>
      <c r="GTT12" s="15"/>
      <c r="GTU12" s="15"/>
      <c r="GTV12" s="15"/>
      <c r="GTW12" s="15"/>
      <c r="GTX12" s="15"/>
      <c r="GTY12" s="15"/>
      <c r="GTZ12" s="15"/>
      <c r="GUA12" s="15"/>
      <c r="GUB12" s="15"/>
      <c r="GUC12" s="15"/>
      <c r="GUD12" s="15"/>
      <c r="GUE12" s="15"/>
      <c r="GUF12" s="15"/>
      <c r="GUG12" s="15"/>
      <c r="GUH12" s="15"/>
      <c r="GUI12" s="15"/>
      <c r="GUJ12" s="15"/>
      <c r="GUK12" s="15"/>
      <c r="GUL12" s="15"/>
      <c r="GUM12" s="15"/>
      <c r="GUN12" s="15"/>
      <c r="GUO12" s="15"/>
      <c r="GUP12" s="15"/>
      <c r="GUQ12" s="15"/>
      <c r="GUR12" s="15"/>
      <c r="GUS12" s="15"/>
      <c r="GUT12" s="15"/>
      <c r="GUU12" s="15"/>
      <c r="GUV12" s="15"/>
      <c r="GUW12" s="15"/>
      <c r="GUX12" s="15"/>
      <c r="GUY12" s="15"/>
      <c r="GUZ12" s="15"/>
      <c r="GVA12" s="15"/>
      <c r="GVB12" s="15"/>
      <c r="GVC12" s="15"/>
      <c r="GVD12" s="15"/>
      <c r="GVE12" s="15"/>
      <c r="GVF12" s="15"/>
      <c r="GVG12" s="15"/>
      <c r="GVH12" s="15"/>
      <c r="GVI12" s="15"/>
      <c r="GVJ12" s="15"/>
      <c r="GVK12" s="15"/>
      <c r="GVL12" s="15"/>
      <c r="GVM12" s="15"/>
      <c r="GVN12" s="15"/>
      <c r="GVO12" s="15"/>
      <c r="GVP12" s="15"/>
      <c r="GVQ12" s="15"/>
      <c r="GVR12" s="15"/>
      <c r="GVS12" s="15"/>
      <c r="GVT12" s="15"/>
      <c r="GVU12" s="15"/>
      <c r="GVV12" s="15"/>
      <c r="GVW12" s="15"/>
      <c r="GVX12" s="15"/>
      <c r="GVY12" s="15"/>
      <c r="GVZ12" s="15"/>
      <c r="GWA12" s="15"/>
      <c r="GWB12" s="15"/>
      <c r="GWC12" s="15"/>
      <c r="GWD12" s="15"/>
      <c r="GWE12" s="15"/>
      <c r="GWF12" s="15"/>
      <c r="GWG12" s="15"/>
      <c r="GWH12" s="15"/>
      <c r="GWI12" s="15"/>
      <c r="GWJ12" s="15"/>
      <c r="GWK12" s="15"/>
      <c r="GWL12" s="15"/>
      <c r="GWM12" s="15"/>
      <c r="GWN12" s="15"/>
      <c r="GWO12" s="15"/>
      <c r="GWP12" s="15"/>
      <c r="GWQ12" s="15"/>
      <c r="GWR12" s="15"/>
      <c r="GWS12" s="15"/>
      <c r="GWT12" s="15"/>
      <c r="GWU12" s="15"/>
      <c r="GWV12" s="15"/>
      <c r="GWW12" s="15"/>
      <c r="GWX12" s="15"/>
      <c r="GWY12" s="15"/>
      <c r="GWZ12" s="15"/>
      <c r="GXA12" s="15"/>
      <c r="GXB12" s="15"/>
      <c r="GXC12" s="15"/>
      <c r="GXD12" s="15"/>
      <c r="GXE12" s="15"/>
      <c r="GXF12" s="15"/>
      <c r="GXG12" s="15"/>
      <c r="GXH12" s="15"/>
      <c r="GXI12" s="15"/>
      <c r="GXJ12" s="15"/>
      <c r="GXK12" s="15"/>
      <c r="GXL12" s="15"/>
      <c r="GXM12" s="15"/>
      <c r="GXN12" s="15"/>
      <c r="GXO12" s="15"/>
      <c r="GXP12" s="15"/>
      <c r="GXQ12" s="15"/>
      <c r="GXR12" s="15"/>
      <c r="GXS12" s="15"/>
      <c r="GXT12" s="15"/>
      <c r="GXU12" s="15"/>
      <c r="GXV12" s="15"/>
      <c r="GXW12" s="15"/>
      <c r="GXX12" s="15"/>
      <c r="GXY12" s="15"/>
      <c r="GXZ12" s="15"/>
      <c r="GYA12" s="15"/>
      <c r="GYB12" s="15"/>
      <c r="GYC12" s="15"/>
      <c r="GYD12" s="15"/>
      <c r="GYE12" s="15"/>
      <c r="GYF12" s="15"/>
      <c r="GYG12" s="15"/>
      <c r="GYH12" s="15"/>
      <c r="GYI12" s="15"/>
      <c r="GYJ12" s="15"/>
      <c r="GYK12" s="15"/>
      <c r="GYL12" s="15"/>
      <c r="GYM12" s="15"/>
      <c r="GYN12" s="15"/>
      <c r="GYO12" s="15"/>
      <c r="GYP12" s="15"/>
      <c r="GYQ12" s="15"/>
      <c r="GYR12" s="15"/>
      <c r="GYS12" s="15"/>
      <c r="GYT12" s="15"/>
      <c r="GYU12" s="15"/>
      <c r="GYV12" s="15"/>
      <c r="GYW12" s="15"/>
      <c r="GYX12" s="15"/>
      <c r="GYY12" s="15"/>
      <c r="GYZ12" s="15"/>
      <c r="GZA12" s="15"/>
      <c r="GZB12" s="15"/>
      <c r="GZC12" s="15"/>
      <c r="GZD12" s="15"/>
      <c r="GZE12" s="15"/>
      <c r="GZF12" s="15"/>
      <c r="GZG12" s="15"/>
      <c r="GZH12" s="15"/>
      <c r="GZI12" s="15"/>
      <c r="GZJ12" s="15"/>
      <c r="GZK12" s="15"/>
      <c r="GZL12" s="15"/>
      <c r="GZM12" s="15"/>
      <c r="GZN12" s="15"/>
      <c r="GZO12" s="15"/>
      <c r="GZP12" s="15"/>
      <c r="GZQ12" s="15"/>
      <c r="GZR12" s="15"/>
      <c r="GZS12" s="15"/>
      <c r="GZT12" s="15"/>
      <c r="GZU12" s="15"/>
      <c r="GZV12" s="15"/>
      <c r="GZW12" s="15"/>
      <c r="GZX12" s="15"/>
      <c r="GZY12" s="15"/>
      <c r="GZZ12" s="15"/>
      <c r="HAA12" s="15"/>
      <c r="HAB12" s="15"/>
      <c r="HAC12" s="15"/>
      <c r="HAD12" s="15"/>
      <c r="HAE12" s="15"/>
      <c r="HAF12" s="15"/>
      <c r="HAG12" s="15"/>
      <c r="HAH12" s="15"/>
      <c r="HAI12" s="15"/>
      <c r="HAJ12" s="15"/>
      <c r="HAK12" s="15"/>
      <c r="HAL12" s="15"/>
      <c r="HAM12" s="15"/>
      <c r="HAN12" s="15"/>
      <c r="HAO12" s="15"/>
      <c r="HAP12" s="15"/>
      <c r="HAQ12" s="15"/>
      <c r="HAR12" s="15"/>
      <c r="HAS12" s="15"/>
      <c r="HAT12" s="15"/>
      <c r="HAU12" s="15"/>
      <c r="HAV12" s="15"/>
      <c r="HAW12" s="15"/>
      <c r="HAX12" s="15"/>
      <c r="HAY12" s="15"/>
      <c r="HAZ12" s="15"/>
      <c r="HBA12" s="15"/>
      <c r="HBB12" s="15"/>
      <c r="HBC12" s="15"/>
      <c r="HBD12" s="15"/>
      <c r="HBE12" s="15"/>
      <c r="HBF12" s="15"/>
      <c r="HBG12" s="15"/>
      <c r="HBH12" s="15"/>
      <c r="HBI12" s="15"/>
      <c r="HBJ12" s="15"/>
      <c r="HBK12" s="15"/>
      <c r="HBL12" s="15"/>
      <c r="HBM12" s="15"/>
      <c r="HBN12" s="15"/>
      <c r="HBO12" s="15"/>
      <c r="HBP12" s="15"/>
      <c r="HBQ12" s="15"/>
      <c r="HBR12" s="15"/>
      <c r="HBS12" s="15"/>
      <c r="HBT12" s="15"/>
      <c r="HBU12" s="15"/>
      <c r="HBV12" s="15"/>
      <c r="HBW12" s="15"/>
      <c r="HBX12" s="15"/>
      <c r="HBY12" s="15"/>
      <c r="HBZ12" s="15"/>
      <c r="HCA12" s="15"/>
      <c r="HCB12" s="15"/>
      <c r="HCC12" s="15"/>
      <c r="HCD12" s="15"/>
      <c r="HCE12" s="15"/>
      <c r="HCF12" s="15"/>
      <c r="HCG12" s="15"/>
      <c r="HCH12" s="15"/>
      <c r="HCI12" s="15"/>
      <c r="HCJ12" s="15"/>
      <c r="HCK12" s="15"/>
      <c r="HCL12" s="15"/>
      <c r="HCM12" s="15"/>
      <c r="HCN12" s="15"/>
      <c r="HCO12" s="15"/>
      <c r="HCP12" s="15"/>
      <c r="HCQ12" s="15"/>
      <c r="HCR12" s="15"/>
      <c r="HCS12" s="15"/>
      <c r="HCT12" s="15"/>
      <c r="HCU12" s="15"/>
      <c r="HCV12" s="15"/>
      <c r="HCW12" s="15"/>
      <c r="HCX12" s="15"/>
      <c r="HCY12" s="15"/>
      <c r="HCZ12" s="15"/>
      <c r="HDA12" s="15"/>
      <c r="HDB12" s="15"/>
      <c r="HDC12" s="15"/>
      <c r="HDD12" s="15"/>
      <c r="HDE12" s="15"/>
      <c r="HDF12" s="15"/>
      <c r="HDG12" s="15"/>
      <c r="HDH12" s="15"/>
      <c r="HDI12" s="15"/>
      <c r="HDJ12" s="15"/>
      <c r="HDK12" s="15"/>
      <c r="HDL12" s="15"/>
      <c r="HDM12" s="15"/>
      <c r="HDN12" s="15"/>
      <c r="HDO12" s="15"/>
      <c r="HDP12" s="15"/>
      <c r="HDQ12" s="15"/>
      <c r="HDR12" s="15"/>
      <c r="HDS12" s="15"/>
      <c r="HDT12" s="15"/>
      <c r="HDU12" s="15"/>
      <c r="HDV12" s="15"/>
      <c r="HDW12" s="15"/>
      <c r="HDX12" s="15"/>
      <c r="HDY12" s="15"/>
      <c r="HDZ12" s="15"/>
      <c r="HEA12" s="15"/>
      <c r="HEB12" s="15"/>
      <c r="HEC12" s="15"/>
      <c r="HED12" s="15"/>
      <c r="HEE12" s="15"/>
      <c r="HEF12" s="15"/>
      <c r="HEG12" s="15"/>
      <c r="HEH12" s="15"/>
      <c r="HEI12" s="15"/>
      <c r="HEJ12" s="15"/>
      <c r="HEK12" s="15"/>
      <c r="HEL12" s="15"/>
      <c r="HEM12" s="15"/>
      <c r="HEN12" s="15"/>
      <c r="HEO12" s="15"/>
      <c r="HEP12" s="15"/>
      <c r="HEQ12" s="15"/>
      <c r="HER12" s="15"/>
      <c r="HES12" s="15"/>
      <c r="HET12" s="15"/>
      <c r="HEU12" s="15"/>
      <c r="HEV12" s="15"/>
      <c r="HEW12" s="15"/>
      <c r="HEX12" s="15"/>
      <c r="HEY12" s="15"/>
      <c r="HEZ12" s="15"/>
      <c r="HFA12" s="15"/>
      <c r="HFB12" s="15"/>
      <c r="HFC12" s="15"/>
      <c r="HFD12" s="15"/>
      <c r="HFE12" s="15"/>
      <c r="HFF12" s="15"/>
      <c r="HFG12" s="15"/>
      <c r="HFH12" s="15"/>
      <c r="HFI12" s="15"/>
      <c r="HFJ12" s="15"/>
      <c r="HFK12" s="15"/>
      <c r="HFL12" s="15"/>
      <c r="HFM12" s="15"/>
      <c r="HFN12" s="15"/>
      <c r="HFO12" s="15"/>
      <c r="HFP12" s="15"/>
      <c r="HFQ12" s="15"/>
      <c r="HFR12" s="15"/>
      <c r="HFS12" s="15"/>
      <c r="HFT12" s="15"/>
      <c r="HFU12" s="15"/>
      <c r="HFV12" s="15"/>
      <c r="HFW12" s="15"/>
      <c r="HFX12" s="15"/>
      <c r="HFY12" s="15"/>
      <c r="HFZ12" s="15"/>
      <c r="HGA12" s="15"/>
      <c r="HGB12" s="15"/>
      <c r="HGC12" s="15"/>
      <c r="HGD12" s="15"/>
      <c r="HGE12" s="15"/>
      <c r="HGF12" s="15"/>
      <c r="HGG12" s="15"/>
      <c r="HGH12" s="15"/>
      <c r="HGI12" s="15"/>
      <c r="HGJ12" s="15"/>
      <c r="HGK12" s="15"/>
      <c r="HGL12" s="15"/>
      <c r="HGM12" s="15"/>
      <c r="HGN12" s="15"/>
      <c r="HGO12" s="15"/>
      <c r="HGP12" s="15"/>
      <c r="HGQ12" s="15"/>
      <c r="HGR12" s="15"/>
      <c r="HGS12" s="15"/>
      <c r="HGT12" s="15"/>
      <c r="HGU12" s="15"/>
      <c r="HGV12" s="15"/>
      <c r="HGW12" s="15"/>
      <c r="HGX12" s="15"/>
      <c r="HGY12" s="15"/>
      <c r="HGZ12" s="15"/>
      <c r="HHA12" s="15"/>
      <c r="HHB12" s="15"/>
      <c r="HHC12" s="15"/>
      <c r="HHD12" s="15"/>
      <c r="HHE12" s="15"/>
      <c r="HHF12" s="15"/>
      <c r="HHG12" s="15"/>
      <c r="HHH12" s="15"/>
      <c r="HHI12" s="15"/>
      <c r="HHJ12" s="15"/>
      <c r="HHK12" s="15"/>
      <c r="HHL12" s="15"/>
      <c r="HHM12" s="15"/>
      <c r="HHN12" s="15"/>
      <c r="HHO12" s="15"/>
      <c r="HHP12" s="15"/>
      <c r="HHQ12" s="15"/>
      <c r="HHR12" s="15"/>
      <c r="HHS12" s="15"/>
      <c r="HHT12" s="15"/>
      <c r="HHU12" s="15"/>
      <c r="HHV12" s="15"/>
      <c r="HHW12" s="15"/>
      <c r="HHX12" s="15"/>
      <c r="HHY12" s="15"/>
      <c r="HHZ12" s="15"/>
      <c r="HIA12" s="15"/>
      <c r="HIB12" s="15"/>
      <c r="HIC12" s="15"/>
      <c r="HID12" s="15"/>
      <c r="HIE12" s="15"/>
      <c r="HIF12" s="15"/>
      <c r="HIG12" s="15"/>
      <c r="HIH12" s="15"/>
      <c r="HII12" s="15"/>
      <c r="HIJ12" s="15"/>
      <c r="HIK12" s="15"/>
      <c r="HIL12" s="15"/>
      <c r="HIM12" s="15"/>
      <c r="HIN12" s="15"/>
      <c r="HIO12" s="15"/>
      <c r="HIP12" s="15"/>
      <c r="HIQ12" s="15"/>
      <c r="HIR12" s="15"/>
      <c r="HIS12" s="15"/>
      <c r="HIT12" s="15"/>
      <c r="HIU12" s="15"/>
      <c r="HIV12" s="15"/>
      <c r="HIW12" s="15"/>
      <c r="HIX12" s="15"/>
      <c r="HIY12" s="15"/>
      <c r="HIZ12" s="15"/>
      <c r="HJA12" s="15"/>
      <c r="HJB12" s="15"/>
      <c r="HJC12" s="15"/>
      <c r="HJD12" s="15"/>
      <c r="HJE12" s="15"/>
      <c r="HJF12" s="15"/>
      <c r="HJG12" s="15"/>
      <c r="HJH12" s="15"/>
      <c r="HJI12" s="15"/>
      <c r="HJJ12" s="15"/>
      <c r="HJK12" s="15"/>
      <c r="HJL12" s="15"/>
      <c r="HJM12" s="15"/>
      <c r="HJN12" s="15"/>
      <c r="HJO12" s="15"/>
      <c r="HJP12" s="15"/>
      <c r="HJQ12" s="15"/>
      <c r="HJR12" s="15"/>
      <c r="HJS12" s="15"/>
      <c r="HJT12" s="15"/>
      <c r="HJU12" s="15"/>
      <c r="HJV12" s="15"/>
      <c r="HJW12" s="15"/>
      <c r="HJX12" s="15"/>
      <c r="HJY12" s="15"/>
      <c r="HJZ12" s="15"/>
      <c r="HKA12" s="15"/>
      <c r="HKB12" s="15"/>
      <c r="HKC12" s="15"/>
      <c r="HKD12" s="15"/>
      <c r="HKE12" s="15"/>
      <c r="HKF12" s="15"/>
      <c r="HKG12" s="15"/>
      <c r="HKH12" s="15"/>
      <c r="HKI12" s="15"/>
      <c r="HKJ12" s="15"/>
      <c r="HKK12" s="15"/>
      <c r="HKL12" s="15"/>
      <c r="HKM12" s="15"/>
      <c r="HKN12" s="15"/>
      <c r="HKO12" s="15"/>
      <c r="HKP12" s="15"/>
      <c r="HKQ12" s="15"/>
      <c r="HKR12" s="15"/>
      <c r="HKS12" s="15"/>
      <c r="HKT12" s="15"/>
      <c r="HKU12" s="15"/>
      <c r="HKV12" s="15"/>
      <c r="HKW12" s="15"/>
      <c r="HKX12" s="15"/>
      <c r="HKY12" s="15"/>
      <c r="HKZ12" s="15"/>
      <c r="HLA12" s="15"/>
      <c r="HLB12" s="15"/>
      <c r="HLC12" s="15"/>
      <c r="HLD12" s="15"/>
      <c r="HLE12" s="15"/>
      <c r="HLF12" s="15"/>
      <c r="HLG12" s="15"/>
      <c r="HLH12" s="15"/>
      <c r="HLI12" s="15"/>
      <c r="HLJ12" s="15"/>
      <c r="HLK12" s="15"/>
      <c r="HLL12" s="15"/>
      <c r="HLM12" s="15"/>
      <c r="HLN12" s="15"/>
      <c r="HLO12" s="15"/>
      <c r="HLP12" s="15"/>
      <c r="HLQ12" s="15"/>
      <c r="HLR12" s="15"/>
      <c r="HLS12" s="15"/>
      <c r="HLT12" s="15"/>
      <c r="HLU12" s="15"/>
      <c r="HLV12" s="15"/>
      <c r="HLW12" s="15"/>
      <c r="HLX12" s="15"/>
      <c r="HLY12" s="15"/>
      <c r="HLZ12" s="15"/>
      <c r="HMA12" s="15"/>
      <c r="HMB12" s="15"/>
      <c r="HMC12" s="15"/>
      <c r="HMD12" s="15"/>
      <c r="HME12" s="15"/>
      <c r="HMF12" s="15"/>
      <c r="HMG12" s="15"/>
      <c r="HMH12" s="15"/>
      <c r="HMI12" s="15"/>
      <c r="HMJ12" s="15"/>
      <c r="HMK12" s="15"/>
      <c r="HML12" s="15"/>
      <c r="HMM12" s="15"/>
      <c r="HMN12" s="15"/>
      <c r="HMO12" s="15"/>
      <c r="HMP12" s="15"/>
      <c r="HMQ12" s="15"/>
      <c r="HMR12" s="15"/>
      <c r="HMS12" s="15"/>
      <c r="HMT12" s="15"/>
      <c r="HMU12" s="15"/>
      <c r="HMV12" s="15"/>
      <c r="HMW12" s="15"/>
      <c r="HMX12" s="15"/>
      <c r="HMY12" s="15"/>
      <c r="HMZ12" s="15"/>
      <c r="HNA12" s="15"/>
      <c r="HNB12" s="15"/>
      <c r="HNC12" s="15"/>
      <c r="HND12" s="15"/>
      <c r="HNE12" s="15"/>
      <c r="HNF12" s="15"/>
      <c r="HNG12" s="15"/>
      <c r="HNH12" s="15"/>
      <c r="HNI12" s="15"/>
      <c r="HNJ12" s="15"/>
      <c r="HNK12" s="15"/>
      <c r="HNL12" s="15"/>
      <c r="HNM12" s="15"/>
      <c r="HNN12" s="15"/>
      <c r="HNO12" s="15"/>
      <c r="HNP12" s="15"/>
      <c r="HNQ12" s="15"/>
      <c r="HNR12" s="15"/>
      <c r="HNS12" s="15"/>
      <c r="HNT12" s="15"/>
      <c r="HNU12" s="15"/>
      <c r="HNV12" s="15"/>
      <c r="HNW12" s="15"/>
      <c r="HNX12" s="15"/>
      <c r="HNY12" s="15"/>
      <c r="HNZ12" s="15"/>
      <c r="HOA12" s="15"/>
      <c r="HOB12" s="15"/>
      <c r="HOC12" s="15"/>
      <c r="HOD12" s="15"/>
      <c r="HOE12" s="15"/>
      <c r="HOF12" s="15"/>
      <c r="HOG12" s="15"/>
      <c r="HOH12" s="15"/>
      <c r="HOI12" s="15"/>
      <c r="HOJ12" s="15"/>
      <c r="HOK12" s="15"/>
      <c r="HOL12" s="15"/>
      <c r="HOM12" s="15"/>
      <c r="HON12" s="15"/>
      <c r="HOO12" s="15"/>
      <c r="HOP12" s="15"/>
      <c r="HOQ12" s="15"/>
      <c r="HOR12" s="15"/>
      <c r="HOS12" s="15"/>
      <c r="HOT12" s="15"/>
      <c r="HOU12" s="15"/>
      <c r="HOV12" s="15"/>
      <c r="HOW12" s="15"/>
      <c r="HOX12" s="15"/>
      <c r="HOY12" s="15"/>
      <c r="HOZ12" s="15"/>
      <c r="HPA12" s="15"/>
      <c r="HPB12" s="15"/>
      <c r="HPC12" s="15"/>
      <c r="HPD12" s="15"/>
      <c r="HPE12" s="15"/>
      <c r="HPF12" s="15"/>
      <c r="HPG12" s="15"/>
      <c r="HPH12" s="15"/>
      <c r="HPI12" s="15"/>
      <c r="HPJ12" s="15"/>
      <c r="HPK12" s="15"/>
      <c r="HPL12" s="15"/>
      <c r="HPM12" s="15"/>
      <c r="HPN12" s="15"/>
      <c r="HPO12" s="15"/>
      <c r="HPP12" s="15"/>
      <c r="HPQ12" s="15"/>
      <c r="HPR12" s="15"/>
      <c r="HPS12" s="15"/>
      <c r="HPT12" s="15"/>
      <c r="HPU12" s="15"/>
      <c r="HPV12" s="15"/>
      <c r="HPW12" s="15"/>
      <c r="HPX12" s="15"/>
      <c r="HPY12" s="15"/>
      <c r="HPZ12" s="15"/>
      <c r="HQA12" s="15"/>
      <c r="HQB12" s="15"/>
      <c r="HQC12" s="15"/>
      <c r="HQD12" s="15"/>
      <c r="HQE12" s="15"/>
      <c r="HQF12" s="15"/>
      <c r="HQG12" s="15"/>
      <c r="HQH12" s="15"/>
      <c r="HQI12" s="15"/>
      <c r="HQJ12" s="15"/>
      <c r="HQK12" s="15"/>
      <c r="HQL12" s="15"/>
      <c r="HQM12" s="15"/>
      <c r="HQN12" s="15"/>
      <c r="HQO12" s="15"/>
      <c r="HQP12" s="15"/>
      <c r="HQQ12" s="15"/>
      <c r="HQR12" s="15"/>
      <c r="HQS12" s="15"/>
      <c r="HQT12" s="15"/>
      <c r="HQU12" s="15"/>
      <c r="HQV12" s="15"/>
      <c r="HQW12" s="15"/>
      <c r="HQX12" s="15"/>
      <c r="HQY12" s="15"/>
      <c r="HQZ12" s="15"/>
      <c r="HRA12" s="15"/>
      <c r="HRB12" s="15"/>
      <c r="HRC12" s="15"/>
      <c r="HRD12" s="15"/>
      <c r="HRE12" s="15"/>
      <c r="HRF12" s="15"/>
      <c r="HRG12" s="15"/>
      <c r="HRH12" s="15"/>
      <c r="HRI12" s="15"/>
      <c r="HRJ12" s="15"/>
      <c r="HRK12" s="15"/>
      <c r="HRL12" s="15"/>
      <c r="HRM12" s="15"/>
      <c r="HRN12" s="15"/>
      <c r="HRO12" s="15"/>
      <c r="HRP12" s="15"/>
      <c r="HRQ12" s="15"/>
      <c r="HRR12" s="15"/>
      <c r="HRS12" s="15"/>
      <c r="HRT12" s="15"/>
      <c r="HRU12" s="15"/>
      <c r="HRV12" s="15"/>
      <c r="HRW12" s="15"/>
      <c r="HRX12" s="15"/>
      <c r="HRY12" s="15"/>
      <c r="HRZ12" s="15"/>
      <c r="HSA12" s="15"/>
      <c r="HSB12" s="15"/>
      <c r="HSC12" s="15"/>
      <c r="HSD12" s="15"/>
      <c r="HSE12" s="15"/>
      <c r="HSF12" s="15"/>
      <c r="HSG12" s="15"/>
      <c r="HSH12" s="15"/>
      <c r="HSI12" s="15"/>
      <c r="HSJ12" s="15"/>
      <c r="HSK12" s="15"/>
      <c r="HSL12" s="15"/>
      <c r="HSM12" s="15"/>
      <c r="HSN12" s="15"/>
      <c r="HSO12" s="15"/>
      <c r="HSP12" s="15"/>
      <c r="HSQ12" s="15"/>
      <c r="HSR12" s="15"/>
      <c r="HSS12" s="15"/>
      <c r="HST12" s="15"/>
      <c r="HSU12" s="15"/>
      <c r="HSV12" s="15"/>
      <c r="HSW12" s="15"/>
      <c r="HSX12" s="15"/>
      <c r="HSY12" s="15"/>
      <c r="HSZ12" s="15"/>
      <c r="HTA12" s="15"/>
      <c r="HTB12" s="15"/>
      <c r="HTC12" s="15"/>
      <c r="HTD12" s="15"/>
      <c r="HTE12" s="15"/>
      <c r="HTF12" s="15"/>
      <c r="HTG12" s="15"/>
      <c r="HTH12" s="15"/>
      <c r="HTI12" s="15"/>
      <c r="HTJ12" s="15"/>
      <c r="HTK12" s="15"/>
      <c r="HTL12" s="15"/>
      <c r="HTM12" s="15"/>
      <c r="HTN12" s="15"/>
      <c r="HTO12" s="15"/>
      <c r="HTP12" s="15"/>
      <c r="HTQ12" s="15"/>
      <c r="HTR12" s="15"/>
      <c r="HTS12" s="15"/>
      <c r="HTT12" s="15"/>
      <c r="HTU12" s="15"/>
      <c r="HTV12" s="15"/>
      <c r="HTW12" s="15"/>
      <c r="HTX12" s="15"/>
      <c r="HTY12" s="15"/>
      <c r="HTZ12" s="15"/>
      <c r="HUA12" s="15"/>
      <c r="HUB12" s="15"/>
      <c r="HUC12" s="15"/>
      <c r="HUD12" s="15"/>
      <c r="HUE12" s="15"/>
      <c r="HUF12" s="15"/>
      <c r="HUG12" s="15"/>
      <c r="HUH12" s="15"/>
      <c r="HUI12" s="15"/>
      <c r="HUJ12" s="15"/>
      <c r="HUK12" s="15"/>
      <c r="HUL12" s="15"/>
      <c r="HUM12" s="15"/>
      <c r="HUN12" s="15"/>
      <c r="HUO12" s="15"/>
      <c r="HUP12" s="15"/>
      <c r="HUQ12" s="15"/>
      <c r="HUR12" s="15"/>
      <c r="HUS12" s="15"/>
      <c r="HUT12" s="15"/>
      <c r="HUU12" s="15"/>
      <c r="HUV12" s="15"/>
      <c r="HUW12" s="15"/>
      <c r="HUX12" s="15"/>
      <c r="HUY12" s="15"/>
      <c r="HUZ12" s="15"/>
      <c r="HVA12" s="15"/>
      <c r="HVB12" s="15"/>
      <c r="HVC12" s="15"/>
      <c r="HVD12" s="15"/>
      <c r="HVE12" s="15"/>
      <c r="HVF12" s="15"/>
      <c r="HVG12" s="15"/>
      <c r="HVH12" s="15"/>
      <c r="HVI12" s="15"/>
      <c r="HVJ12" s="15"/>
      <c r="HVK12" s="15"/>
      <c r="HVL12" s="15"/>
      <c r="HVM12" s="15"/>
      <c r="HVN12" s="15"/>
      <c r="HVO12" s="15"/>
      <c r="HVP12" s="15"/>
      <c r="HVQ12" s="15"/>
      <c r="HVR12" s="15"/>
      <c r="HVS12" s="15"/>
      <c r="HVT12" s="15"/>
      <c r="HVU12" s="15"/>
      <c r="HVV12" s="15"/>
      <c r="HVW12" s="15"/>
      <c r="HVX12" s="15"/>
      <c r="HVY12" s="15"/>
      <c r="HVZ12" s="15"/>
      <c r="HWA12" s="15"/>
      <c r="HWB12" s="15"/>
      <c r="HWC12" s="15"/>
      <c r="HWD12" s="15"/>
      <c r="HWE12" s="15"/>
      <c r="HWF12" s="15"/>
      <c r="HWG12" s="15"/>
      <c r="HWH12" s="15"/>
      <c r="HWI12" s="15"/>
      <c r="HWJ12" s="15"/>
      <c r="HWK12" s="15"/>
      <c r="HWL12" s="15"/>
      <c r="HWM12" s="15"/>
      <c r="HWN12" s="15"/>
      <c r="HWO12" s="15"/>
      <c r="HWP12" s="15"/>
      <c r="HWQ12" s="15"/>
      <c r="HWR12" s="15"/>
      <c r="HWS12" s="15"/>
      <c r="HWT12" s="15"/>
      <c r="HWU12" s="15"/>
      <c r="HWV12" s="15"/>
      <c r="HWW12" s="15"/>
      <c r="HWX12" s="15"/>
      <c r="HWY12" s="15"/>
      <c r="HWZ12" s="15"/>
      <c r="HXA12" s="15"/>
      <c r="HXB12" s="15"/>
      <c r="HXC12" s="15"/>
      <c r="HXD12" s="15"/>
      <c r="HXE12" s="15"/>
      <c r="HXF12" s="15"/>
      <c r="HXG12" s="15"/>
      <c r="HXH12" s="15"/>
      <c r="HXI12" s="15"/>
      <c r="HXJ12" s="15"/>
      <c r="HXK12" s="15"/>
      <c r="HXL12" s="15"/>
      <c r="HXM12" s="15"/>
      <c r="HXN12" s="15"/>
      <c r="HXO12" s="15"/>
      <c r="HXP12" s="15"/>
      <c r="HXQ12" s="15"/>
      <c r="HXR12" s="15"/>
      <c r="HXS12" s="15"/>
      <c r="HXT12" s="15"/>
      <c r="HXU12" s="15"/>
      <c r="HXV12" s="15"/>
      <c r="HXW12" s="15"/>
      <c r="HXX12" s="15"/>
      <c r="HXY12" s="15"/>
      <c r="HXZ12" s="15"/>
      <c r="HYA12" s="15"/>
      <c r="HYB12" s="15"/>
      <c r="HYC12" s="15"/>
      <c r="HYD12" s="15"/>
      <c r="HYE12" s="15"/>
      <c r="HYF12" s="15"/>
      <c r="HYG12" s="15"/>
      <c r="HYH12" s="15"/>
      <c r="HYI12" s="15"/>
      <c r="HYJ12" s="15"/>
      <c r="HYK12" s="15"/>
      <c r="HYL12" s="15"/>
      <c r="HYM12" s="15"/>
      <c r="HYN12" s="15"/>
      <c r="HYO12" s="15"/>
      <c r="HYP12" s="15"/>
      <c r="HYQ12" s="15"/>
      <c r="HYR12" s="15"/>
      <c r="HYS12" s="15"/>
      <c r="HYT12" s="15"/>
      <c r="HYU12" s="15"/>
      <c r="HYV12" s="15"/>
      <c r="HYW12" s="15"/>
      <c r="HYX12" s="15"/>
      <c r="HYY12" s="15"/>
      <c r="HYZ12" s="15"/>
      <c r="HZA12" s="15"/>
      <c r="HZB12" s="15"/>
      <c r="HZC12" s="15"/>
      <c r="HZD12" s="15"/>
      <c r="HZE12" s="15"/>
      <c r="HZF12" s="15"/>
      <c r="HZG12" s="15"/>
      <c r="HZH12" s="15"/>
      <c r="HZI12" s="15"/>
      <c r="HZJ12" s="15"/>
      <c r="HZK12" s="15"/>
      <c r="HZL12" s="15"/>
      <c r="HZM12" s="15"/>
      <c r="HZN12" s="15"/>
      <c r="HZO12" s="15"/>
      <c r="HZP12" s="15"/>
      <c r="HZQ12" s="15"/>
      <c r="HZR12" s="15"/>
      <c r="HZS12" s="15"/>
      <c r="HZT12" s="15"/>
      <c r="HZU12" s="15"/>
      <c r="HZV12" s="15"/>
      <c r="HZW12" s="15"/>
      <c r="HZX12" s="15"/>
      <c r="HZY12" s="15"/>
      <c r="HZZ12" s="15"/>
      <c r="IAA12" s="15"/>
      <c r="IAB12" s="15"/>
      <c r="IAC12" s="15"/>
      <c r="IAD12" s="15"/>
      <c r="IAE12" s="15"/>
      <c r="IAF12" s="15"/>
      <c r="IAG12" s="15"/>
      <c r="IAH12" s="15"/>
      <c r="IAI12" s="15"/>
      <c r="IAJ12" s="15"/>
      <c r="IAK12" s="15"/>
      <c r="IAL12" s="15"/>
      <c r="IAM12" s="15"/>
      <c r="IAN12" s="15"/>
      <c r="IAO12" s="15"/>
      <c r="IAP12" s="15"/>
      <c r="IAQ12" s="15"/>
      <c r="IAR12" s="15"/>
      <c r="IAS12" s="15"/>
      <c r="IAT12" s="15"/>
      <c r="IAU12" s="15"/>
      <c r="IAV12" s="15"/>
      <c r="IAW12" s="15"/>
      <c r="IAX12" s="15"/>
      <c r="IAY12" s="15"/>
      <c r="IAZ12" s="15"/>
      <c r="IBA12" s="15"/>
      <c r="IBB12" s="15"/>
      <c r="IBC12" s="15"/>
      <c r="IBD12" s="15"/>
      <c r="IBE12" s="15"/>
      <c r="IBF12" s="15"/>
      <c r="IBG12" s="15"/>
      <c r="IBH12" s="15"/>
      <c r="IBI12" s="15"/>
      <c r="IBJ12" s="15"/>
      <c r="IBK12" s="15"/>
      <c r="IBL12" s="15"/>
      <c r="IBM12" s="15"/>
      <c r="IBN12" s="15"/>
      <c r="IBO12" s="15"/>
      <c r="IBP12" s="15"/>
      <c r="IBQ12" s="15"/>
      <c r="IBR12" s="15"/>
      <c r="IBS12" s="15"/>
      <c r="IBT12" s="15"/>
      <c r="IBU12" s="15"/>
      <c r="IBV12" s="15"/>
      <c r="IBW12" s="15"/>
      <c r="IBX12" s="15"/>
      <c r="IBY12" s="15"/>
      <c r="IBZ12" s="15"/>
      <c r="ICA12" s="15"/>
      <c r="ICB12" s="15"/>
      <c r="ICC12" s="15"/>
      <c r="ICD12" s="15"/>
      <c r="ICE12" s="15"/>
      <c r="ICF12" s="15"/>
      <c r="ICG12" s="15"/>
      <c r="ICH12" s="15"/>
      <c r="ICI12" s="15"/>
      <c r="ICJ12" s="15"/>
      <c r="ICK12" s="15"/>
      <c r="ICL12" s="15"/>
      <c r="ICM12" s="15"/>
      <c r="ICN12" s="15"/>
      <c r="ICO12" s="15"/>
      <c r="ICP12" s="15"/>
      <c r="ICQ12" s="15"/>
      <c r="ICR12" s="15"/>
      <c r="ICS12" s="15"/>
      <c r="ICT12" s="15"/>
      <c r="ICU12" s="15"/>
      <c r="ICV12" s="15"/>
      <c r="ICW12" s="15"/>
      <c r="ICX12" s="15"/>
      <c r="ICY12" s="15"/>
      <c r="ICZ12" s="15"/>
      <c r="IDA12" s="15"/>
      <c r="IDB12" s="15"/>
      <c r="IDC12" s="15"/>
      <c r="IDD12" s="15"/>
      <c r="IDE12" s="15"/>
      <c r="IDF12" s="15"/>
      <c r="IDG12" s="15"/>
      <c r="IDH12" s="15"/>
      <c r="IDI12" s="15"/>
      <c r="IDJ12" s="15"/>
      <c r="IDK12" s="15"/>
      <c r="IDL12" s="15"/>
      <c r="IDM12" s="15"/>
      <c r="IDN12" s="15"/>
      <c r="IDO12" s="15"/>
      <c r="IDP12" s="15"/>
      <c r="IDQ12" s="15"/>
      <c r="IDR12" s="15"/>
      <c r="IDS12" s="15"/>
      <c r="IDT12" s="15"/>
      <c r="IDU12" s="15"/>
      <c r="IDV12" s="15"/>
      <c r="IDW12" s="15"/>
      <c r="IDX12" s="15"/>
      <c r="IDY12" s="15"/>
      <c r="IDZ12" s="15"/>
      <c r="IEA12" s="15"/>
      <c r="IEB12" s="15"/>
      <c r="IEC12" s="15"/>
      <c r="IED12" s="15"/>
      <c r="IEE12" s="15"/>
      <c r="IEF12" s="15"/>
      <c r="IEG12" s="15"/>
      <c r="IEH12" s="15"/>
      <c r="IEI12" s="15"/>
      <c r="IEJ12" s="15"/>
      <c r="IEK12" s="15"/>
      <c r="IEL12" s="15"/>
      <c r="IEM12" s="15"/>
      <c r="IEN12" s="15"/>
      <c r="IEO12" s="15"/>
      <c r="IEP12" s="15"/>
      <c r="IEQ12" s="15"/>
      <c r="IER12" s="15"/>
      <c r="IES12" s="15"/>
      <c r="IET12" s="15"/>
      <c r="IEU12" s="15"/>
      <c r="IEV12" s="15"/>
      <c r="IEW12" s="15"/>
      <c r="IEX12" s="15"/>
      <c r="IEY12" s="15"/>
      <c r="IEZ12" s="15"/>
      <c r="IFA12" s="15"/>
      <c r="IFB12" s="15"/>
      <c r="IFC12" s="15"/>
      <c r="IFD12" s="15"/>
      <c r="IFE12" s="15"/>
      <c r="IFF12" s="15"/>
      <c r="IFG12" s="15"/>
      <c r="IFH12" s="15"/>
      <c r="IFI12" s="15"/>
      <c r="IFJ12" s="15"/>
      <c r="IFK12" s="15"/>
      <c r="IFL12" s="15"/>
      <c r="IFM12" s="15"/>
      <c r="IFN12" s="15"/>
      <c r="IFO12" s="15"/>
      <c r="IFP12" s="15"/>
      <c r="IFQ12" s="15"/>
      <c r="IFR12" s="15"/>
      <c r="IFS12" s="15"/>
      <c r="IFT12" s="15"/>
      <c r="IFU12" s="15"/>
      <c r="IFV12" s="15"/>
      <c r="IFW12" s="15"/>
      <c r="IFX12" s="15"/>
      <c r="IFY12" s="15"/>
      <c r="IFZ12" s="15"/>
      <c r="IGA12" s="15"/>
      <c r="IGB12" s="15"/>
      <c r="IGC12" s="15"/>
      <c r="IGD12" s="15"/>
      <c r="IGE12" s="15"/>
      <c r="IGF12" s="15"/>
      <c r="IGG12" s="15"/>
      <c r="IGH12" s="15"/>
      <c r="IGI12" s="15"/>
      <c r="IGJ12" s="15"/>
      <c r="IGK12" s="15"/>
      <c r="IGL12" s="15"/>
      <c r="IGM12" s="15"/>
      <c r="IGN12" s="15"/>
      <c r="IGO12" s="15"/>
      <c r="IGP12" s="15"/>
      <c r="IGQ12" s="15"/>
      <c r="IGR12" s="15"/>
      <c r="IGS12" s="15"/>
      <c r="IGT12" s="15"/>
      <c r="IGU12" s="15"/>
      <c r="IGV12" s="15"/>
      <c r="IGW12" s="15"/>
      <c r="IGX12" s="15"/>
      <c r="IGY12" s="15"/>
      <c r="IGZ12" s="15"/>
      <c r="IHA12" s="15"/>
      <c r="IHB12" s="15"/>
      <c r="IHC12" s="15"/>
      <c r="IHD12" s="15"/>
      <c r="IHE12" s="15"/>
      <c r="IHF12" s="15"/>
      <c r="IHG12" s="15"/>
      <c r="IHH12" s="15"/>
      <c r="IHI12" s="15"/>
      <c r="IHJ12" s="15"/>
      <c r="IHK12" s="15"/>
      <c r="IHL12" s="15"/>
      <c r="IHM12" s="15"/>
      <c r="IHN12" s="15"/>
      <c r="IHO12" s="15"/>
      <c r="IHP12" s="15"/>
      <c r="IHQ12" s="15"/>
      <c r="IHR12" s="15"/>
      <c r="IHS12" s="15"/>
      <c r="IHT12" s="15"/>
      <c r="IHU12" s="15"/>
      <c r="IHV12" s="15"/>
      <c r="IHW12" s="15"/>
      <c r="IHX12" s="15"/>
      <c r="IHY12" s="15"/>
      <c r="IHZ12" s="15"/>
      <c r="IIA12" s="15"/>
      <c r="IIB12" s="15"/>
      <c r="IIC12" s="15"/>
      <c r="IID12" s="15"/>
      <c r="IIE12" s="15"/>
      <c r="IIF12" s="15"/>
      <c r="IIG12" s="15"/>
      <c r="IIH12" s="15"/>
      <c r="III12" s="15"/>
      <c r="IIJ12" s="15"/>
      <c r="IIK12" s="15"/>
      <c r="IIL12" s="15"/>
      <c r="IIM12" s="15"/>
      <c r="IIN12" s="15"/>
      <c r="IIO12" s="15"/>
      <c r="IIP12" s="15"/>
      <c r="IIQ12" s="15"/>
      <c r="IIR12" s="15"/>
      <c r="IIS12" s="15"/>
      <c r="IIT12" s="15"/>
      <c r="IIU12" s="15"/>
      <c r="IIV12" s="15"/>
      <c r="IIW12" s="15"/>
      <c r="IIX12" s="15"/>
      <c r="IIY12" s="15"/>
      <c r="IIZ12" s="15"/>
      <c r="IJA12" s="15"/>
      <c r="IJB12" s="15"/>
      <c r="IJC12" s="15"/>
      <c r="IJD12" s="15"/>
      <c r="IJE12" s="15"/>
      <c r="IJF12" s="15"/>
      <c r="IJG12" s="15"/>
      <c r="IJH12" s="15"/>
      <c r="IJI12" s="15"/>
      <c r="IJJ12" s="15"/>
      <c r="IJK12" s="15"/>
      <c r="IJL12" s="15"/>
      <c r="IJM12" s="15"/>
      <c r="IJN12" s="15"/>
      <c r="IJO12" s="15"/>
      <c r="IJP12" s="15"/>
      <c r="IJQ12" s="15"/>
      <c r="IJR12" s="15"/>
      <c r="IJS12" s="15"/>
      <c r="IJT12" s="15"/>
      <c r="IJU12" s="15"/>
      <c r="IJV12" s="15"/>
      <c r="IJW12" s="15"/>
      <c r="IJX12" s="15"/>
      <c r="IJY12" s="15"/>
      <c r="IJZ12" s="15"/>
      <c r="IKA12" s="15"/>
      <c r="IKB12" s="15"/>
      <c r="IKC12" s="15"/>
      <c r="IKD12" s="15"/>
      <c r="IKE12" s="15"/>
      <c r="IKF12" s="15"/>
      <c r="IKG12" s="15"/>
      <c r="IKH12" s="15"/>
      <c r="IKI12" s="15"/>
      <c r="IKJ12" s="15"/>
      <c r="IKK12" s="15"/>
      <c r="IKL12" s="15"/>
      <c r="IKM12" s="15"/>
      <c r="IKN12" s="15"/>
      <c r="IKO12" s="15"/>
      <c r="IKP12" s="15"/>
      <c r="IKQ12" s="15"/>
      <c r="IKR12" s="15"/>
      <c r="IKS12" s="15"/>
      <c r="IKT12" s="15"/>
      <c r="IKU12" s="15"/>
      <c r="IKV12" s="15"/>
      <c r="IKW12" s="15"/>
      <c r="IKX12" s="15"/>
      <c r="IKY12" s="15"/>
      <c r="IKZ12" s="15"/>
      <c r="ILA12" s="15"/>
      <c r="ILB12" s="15"/>
      <c r="ILC12" s="15"/>
      <c r="ILD12" s="15"/>
      <c r="ILE12" s="15"/>
      <c r="ILF12" s="15"/>
      <c r="ILG12" s="15"/>
      <c r="ILH12" s="15"/>
      <c r="ILI12" s="15"/>
      <c r="ILJ12" s="15"/>
      <c r="ILK12" s="15"/>
      <c r="ILL12" s="15"/>
      <c r="ILM12" s="15"/>
      <c r="ILN12" s="15"/>
      <c r="ILO12" s="15"/>
      <c r="ILP12" s="15"/>
      <c r="ILQ12" s="15"/>
      <c r="ILR12" s="15"/>
      <c r="ILS12" s="15"/>
      <c r="ILT12" s="15"/>
      <c r="ILU12" s="15"/>
      <c r="ILV12" s="15"/>
      <c r="ILW12" s="15"/>
      <c r="ILX12" s="15"/>
      <c r="ILY12" s="15"/>
      <c r="ILZ12" s="15"/>
      <c r="IMA12" s="15"/>
      <c r="IMB12" s="15"/>
      <c r="IMC12" s="15"/>
      <c r="IMD12" s="15"/>
      <c r="IME12" s="15"/>
      <c r="IMF12" s="15"/>
      <c r="IMG12" s="15"/>
      <c r="IMH12" s="15"/>
      <c r="IMI12" s="15"/>
      <c r="IMJ12" s="15"/>
      <c r="IMK12" s="15"/>
      <c r="IML12" s="15"/>
      <c r="IMM12" s="15"/>
      <c r="IMN12" s="15"/>
      <c r="IMO12" s="15"/>
      <c r="IMP12" s="15"/>
      <c r="IMQ12" s="15"/>
      <c r="IMR12" s="15"/>
      <c r="IMS12" s="15"/>
      <c r="IMT12" s="15"/>
      <c r="IMU12" s="15"/>
      <c r="IMV12" s="15"/>
      <c r="IMW12" s="15"/>
      <c r="IMX12" s="15"/>
      <c r="IMY12" s="15"/>
      <c r="IMZ12" s="15"/>
      <c r="INA12" s="15"/>
      <c r="INB12" s="15"/>
      <c r="INC12" s="15"/>
      <c r="IND12" s="15"/>
      <c r="INE12" s="15"/>
      <c r="INF12" s="15"/>
      <c r="ING12" s="15"/>
      <c r="INH12" s="15"/>
      <c r="INI12" s="15"/>
      <c r="INJ12" s="15"/>
      <c r="INK12" s="15"/>
      <c r="INL12" s="15"/>
      <c r="INM12" s="15"/>
      <c r="INN12" s="15"/>
      <c r="INO12" s="15"/>
      <c r="INP12" s="15"/>
      <c r="INQ12" s="15"/>
      <c r="INR12" s="15"/>
      <c r="INS12" s="15"/>
      <c r="INT12" s="15"/>
      <c r="INU12" s="15"/>
      <c r="INV12" s="15"/>
      <c r="INW12" s="15"/>
      <c r="INX12" s="15"/>
      <c r="INY12" s="15"/>
      <c r="INZ12" s="15"/>
      <c r="IOA12" s="15"/>
      <c r="IOB12" s="15"/>
      <c r="IOC12" s="15"/>
      <c r="IOD12" s="15"/>
      <c r="IOE12" s="15"/>
      <c r="IOF12" s="15"/>
      <c r="IOG12" s="15"/>
      <c r="IOH12" s="15"/>
      <c r="IOI12" s="15"/>
      <c r="IOJ12" s="15"/>
      <c r="IOK12" s="15"/>
      <c r="IOL12" s="15"/>
      <c r="IOM12" s="15"/>
      <c r="ION12" s="15"/>
      <c r="IOO12" s="15"/>
      <c r="IOP12" s="15"/>
      <c r="IOQ12" s="15"/>
      <c r="IOR12" s="15"/>
      <c r="IOS12" s="15"/>
      <c r="IOT12" s="15"/>
      <c r="IOU12" s="15"/>
      <c r="IOV12" s="15"/>
      <c r="IOW12" s="15"/>
      <c r="IOX12" s="15"/>
      <c r="IOY12" s="15"/>
      <c r="IOZ12" s="15"/>
      <c r="IPA12" s="15"/>
      <c r="IPB12" s="15"/>
      <c r="IPC12" s="15"/>
      <c r="IPD12" s="15"/>
      <c r="IPE12" s="15"/>
      <c r="IPF12" s="15"/>
      <c r="IPG12" s="15"/>
      <c r="IPH12" s="15"/>
      <c r="IPI12" s="15"/>
      <c r="IPJ12" s="15"/>
      <c r="IPK12" s="15"/>
      <c r="IPL12" s="15"/>
      <c r="IPM12" s="15"/>
      <c r="IPN12" s="15"/>
      <c r="IPO12" s="15"/>
      <c r="IPP12" s="15"/>
      <c r="IPQ12" s="15"/>
      <c r="IPR12" s="15"/>
      <c r="IPS12" s="15"/>
      <c r="IPT12" s="15"/>
      <c r="IPU12" s="15"/>
      <c r="IPV12" s="15"/>
      <c r="IPW12" s="15"/>
      <c r="IPX12" s="15"/>
      <c r="IPY12" s="15"/>
      <c r="IPZ12" s="15"/>
      <c r="IQA12" s="15"/>
      <c r="IQB12" s="15"/>
      <c r="IQC12" s="15"/>
      <c r="IQD12" s="15"/>
      <c r="IQE12" s="15"/>
      <c r="IQF12" s="15"/>
      <c r="IQG12" s="15"/>
      <c r="IQH12" s="15"/>
      <c r="IQI12" s="15"/>
      <c r="IQJ12" s="15"/>
      <c r="IQK12" s="15"/>
      <c r="IQL12" s="15"/>
      <c r="IQM12" s="15"/>
      <c r="IQN12" s="15"/>
      <c r="IQO12" s="15"/>
      <c r="IQP12" s="15"/>
      <c r="IQQ12" s="15"/>
      <c r="IQR12" s="15"/>
      <c r="IQS12" s="15"/>
      <c r="IQT12" s="15"/>
      <c r="IQU12" s="15"/>
      <c r="IQV12" s="15"/>
      <c r="IQW12" s="15"/>
      <c r="IQX12" s="15"/>
      <c r="IQY12" s="15"/>
      <c r="IQZ12" s="15"/>
      <c r="IRA12" s="15"/>
      <c r="IRB12" s="15"/>
      <c r="IRC12" s="15"/>
      <c r="IRD12" s="15"/>
      <c r="IRE12" s="15"/>
      <c r="IRF12" s="15"/>
      <c r="IRG12" s="15"/>
      <c r="IRH12" s="15"/>
      <c r="IRI12" s="15"/>
      <c r="IRJ12" s="15"/>
      <c r="IRK12" s="15"/>
      <c r="IRL12" s="15"/>
      <c r="IRM12" s="15"/>
      <c r="IRN12" s="15"/>
      <c r="IRO12" s="15"/>
      <c r="IRP12" s="15"/>
      <c r="IRQ12" s="15"/>
      <c r="IRR12" s="15"/>
      <c r="IRS12" s="15"/>
      <c r="IRT12" s="15"/>
      <c r="IRU12" s="15"/>
      <c r="IRV12" s="15"/>
      <c r="IRW12" s="15"/>
      <c r="IRX12" s="15"/>
      <c r="IRY12" s="15"/>
      <c r="IRZ12" s="15"/>
      <c r="ISA12" s="15"/>
      <c r="ISB12" s="15"/>
      <c r="ISC12" s="15"/>
      <c r="ISD12" s="15"/>
      <c r="ISE12" s="15"/>
      <c r="ISF12" s="15"/>
      <c r="ISG12" s="15"/>
      <c r="ISH12" s="15"/>
      <c r="ISI12" s="15"/>
      <c r="ISJ12" s="15"/>
      <c r="ISK12" s="15"/>
      <c r="ISL12" s="15"/>
      <c r="ISM12" s="15"/>
      <c r="ISN12" s="15"/>
      <c r="ISO12" s="15"/>
      <c r="ISP12" s="15"/>
      <c r="ISQ12" s="15"/>
      <c r="ISR12" s="15"/>
      <c r="ISS12" s="15"/>
      <c r="IST12" s="15"/>
      <c r="ISU12" s="15"/>
      <c r="ISV12" s="15"/>
      <c r="ISW12" s="15"/>
      <c r="ISX12" s="15"/>
      <c r="ISY12" s="15"/>
      <c r="ISZ12" s="15"/>
      <c r="ITA12" s="15"/>
      <c r="ITB12" s="15"/>
      <c r="ITC12" s="15"/>
      <c r="ITD12" s="15"/>
      <c r="ITE12" s="15"/>
      <c r="ITF12" s="15"/>
      <c r="ITG12" s="15"/>
      <c r="ITH12" s="15"/>
      <c r="ITI12" s="15"/>
      <c r="ITJ12" s="15"/>
      <c r="ITK12" s="15"/>
      <c r="ITL12" s="15"/>
      <c r="ITM12" s="15"/>
      <c r="ITN12" s="15"/>
      <c r="ITO12" s="15"/>
      <c r="ITP12" s="15"/>
      <c r="ITQ12" s="15"/>
      <c r="ITR12" s="15"/>
      <c r="ITS12" s="15"/>
      <c r="ITT12" s="15"/>
      <c r="ITU12" s="15"/>
      <c r="ITV12" s="15"/>
      <c r="ITW12" s="15"/>
      <c r="ITX12" s="15"/>
      <c r="ITY12" s="15"/>
      <c r="ITZ12" s="15"/>
      <c r="IUA12" s="15"/>
      <c r="IUB12" s="15"/>
      <c r="IUC12" s="15"/>
      <c r="IUD12" s="15"/>
      <c r="IUE12" s="15"/>
      <c r="IUF12" s="15"/>
      <c r="IUG12" s="15"/>
      <c r="IUH12" s="15"/>
      <c r="IUI12" s="15"/>
      <c r="IUJ12" s="15"/>
      <c r="IUK12" s="15"/>
      <c r="IUL12" s="15"/>
      <c r="IUM12" s="15"/>
      <c r="IUN12" s="15"/>
      <c r="IUO12" s="15"/>
      <c r="IUP12" s="15"/>
      <c r="IUQ12" s="15"/>
      <c r="IUR12" s="15"/>
      <c r="IUS12" s="15"/>
      <c r="IUT12" s="15"/>
      <c r="IUU12" s="15"/>
      <c r="IUV12" s="15"/>
      <c r="IUW12" s="15"/>
      <c r="IUX12" s="15"/>
      <c r="IUY12" s="15"/>
      <c r="IUZ12" s="15"/>
      <c r="IVA12" s="15"/>
      <c r="IVB12" s="15"/>
      <c r="IVC12" s="15"/>
      <c r="IVD12" s="15"/>
      <c r="IVE12" s="15"/>
      <c r="IVF12" s="15"/>
      <c r="IVG12" s="15"/>
      <c r="IVH12" s="15"/>
      <c r="IVI12" s="15"/>
      <c r="IVJ12" s="15"/>
      <c r="IVK12" s="15"/>
      <c r="IVL12" s="15"/>
      <c r="IVM12" s="15"/>
      <c r="IVN12" s="15"/>
      <c r="IVO12" s="15"/>
      <c r="IVP12" s="15"/>
      <c r="IVQ12" s="15"/>
      <c r="IVR12" s="15"/>
      <c r="IVS12" s="15"/>
      <c r="IVT12" s="15"/>
      <c r="IVU12" s="15"/>
      <c r="IVV12" s="15"/>
      <c r="IVW12" s="15"/>
      <c r="IVX12" s="15"/>
      <c r="IVY12" s="15"/>
      <c r="IVZ12" s="15"/>
      <c r="IWA12" s="15"/>
      <c r="IWB12" s="15"/>
      <c r="IWC12" s="15"/>
      <c r="IWD12" s="15"/>
      <c r="IWE12" s="15"/>
      <c r="IWF12" s="15"/>
      <c r="IWG12" s="15"/>
      <c r="IWH12" s="15"/>
      <c r="IWI12" s="15"/>
      <c r="IWJ12" s="15"/>
      <c r="IWK12" s="15"/>
      <c r="IWL12" s="15"/>
      <c r="IWM12" s="15"/>
      <c r="IWN12" s="15"/>
      <c r="IWO12" s="15"/>
      <c r="IWP12" s="15"/>
      <c r="IWQ12" s="15"/>
      <c r="IWR12" s="15"/>
      <c r="IWS12" s="15"/>
      <c r="IWT12" s="15"/>
      <c r="IWU12" s="15"/>
      <c r="IWV12" s="15"/>
      <c r="IWW12" s="15"/>
      <c r="IWX12" s="15"/>
      <c r="IWY12" s="15"/>
      <c r="IWZ12" s="15"/>
      <c r="IXA12" s="15"/>
      <c r="IXB12" s="15"/>
      <c r="IXC12" s="15"/>
      <c r="IXD12" s="15"/>
      <c r="IXE12" s="15"/>
      <c r="IXF12" s="15"/>
      <c r="IXG12" s="15"/>
      <c r="IXH12" s="15"/>
      <c r="IXI12" s="15"/>
      <c r="IXJ12" s="15"/>
      <c r="IXK12" s="15"/>
      <c r="IXL12" s="15"/>
      <c r="IXM12" s="15"/>
      <c r="IXN12" s="15"/>
      <c r="IXO12" s="15"/>
      <c r="IXP12" s="15"/>
      <c r="IXQ12" s="15"/>
      <c r="IXR12" s="15"/>
      <c r="IXS12" s="15"/>
      <c r="IXT12" s="15"/>
      <c r="IXU12" s="15"/>
      <c r="IXV12" s="15"/>
      <c r="IXW12" s="15"/>
      <c r="IXX12" s="15"/>
      <c r="IXY12" s="15"/>
      <c r="IXZ12" s="15"/>
      <c r="IYA12" s="15"/>
      <c r="IYB12" s="15"/>
      <c r="IYC12" s="15"/>
      <c r="IYD12" s="15"/>
      <c r="IYE12" s="15"/>
      <c r="IYF12" s="15"/>
      <c r="IYG12" s="15"/>
      <c r="IYH12" s="15"/>
      <c r="IYI12" s="15"/>
      <c r="IYJ12" s="15"/>
      <c r="IYK12" s="15"/>
      <c r="IYL12" s="15"/>
      <c r="IYM12" s="15"/>
      <c r="IYN12" s="15"/>
      <c r="IYO12" s="15"/>
      <c r="IYP12" s="15"/>
      <c r="IYQ12" s="15"/>
      <c r="IYR12" s="15"/>
      <c r="IYS12" s="15"/>
      <c r="IYT12" s="15"/>
      <c r="IYU12" s="15"/>
      <c r="IYV12" s="15"/>
      <c r="IYW12" s="15"/>
      <c r="IYX12" s="15"/>
      <c r="IYY12" s="15"/>
      <c r="IYZ12" s="15"/>
      <c r="IZA12" s="15"/>
      <c r="IZB12" s="15"/>
      <c r="IZC12" s="15"/>
      <c r="IZD12" s="15"/>
      <c r="IZE12" s="15"/>
      <c r="IZF12" s="15"/>
      <c r="IZG12" s="15"/>
      <c r="IZH12" s="15"/>
      <c r="IZI12" s="15"/>
      <c r="IZJ12" s="15"/>
      <c r="IZK12" s="15"/>
      <c r="IZL12" s="15"/>
      <c r="IZM12" s="15"/>
      <c r="IZN12" s="15"/>
      <c r="IZO12" s="15"/>
      <c r="IZP12" s="15"/>
      <c r="IZQ12" s="15"/>
      <c r="IZR12" s="15"/>
      <c r="IZS12" s="15"/>
      <c r="IZT12" s="15"/>
      <c r="IZU12" s="15"/>
      <c r="IZV12" s="15"/>
      <c r="IZW12" s="15"/>
      <c r="IZX12" s="15"/>
      <c r="IZY12" s="15"/>
      <c r="IZZ12" s="15"/>
      <c r="JAA12" s="15"/>
      <c r="JAB12" s="15"/>
      <c r="JAC12" s="15"/>
      <c r="JAD12" s="15"/>
      <c r="JAE12" s="15"/>
      <c r="JAF12" s="15"/>
      <c r="JAG12" s="15"/>
      <c r="JAH12" s="15"/>
      <c r="JAI12" s="15"/>
      <c r="JAJ12" s="15"/>
      <c r="JAK12" s="15"/>
      <c r="JAL12" s="15"/>
      <c r="JAM12" s="15"/>
      <c r="JAN12" s="15"/>
      <c r="JAO12" s="15"/>
      <c r="JAP12" s="15"/>
      <c r="JAQ12" s="15"/>
      <c r="JAR12" s="15"/>
      <c r="JAS12" s="15"/>
      <c r="JAT12" s="15"/>
      <c r="JAU12" s="15"/>
      <c r="JAV12" s="15"/>
      <c r="JAW12" s="15"/>
      <c r="JAX12" s="15"/>
      <c r="JAY12" s="15"/>
      <c r="JAZ12" s="15"/>
      <c r="JBA12" s="15"/>
      <c r="JBB12" s="15"/>
      <c r="JBC12" s="15"/>
      <c r="JBD12" s="15"/>
      <c r="JBE12" s="15"/>
      <c r="JBF12" s="15"/>
      <c r="JBG12" s="15"/>
      <c r="JBH12" s="15"/>
      <c r="JBI12" s="15"/>
      <c r="JBJ12" s="15"/>
      <c r="JBK12" s="15"/>
      <c r="JBL12" s="15"/>
      <c r="JBM12" s="15"/>
      <c r="JBN12" s="15"/>
      <c r="JBO12" s="15"/>
      <c r="JBP12" s="15"/>
      <c r="JBQ12" s="15"/>
      <c r="JBR12" s="15"/>
      <c r="JBS12" s="15"/>
      <c r="JBT12" s="15"/>
      <c r="JBU12" s="15"/>
      <c r="JBV12" s="15"/>
      <c r="JBW12" s="15"/>
      <c r="JBX12" s="15"/>
      <c r="JBY12" s="15"/>
      <c r="JBZ12" s="15"/>
      <c r="JCA12" s="15"/>
      <c r="JCB12" s="15"/>
      <c r="JCC12" s="15"/>
      <c r="JCD12" s="15"/>
      <c r="JCE12" s="15"/>
      <c r="JCF12" s="15"/>
      <c r="JCG12" s="15"/>
      <c r="JCH12" s="15"/>
      <c r="JCI12" s="15"/>
      <c r="JCJ12" s="15"/>
      <c r="JCK12" s="15"/>
      <c r="JCL12" s="15"/>
      <c r="JCM12" s="15"/>
      <c r="JCN12" s="15"/>
      <c r="JCO12" s="15"/>
      <c r="JCP12" s="15"/>
      <c r="JCQ12" s="15"/>
      <c r="JCR12" s="15"/>
      <c r="JCS12" s="15"/>
      <c r="JCT12" s="15"/>
      <c r="JCU12" s="15"/>
      <c r="JCV12" s="15"/>
      <c r="JCW12" s="15"/>
      <c r="JCX12" s="15"/>
      <c r="JCY12" s="15"/>
      <c r="JCZ12" s="15"/>
      <c r="JDA12" s="15"/>
      <c r="JDB12" s="15"/>
      <c r="JDC12" s="15"/>
      <c r="JDD12" s="15"/>
      <c r="JDE12" s="15"/>
      <c r="JDF12" s="15"/>
      <c r="JDG12" s="15"/>
      <c r="JDH12" s="15"/>
      <c r="JDI12" s="15"/>
      <c r="JDJ12" s="15"/>
      <c r="JDK12" s="15"/>
      <c r="JDL12" s="15"/>
      <c r="JDM12" s="15"/>
      <c r="JDN12" s="15"/>
      <c r="JDO12" s="15"/>
      <c r="JDP12" s="15"/>
      <c r="JDQ12" s="15"/>
      <c r="JDR12" s="15"/>
      <c r="JDS12" s="15"/>
      <c r="JDT12" s="15"/>
      <c r="JDU12" s="15"/>
      <c r="JDV12" s="15"/>
      <c r="JDW12" s="15"/>
      <c r="JDX12" s="15"/>
      <c r="JDY12" s="15"/>
      <c r="JDZ12" s="15"/>
      <c r="JEA12" s="15"/>
      <c r="JEB12" s="15"/>
      <c r="JEC12" s="15"/>
      <c r="JED12" s="15"/>
      <c r="JEE12" s="15"/>
      <c r="JEF12" s="15"/>
      <c r="JEG12" s="15"/>
      <c r="JEH12" s="15"/>
      <c r="JEI12" s="15"/>
      <c r="JEJ12" s="15"/>
      <c r="JEK12" s="15"/>
      <c r="JEL12" s="15"/>
      <c r="JEM12" s="15"/>
      <c r="JEN12" s="15"/>
      <c r="JEO12" s="15"/>
      <c r="JEP12" s="15"/>
      <c r="JEQ12" s="15"/>
      <c r="JER12" s="15"/>
      <c r="JES12" s="15"/>
      <c r="JET12" s="15"/>
      <c r="JEU12" s="15"/>
      <c r="JEV12" s="15"/>
      <c r="JEW12" s="15"/>
      <c r="JEX12" s="15"/>
      <c r="JEY12" s="15"/>
      <c r="JEZ12" s="15"/>
      <c r="JFA12" s="15"/>
      <c r="JFB12" s="15"/>
      <c r="JFC12" s="15"/>
      <c r="JFD12" s="15"/>
      <c r="JFE12" s="15"/>
      <c r="JFF12" s="15"/>
      <c r="JFG12" s="15"/>
      <c r="JFH12" s="15"/>
      <c r="JFI12" s="15"/>
      <c r="JFJ12" s="15"/>
      <c r="JFK12" s="15"/>
      <c r="JFL12" s="15"/>
      <c r="JFM12" s="15"/>
      <c r="JFN12" s="15"/>
      <c r="JFO12" s="15"/>
      <c r="JFP12" s="15"/>
      <c r="JFQ12" s="15"/>
      <c r="JFR12" s="15"/>
      <c r="JFS12" s="15"/>
      <c r="JFT12" s="15"/>
      <c r="JFU12" s="15"/>
      <c r="JFV12" s="15"/>
      <c r="JFW12" s="15"/>
      <c r="JFX12" s="15"/>
      <c r="JFY12" s="15"/>
      <c r="JFZ12" s="15"/>
      <c r="JGA12" s="15"/>
      <c r="JGB12" s="15"/>
      <c r="JGC12" s="15"/>
      <c r="JGD12" s="15"/>
      <c r="JGE12" s="15"/>
      <c r="JGF12" s="15"/>
      <c r="JGG12" s="15"/>
      <c r="JGH12" s="15"/>
      <c r="JGI12" s="15"/>
      <c r="JGJ12" s="15"/>
      <c r="JGK12" s="15"/>
      <c r="JGL12" s="15"/>
      <c r="JGM12" s="15"/>
      <c r="JGN12" s="15"/>
      <c r="JGO12" s="15"/>
      <c r="JGP12" s="15"/>
      <c r="JGQ12" s="15"/>
      <c r="JGR12" s="15"/>
      <c r="JGS12" s="15"/>
      <c r="JGT12" s="15"/>
      <c r="JGU12" s="15"/>
      <c r="JGV12" s="15"/>
      <c r="JGW12" s="15"/>
      <c r="JGX12" s="15"/>
      <c r="JGY12" s="15"/>
      <c r="JGZ12" s="15"/>
      <c r="JHA12" s="15"/>
      <c r="JHB12" s="15"/>
      <c r="JHC12" s="15"/>
      <c r="JHD12" s="15"/>
      <c r="JHE12" s="15"/>
      <c r="JHF12" s="15"/>
      <c r="JHG12" s="15"/>
      <c r="JHH12" s="15"/>
      <c r="JHI12" s="15"/>
      <c r="JHJ12" s="15"/>
      <c r="JHK12" s="15"/>
      <c r="JHL12" s="15"/>
      <c r="JHM12" s="15"/>
      <c r="JHN12" s="15"/>
      <c r="JHO12" s="15"/>
      <c r="JHP12" s="15"/>
      <c r="JHQ12" s="15"/>
      <c r="JHR12" s="15"/>
      <c r="JHS12" s="15"/>
      <c r="JHT12" s="15"/>
      <c r="JHU12" s="15"/>
      <c r="JHV12" s="15"/>
      <c r="JHW12" s="15"/>
      <c r="JHX12" s="15"/>
      <c r="JHY12" s="15"/>
      <c r="JHZ12" s="15"/>
      <c r="JIA12" s="15"/>
      <c r="JIB12" s="15"/>
      <c r="JIC12" s="15"/>
      <c r="JID12" s="15"/>
      <c r="JIE12" s="15"/>
      <c r="JIF12" s="15"/>
      <c r="JIG12" s="15"/>
      <c r="JIH12" s="15"/>
      <c r="JII12" s="15"/>
      <c r="JIJ12" s="15"/>
      <c r="JIK12" s="15"/>
      <c r="JIL12" s="15"/>
      <c r="JIM12" s="15"/>
      <c r="JIN12" s="15"/>
      <c r="JIO12" s="15"/>
      <c r="JIP12" s="15"/>
      <c r="JIQ12" s="15"/>
      <c r="JIR12" s="15"/>
      <c r="JIS12" s="15"/>
      <c r="JIT12" s="15"/>
      <c r="JIU12" s="15"/>
      <c r="JIV12" s="15"/>
      <c r="JIW12" s="15"/>
      <c r="JIX12" s="15"/>
      <c r="JIY12" s="15"/>
      <c r="JIZ12" s="15"/>
      <c r="JJA12" s="15"/>
      <c r="JJB12" s="15"/>
      <c r="JJC12" s="15"/>
      <c r="JJD12" s="15"/>
      <c r="JJE12" s="15"/>
      <c r="JJF12" s="15"/>
      <c r="JJG12" s="15"/>
      <c r="JJH12" s="15"/>
      <c r="JJI12" s="15"/>
      <c r="JJJ12" s="15"/>
      <c r="JJK12" s="15"/>
      <c r="JJL12" s="15"/>
      <c r="JJM12" s="15"/>
      <c r="JJN12" s="15"/>
      <c r="JJO12" s="15"/>
      <c r="JJP12" s="15"/>
      <c r="JJQ12" s="15"/>
      <c r="JJR12" s="15"/>
      <c r="JJS12" s="15"/>
      <c r="JJT12" s="15"/>
      <c r="JJU12" s="15"/>
      <c r="JJV12" s="15"/>
      <c r="JJW12" s="15"/>
      <c r="JJX12" s="15"/>
      <c r="JJY12" s="15"/>
      <c r="JJZ12" s="15"/>
      <c r="JKA12" s="15"/>
      <c r="JKB12" s="15"/>
      <c r="JKC12" s="15"/>
      <c r="JKD12" s="15"/>
      <c r="JKE12" s="15"/>
      <c r="JKF12" s="15"/>
      <c r="JKG12" s="15"/>
      <c r="JKH12" s="15"/>
      <c r="JKI12" s="15"/>
      <c r="JKJ12" s="15"/>
      <c r="JKK12" s="15"/>
      <c r="JKL12" s="15"/>
      <c r="JKM12" s="15"/>
      <c r="JKN12" s="15"/>
      <c r="JKO12" s="15"/>
      <c r="JKP12" s="15"/>
      <c r="JKQ12" s="15"/>
      <c r="JKR12" s="15"/>
      <c r="JKS12" s="15"/>
      <c r="JKT12" s="15"/>
      <c r="JKU12" s="15"/>
      <c r="JKV12" s="15"/>
      <c r="JKW12" s="15"/>
      <c r="JKX12" s="15"/>
      <c r="JKY12" s="15"/>
      <c r="JKZ12" s="15"/>
      <c r="JLA12" s="15"/>
      <c r="JLB12" s="15"/>
      <c r="JLC12" s="15"/>
      <c r="JLD12" s="15"/>
      <c r="JLE12" s="15"/>
      <c r="JLF12" s="15"/>
      <c r="JLG12" s="15"/>
      <c r="JLH12" s="15"/>
      <c r="JLI12" s="15"/>
      <c r="JLJ12" s="15"/>
      <c r="JLK12" s="15"/>
      <c r="JLL12" s="15"/>
      <c r="JLM12" s="15"/>
      <c r="JLN12" s="15"/>
      <c r="JLO12" s="15"/>
      <c r="JLP12" s="15"/>
      <c r="JLQ12" s="15"/>
      <c r="JLR12" s="15"/>
      <c r="JLS12" s="15"/>
      <c r="JLT12" s="15"/>
      <c r="JLU12" s="15"/>
      <c r="JLV12" s="15"/>
      <c r="JLW12" s="15"/>
      <c r="JLX12" s="15"/>
      <c r="JLY12" s="15"/>
      <c r="JLZ12" s="15"/>
      <c r="JMA12" s="15"/>
      <c r="JMB12" s="15"/>
      <c r="JMC12" s="15"/>
      <c r="JMD12" s="15"/>
      <c r="JME12" s="15"/>
      <c r="JMF12" s="15"/>
      <c r="JMG12" s="15"/>
      <c r="JMH12" s="15"/>
      <c r="JMI12" s="15"/>
      <c r="JMJ12" s="15"/>
      <c r="JMK12" s="15"/>
      <c r="JML12" s="15"/>
      <c r="JMM12" s="15"/>
      <c r="JMN12" s="15"/>
      <c r="JMO12" s="15"/>
      <c r="JMP12" s="15"/>
      <c r="JMQ12" s="15"/>
      <c r="JMR12" s="15"/>
      <c r="JMS12" s="15"/>
      <c r="JMT12" s="15"/>
      <c r="JMU12" s="15"/>
      <c r="JMV12" s="15"/>
      <c r="JMW12" s="15"/>
      <c r="JMX12" s="15"/>
      <c r="JMY12" s="15"/>
      <c r="JMZ12" s="15"/>
      <c r="JNA12" s="15"/>
      <c r="JNB12" s="15"/>
      <c r="JNC12" s="15"/>
      <c r="JND12" s="15"/>
      <c r="JNE12" s="15"/>
      <c r="JNF12" s="15"/>
      <c r="JNG12" s="15"/>
      <c r="JNH12" s="15"/>
      <c r="JNI12" s="15"/>
      <c r="JNJ12" s="15"/>
      <c r="JNK12" s="15"/>
      <c r="JNL12" s="15"/>
      <c r="JNM12" s="15"/>
      <c r="JNN12" s="15"/>
      <c r="JNO12" s="15"/>
      <c r="JNP12" s="15"/>
      <c r="JNQ12" s="15"/>
      <c r="JNR12" s="15"/>
      <c r="JNS12" s="15"/>
      <c r="JNT12" s="15"/>
      <c r="JNU12" s="15"/>
      <c r="JNV12" s="15"/>
      <c r="JNW12" s="15"/>
      <c r="JNX12" s="15"/>
      <c r="JNY12" s="15"/>
      <c r="JNZ12" s="15"/>
      <c r="JOA12" s="15"/>
      <c r="JOB12" s="15"/>
      <c r="JOC12" s="15"/>
      <c r="JOD12" s="15"/>
      <c r="JOE12" s="15"/>
      <c r="JOF12" s="15"/>
      <c r="JOG12" s="15"/>
      <c r="JOH12" s="15"/>
      <c r="JOI12" s="15"/>
      <c r="JOJ12" s="15"/>
      <c r="JOK12" s="15"/>
      <c r="JOL12" s="15"/>
      <c r="JOM12" s="15"/>
      <c r="JON12" s="15"/>
      <c r="JOO12" s="15"/>
      <c r="JOP12" s="15"/>
      <c r="JOQ12" s="15"/>
      <c r="JOR12" s="15"/>
      <c r="JOS12" s="15"/>
      <c r="JOT12" s="15"/>
      <c r="JOU12" s="15"/>
      <c r="JOV12" s="15"/>
      <c r="JOW12" s="15"/>
      <c r="JOX12" s="15"/>
      <c r="JOY12" s="15"/>
      <c r="JOZ12" s="15"/>
      <c r="JPA12" s="15"/>
      <c r="JPB12" s="15"/>
      <c r="JPC12" s="15"/>
      <c r="JPD12" s="15"/>
      <c r="JPE12" s="15"/>
      <c r="JPF12" s="15"/>
      <c r="JPG12" s="15"/>
      <c r="JPH12" s="15"/>
      <c r="JPI12" s="15"/>
      <c r="JPJ12" s="15"/>
      <c r="JPK12" s="15"/>
      <c r="JPL12" s="15"/>
      <c r="JPM12" s="15"/>
      <c r="JPN12" s="15"/>
      <c r="JPO12" s="15"/>
      <c r="JPP12" s="15"/>
      <c r="JPQ12" s="15"/>
      <c r="JPR12" s="15"/>
      <c r="JPS12" s="15"/>
      <c r="JPT12" s="15"/>
      <c r="JPU12" s="15"/>
      <c r="JPV12" s="15"/>
      <c r="JPW12" s="15"/>
      <c r="JPX12" s="15"/>
      <c r="JPY12" s="15"/>
      <c r="JPZ12" s="15"/>
      <c r="JQA12" s="15"/>
      <c r="JQB12" s="15"/>
      <c r="JQC12" s="15"/>
      <c r="JQD12" s="15"/>
      <c r="JQE12" s="15"/>
      <c r="JQF12" s="15"/>
      <c r="JQG12" s="15"/>
      <c r="JQH12" s="15"/>
      <c r="JQI12" s="15"/>
      <c r="JQJ12" s="15"/>
      <c r="JQK12" s="15"/>
      <c r="JQL12" s="15"/>
      <c r="JQM12" s="15"/>
      <c r="JQN12" s="15"/>
      <c r="JQO12" s="15"/>
      <c r="JQP12" s="15"/>
      <c r="JQQ12" s="15"/>
      <c r="JQR12" s="15"/>
      <c r="JQS12" s="15"/>
      <c r="JQT12" s="15"/>
      <c r="JQU12" s="15"/>
      <c r="JQV12" s="15"/>
      <c r="JQW12" s="15"/>
      <c r="JQX12" s="15"/>
      <c r="JQY12" s="15"/>
      <c r="JQZ12" s="15"/>
      <c r="JRA12" s="15"/>
      <c r="JRB12" s="15"/>
      <c r="JRC12" s="15"/>
      <c r="JRD12" s="15"/>
      <c r="JRE12" s="15"/>
      <c r="JRF12" s="15"/>
      <c r="JRG12" s="15"/>
      <c r="JRH12" s="15"/>
      <c r="JRI12" s="15"/>
      <c r="JRJ12" s="15"/>
      <c r="JRK12" s="15"/>
      <c r="JRL12" s="15"/>
      <c r="JRM12" s="15"/>
      <c r="JRN12" s="15"/>
      <c r="JRO12" s="15"/>
      <c r="JRP12" s="15"/>
      <c r="JRQ12" s="15"/>
      <c r="JRR12" s="15"/>
      <c r="JRS12" s="15"/>
      <c r="JRT12" s="15"/>
      <c r="JRU12" s="15"/>
      <c r="JRV12" s="15"/>
      <c r="JRW12" s="15"/>
      <c r="JRX12" s="15"/>
      <c r="JRY12" s="15"/>
      <c r="JRZ12" s="15"/>
      <c r="JSA12" s="15"/>
      <c r="JSB12" s="15"/>
      <c r="JSC12" s="15"/>
      <c r="JSD12" s="15"/>
      <c r="JSE12" s="15"/>
      <c r="JSF12" s="15"/>
      <c r="JSG12" s="15"/>
      <c r="JSH12" s="15"/>
      <c r="JSI12" s="15"/>
      <c r="JSJ12" s="15"/>
      <c r="JSK12" s="15"/>
      <c r="JSL12" s="15"/>
      <c r="JSM12" s="15"/>
      <c r="JSN12" s="15"/>
      <c r="JSO12" s="15"/>
      <c r="JSP12" s="15"/>
      <c r="JSQ12" s="15"/>
      <c r="JSR12" s="15"/>
      <c r="JSS12" s="15"/>
      <c r="JST12" s="15"/>
      <c r="JSU12" s="15"/>
      <c r="JSV12" s="15"/>
      <c r="JSW12" s="15"/>
      <c r="JSX12" s="15"/>
      <c r="JSY12" s="15"/>
      <c r="JSZ12" s="15"/>
      <c r="JTA12" s="15"/>
      <c r="JTB12" s="15"/>
      <c r="JTC12" s="15"/>
      <c r="JTD12" s="15"/>
      <c r="JTE12" s="15"/>
      <c r="JTF12" s="15"/>
      <c r="JTG12" s="15"/>
      <c r="JTH12" s="15"/>
      <c r="JTI12" s="15"/>
      <c r="JTJ12" s="15"/>
      <c r="JTK12" s="15"/>
      <c r="JTL12" s="15"/>
      <c r="JTM12" s="15"/>
      <c r="JTN12" s="15"/>
      <c r="JTO12" s="15"/>
      <c r="JTP12" s="15"/>
      <c r="JTQ12" s="15"/>
      <c r="JTR12" s="15"/>
      <c r="JTS12" s="15"/>
      <c r="JTT12" s="15"/>
      <c r="JTU12" s="15"/>
      <c r="JTV12" s="15"/>
      <c r="JTW12" s="15"/>
      <c r="JTX12" s="15"/>
      <c r="JTY12" s="15"/>
      <c r="JTZ12" s="15"/>
      <c r="JUA12" s="15"/>
      <c r="JUB12" s="15"/>
      <c r="JUC12" s="15"/>
      <c r="JUD12" s="15"/>
      <c r="JUE12" s="15"/>
      <c r="JUF12" s="15"/>
      <c r="JUG12" s="15"/>
      <c r="JUH12" s="15"/>
      <c r="JUI12" s="15"/>
      <c r="JUJ12" s="15"/>
      <c r="JUK12" s="15"/>
      <c r="JUL12" s="15"/>
      <c r="JUM12" s="15"/>
      <c r="JUN12" s="15"/>
      <c r="JUO12" s="15"/>
      <c r="JUP12" s="15"/>
      <c r="JUQ12" s="15"/>
      <c r="JUR12" s="15"/>
      <c r="JUS12" s="15"/>
      <c r="JUT12" s="15"/>
      <c r="JUU12" s="15"/>
      <c r="JUV12" s="15"/>
      <c r="JUW12" s="15"/>
      <c r="JUX12" s="15"/>
      <c r="JUY12" s="15"/>
      <c r="JUZ12" s="15"/>
      <c r="JVA12" s="15"/>
      <c r="JVB12" s="15"/>
      <c r="JVC12" s="15"/>
      <c r="JVD12" s="15"/>
      <c r="JVE12" s="15"/>
      <c r="JVF12" s="15"/>
      <c r="JVG12" s="15"/>
      <c r="JVH12" s="15"/>
      <c r="JVI12" s="15"/>
      <c r="JVJ12" s="15"/>
      <c r="JVK12" s="15"/>
      <c r="JVL12" s="15"/>
      <c r="JVM12" s="15"/>
      <c r="JVN12" s="15"/>
      <c r="JVO12" s="15"/>
      <c r="JVP12" s="15"/>
      <c r="JVQ12" s="15"/>
      <c r="JVR12" s="15"/>
      <c r="JVS12" s="15"/>
      <c r="JVT12" s="15"/>
      <c r="JVU12" s="15"/>
      <c r="JVV12" s="15"/>
      <c r="JVW12" s="15"/>
      <c r="JVX12" s="15"/>
      <c r="JVY12" s="15"/>
      <c r="JVZ12" s="15"/>
      <c r="JWA12" s="15"/>
      <c r="JWB12" s="15"/>
      <c r="JWC12" s="15"/>
      <c r="JWD12" s="15"/>
      <c r="JWE12" s="15"/>
      <c r="JWF12" s="15"/>
      <c r="JWG12" s="15"/>
      <c r="JWH12" s="15"/>
      <c r="JWI12" s="15"/>
      <c r="JWJ12" s="15"/>
      <c r="JWK12" s="15"/>
      <c r="JWL12" s="15"/>
      <c r="JWM12" s="15"/>
      <c r="JWN12" s="15"/>
      <c r="JWO12" s="15"/>
      <c r="JWP12" s="15"/>
      <c r="JWQ12" s="15"/>
      <c r="JWR12" s="15"/>
      <c r="JWS12" s="15"/>
      <c r="JWT12" s="15"/>
      <c r="JWU12" s="15"/>
      <c r="JWV12" s="15"/>
      <c r="JWW12" s="15"/>
      <c r="JWX12" s="15"/>
      <c r="JWY12" s="15"/>
      <c r="JWZ12" s="15"/>
      <c r="JXA12" s="15"/>
      <c r="JXB12" s="15"/>
      <c r="JXC12" s="15"/>
      <c r="JXD12" s="15"/>
      <c r="JXE12" s="15"/>
      <c r="JXF12" s="15"/>
      <c r="JXG12" s="15"/>
      <c r="JXH12" s="15"/>
      <c r="JXI12" s="15"/>
      <c r="JXJ12" s="15"/>
      <c r="JXK12" s="15"/>
      <c r="JXL12" s="15"/>
      <c r="JXM12" s="15"/>
      <c r="JXN12" s="15"/>
      <c r="JXO12" s="15"/>
      <c r="JXP12" s="15"/>
      <c r="JXQ12" s="15"/>
      <c r="JXR12" s="15"/>
      <c r="JXS12" s="15"/>
      <c r="JXT12" s="15"/>
      <c r="JXU12" s="15"/>
      <c r="JXV12" s="15"/>
      <c r="JXW12" s="15"/>
      <c r="JXX12" s="15"/>
      <c r="JXY12" s="15"/>
      <c r="JXZ12" s="15"/>
      <c r="JYA12" s="15"/>
      <c r="JYB12" s="15"/>
      <c r="JYC12" s="15"/>
      <c r="JYD12" s="15"/>
      <c r="JYE12" s="15"/>
      <c r="JYF12" s="15"/>
      <c r="JYG12" s="15"/>
      <c r="JYH12" s="15"/>
      <c r="JYI12" s="15"/>
      <c r="JYJ12" s="15"/>
      <c r="JYK12" s="15"/>
      <c r="JYL12" s="15"/>
      <c r="JYM12" s="15"/>
      <c r="JYN12" s="15"/>
      <c r="JYO12" s="15"/>
      <c r="JYP12" s="15"/>
      <c r="JYQ12" s="15"/>
      <c r="JYR12" s="15"/>
      <c r="JYS12" s="15"/>
      <c r="JYT12" s="15"/>
      <c r="JYU12" s="15"/>
      <c r="JYV12" s="15"/>
      <c r="JYW12" s="15"/>
      <c r="JYX12" s="15"/>
      <c r="JYY12" s="15"/>
      <c r="JYZ12" s="15"/>
      <c r="JZA12" s="15"/>
      <c r="JZB12" s="15"/>
      <c r="JZC12" s="15"/>
      <c r="JZD12" s="15"/>
      <c r="JZE12" s="15"/>
      <c r="JZF12" s="15"/>
      <c r="JZG12" s="15"/>
      <c r="JZH12" s="15"/>
      <c r="JZI12" s="15"/>
      <c r="JZJ12" s="15"/>
      <c r="JZK12" s="15"/>
      <c r="JZL12" s="15"/>
      <c r="JZM12" s="15"/>
      <c r="JZN12" s="15"/>
      <c r="JZO12" s="15"/>
      <c r="JZP12" s="15"/>
      <c r="JZQ12" s="15"/>
      <c r="JZR12" s="15"/>
      <c r="JZS12" s="15"/>
      <c r="JZT12" s="15"/>
      <c r="JZU12" s="15"/>
      <c r="JZV12" s="15"/>
      <c r="JZW12" s="15"/>
      <c r="JZX12" s="15"/>
      <c r="JZY12" s="15"/>
      <c r="JZZ12" s="15"/>
      <c r="KAA12" s="15"/>
      <c r="KAB12" s="15"/>
      <c r="KAC12" s="15"/>
      <c r="KAD12" s="15"/>
      <c r="KAE12" s="15"/>
      <c r="KAF12" s="15"/>
      <c r="KAG12" s="15"/>
      <c r="KAH12" s="15"/>
      <c r="KAI12" s="15"/>
      <c r="KAJ12" s="15"/>
      <c r="KAK12" s="15"/>
      <c r="KAL12" s="15"/>
      <c r="KAM12" s="15"/>
      <c r="KAN12" s="15"/>
      <c r="KAO12" s="15"/>
      <c r="KAP12" s="15"/>
      <c r="KAQ12" s="15"/>
      <c r="KAR12" s="15"/>
      <c r="KAS12" s="15"/>
      <c r="KAT12" s="15"/>
      <c r="KAU12" s="15"/>
      <c r="KAV12" s="15"/>
      <c r="KAW12" s="15"/>
      <c r="KAX12" s="15"/>
      <c r="KAY12" s="15"/>
      <c r="KAZ12" s="15"/>
      <c r="KBA12" s="15"/>
      <c r="KBB12" s="15"/>
      <c r="KBC12" s="15"/>
      <c r="KBD12" s="15"/>
      <c r="KBE12" s="15"/>
      <c r="KBF12" s="15"/>
      <c r="KBG12" s="15"/>
      <c r="KBH12" s="15"/>
      <c r="KBI12" s="15"/>
      <c r="KBJ12" s="15"/>
      <c r="KBK12" s="15"/>
      <c r="KBL12" s="15"/>
      <c r="KBM12" s="15"/>
      <c r="KBN12" s="15"/>
      <c r="KBO12" s="15"/>
      <c r="KBP12" s="15"/>
      <c r="KBQ12" s="15"/>
      <c r="KBR12" s="15"/>
      <c r="KBS12" s="15"/>
      <c r="KBT12" s="15"/>
      <c r="KBU12" s="15"/>
      <c r="KBV12" s="15"/>
      <c r="KBW12" s="15"/>
      <c r="KBX12" s="15"/>
      <c r="KBY12" s="15"/>
      <c r="KBZ12" s="15"/>
      <c r="KCA12" s="15"/>
      <c r="KCB12" s="15"/>
      <c r="KCC12" s="15"/>
      <c r="KCD12" s="15"/>
      <c r="KCE12" s="15"/>
      <c r="KCF12" s="15"/>
      <c r="KCG12" s="15"/>
      <c r="KCH12" s="15"/>
      <c r="KCI12" s="15"/>
      <c r="KCJ12" s="15"/>
      <c r="KCK12" s="15"/>
      <c r="KCL12" s="15"/>
      <c r="KCM12" s="15"/>
      <c r="KCN12" s="15"/>
      <c r="KCO12" s="15"/>
      <c r="KCP12" s="15"/>
      <c r="KCQ12" s="15"/>
      <c r="KCR12" s="15"/>
      <c r="KCS12" s="15"/>
      <c r="KCT12" s="15"/>
      <c r="KCU12" s="15"/>
      <c r="KCV12" s="15"/>
      <c r="KCW12" s="15"/>
      <c r="KCX12" s="15"/>
      <c r="KCY12" s="15"/>
      <c r="KCZ12" s="15"/>
      <c r="KDA12" s="15"/>
      <c r="KDB12" s="15"/>
      <c r="KDC12" s="15"/>
      <c r="KDD12" s="15"/>
      <c r="KDE12" s="15"/>
      <c r="KDF12" s="15"/>
      <c r="KDG12" s="15"/>
      <c r="KDH12" s="15"/>
      <c r="KDI12" s="15"/>
      <c r="KDJ12" s="15"/>
      <c r="KDK12" s="15"/>
      <c r="KDL12" s="15"/>
      <c r="KDM12" s="15"/>
      <c r="KDN12" s="15"/>
      <c r="KDO12" s="15"/>
      <c r="KDP12" s="15"/>
      <c r="KDQ12" s="15"/>
      <c r="KDR12" s="15"/>
      <c r="KDS12" s="15"/>
      <c r="KDT12" s="15"/>
      <c r="KDU12" s="15"/>
      <c r="KDV12" s="15"/>
      <c r="KDW12" s="15"/>
      <c r="KDX12" s="15"/>
      <c r="KDY12" s="15"/>
      <c r="KDZ12" s="15"/>
      <c r="KEA12" s="15"/>
      <c r="KEB12" s="15"/>
      <c r="KEC12" s="15"/>
      <c r="KED12" s="15"/>
      <c r="KEE12" s="15"/>
      <c r="KEF12" s="15"/>
      <c r="KEG12" s="15"/>
      <c r="KEH12" s="15"/>
      <c r="KEI12" s="15"/>
      <c r="KEJ12" s="15"/>
      <c r="KEK12" s="15"/>
      <c r="KEL12" s="15"/>
      <c r="KEM12" s="15"/>
      <c r="KEN12" s="15"/>
      <c r="KEO12" s="15"/>
      <c r="KEP12" s="15"/>
      <c r="KEQ12" s="15"/>
      <c r="KER12" s="15"/>
      <c r="KES12" s="15"/>
      <c r="KET12" s="15"/>
      <c r="KEU12" s="15"/>
      <c r="KEV12" s="15"/>
      <c r="KEW12" s="15"/>
      <c r="KEX12" s="15"/>
      <c r="KEY12" s="15"/>
      <c r="KEZ12" s="15"/>
      <c r="KFA12" s="15"/>
      <c r="KFB12" s="15"/>
      <c r="KFC12" s="15"/>
      <c r="KFD12" s="15"/>
      <c r="KFE12" s="15"/>
      <c r="KFF12" s="15"/>
      <c r="KFG12" s="15"/>
      <c r="KFH12" s="15"/>
      <c r="KFI12" s="15"/>
      <c r="KFJ12" s="15"/>
      <c r="KFK12" s="15"/>
      <c r="KFL12" s="15"/>
      <c r="KFM12" s="15"/>
      <c r="KFN12" s="15"/>
      <c r="KFO12" s="15"/>
      <c r="KFP12" s="15"/>
      <c r="KFQ12" s="15"/>
      <c r="KFR12" s="15"/>
      <c r="KFS12" s="15"/>
      <c r="KFT12" s="15"/>
      <c r="KFU12" s="15"/>
      <c r="KFV12" s="15"/>
      <c r="KFW12" s="15"/>
      <c r="KFX12" s="15"/>
      <c r="KFY12" s="15"/>
      <c r="KFZ12" s="15"/>
      <c r="KGA12" s="15"/>
      <c r="KGB12" s="15"/>
      <c r="KGC12" s="15"/>
      <c r="KGD12" s="15"/>
      <c r="KGE12" s="15"/>
      <c r="KGF12" s="15"/>
      <c r="KGG12" s="15"/>
      <c r="KGH12" s="15"/>
      <c r="KGI12" s="15"/>
      <c r="KGJ12" s="15"/>
      <c r="KGK12" s="15"/>
      <c r="KGL12" s="15"/>
      <c r="KGM12" s="15"/>
      <c r="KGN12" s="15"/>
      <c r="KGO12" s="15"/>
      <c r="KGP12" s="15"/>
      <c r="KGQ12" s="15"/>
      <c r="KGR12" s="15"/>
      <c r="KGS12" s="15"/>
      <c r="KGT12" s="15"/>
      <c r="KGU12" s="15"/>
      <c r="KGV12" s="15"/>
      <c r="KGW12" s="15"/>
      <c r="KGX12" s="15"/>
      <c r="KGY12" s="15"/>
      <c r="KGZ12" s="15"/>
      <c r="KHA12" s="15"/>
      <c r="KHB12" s="15"/>
      <c r="KHC12" s="15"/>
      <c r="KHD12" s="15"/>
      <c r="KHE12" s="15"/>
      <c r="KHF12" s="15"/>
      <c r="KHG12" s="15"/>
      <c r="KHH12" s="15"/>
      <c r="KHI12" s="15"/>
      <c r="KHJ12" s="15"/>
      <c r="KHK12" s="15"/>
      <c r="KHL12" s="15"/>
      <c r="KHM12" s="15"/>
      <c r="KHN12" s="15"/>
      <c r="KHO12" s="15"/>
      <c r="KHP12" s="15"/>
      <c r="KHQ12" s="15"/>
      <c r="KHR12" s="15"/>
      <c r="KHS12" s="15"/>
      <c r="KHT12" s="15"/>
      <c r="KHU12" s="15"/>
      <c r="KHV12" s="15"/>
      <c r="KHW12" s="15"/>
      <c r="KHX12" s="15"/>
      <c r="KHY12" s="15"/>
      <c r="KHZ12" s="15"/>
      <c r="KIA12" s="15"/>
      <c r="KIB12" s="15"/>
      <c r="KIC12" s="15"/>
      <c r="KID12" s="15"/>
      <c r="KIE12" s="15"/>
      <c r="KIF12" s="15"/>
      <c r="KIG12" s="15"/>
      <c r="KIH12" s="15"/>
      <c r="KII12" s="15"/>
      <c r="KIJ12" s="15"/>
      <c r="KIK12" s="15"/>
      <c r="KIL12" s="15"/>
      <c r="KIM12" s="15"/>
      <c r="KIN12" s="15"/>
      <c r="KIO12" s="15"/>
      <c r="KIP12" s="15"/>
      <c r="KIQ12" s="15"/>
      <c r="KIR12" s="15"/>
      <c r="KIS12" s="15"/>
      <c r="KIT12" s="15"/>
      <c r="KIU12" s="15"/>
      <c r="KIV12" s="15"/>
      <c r="KIW12" s="15"/>
      <c r="KIX12" s="15"/>
      <c r="KIY12" s="15"/>
      <c r="KIZ12" s="15"/>
      <c r="KJA12" s="15"/>
      <c r="KJB12" s="15"/>
      <c r="KJC12" s="15"/>
      <c r="KJD12" s="15"/>
      <c r="KJE12" s="15"/>
      <c r="KJF12" s="15"/>
      <c r="KJG12" s="15"/>
      <c r="KJH12" s="15"/>
      <c r="KJI12" s="15"/>
      <c r="KJJ12" s="15"/>
      <c r="KJK12" s="15"/>
      <c r="KJL12" s="15"/>
      <c r="KJM12" s="15"/>
      <c r="KJN12" s="15"/>
      <c r="KJO12" s="15"/>
      <c r="KJP12" s="15"/>
      <c r="KJQ12" s="15"/>
      <c r="KJR12" s="15"/>
      <c r="KJS12" s="15"/>
      <c r="KJT12" s="15"/>
      <c r="KJU12" s="15"/>
      <c r="KJV12" s="15"/>
      <c r="KJW12" s="15"/>
      <c r="KJX12" s="15"/>
      <c r="KJY12" s="15"/>
      <c r="KJZ12" s="15"/>
      <c r="KKA12" s="15"/>
      <c r="KKB12" s="15"/>
      <c r="KKC12" s="15"/>
      <c r="KKD12" s="15"/>
      <c r="KKE12" s="15"/>
      <c r="KKF12" s="15"/>
      <c r="KKG12" s="15"/>
      <c r="KKH12" s="15"/>
      <c r="KKI12" s="15"/>
      <c r="KKJ12" s="15"/>
      <c r="KKK12" s="15"/>
      <c r="KKL12" s="15"/>
      <c r="KKM12" s="15"/>
      <c r="KKN12" s="15"/>
      <c r="KKO12" s="15"/>
      <c r="KKP12" s="15"/>
      <c r="KKQ12" s="15"/>
      <c r="KKR12" s="15"/>
      <c r="KKS12" s="15"/>
      <c r="KKT12" s="15"/>
      <c r="KKU12" s="15"/>
      <c r="KKV12" s="15"/>
      <c r="KKW12" s="15"/>
      <c r="KKX12" s="15"/>
      <c r="KKY12" s="15"/>
      <c r="KKZ12" s="15"/>
      <c r="KLA12" s="15"/>
      <c r="KLB12" s="15"/>
      <c r="KLC12" s="15"/>
      <c r="KLD12" s="15"/>
      <c r="KLE12" s="15"/>
      <c r="KLF12" s="15"/>
      <c r="KLG12" s="15"/>
      <c r="KLH12" s="15"/>
      <c r="KLI12" s="15"/>
      <c r="KLJ12" s="15"/>
      <c r="KLK12" s="15"/>
      <c r="KLL12" s="15"/>
      <c r="KLM12" s="15"/>
      <c r="KLN12" s="15"/>
      <c r="KLO12" s="15"/>
      <c r="KLP12" s="15"/>
      <c r="KLQ12" s="15"/>
      <c r="KLR12" s="15"/>
      <c r="KLS12" s="15"/>
      <c r="KLT12" s="15"/>
      <c r="KLU12" s="15"/>
      <c r="KLV12" s="15"/>
      <c r="KLW12" s="15"/>
      <c r="KLX12" s="15"/>
      <c r="KLY12" s="15"/>
      <c r="KLZ12" s="15"/>
      <c r="KMA12" s="15"/>
      <c r="KMB12" s="15"/>
      <c r="KMC12" s="15"/>
      <c r="KMD12" s="15"/>
      <c r="KME12" s="15"/>
      <c r="KMF12" s="15"/>
      <c r="KMG12" s="15"/>
      <c r="KMH12" s="15"/>
      <c r="KMI12" s="15"/>
      <c r="KMJ12" s="15"/>
      <c r="KMK12" s="15"/>
      <c r="KML12" s="15"/>
      <c r="KMM12" s="15"/>
      <c r="KMN12" s="15"/>
      <c r="KMO12" s="15"/>
      <c r="KMP12" s="15"/>
      <c r="KMQ12" s="15"/>
      <c r="KMR12" s="15"/>
      <c r="KMS12" s="15"/>
      <c r="KMT12" s="15"/>
      <c r="KMU12" s="15"/>
      <c r="KMV12" s="15"/>
      <c r="KMW12" s="15"/>
      <c r="KMX12" s="15"/>
      <c r="KMY12" s="15"/>
      <c r="KMZ12" s="15"/>
      <c r="KNA12" s="15"/>
      <c r="KNB12" s="15"/>
      <c r="KNC12" s="15"/>
      <c r="KND12" s="15"/>
      <c r="KNE12" s="15"/>
      <c r="KNF12" s="15"/>
      <c r="KNG12" s="15"/>
      <c r="KNH12" s="15"/>
      <c r="KNI12" s="15"/>
      <c r="KNJ12" s="15"/>
      <c r="KNK12" s="15"/>
      <c r="KNL12" s="15"/>
      <c r="KNM12" s="15"/>
      <c r="KNN12" s="15"/>
      <c r="KNO12" s="15"/>
      <c r="KNP12" s="15"/>
      <c r="KNQ12" s="15"/>
      <c r="KNR12" s="15"/>
      <c r="KNS12" s="15"/>
      <c r="KNT12" s="15"/>
      <c r="KNU12" s="15"/>
      <c r="KNV12" s="15"/>
      <c r="KNW12" s="15"/>
      <c r="KNX12" s="15"/>
      <c r="KNY12" s="15"/>
      <c r="KNZ12" s="15"/>
      <c r="KOA12" s="15"/>
      <c r="KOB12" s="15"/>
      <c r="KOC12" s="15"/>
      <c r="KOD12" s="15"/>
      <c r="KOE12" s="15"/>
      <c r="KOF12" s="15"/>
      <c r="KOG12" s="15"/>
      <c r="KOH12" s="15"/>
      <c r="KOI12" s="15"/>
      <c r="KOJ12" s="15"/>
      <c r="KOK12" s="15"/>
      <c r="KOL12" s="15"/>
      <c r="KOM12" s="15"/>
      <c r="KON12" s="15"/>
      <c r="KOO12" s="15"/>
      <c r="KOP12" s="15"/>
      <c r="KOQ12" s="15"/>
      <c r="KOR12" s="15"/>
      <c r="KOS12" s="15"/>
      <c r="KOT12" s="15"/>
      <c r="KOU12" s="15"/>
      <c r="KOV12" s="15"/>
      <c r="KOW12" s="15"/>
      <c r="KOX12" s="15"/>
      <c r="KOY12" s="15"/>
      <c r="KOZ12" s="15"/>
      <c r="KPA12" s="15"/>
      <c r="KPB12" s="15"/>
      <c r="KPC12" s="15"/>
      <c r="KPD12" s="15"/>
      <c r="KPE12" s="15"/>
      <c r="KPF12" s="15"/>
      <c r="KPG12" s="15"/>
      <c r="KPH12" s="15"/>
      <c r="KPI12" s="15"/>
      <c r="KPJ12" s="15"/>
      <c r="KPK12" s="15"/>
      <c r="KPL12" s="15"/>
      <c r="KPM12" s="15"/>
      <c r="KPN12" s="15"/>
      <c r="KPO12" s="15"/>
      <c r="KPP12" s="15"/>
      <c r="KPQ12" s="15"/>
      <c r="KPR12" s="15"/>
      <c r="KPS12" s="15"/>
      <c r="KPT12" s="15"/>
      <c r="KPU12" s="15"/>
      <c r="KPV12" s="15"/>
      <c r="KPW12" s="15"/>
      <c r="KPX12" s="15"/>
      <c r="KPY12" s="15"/>
      <c r="KPZ12" s="15"/>
      <c r="KQA12" s="15"/>
      <c r="KQB12" s="15"/>
      <c r="KQC12" s="15"/>
      <c r="KQD12" s="15"/>
      <c r="KQE12" s="15"/>
      <c r="KQF12" s="15"/>
      <c r="KQG12" s="15"/>
      <c r="KQH12" s="15"/>
      <c r="KQI12" s="15"/>
      <c r="KQJ12" s="15"/>
      <c r="KQK12" s="15"/>
      <c r="KQL12" s="15"/>
      <c r="KQM12" s="15"/>
      <c r="KQN12" s="15"/>
      <c r="KQO12" s="15"/>
      <c r="KQP12" s="15"/>
      <c r="KQQ12" s="15"/>
      <c r="KQR12" s="15"/>
      <c r="KQS12" s="15"/>
      <c r="KQT12" s="15"/>
      <c r="KQU12" s="15"/>
      <c r="KQV12" s="15"/>
      <c r="KQW12" s="15"/>
      <c r="KQX12" s="15"/>
      <c r="KQY12" s="15"/>
      <c r="KQZ12" s="15"/>
      <c r="KRA12" s="15"/>
      <c r="KRB12" s="15"/>
      <c r="KRC12" s="15"/>
      <c r="KRD12" s="15"/>
      <c r="KRE12" s="15"/>
      <c r="KRF12" s="15"/>
      <c r="KRG12" s="15"/>
      <c r="KRH12" s="15"/>
      <c r="KRI12" s="15"/>
      <c r="KRJ12" s="15"/>
      <c r="KRK12" s="15"/>
      <c r="KRL12" s="15"/>
      <c r="KRM12" s="15"/>
      <c r="KRN12" s="15"/>
      <c r="KRO12" s="15"/>
      <c r="KRP12" s="15"/>
      <c r="KRQ12" s="15"/>
      <c r="KRR12" s="15"/>
      <c r="KRS12" s="15"/>
      <c r="KRT12" s="15"/>
      <c r="KRU12" s="15"/>
      <c r="KRV12" s="15"/>
      <c r="KRW12" s="15"/>
      <c r="KRX12" s="15"/>
      <c r="KRY12" s="15"/>
      <c r="KRZ12" s="15"/>
      <c r="KSA12" s="15"/>
      <c r="KSB12" s="15"/>
      <c r="KSC12" s="15"/>
      <c r="KSD12" s="15"/>
      <c r="KSE12" s="15"/>
      <c r="KSF12" s="15"/>
      <c r="KSG12" s="15"/>
      <c r="KSH12" s="15"/>
      <c r="KSI12" s="15"/>
      <c r="KSJ12" s="15"/>
      <c r="KSK12" s="15"/>
      <c r="KSL12" s="15"/>
      <c r="KSM12" s="15"/>
      <c r="KSN12" s="15"/>
      <c r="KSO12" s="15"/>
      <c r="KSP12" s="15"/>
      <c r="KSQ12" s="15"/>
      <c r="KSR12" s="15"/>
      <c r="KSS12" s="15"/>
      <c r="KST12" s="15"/>
      <c r="KSU12" s="15"/>
      <c r="KSV12" s="15"/>
      <c r="KSW12" s="15"/>
      <c r="KSX12" s="15"/>
      <c r="KSY12" s="15"/>
      <c r="KSZ12" s="15"/>
      <c r="KTA12" s="15"/>
      <c r="KTB12" s="15"/>
      <c r="KTC12" s="15"/>
      <c r="KTD12" s="15"/>
      <c r="KTE12" s="15"/>
      <c r="KTF12" s="15"/>
      <c r="KTG12" s="15"/>
      <c r="KTH12" s="15"/>
      <c r="KTI12" s="15"/>
      <c r="KTJ12" s="15"/>
      <c r="KTK12" s="15"/>
      <c r="KTL12" s="15"/>
      <c r="KTM12" s="15"/>
      <c r="KTN12" s="15"/>
      <c r="KTO12" s="15"/>
      <c r="KTP12" s="15"/>
      <c r="KTQ12" s="15"/>
      <c r="KTR12" s="15"/>
      <c r="KTS12" s="15"/>
      <c r="KTT12" s="15"/>
      <c r="KTU12" s="15"/>
      <c r="KTV12" s="15"/>
      <c r="KTW12" s="15"/>
      <c r="KTX12" s="15"/>
      <c r="KTY12" s="15"/>
      <c r="KTZ12" s="15"/>
      <c r="KUA12" s="15"/>
      <c r="KUB12" s="15"/>
      <c r="KUC12" s="15"/>
      <c r="KUD12" s="15"/>
      <c r="KUE12" s="15"/>
      <c r="KUF12" s="15"/>
      <c r="KUG12" s="15"/>
      <c r="KUH12" s="15"/>
      <c r="KUI12" s="15"/>
      <c r="KUJ12" s="15"/>
      <c r="KUK12" s="15"/>
      <c r="KUL12" s="15"/>
      <c r="KUM12" s="15"/>
      <c r="KUN12" s="15"/>
      <c r="KUO12" s="15"/>
      <c r="KUP12" s="15"/>
      <c r="KUQ12" s="15"/>
      <c r="KUR12" s="15"/>
      <c r="KUS12" s="15"/>
      <c r="KUT12" s="15"/>
      <c r="KUU12" s="15"/>
      <c r="KUV12" s="15"/>
      <c r="KUW12" s="15"/>
      <c r="KUX12" s="15"/>
      <c r="KUY12" s="15"/>
      <c r="KUZ12" s="15"/>
      <c r="KVA12" s="15"/>
      <c r="KVB12" s="15"/>
      <c r="KVC12" s="15"/>
      <c r="KVD12" s="15"/>
      <c r="KVE12" s="15"/>
      <c r="KVF12" s="15"/>
      <c r="KVG12" s="15"/>
      <c r="KVH12" s="15"/>
      <c r="KVI12" s="15"/>
      <c r="KVJ12" s="15"/>
      <c r="KVK12" s="15"/>
      <c r="KVL12" s="15"/>
      <c r="KVM12" s="15"/>
      <c r="KVN12" s="15"/>
      <c r="KVO12" s="15"/>
      <c r="KVP12" s="15"/>
      <c r="KVQ12" s="15"/>
      <c r="KVR12" s="15"/>
      <c r="KVS12" s="15"/>
      <c r="KVT12" s="15"/>
      <c r="KVU12" s="15"/>
      <c r="KVV12" s="15"/>
      <c r="KVW12" s="15"/>
      <c r="KVX12" s="15"/>
      <c r="KVY12" s="15"/>
      <c r="KVZ12" s="15"/>
      <c r="KWA12" s="15"/>
      <c r="KWB12" s="15"/>
      <c r="KWC12" s="15"/>
      <c r="KWD12" s="15"/>
      <c r="KWE12" s="15"/>
      <c r="KWF12" s="15"/>
      <c r="KWG12" s="15"/>
      <c r="KWH12" s="15"/>
      <c r="KWI12" s="15"/>
      <c r="KWJ12" s="15"/>
      <c r="KWK12" s="15"/>
      <c r="KWL12" s="15"/>
      <c r="KWM12" s="15"/>
      <c r="KWN12" s="15"/>
      <c r="KWO12" s="15"/>
      <c r="KWP12" s="15"/>
      <c r="KWQ12" s="15"/>
      <c r="KWR12" s="15"/>
      <c r="KWS12" s="15"/>
      <c r="KWT12" s="15"/>
      <c r="KWU12" s="15"/>
      <c r="KWV12" s="15"/>
      <c r="KWW12" s="15"/>
      <c r="KWX12" s="15"/>
      <c r="KWY12" s="15"/>
      <c r="KWZ12" s="15"/>
      <c r="KXA12" s="15"/>
      <c r="KXB12" s="15"/>
      <c r="KXC12" s="15"/>
      <c r="KXD12" s="15"/>
      <c r="KXE12" s="15"/>
      <c r="KXF12" s="15"/>
      <c r="KXG12" s="15"/>
      <c r="KXH12" s="15"/>
      <c r="KXI12" s="15"/>
      <c r="KXJ12" s="15"/>
      <c r="KXK12" s="15"/>
      <c r="KXL12" s="15"/>
      <c r="KXM12" s="15"/>
      <c r="KXN12" s="15"/>
      <c r="KXO12" s="15"/>
      <c r="KXP12" s="15"/>
      <c r="KXQ12" s="15"/>
      <c r="KXR12" s="15"/>
      <c r="KXS12" s="15"/>
      <c r="KXT12" s="15"/>
      <c r="KXU12" s="15"/>
      <c r="KXV12" s="15"/>
      <c r="KXW12" s="15"/>
      <c r="KXX12" s="15"/>
      <c r="KXY12" s="15"/>
      <c r="KXZ12" s="15"/>
      <c r="KYA12" s="15"/>
      <c r="KYB12" s="15"/>
      <c r="KYC12" s="15"/>
      <c r="KYD12" s="15"/>
      <c r="KYE12" s="15"/>
      <c r="KYF12" s="15"/>
      <c r="KYG12" s="15"/>
      <c r="KYH12" s="15"/>
      <c r="KYI12" s="15"/>
      <c r="KYJ12" s="15"/>
      <c r="KYK12" s="15"/>
      <c r="KYL12" s="15"/>
      <c r="KYM12" s="15"/>
      <c r="KYN12" s="15"/>
      <c r="KYO12" s="15"/>
      <c r="KYP12" s="15"/>
      <c r="KYQ12" s="15"/>
      <c r="KYR12" s="15"/>
      <c r="KYS12" s="15"/>
      <c r="KYT12" s="15"/>
      <c r="KYU12" s="15"/>
      <c r="KYV12" s="15"/>
      <c r="KYW12" s="15"/>
      <c r="KYX12" s="15"/>
      <c r="KYY12" s="15"/>
      <c r="KYZ12" s="15"/>
      <c r="KZA12" s="15"/>
      <c r="KZB12" s="15"/>
      <c r="KZC12" s="15"/>
      <c r="KZD12" s="15"/>
      <c r="KZE12" s="15"/>
      <c r="KZF12" s="15"/>
      <c r="KZG12" s="15"/>
      <c r="KZH12" s="15"/>
      <c r="KZI12" s="15"/>
      <c r="KZJ12" s="15"/>
      <c r="KZK12" s="15"/>
      <c r="KZL12" s="15"/>
      <c r="KZM12" s="15"/>
      <c r="KZN12" s="15"/>
      <c r="KZO12" s="15"/>
      <c r="KZP12" s="15"/>
      <c r="KZQ12" s="15"/>
      <c r="KZR12" s="15"/>
      <c r="KZS12" s="15"/>
      <c r="KZT12" s="15"/>
      <c r="KZU12" s="15"/>
      <c r="KZV12" s="15"/>
      <c r="KZW12" s="15"/>
      <c r="KZX12" s="15"/>
      <c r="KZY12" s="15"/>
      <c r="KZZ12" s="15"/>
      <c r="LAA12" s="15"/>
      <c r="LAB12" s="15"/>
      <c r="LAC12" s="15"/>
      <c r="LAD12" s="15"/>
      <c r="LAE12" s="15"/>
      <c r="LAF12" s="15"/>
      <c r="LAG12" s="15"/>
      <c r="LAH12" s="15"/>
      <c r="LAI12" s="15"/>
      <c r="LAJ12" s="15"/>
      <c r="LAK12" s="15"/>
      <c r="LAL12" s="15"/>
      <c r="LAM12" s="15"/>
      <c r="LAN12" s="15"/>
      <c r="LAO12" s="15"/>
      <c r="LAP12" s="15"/>
      <c r="LAQ12" s="15"/>
      <c r="LAR12" s="15"/>
      <c r="LAS12" s="15"/>
      <c r="LAT12" s="15"/>
      <c r="LAU12" s="15"/>
      <c r="LAV12" s="15"/>
      <c r="LAW12" s="15"/>
      <c r="LAX12" s="15"/>
      <c r="LAY12" s="15"/>
      <c r="LAZ12" s="15"/>
      <c r="LBA12" s="15"/>
      <c r="LBB12" s="15"/>
      <c r="LBC12" s="15"/>
      <c r="LBD12" s="15"/>
      <c r="LBE12" s="15"/>
      <c r="LBF12" s="15"/>
      <c r="LBG12" s="15"/>
      <c r="LBH12" s="15"/>
      <c r="LBI12" s="15"/>
      <c r="LBJ12" s="15"/>
      <c r="LBK12" s="15"/>
      <c r="LBL12" s="15"/>
      <c r="LBM12" s="15"/>
      <c r="LBN12" s="15"/>
      <c r="LBO12" s="15"/>
      <c r="LBP12" s="15"/>
      <c r="LBQ12" s="15"/>
      <c r="LBR12" s="15"/>
      <c r="LBS12" s="15"/>
      <c r="LBT12" s="15"/>
      <c r="LBU12" s="15"/>
      <c r="LBV12" s="15"/>
      <c r="LBW12" s="15"/>
      <c r="LBX12" s="15"/>
      <c r="LBY12" s="15"/>
      <c r="LBZ12" s="15"/>
      <c r="LCA12" s="15"/>
      <c r="LCB12" s="15"/>
      <c r="LCC12" s="15"/>
      <c r="LCD12" s="15"/>
      <c r="LCE12" s="15"/>
      <c r="LCF12" s="15"/>
      <c r="LCG12" s="15"/>
      <c r="LCH12" s="15"/>
      <c r="LCI12" s="15"/>
      <c r="LCJ12" s="15"/>
      <c r="LCK12" s="15"/>
      <c r="LCL12" s="15"/>
      <c r="LCM12" s="15"/>
      <c r="LCN12" s="15"/>
      <c r="LCO12" s="15"/>
      <c r="LCP12" s="15"/>
      <c r="LCQ12" s="15"/>
      <c r="LCR12" s="15"/>
      <c r="LCS12" s="15"/>
      <c r="LCT12" s="15"/>
      <c r="LCU12" s="15"/>
      <c r="LCV12" s="15"/>
      <c r="LCW12" s="15"/>
      <c r="LCX12" s="15"/>
      <c r="LCY12" s="15"/>
      <c r="LCZ12" s="15"/>
      <c r="LDA12" s="15"/>
      <c r="LDB12" s="15"/>
      <c r="LDC12" s="15"/>
      <c r="LDD12" s="15"/>
      <c r="LDE12" s="15"/>
      <c r="LDF12" s="15"/>
      <c r="LDG12" s="15"/>
      <c r="LDH12" s="15"/>
      <c r="LDI12" s="15"/>
      <c r="LDJ12" s="15"/>
      <c r="LDK12" s="15"/>
      <c r="LDL12" s="15"/>
      <c r="LDM12" s="15"/>
      <c r="LDN12" s="15"/>
      <c r="LDO12" s="15"/>
      <c r="LDP12" s="15"/>
      <c r="LDQ12" s="15"/>
      <c r="LDR12" s="15"/>
      <c r="LDS12" s="15"/>
      <c r="LDT12" s="15"/>
      <c r="LDU12" s="15"/>
      <c r="LDV12" s="15"/>
      <c r="LDW12" s="15"/>
      <c r="LDX12" s="15"/>
      <c r="LDY12" s="15"/>
      <c r="LDZ12" s="15"/>
      <c r="LEA12" s="15"/>
      <c r="LEB12" s="15"/>
      <c r="LEC12" s="15"/>
      <c r="LED12" s="15"/>
      <c r="LEE12" s="15"/>
      <c r="LEF12" s="15"/>
      <c r="LEG12" s="15"/>
      <c r="LEH12" s="15"/>
      <c r="LEI12" s="15"/>
      <c r="LEJ12" s="15"/>
      <c r="LEK12" s="15"/>
      <c r="LEL12" s="15"/>
      <c r="LEM12" s="15"/>
      <c r="LEN12" s="15"/>
      <c r="LEO12" s="15"/>
      <c r="LEP12" s="15"/>
      <c r="LEQ12" s="15"/>
      <c r="LER12" s="15"/>
      <c r="LES12" s="15"/>
      <c r="LET12" s="15"/>
      <c r="LEU12" s="15"/>
      <c r="LEV12" s="15"/>
      <c r="LEW12" s="15"/>
      <c r="LEX12" s="15"/>
      <c r="LEY12" s="15"/>
      <c r="LEZ12" s="15"/>
      <c r="LFA12" s="15"/>
      <c r="LFB12" s="15"/>
      <c r="LFC12" s="15"/>
      <c r="LFD12" s="15"/>
      <c r="LFE12" s="15"/>
      <c r="LFF12" s="15"/>
      <c r="LFG12" s="15"/>
      <c r="LFH12" s="15"/>
      <c r="LFI12" s="15"/>
      <c r="LFJ12" s="15"/>
      <c r="LFK12" s="15"/>
      <c r="LFL12" s="15"/>
      <c r="LFM12" s="15"/>
      <c r="LFN12" s="15"/>
      <c r="LFO12" s="15"/>
      <c r="LFP12" s="15"/>
      <c r="LFQ12" s="15"/>
      <c r="LFR12" s="15"/>
      <c r="LFS12" s="15"/>
      <c r="LFT12" s="15"/>
      <c r="LFU12" s="15"/>
      <c r="LFV12" s="15"/>
      <c r="LFW12" s="15"/>
      <c r="LFX12" s="15"/>
      <c r="LFY12" s="15"/>
      <c r="LFZ12" s="15"/>
      <c r="LGA12" s="15"/>
      <c r="LGB12" s="15"/>
      <c r="LGC12" s="15"/>
      <c r="LGD12" s="15"/>
      <c r="LGE12" s="15"/>
      <c r="LGF12" s="15"/>
      <c r="LGG12" s="15"/>
      <c r="LGH12" s="15"/>
      <c r="LGI12" s="15"/>
      <c r="LGJ12" s="15"/>
      <c r="LGK12" s="15"/>
      <c r="LGL12" s="15"/>
      <c r="LGM12" s="15"/>
      <c r="LGN12" s="15"/>
      <c r="LGO12" s="15"/>
      <c r="LGP12" s="15"/>
      <c r="LGQ12" s="15"/>
      <c r="LGR12" s="15"/>
      <c r="LGS12" s="15"/>
      <c r="LGT12" s="15"/>
      <c r="LGU12" s="15"/>
      <c r="LGV12" s="15"/>
      <c r="LGW12" s="15"/>
      <c r="LGX12" s="15"/>
      <c r="LGY12" s="15"/>
      <c r="LGZ12" s="15"/>
      <c r="LHA12" s="15"/>
      <c r="LHB12" s="15"/>
      <c r="LHC12" s="15"/>
      <c r="LHD12" s="15"/>
      <c r="LHE12" s="15"/>
      <c r="LHF12" s="15"/>
      <c r="LHG12" s="15"/>
      <c r="LHH12" s="15"/>
      <c r="LHI12" s="15"/>
      <c r="LHJ12" s="15"/>
      <c r="LHK12" s="15"/>
      <c r="LHL12" s="15"/>
      <c r="LHM12" s="15"/>
      <c r="LHN12" s="15"/>
      <c r="LHO12" s="15"/>
      <c r="LHP12" s="15"/>
      <c r="LHQ12" s="15"/>
      <c r="LHR12" s="15"/>
      <c r="LHS12" s="15"/>
      <c r="LHT12" s="15"/>
      <c r="LHU12" s="15"/>
      <c r="LHV12" s="15"/>
      <c r="LHW12" s="15"/>
      <c r="LHX12" s="15"/>
      <c r="LHY12" s="15"/>
      <c r="LHZ12" s="15"/>
      <c r="LIA12" s="15"/>
      <c r="LIB12" s="15"/>
      <c r="LIC12" s="15"/>
      <c r="LID12" s="15"/>
      <c r="LIE12" s="15"/>
      <c r="LIF12" s="15"/>
      <c r="LIG12" s="15"/>
      <c r="LIH12" s="15"/>
      <c r="LII12" s="15"/>
      <c r="LIJ12" s="15"/>
      <c r="LIK12" s="15"/>
      <c r="LIL12" s="15"/>
      <c r="LIM12" s="15"/>
      <c r="LIN12" s="15"/>
      <c r="LIO12" s="15"/>
      <c r="LIP12" s="15"/>
      <c r="LIQ12" s="15"/>
      <c r="LIR12" s="15"/>
      <c r="LIS12" s="15"/>
      <c r="LIT12" s="15"/>
      <c r="LIU12" s="15"/>
      <c r="LIV12" s="15"/>
      <c r="LIW12" s="15"/>
      <c r="LIX12" s="15"/>
      <c r="LIY12" s="15"/>
      <c r="LIZ12" s="15"/>
      <c r="LJA12" s="15"/>
      <c r="LJB12" s="15"/>
      <c r="LJC12" s="15"/>
      <c r="LJD12" s="15"/>
      <c r="LJE12" s="15"/>
      <c r="LJF12" s="15"/>
      <c r="LJG12" s="15"/>
      <c r="LJH12" s="15"/>
      <c r="LJI12" s="15"/>
      <c r="LJJ12" s="15"/>
      <c r="LJK12" s="15"/>
      <c r="LJL12" s="15"/>
      <c r="LJM12" s="15"/>
      <c r="LJN12" s="15"/>
      <c r="LJO12" s="15"/>
      <c r="LJP12" s="15"/>
      <c r="LJQ12" s="15"/>
      <c r="LJR12" s="15"/>
      <c r="LJS12" s="15"/>
      <c r="LJT12" s="15"/>
      <c r="LJU12" s="15"/>
      <c r="LJV12" s="15"/>
      <c r="LJW12" s="15"/>
      <c r="LJX12" s="15"/>
      <c r="LJY12" s="15"/>
      <c r="LJZ12" s="15"/>
      <c r="LKA12" s="15"/>
      <c r="LKB12" s="15"/>
      <c r="LKC12" s="15"/>
      <c r="LKD12" s="15"/>
      <c r="LKE12" s="15"/>
      <c r="LKF12" s="15"/>
      <c r="LKG12" s="15"/>
      <c r="LKH12" s="15"/>
      <c r="LKI12" s="15"/>
      <c r="LKJ12" s="15"/>
      <c r="LKK12" s="15"/>
      <c r="LKL12" s="15"/>
      <c r="LKM12" s="15"/>
      <c r="LKN12" s="15"/>
      <c r="LKO12" s="15"/>
      <c r="LKP12" s="15"/>
      <c r="LKQ12" s="15"/>
      <c r="LKR12" s="15"/>
      <c r="LKS12" s="15"/>
      <c r="LKT12" s="15"/>
      <c r="LKU12" s="15"/>
      <c r="LKV12" s="15"/>
      <c r="LKW12" s="15"/>
      <c r="LKX12" s="15"/>
      <c r="LKY12" s="15"/>
      <c r="LKZ12" s="15"/>
      <c r="LLA12" s="15"/>
      <c r="LLB12" s="15"/>
      <c r="LLC12" s="15"/>
      <c r="LLD12" s="15"/>
      <c r="LLE12" s="15"/>
      <c r="LLF12" s="15"/>
      <c r="LLG12" s="15"/>
      <c r="LLH12" s="15"/>
      <c r="LLI12" s="15"/>
      <c r="LLJ12" s="15"/>
      <c r="LLK12" s="15"/>
      <c r="LLL12" s="15"/>
      <c r="LLM12" s="15"/>
      <c r="LLN12" s="15"/>
      <c r="LLO12" s="15"/>
      <c r="LLP12" s="15"/>
      <c r="LLQ12" s="15"/>
      <c r="LLR12" s="15"/>
      <c r="LLS12" s="15"/>
      <c r="LLT12" s="15"/>
      <c r="LLU12" s="15"/>
      <c r="LLV12" s="15"/>
      <c r="LLW12" s="15"/>
      <c r="LLX12" s="15"/>
      <c r="LLY12" s="15"/>
      <c r="LLZ12" s="15"/>
      <c r="LMA12" s="15"/>
      <c r="LMB12" s="15"/>
      <c r="LMC12" s="15"/>
      <c r="LMD12" s="15"/>
      <c r="LME12" s="15"/>
      <c r="LMF12" s="15"/>
      <c r="LMG12" s="15"/>
      <c r="LMH12" s="15"/>
      <c r="LMI12" s="15"/>
      <c r="LMJ12" s="15"/>
      <c r="LMK12" s="15"/>
      <c r="LML12" s="15"/>
      <c r="LMM12" s="15"/>
      <c r="LMN12" s="15"/>
      <c r="LMO12" s="15"/>
      <c r="LMP12" s="15"/>
      <c r="LMQ12" s="15"/>
      <c r="LMR12" s="15"/>
      <c r="LMS12" s="15"/>
      <c r="LMT12" s="15"/>
      <c r="LMU12" s="15"/>
      <c r="LMV12" s="15"/>
      <c r="LMW12" s="15"/>
      <c r="LMX12" s="15"/>
      <c r="LMY12" s="15"/>
      <c r="LMZ12" s="15"/>
      <c r="LNA12" s="15"/>
      <c r="LNB12" s="15"/>
      <c r="LNC12" s="15"/>
      <c r="LND12" s="15"/>
      <c r="LNE12" s="15"/>
      <c r="LNF12" s="15"/>
      <c r="LNG12" s="15"/>
      <c r="LNH12" s="15"/>
      <c r="LNI12" s="15"/>
      <c r="LNJ12" s="15"/>
      <c r="LNK12" s="15"/>
      <c r="LNL12" s="15"/>
      <c r="LNM12" s="15"/>
      <c r="LNN12" s="15"/>
      <c r="LNO12" s="15"/>
      <c r="LNP12" s="15"/>
      <c r="LNQ12" s="15"/>
      <c r="LNR12" s="15"/>
      <c r="LNS12" s="15"/>
      <c r="LNT12" s="15"/>
      <c r="LNU12" s="15"/>
      <c r="LNV12" s="15"/>
      <c r="LNW12" s="15"/>
      <c r="LNX12" s="15"/>
      <c r="LNY12" s="15"/>
      <c r="LNZ12" s="15"/>
      <c r="LOA12" s="15"/>
      <c r="LOB12" s="15"/>
      <c r="LOC12" s="15"/>
      <c r="LOD12" s="15"/>
      <c r="LOE12" s="15"/>
      <c r="LOF12" s="15"/>
      <c r="LOG12" s="15"/>
      <c r="LOH12" s="15"/>
      <c r="LOI12" s="15"/>
      <c r="LOJ12" s="15"/>
      <c r="LOK12" s="15"/>
      <c r="LOL12" s="15"/>
      <c r="LOM12" s="15"/>
      <c r="LON12" s="15"/>
      <c r="LOO12" s="15"/>
      <c r="LOP12" s="15"/>
      <c r="LOQ12" s="15"/>
      <c r="LOR12" s="15"/>
      <c r="LOS12" s="15"/>
      <c r="LOT12" s="15"/>
      <c r="LOU12" s="15"/>
      <c r="LOV12" s="15"/>
      <c r="LOW12" s="15"/>
      <c r="LOX12" s="15"/>
      <c r="LOY12" s="15"/>
      <c r="LOZ12" s="15"/>
      <c r="LPA12" s="15"/>
      <c r="LPB12" s="15"/>
      <c r="LPC12" s="15"/>
      <c r="LPD12" s="15"/>
      <c r="LPE12" s="15"/>
      <c r="LPF12" s="15"/>
      <c r="LPG12" s="15"/>
      <c r="LPH12" s="15"/>
      <c r="LPI12" s="15"/>
      <c r="LPJ12" s="15"/>
      <c r="LPK12" s="15"/>
      <c r="LPL12" s="15"/>
      <c r="LPM12" s="15"/>
      <c r="LPN12" s="15"/>
      <c r="LPO12" s="15"/>
      <c r="LPP12" s="15"/>
      <c r="LPQ12" s="15"/>
      <c r="LPR12" s="15"/>
      <c r="LPS12" s="15"/>
      <c r="LPT12" s="15"/>
      <c r="LPU12" s="15"/>
      <c r="LPV12" s="15"/>
      <c r="LPW12" s="15"/>
      <c r="LPX12" s="15"/>
      <c r="LPY12" s="15"/>
      <c r="LPZ12" s="15"/>
      <c r="LQA12" s="15"/>
      <c r="LQB12" s="15"/>
      <c r="LQC12" s="15"/>
      <c r="LQD12" s="15"/>
      <c r="LQE12" s="15"/>
      <c r="LQF12" s="15"/>
      <c r="LQG12" s="15"/>
      <c r="LQH12" s="15"/>
      <c r="LQI12" s="15"/>
      <c r="LQJ12" s="15"/>
      <c r="LQK12" s="15"/>
      <c r="LQL12" s="15"/>
      <c r="LQM12" s="15"/>
      <c r="LQN12" s="15"/>
      <c r="LQO12" s="15"/>
      <c r="LQP12" s="15"/>
      <c r="LQQ12" s="15"/>
      <c r="LQR12" s="15"/>
      <c r="LQS12" s="15"/>
      <c r="LQT12" s="15"/>
      <c r="LQU12" s="15"/>
      <c r="LQV12" s="15"/>
      <c r="LQW12" s="15"/>
      <c r="LQX12" s="15"/>
      <c r="LQY12" s="15"/>
      <c r="LQZ12" s="15"/>
      <c r="LRA12" s="15"/>
      <c r="LRB12" s="15"/>
      <c r="LRC12" s="15"/>
      <c r="LRD12" s="15"/>
      <c r="LRE12" s="15"/>
      <c r="LRF12" s="15"/>
      <c r="LRG12" s="15"/>
      <c r="LRH12" s="15"/>
      <c r="LRI12" s="15"/>
      <c r="LRJ12" s="15"/>
      <c r="LRK12" s="15"/>
      <c r="LRL12" s="15"/>
      <c r="LRM12" s="15"/>
      <c r="LRN12" s="15"/>
      <c r="LRO12" s="15"/>
      <c r="LRP12" s="15"/>
      <c r="LRQ12" s="15"/>
      <c r="LRR12" s="15"/>
      <c r="LRS12" s="15"/>
      <c r="LRT12" s="15"/>
      <c r="LRU12" s="15"/>
      <c r="LRV12" s="15"/>
      <c r="LRW12" s="15"/>
      <c r="LRX12" s="15"/>
      <c r="LRY12" s="15"/>
      <c r="LRZ12" s="15"/>
      <c r="LSA12" s="15"/>
      <c r="LSB12" s="15"/>
      <c r="LSC12" s="15"/>
      <c r="LSD12" s="15"/>
      <c r="LSE12" s="15"/>
      <c r="LSF12" s="15"/>
      <c r="LSG12" s="15"/>
      <c r="LSH12" s="15"/>
      <c r="LSI12" s="15"/>
      <c r="LSJ12" s="15"/>
      <c r="LSK12" s="15"/>
      <c r="LSL12" s="15"/>
      <c r="LSM12" s="15"/>
      <c r="LSN12" s="15"/>
      <c r="LSO12" s="15"/>
      <c r="LSP12" s="15"/>
      <c r="LSQ12" s="15"/>
      <c r="LSR12" s="15"/>
      <c r="LSS12" s="15"/>
      <c r="LST12" s="15"/>
      <c r="LSU12" s="15"/>
      <c r="LSV12" s="15"/>
      <c r="LSW12" s="15"/>
      <c r="LSX12" s="15"/>
      <c r="LSY12" s="15"/>
      <c r="LSZ12" s="15"/>
      <c r="LTA12" s="15"/>
      <c r="LTB12" s="15"/>
      <c r="LTC12" s="15"/>
      <c r="LTD12" s="15"/>
      <c r="LTE12" s="15"/>
      <c r="LTF12" s="15"/>
      <c r="LTG12" s="15"/>
      <c r="LTH12" s="15"/>
      <c r="LTI12" s="15"/>
      <c r="LTJ12" s="15"/>
      <c r="LTK12" s="15"/>
      <c r="LTL12" s="15"/>
      <c r="LTM12" s="15"/>
      <c r="LTN12" s="15"/>
      <c r="LTO12" s="15"/>
      <c r="LTP12" s="15"/>
      <c r="LTQ12" s="15"/>
      <c r="LTR12" s="15"/>
      <c r="LTS12" s="15"/>
      <c r="LTT12" s="15"/>
      <c r="LTU12" s="15"/>
      <c r="LTV12" s="15"/>
      <c r="LTW12" s="15"/>
      <c r="LTX12" s="15"/>
      <c r="LTY12" s="15"/>
      <c r="LTZ12" s="15"/>
      <c r="LUA12" s="15"/>
      <c r="LUB12" s="15"/>
      <c r="LUC12" s="15"/>
      <c r="LUD12" s="15"/>
      <c r="LUE12" s="15"/>
      <c r="LUF12" s="15"/>
      <c r="LUG12" s="15"/>
      <c r="LUH12" s="15"/>
      <c r="LUI12" s="15"/>
      <c r="LUJ12" s="15"/>
      <c r="LUK12" s="15"/>
      <c r="LUL12" s="15"/>
      <c r="LUM12" s="15"/>
      <c r="LUN12" s="15"/>
      <c r="LUO12" s="15"/>
      <c r="LUP12" s="15"/>
      <c r="LUQ12" s="15"/>
      <c r="LUR12" s="15"/>
      <c r="LUS12" s="15"/>
      <c r="LUT12" s="15"/>
      <c r="LUU12" s="15"/>
      <c r="LUV12" s="15"/>
      <c r="LUW12" s="15"/>
      <c r="LUX12" s="15"/>
      <c r="LUY12" s="15"/>
      <c r="LUZ12" s="15"/>
      <c r="LVA12" s="15"/>
      <c r="LVB12" s="15"/>
      <c r="LVC12" s="15"/>
      <c r="LVD12" s="15"/>
      <c r="LVE12" s="15"/>
      <c r="LVF12" s="15"/>
      <c r="LVG12" s="15"/>
      <c r="LVH12" s="15"/>
      <c r="LVI12" s="15"/>
      <c r="LVJ12" s="15"/>
      <c r="LVK12" s="15"/>
      <c r="LVL12" s="15"/>
      <c r="LVM12" s="15"/>
      <c r="LVN12" s="15"/>
      <c r="LVO12" s="15"/>
      <c r="LVP12" s="15"/>
      <c r="LVQ12" s="15"/>
      <c r="LVR12" s="15"/>
      <c r="LVS12" s="15"/>
      <c r="LVT12" s="15"/>
      <c r="LVU12" s="15"/>
      <c r="LVV12" s="15"/>
      <c r="LVW12" s="15"/>
      <c r="LVX12" s="15"/>
      <c r="LVY12" s="15"/>
      <c r="LVZ12" s="15"/>
      <c r="LWA12" s="15"/>
      <c r="LWB12" s="15"/>
      <c r="LWC12" s="15"/>
      <c r="LWD12" s="15"/>
      <c r="LWE12" s="15"/>
      <c r="LWF12" s="15"/>
      <c r="LWG12" s="15"/>
      <c r="LWH12" s="15"/>
      <c r="LWI12" s="15"/>
      <c r="LWJ12" s="15"/>
      <c r="LWK12" s="15"/>
      <c r="LWL12" s="15"/>
      <c r="LWM12" s="15"/>
      <c r="LWN12" s="15"/>
      <c r="LWO12" s="15"/>
      <c r="LWP12" s="15"/>
      <c r="LWQ12" s="15"/>
      <c r="LWR12" s="15"/>
      <c r="LWS12" s="15"/>
      <c r="LWT12" s="15"/>
      <c r="LWU12" s="15"/>
      <c r="LWV12" s="15"/>
      <c r="LWW12" s="15"/>
      <c r="LWX12" s="15"/>
      <c r="LWY12" s="15"/>
      <c r="LWZ12" s="15"/>
      <c r="LXA12" s="15"/>
      <c r="LXB12" s="15"/>
      <c r="LXC12" s="15"/>
      <c r="LXD12" s="15"/>
      <c r="LXE12" s="15"/>
      <c r="LXF12" s="15"/>
      <c r="LXG12" s="15"/>
      <c r="LXH12" s="15"/>
      <c r="LXI12" s="15"/>
      <c r="LXJ12" s="15"/>
      <c r="LXK12" s="15"/>
      <c r="LXL12" s="15"/>
      <c r="LXM12" s="15"/>
      <c r="LXN12" s="15"/>
      <c r="LXO12" s="15"/>
      <c r="LXP12" s="15"/>
      <c r="LXQ12" s="15"/>
      <c r="LXR12" s="15"/>
      <c r="LXS12" s="15"/>
      <c r="LXT12" s="15"/>
      <c r="LXU12" s="15"/>
      <c r="LXV12" s="15"/>
      <c r="LXW12" s="15"/>
      <c r="LXX12" s="15"/>
      <c r="LXY12" s="15"/>
      <c r="LXZ12" s="15"/>
      <c r="LYA12" s="15"/>
      <c r="LYB12" s="15"/>
      <c r="LYC12" s="15"/>
      <c r="LYD12" s="15"/>
      <c r="LYE12" s="15"/>
      <c r="LYF12" s="15"/>
      <c r="LYG12" s="15"/>
      <c r="LYH12" s="15"/>
      <c r="LYI12" s="15"/>
      <c r="LYJ12" s="15"/>
      <c r="LYK12" s="15"/>
      <c r="LYL12" s="15"/>
      <c r="LYM12" s="15"/>
      <c r="LYN12" s="15"/>
      <c r="LYO12" s="15"/>
      <c r="LYP12" s="15"/>
      <c r="LYQ12" s="15"/>
      <c r="LYR12" s="15"/>
      <c r="LYS12" s="15"/>
      <c r="LYT12" s="15"/>
      <c r="LYU12" s="15"/>
      <c r="LYV12" s="15"/>
      <c r="LYW12" s="15"/>
      <c r="LYX12" s="15"/>
      <c r="LYY12" s="15"/>
      <c r="LYZ12" s="15"/>
      <c r="LZA12" s="15"/>
      <c r="LZB12" s="15"/>
      <c r="LZC12" s="15"/>
      <c r="LZD12" s="15"/>
      <c r="LZE12" s="15"/>
      <c r="LZF12" s="15"/>
      <c r="LZG12" s="15"/>
      <c r="LZH12" s="15"/>
      <c r="LZI12" s="15"/>
      <c r="LZJ12" s="15"/>
      <c r="LZK12" s="15"/>
      <c r="LZL12" s="15"/>
      <c r="LZM12" s="15"/>
      <c r="LZN12" s="15"/>
      <c r="LZO12" s="15"/>
      <c r="LZP12" s="15"/>
      <c r="LZQ12" s="15"/>
      <c r="LZR12" s="15"/>
      <c r="LZS12" s="15"/>
      <c r="LZT12" s="15"/>
      <c r="LZU12" s="15"/>
      <c r="LZV12" s="15"/>
      <c r="LZW12" s="15"/>
      <c r="LZX12" s="15"/>
      <c r="LZY12" s="15"/>
      <c r="LZZ12" s="15"/>
      <c r="MAA12" s="15"/>
      <c r="MAB12" s="15"/>
      <c r="MAC12" s="15"/>
      <c r="MAD12" s="15"/>
      <c r="MAE12" s="15"/>
      <c r="MAF12" s="15"/>
      <c r="MAG12" s="15"/>
      <c r="MAH12" s="15"/>
      <c r="MAI12" s="15"/>
      <c r="MAJ12" s="15"/>
      <c r="MAK12" s="15"/>
      <c r="MAL12" s="15"/>
      <c r="MAM12" s="15"/>
      <c r="MAN12" s="15"/>
      <c r="MAO12" s="15"/>
      <c r="MAP12" s="15"/>
      <c r="MAQ12" s="15"/>
      <c r="MAR12" s="15"/>
      <c r="MAS12" s="15"/>
      <c r="MAT12" s="15"/>
      <c r="MAU12" s="15"/>
      <c r="MAV12" s="15"/>
      <c r="MAW12" s="15"/>
      <c r="MAX12" s="15"/>
      <c r="MAY12" s="15"/>
      <c r="MAZ12" s="15"/>
      <c r="MBA12" s="15"/>
      <c r="MBB12" s="15"/>
      <c r="MBC12" s="15"/>
      <c r="MBD12" s="15"/>
      <c r="MBE12" s="15"/>
      <c r="MBF12" s="15"/>
      <c r="MBG12" s="15"/>
      <c r="MBH12" s="15"/>
      <c r="MBI12" s="15"/>
      <c r="MBJ12" s="15"/>
      <c r="MBK12" s="15"/>
      <c r="MBL12" s="15"/>
      <c r="MBM12" s="15"/>
      <c r="MBN12" s="15"/>
      <c r="MBO12" s="15"/>
      <c r="MBP12" s="15"/>
      <c r="MBQ12" s="15"/>
      <c r="MBR12" s="15"/>
      <c r="MBS12" s="15"/>
      <c r="MBT12" s="15"/>
      <c r="MBU12" s="15"/>
      <c r="MBV12" s="15"/>
      <c r="MBW12" s="15"/>
      <c r="MBX12" s="15"/>
      <c r="MBY12" s="15"/>
      <c r="MBZ12" s="15"/>
      <c r="MCA12" s="15"/>
      <c r="MCB12" s="15"/>
      <c r="MCC12" s="15"/>
      <c r="MCD12" s="15"/>
      <c r="MCE12" s="15"/>
      <c r="MCF12" s="15"/>
      <c r="MCG12" s="15"/>
      <c r="MCH12" s="15"/>
      <c r="MCI12" s="15"/>
      <c r="MCJ12" s="15"/>
      <c r="MCK12" s="15"/>
      <c r="MCL12" s="15"/>
      <c r="MCM12" s="15"/>
      <c r="MCN12" s="15"/>
      <c r="MCO12" s="15"/>
      <c r="MCP12" s="15"/>
      <c r="MCQ12" s="15"/>
      <c r="MCR12" s="15"/>
      <c r="MCS12" s="15"/>
      <c r="MCT12" s="15"/>
      <c r="MCU12" s="15"/>
      <c r="MCV12" s="15"/>
      <c r="MCW12" s="15"/>
      <c r="MCX12" s="15"/>
      <c r="MCY12" s="15"/>
      <c r="MCZ12" s="15"/>
      <c r="MDA12" s="15"/>
      <c r="MDB12" s="15"/>
      <c r="MDC12" s="15"/>
      <c r="MDD12" s="15"/>
      <c r="MDE12" s="15"/>
      <c r="MDF12" s="15"/>
      <c r="MDG12" s="15"/>
      <c r="MDH12" s="15"/>
      <c r="MDI12" s="15"/>
      <c r="MDJ12" s="15"/>
      <c r="MDK12" s="15"/>
      <c r="MDL12" s="15"/>
      <c r="MDM12" s="15"/>
      <c r="MDN12" s="15"/>
      <c r="MDO12" s="15"/>
      <c r="MDP12" s="15"/>
      <c r="MDQ12" s="15"/>
      <c r="MDR12" s="15"/>
      <c r="MDS12" s="15"/>
      <c r="MDT12" s="15"/>
      <c r="MDU12" s="15"/>
      <c r="MDV12" s="15"/>
      <c r="MDW12" s="15"/>
      <c r="MDX12" s="15"/>
      <c r="MDY12" s="15"/>
      <c r="MDZ12" s="15"/>
      <c r="MEA12" s="15"/>
      <c r="MEB12" s="15"/>
      <c r="MEC12" s="15"/>
      <c r="MED12" s="15"/>
      <c r="MEE12" s="15"/>
      <c r="MEF12" s="15"/>
      <c r="MEG12" s="15"/>
      <c r="MEH12" s="15"/>
      <c r="MEI12" s="15"/>
      <c r="MEJ12" s="15"/>
      <c r="MEK12" s="15"/>
      <c r="MEL12" s="15"/>
      <c r="MEM12" s="15"/>
      <c r="MEN12" s="15"/>
      <c r="MEO12" s="15"/>
      <c r="MEP12" s="15"/>
      <c r="MEQ12" s="15"/>
      <c r="MER12" s="15"/>
      <c r="MES12" s="15"/>
      <c r="MET12" s="15"/>
      <c r="MEU12" s="15"/>
      <c r="MEV12" s="15"/>
      <c r="MEW12" s="15"/>
      <c r="MEX12" s="15"/>
      <c r="MEY12" s="15"/>
      <c r="MEZ12" s="15"/>
      <c r="MFA12" s="15"/>
      <c r="MFB12" s="15"/>
      <c r="MFC12" s="15"/>
      <c r="MFD12" s="15"/>
      <c r="MFE12" s="15"/>
      <c r="MFF12" s="15"/>
      <c r="MFG12" s="15"/>
      <c r="MFH12" s="15"/>
      <c r="MFI12" s="15"/>
      <c r="MFJ12" s="15"/>
      <c r="MFK12" s="15"/>
      <c r="MFL12" s="15"/>
      <c r="MFM12" s="15"/>
      <c r="MFN12" s="15"/>
      <c r="MFO12" s="15"/>
      <c r="MFP12" s="15"/>
      <c r="MFQ12" s="15"/>
      <c r="MFR12" s="15"/>
      <c r="MFS12" s="15"/>
      <c r="MFT12" s="15"/>
      <c r="MFU12" s="15"/>
      <c r="MFV12" s="15"/>
      <c r="MFW12" s="15"/>
      <c r="MFX12" s="15"/>
      <c r="MFY12" s="15"/>
      <c r="MFZ12" s="15"/>
      <c r="MGA12" s="15"/>
      <c r="MGB12" s="15"/>
      <c r="MGC12" s="15"/>
      <c r="MGD12" s="15"/>
      <c r="MGE12" s="15"/>
      <c r="MGF12" s="15"/>
      <c r="MGG12" s="15"/>
      <c r="MGH12" s="15"/>
      <c r="MGI12" s="15"/>
      <c r="MGJ12" s="15"/>
      <c r="MGK12" s="15"/>
      <c r="MGL12" s="15"/>
      <c r="MGM12" s="15"/>
      <c r="MGN12" s="15"/>
      <c r="MGO12" s="15"/>
      <c r="MGP12" s="15"/>
      <c r="MGQ12" s="15"/>
      <c r="MGR12" s="15"/>
      <c r="MGS12" s="15"/>
      <c r="MGT12" s="15"/>
      <c r="MGU12" s="15"/>
      <c r="MGV12" s="15"/>
      <c r="MGW12" s="15"/>
      <c r="MGX12" s="15"/>
      <c r="MGY12" s="15"/>
      <c r="MGZ12" s="15"/>
      <c r="MHA12" s="15"/>
      <c r="MHB12" s="15"/>
      <c r="MHC12" s="15"/>
      <c r="MHD12" s="15"/>
      <c r="MHE12" s="15"/>
      <c r="MHF12" s="15"/>
      <c r="MHG12" s="15"/>
      <c r="MHH12" s="15"/>
      <c r="MHI12" s="15"/>
      <c r="MHJ12" s="15"/>
      <c r="MHK12" s="15"/>
      <c r="MHL12" s="15"/>
      <c r="MHM12" s="15"/>
      <c r="MHN12" s="15"/>
      <c r="MHO12" s="15"/>
      <c r="MHP12" s="15"/>
      <c r="MHQ12" s="15"/>
      <c r="MHR12" s="15"/>
      <c r="MHS12" s="15"/>
      <c r="MHT12" s="15"/>
      <c r="MHU12" s="15"/>
      <c r="MHV12" s="15"/>
      <c r="MHW12" s="15"/>
      <c r="MHX12" s="15"/>
      <c r="MHY12" s="15"/>
      <c r="MHZ12" s="15"/>
      <c r="MIA12" s="15"/>
      <c r="MIB12" s="15"/>
      <c r="MIC12" s="15"/>
      <c r="MID12" s="15"/>
      <c r="MIE12" s="15"/>
      <c r="MIF12" s="15"/>
      <c r="MIG12" s="15"/>
      <c r="MIH12" s="15"/>
      <c r="MII12" s="15"/>
      <c r="MIJ12" s="15"/>
      <c r="MIK12" s="15"/>
      <c r="MIL12" s="15"/>
      <c r="MIM12" s="15"/>
      <c r="MIN12" s="15"/>
      <c r="MIO12" s="15"/>
      <c r="MIP12" s="15"/>
      <c r="MIQ12" s="15"/>
      <c r="MIR12" s="15"/>
      <c r="MIS12" s="15"/>
      <c r="MIT12" s="15"/>
      <c r="MIU12" s="15"/>
      <c r="MIV12" s="15"/>
      <c r="MIW12" s="15"/>
      <c r="MIX12" s="15"/>
      <c r="MIY12" s="15"/>
      <c r="MIZ12" s="15"/>
      <c r="MJA12" s="15"/>
      <c r="MJB12" s="15"/>
      <c r="MJC12" s="15"/>
      <c r="MJD12" s="15"/>
      <c r="MJE12" s="15"/>
      <c r="MJF12" s="15"/>
      <c r="MJG12" s="15"/>
      <c r="MJH12" s="15"/>
      <c r="MJI12" s="15"/>
      <c r="MJJ12" s="15"/>
      <c r="MJK12" s="15"/>
      <c r="MJL12" s="15"/>
      <c r="MJM12" s="15"/>
      <c r="MJN12" s="15"/>
      <c r="MJO12" s="15"/>
      <c r="MJP12" s="15"/>
      <c r="MJQ12" s="15"/>
      <c r="MJR12" s="15"/>
      <c r="MJS12" s="15"/>
      <c r="MJT12" s="15"/>
      <c r="MJU12" s="15"/>
      <c r="MJV12" s="15"/>
      <c r="MJW12" s="15"/>
      <c r="MJX12" s="15"/>
      <c r="MJY12" s="15"/>
      <c r="MJZ12" s="15"/>
      <c r="MKA12" s="15"/>
      <c r="MKB12" s="15"/>
      <c r="MKC12" s="15"/>
      <c r="MKD12" s="15"/>
      <c r="MKE12" s="15"/>
      <c r="MKF12" s="15"/>
      <c r="MKG12" s="15"/>
      <c r="MKH12" s="15"/>
      <c r="MKI12" s="15"/>
      <c r="MKJ12" s="15"/>
      <c r="MKK12" s="15"/>
      <c r="MKL12" s="15"/>
      <c r="MKM12" s="15"/>
      <c r="MKN12" s="15"/>
      <c r="MKO12" s="15"/>
      <c r="MKP12" s="15"/>
      <c r="MKQ12" s="15"/>
      <c r="MKR12" s="15"/>
      <c r="MKS12" s="15"/>
      <c r="MKT12" s="15"/>
      <c r="MKU12" s="15"/>
      <c r="MKV12" s="15"/>
      <c r="MKW12" s="15"/>
      <c r="MKX12" s="15"/>
      <c r="MKY12" s="15"/>
      <c r="MKZ12" s="15"/>
      <c r="MLA12" s="15"/>
      <c r="MLB12" s="15"/>
      <c r="MLC12" s="15"/>
      <c r="MLD12" s="15"/>
      <c r="MLE12" s="15"/>
      <c r="MLF12" s="15"/>
      <c r="MLG12" s="15"/>
      <c r="MLH12" s="15"/>
      <c r="MLI12" s="15"/>
      <c r="MLJ12" s="15"/>
      <c r="MLK12" s="15"/>
      <c r="MLL12" s="15"/>
      <c r="MLM12" s="15"/>
      <c r="MLN12" s="15"/>
      <c r="MLO12" s="15"/>
      <c r="MLP12" s="15"/>
      <c r="MLQ12" s="15"/>
      <c r="MLR12" s="15"/>
      <c r="MLS12" s="15"/>
      <c r="MLT12" s="15"/>
      <c r="MLU12" s="15"/>
      <c r="MLV12" s="15"/>
      <c r="MLW12" s="15"/>
      <c r="MLX12" s="15"/>
      <c r="MLY12" s="15"/>
      <c r="MLZ12" s="15"/>
      <c r="MMA12" s="15"/>
      <c r="MMB12" s="15"/>
      <c r="MMC12" s="15"/>
      <c r="MMD12" s="15"/>
      <c r="MME12" s="15"/>
      <c r="MMF12" s="15"/>
      <c r="MMG12" s="15"/>
      <c r="MMH12" s="15"/>
      <c r="MMI12" s="15"/>
      <c r="MMJ12" s="15"/>
      <c r="MMK12" s="15"/>
      <c r="MML12" s="15"/>
      <c r="MMM12" s="15"/>
      <c r="MMN12" s="15"/>
      <c r="MMO12" s="15"/>
      <c r="MMP12" s="15"/>
      <c r="MMQ12" s="15"/>
      <c r="MMR12" s="15"/>
      <c r="MMS12" s="15"/>
      <c r="MMT12" s="15"/>
      <c r="MMU12" s="15"/>
      <c r="MMV12" s="15"/>
      <c r="MMW12" s="15"/>
      <c r="MMX12" s="15"/>
      <c r="MMY12" s="15"/>
      <c r="MMZ12" s="15"/>
      <c r="MNA12" s="15"/>
      <c r="MNB12" s="15"/>
      <c r="MNC12" s="15"/>
      <c r="MND12" s="15"/>
      <c r="MNE12" s="15"/>
      <c r="MNF12" s="15"/>
      <c r="MNG12" s="15"/>
      <c r="MNH12" s="15"/>
      <c r="MNI12" s="15"/>
      <c r="MNJ12" s="15"/>
      <c r="MNK12" s="15"/>
      <c r="MNL12" s="15"/>
      <c r="MNM12" s="15"/>
      <c r="MNN12" s="15"/>
      <c r="MNO12" s="15"/>
      <c r="MNP12" s="15"/>
      <c r="MNQ12" s="15"/>
      <c r="MNR12" s="15"/>
      <c r="MNS12" s="15"/>
      <c r="MNT12" s="15"/>
      <c r="MNU12" s="15"/>
      <c r="MNV12" s="15"/>
      <c r="MNW12" s="15"/>
      <c r="MNX12" s="15"/>
      <c r="MNY12" s="15"/>
      <c r="MNZ12" s="15"/>
      <c r="MOA12" s="15"/>
      <c r="MOB12" s="15"/>
      <c r="MOC12" s="15"/>
      <c r="MOD12" s="15"/>
      <c r="MOE12" s="15"/>
      <c r="MOF12" s="15"/>
      <c r="MOG12" s="15"/>
      <c r="MOH12" s="15"/>
      <c r="MOI12" s="15"/>
      <c r="MOJ12" s="15"/>
      <c r="MOK12" s="15"/>
      <c r="MOL12" s="15"/>
      <c r="MOM12" s="15"/>
      <c r="MON12" s="15"/>
      <c r="MOO12" s="15"/>
      <c r="MOP12" s="15"/>
      <c r="MOQ12" s="15"/>
      <c r="MOR12" s="15"/>
      <c r="MOS12" s="15"/>
      <c r="MOT12" s="15"/>
      <c r="MOU12" s="15"/>
      <c r="MOV12" s="15"/>
      <c r="MOW12" s="15"/>
      <c r="MOX12" s="15"/>
      <c r="MOY12" s="15"/>
      <c r="MOZ12" s="15"/>
      <c r="MPA12" s="15"/>
      <c r="MPB12" s="15"/>
      <c r="MPC12" s="15"/>
      <c r="MPD12" s="15"/>
      <c r="MPE12" s="15"/>
      <c r="MPF12" s="15"/>
      <c r="MPG12" s="15"/>
      <c r="MPH12" s="15"/>
      <c r="MPI12" s="15"/>
      <c r="MPJ12" s="15"/>
      <c r="MPK12" s="15"/>
      <c r="MPL12" s="15"/>
      <c r="MPM12" s="15"/>
      <c r="MPN12" s="15"/>
      <c r="MPO12" s="15"/>
      <c r="MPP12" s="15"/>
      <c r="MPQ12" s="15"/>
      <c r="MPR12" s="15"/>
      <c r="MPS12" s="15"/>
      <c r="MPT12" s="15"/>
      <c r="MPU12" s="15"/>
      <c r="MPV12" s="15"/>
      <c r="MPW12" s="15"/>
      <c r="MPX12" s="15"/>
      <c r="MPY12" s="15"/>
      <c r="MPZ12" s="15"/>
      <c r="MQA12" s="15"/>
      <c r="MQB12" s="15"/>
      <c r="MQC12" s="15"/>
      <c r="MQD12" s="15"/>
      <c r="MQE12" s="15"/>
      <c r="MQF12" s="15"/>
      <c r="MQG12" s="15"/>
      <c r="MQH12" s="15"/>
      <c r="MQI12" s="15"/>
      <c r="MQJ12" s="15"/>
      <c r="MQK12" s="15"/>
      <c r="MQL12" s="15"/>
      <c r="MQM12" s="15"/>
      <c r="MQN12" s="15"/>
      <c r="MQO12" s="15"/>
      <c r="MQP12" s="15"/>
      <c r="MQQ12" s="15"/>
      <c r="MQR12" s="15"/>
      <c r="MQS12" s="15"/>
      <c r="MQT12" s="15"/>
      <c r="MQU12" s="15"/>
      <c r="MQV12" s="15"/>
      <c r="MQW12" s="15"/>
      <c r="MQX12" s="15"/>
      <c r="MQY12" s="15"/>
      <c r="MQZ12" s="15"/>
      <c r="MRA12" s="15"/>
      <c r="MRB12" s="15"/>
      <c r="MRC12" s="15"/>
      <c r="MRD12" s="15"/>
      <c r="MRE12" s="15"/>
      <c r="MRF12" s="15"/>
      <c r="MRG12" s="15"/>
      <c r="MRH12" s="15"/>
      <c r="MRI12" s="15"/>
      <c r="MRJ12" s="15"/>
      <c r="MRK12" s="15"/>
      <c r="MRL12" s="15"/>
      <c r="MRM12" s="15"/>
      <c r="MRN12" s="15"/>
      <c r="MRO12" s="15"/>
      <c r="MRP12" s="15"/>
      <c r="MRQ12" s="15"/>
      <c r="MRR12" s="15"/>
      <c r="MRS12" s="15"/>
      <c r="MRT12" s="15"/>
      <c r="MRU12" s="15"/>
      <c r="MRV12" s="15"/>
      <c r="MRW12" s="15"/>
      <c r="MRX12" s="15"/>
      <c r="MRY12" s="15"/>
      <c r="MRZ12" s="15"/>
      <c r="MSA12" s="15"/>
      <c r="MSB12" s="15"/>
      <c r="MSC12" s="15"/>
      <c r="MSD12" s="15"/>
      <c r="MSE12" s="15"/>
      <c r="MSF12" s="15"/>
      <c r="MSG12" s="15"/>
      <c r="MSH12" s="15"/>
      <c r="MSI12" s="15"/>
      <c r="MSJ12" s="15"/>
      <c r="MSK12" s="15"/>
      <c r="MSL12" s="15"/>
      <c r="MSM12" s="15"/>
      <c r="MSN12" s="15"/>
      <c r="MSO12" s="15"/>
      <c r="MSP12" s="15"/>
      <c r="MSQ12" s="15"/>
      <c r="MSR12" s="15"/>
      <c r="MSS12" s="15"/>
      <c r="MST12" s="15"/>
      <c r="MSU12" s="15"/>
      <c r="MSV12" s="15"/>
      <c r="MSW12" s="15"/>
      <c r="MSX12" s="15"/>
      <c r="MSY12" s="15"/>
      <c r="MSZ12" s="15"/>
      <c r="MTA12" s="15"/>
      <c r="MTB12" s="15"/>
      <c r="MTC12" s="15"/>
      <c r="MTD12" s="15"/>
      <c r="MTE12" s="15"/>
      <c r="MTF12" s="15"/>
      <c r="MTG12" s="15"/>
      <c r="MTH12" s="15"/>
      <c r="MTI12" s="15"/>
      <c r="MTJ12" s="15"/>
      <c r="MTK12" s="15"/>
      <c r="MTL12" s="15"/>
      <c r="MTM12" s="15"/>
      <c r="MTN12" s="15"/>
      <c r="MTO12" s="15"/>
      <c r="MTP12" s="15"/>
      <c r="MTQ12" s="15"/>
      <c r="MTR12" s="15"/>
      <c r="MTS12" s="15"/>
      <c r="MTT12" s="15"/>
      <c r="MTU12" s="15"/>
      <c r="MTV12" s="15"/>
      <c r="MTW12" s="15"/>
      <c r="MTX12" s="15"/>
      <c r="MTY12" s="15"/>
      <c r="MTZ12" s="15"/>
      <c r="MUA12" s="15"/>
      <c r="MUB12" s="15"/>
      <c r="MUC12" s="15"/>
      <c r="MUD12" s="15"/>
      <c r="MUE12" s="15"/>
      <c r="MUF12" s="15"/>
      <c r="MUG12" s="15"/>
      <c r="MUH12" s="15"/>
      <c r="MUI12" s="15"/>
      <c r="MUJ12" s="15"/>
      <c r="MUK12" s="15"/>
      <c r="MUL12" s="15"/>
      <c r="MUM12" s="15"/>
      <c r="MUN12" s="15"/>
      <c r="MUO12" s="15"/>
      <c r="MUP12" s="15"/>
      <c r="MUQ12" s="15"/>
      <c r="MUR12" s="15"/>
      <c r="MUS12" s="15"/>
      <c r="MUT12" s="15"/>
      <c r="MUU12" s="15"/>
      <c r="MUV12" s="15"/>
      <c r="MUW12" s="15"/>
      <c r="MUX12" s="15"/>
      <c r="MUY12" s="15"/>
      <c r="MUZ12" s="15"/>
      <c r="MVA12" s="15"/>
      <c r="MVB12" s="15"/>
      <c r="MVC12" s="15"/>
      <c r="MVD12" s="15"/>
      <c r="MVE12" s="15"/>
      <c r="MVF12" s="15"/>
      <c r="MVG12" s="15"/>
      <c r="MVH12" s="15"/>
      <c r="MVI12" s="15"/>
      <c r="MVJ12" s="15"/>
      <c r="MVK12" s="15"/>
      <c r="MVL12" s="15"/>
      <c r="MVM12" s="15"/>
      <c r="MVN12" s="15"/>
      <c r="MVO12" s="15"/>
      <c r="MVP12" s="15"/>
      <c r="MVQ12" s="15"/>
      <c r="MVR12" s="15"/>
      <c r="MVS12" s="15"/>
      <c r="MVT12" s="15"/>
      <c r="MVU12" s="15"/>
      <c r="MVV12" s="15"/>
      <c r="MVW12" s="15"/>
      <c r="MVX12" s="15"/>
      <c r="MVY12" s="15"/>
      <c r="MVZ12" s="15"/>
      <c r="MWA12" s="15"/>
      <c r="MWB12" s="15"/>
      <c r="MWC12" s="15"/>
      <c r="MWD12" s="15"/>
      <c r="MWE12" s="15"/>
      <c r="MWF12" s="15"/>
      <c r="MWG12" s="15"/>
      <c r="MWH12" s="15"/>
      <c r="MWI12" s="15"/>
      <c r="MWJ12" s="15"/>
      <c r="MWK12" s="15"/>
      <c r="MWL12" s="15"/>
      <c r="MWM12" s="15"/>
      <c r="MWN12" s="15"/>
      <c r="MWO12" s="15"/>
      <c r="MWP12" s="15"/>
      <c r="MWQ12" s="15"/>
      <c r="MWR12" s="15"/>
      <c r="MWS12" s="15"/>
      <c r="MWT12" s="15"/>
      <c r="MWU12" s="15"/>
      <c r="MWV12" s="15"/>
      <c r="MWW12" s="15"/>
      <c r="MWX12" s="15"/>
      <c r="MWY12" s="15"/>
      <c r="MWZ12" s="15"/>
      <c r="MXA12" s="15"/>
      <c r="MXB12" s="15"/>
      <c r="MXC12" s="15"/>
      <c r="MXD12" s="15"/>
      <c r="MXE12" s="15"/>
      <c r="MXF12" s="15"/>
      <c r="MXG12" s="15"/>
      <c r="MXH12" s="15"/>
      <c r="MXI12" s="15"/>
      <c r="MXJ12" s="15"/>
      <c r="MXK12" s="15"/>
      <c r="MXL12" s="15"/>
      <c r="MXM12" s="15"/>
      <c r="MXN12" s="15"/>
      <c r="MXO12" s="15"/>
      <c r="MXP12" s="15"/>
      <c r="MXQ12" s="15"/>
      <c r="MXR12" s="15"/>
      <c r="MXS12" s="15"/>
      <c r="MXT12" s="15"/>
      <c r="MXU12" s="15"/>
      <c r="MXV12" s="15"/>
      <c r="MXW12" s="15"/>
      <c r="MXX12" s="15"/>
      <c r="MXY12" s="15"/>
      <c r="MXZ12" s="15"/>
      <c r="MYA12" s="15"/>
      <c r="MYB12" s="15"/>
      <c r="MYC12" s="15"/>
      <c r="MYD12" s="15"/>
      <c r="MYE12" s="15"/>
      <c r="MYF12" s="15"/>
      <c r="MYG12" s="15"/>
      <c r="MYH12" s="15"/>
      <c r="MYI12" s="15"/>
      <c r="MYJ12" s="15"/>
      <c r="MYK12" s="15"/>
      <c r="MYL12" s="15"/>
      <c r="MYM12" s="15"/>
      <c r="MYN12" s="15"/>
      <c r="MYO12" s="15"/>
      <c r="MYP12" s="15"/>
      <c r="MYQ12" s="15"/>
      <c r="MYR12" s="15"/>
      <c r="MYS12" s="15"/>
      <c r="MYT12" s="15"/>
      <c r="MYU12" s="15"/>
      <c r="MYV12" s="15"/>
      <c r="MYW12" s="15"/>
      <c r="MYX12" s="15"/>
      <c r="MYY12" s="15"/>
      <c r="MYZ12" s="15"/>
      <c r="MZA12" s="15"/>
      <c r="MZB12" s="15"/>
      <c r="MZC12" s="15"/>
      <c r="MZD12" s="15"/>
      <c r="MZE12" s="15"/>
      <c r="MZF12" s="15"/>
      <c r="MZG12" s="15"/>
      <c r="MZH12" s="15"/>
      <c r="MZI12" s="15"/>
      <c r="MZJ12" s="15"/>
      <c r="MZK12" s="15"/>
      <c r="MZL12" s="15"/>
      <c r="MZM12" s="15"/>
      <c r="MZN12" s="15"/>
      <c r="MZO12" s="15"/>
      <c r="MZP12" s="15"/>
      <c r="MZQ12" s="15"/>
      <c r="MZR12" s="15"/>
      <c r="MZS12" s="15"/>
      <c r="MZT12" s="15"/>
      <c r="MZU12" s="15"/>
      <c r="MZV12" s="15"/>
      <c r="MZW12" s="15"/>
      <c r="MZX12" s="15"/>
      <c r="MZY12" s="15"/>
      <c r="MZZ12" s="15"/>
      <c r="NAA12" s="15"/>
      <c r="NAB12" s="15"/>
      <c r="NAC12" s="15"/>
      <c r="NAD12" s="15"/>
      <c r="NAE12" s="15"/>
      <c r="NAF12" s="15"/>
      <c r="NAG12" s="15"/>
      <c r="NAH12" s="15"/>
      <c r="NAI12" s="15"/>
      <c r="NAJ12" s="15"/>
      <c r="NAK12" s="15"/>
      <c r="NAL12" s="15"/>
      <c r="NAM12" s="15"/>
      <c r="NAN12" s="15"/>
      <c r="NAO12" s="15"/>
      <c r="NAP12" s="15"/>
      <c r="NAQ12" s="15"/>
      <c r="NAR12" s="15"/>
      <c r="NAS12" s="15"/>
      <c r="NAT12" s="15"/>
      <c r="NAU12" s="15"/>
      <c r="NAV12" s="15"/>
      <c r="NAW12" s="15"/>
      <c r="NAX12" s="15"/>
      <c r="NAY12" s="15"/>
      <c r="NAZ12" s="15"/>
      <c r="NBA12" s="15"/>
      <c r="NBB12" s="15"/>
      <c r="NBC12" s="15"/>
      <c r="NBD12" s="15"/>
      <c r="NBE12" s="15"/>
      <c r="NBF12" s="15"/>
      <c r="NBG12" s="15"/>
      <c r="NBH12" s="15"/>
      <c r="NBI12" s="15"/>
      <c r="NBJ12" s="15"/>
      <c r="NBK12" s="15"/>
      <c r="NBL12" s="15"/>
      <c r="NBM12" s="15"/>
      <c r="NBN12" s="15"/>
      <c r="NBO12" s="15"/>
      <c r="NBP12" s="15"/>
      <c r="NBQ12" s="15"/>
      <c r="NBR12" s="15"/>
      <c r="NBS12" s="15"/>
      <c r="NBT12" s="15"/>
      <c r="NBU12" s="15"/>
      <c r="NBV12" s="15"/>
      <c r="NBW12" s="15"/>
      <c r="NBX12" s="15"/>
      <c r="NBY12" s="15"/>
      <c r="NBZ12" s="15"/>
      <c r="NCA12" s="15"/>
      <c r="NCB12" s="15"/>
      <c r="NCC12" s="15"/>
      <c r="NCD12" s="15"/>
      <c r="NCE12" s="15"/>
      <c r="NCF12" s="15"/>
      <c r="NCG12" s="15"/>
      <c r="NCH12" s="15"/>
      <c r="NCI12" s="15"/>
      <c r="NCJ12" s="15"/>
      <c r="NCK12" s="15"/>
      <c r="NCL12" s="15"/>
      <c r="NCM12" s="15"/>
      <c r="NCN12" s="15"/>
      <c r="NCO12" s="15"/>
      <c r="NCP12" s="15"/>
      <c r="NCQ12" s="15"/>
      <c r="NCR12" s="15"/>
      <c r="NCS12" s="15"/>
      <c r="NCT12" s="15"/>
      <c r="NCU12" s="15"/>
      <c r="NCV12" s="15"/>
      <c r="NCW12" s="15"/>
      <c r="NCX12" s="15"/>
      <c r="NCY12" s="15"/>
      <c r="NCZ12" s="15"/>
      <c r="NDA12" s="15"/>
      <c r="NDB12" s="15"/>
      <c r="NDC12" s="15"/>
      <c r="NDD12" s="15"/>
      <c r="NDE12" s="15"/>
      <c r="NDF12" s="15"/>
      <c r="NDG12" s="15"/>
      <c r="NDH12" s="15"/>
      <c r="NDI12" s="15"/>
      <c r="NDJ12" s="15"/>
      <c r="NDK12" s="15"/>
      <c r="NDL12" s="15"/>
      <c r="NDM12" s="15"/>
      <c r="NDN12" s="15"/>
      <c r="NDO12" s="15"/>
      <c r="NDP12" s="15"/>
      <c r="NDQ12" s="15"/>
      <c r="NDR12" s="15"/>
      <c r="NDS12" s="15"/>
      <c r="NDT12" s="15"/>
      <c r="NDU12" s="15"/>
      <c r="NDV12" s="15"/>
      <c r="NDW12" s="15"/>
      <c r="NDX12" s="15"/>
      <c r="NDY12" s="15"/>
      <c r="NDZ12" s="15"/>
      <c r="NEA12" s="15"/>
      <c r="NEB12" s="15"/>
      <c r="NEC12" s="15"/>
      <c r="NED12" s="15"/>
      <c r="NEE12" s="15"/>
      <c r="NEF12" s="15"/>
      <c r="NEG12" s="15"/>
      <c r="NEH12" s="15"/>
      <c r="NEI12" s="15"/>
      <c r="NEJ12" s="15"/>
      <c r="NEK12" s="15"/>
      <c r="NEL12" s="15"/>
      <c r="NEM12" s="15"/>
      <c r="NEN12" s="15"/>
      <c r="NEO12" s="15"/>
      <c r="NEP12" s="15"/>
      <c r="NEQ12" s="15"/>
      <c r="NER12" s="15"/>
      <c r="NES12" s="15"/>
      <c r="NET12" s="15"/>
      <c r="NEU12" s="15"/>
      <c r="NEV12" s="15"/>
      <c r="NEW12" s="15"/>
      <c r="NEX12" s="15"/>
      <c r="NEY12" s="15"/>
      <c r="NEZ12" s="15"/>
      <c r="NFA12" s="15"/>
      <c r="NFB12" s="15"/>
      <c r="NFC12" s="15"/>
      <c r="NFD12" s="15"/>
      <c r="NFE12" s="15"/>
      <c r="NFF12" s="15"/>
      <c r="NFG12" s="15"/>
      <c r="NFH12" s="15"/>
      <c r="NFI12" s="15"/>
      <c r="NFJ12" s="15"/>
      <c r="NFK12" s="15"/>
      <c r="NFL12" s="15"/>
      <c r="NFM12" s="15"/>
      <c r="NFN12" s="15"/>
      <c r="NFO12" s="15"/>
      <c r="NFP12" s="15"/>
      <c r="NFQ12" s="15"/>
      <c r="NFR12" s="15"/>
      <c r="NFS12" s="15"/>
      <c r="NFT12" s="15"/>
      <c r="NFU12" s="15"/>
      <c r="NFV12" s="15"/>
      <c r="NFW12" s="15"/>
      <c r="NFX12" s="15"/>
      <c r="NFY12" s="15"/>
      <c r="NFZ12" s="15"/>
      <c r="NGA12" s="15"/>
      <c r="NGB12" s="15"/>
      <c r="NGC12" s="15"/>
      <c r="NGD12" s="15"/>
      <c r="NGE12" s="15"/>
      <c r="NGF12" s="15"/>
      <c r="NGG12" s="15"/>
      <c r="NGH12" s="15"/>
      <c r="NGI12" s="15"/>
      <c r="NGJ12" s="15"/>
      <c r="NGK12" s="15"/>
      <c r="NGL12" s="15"/>
      <c r="NGM12" s="15"/>
      <c r="NGN12" s="15"/>
      <c r="NGO12" s="15"/>
      <c r="NGP12" s="15"/>
      <c r="NGQ12" s="15"/>
      <c r="NGR12" s="15"/>
      <c r="NGS12" s="15"/>
      <c r="NGT12" s="15"/>
      <c r="NGU12" s="15"/>
      <c r="NGV12" s="15"/>
      <c r="NGW12" s="15"/>
      <c r="NGX12" s="15"/>
      <c r="NGY12" s="15"/>
      <c r="NGZ12" s="15"/>
      <c r="NHA12" s="15"/>
      <c r="NHB12" s="15"/>
      <c r="NHC12" s="15"/>
      <c r="NHD12" s="15"/>
      <c r="NHE12" s="15"/>
      <c r="NHF12" s="15"/>
      <c r="NHG12" s="15"/>
      <c r="NHH12" s="15"/>
      <c r="NHI12" s="15"/>
      <c r="NHJ12" s="15"/>
      <c r="NHK12" s="15"/>
      <c r="NHL12" s="15"/>
      <c r="NHM12" s="15"/>
      <c r="NHN12" s="15"/>
      <c r="NHO12" s="15"/>
      <c r="NHP12" s="15"/>
      <c r="NHQ12" s="15"/>
      <c r="NHR12" s="15"/>
      <c r="NHS12" s="15"/>
      <c r="NHT12" s="15"/>
      <c r="NHU12" s="15"/>
      <c r="NHV12" s="15"/>
      <c r="NHW12" s="15"/>
      <c r="NHX12" s="15"/>
      <c r="NHY12" s="15"/>
      <c r="NHZ12" s="15"/>
      <c r="NIA12" s="15"/>
      <c r="NIB12" s="15"/>
      <c r="NIC12" s="15"/>
      <c r="NID12" s="15"/>
      <c r="NIE12" s="15"/>
      <c r="NIF12" s="15"/>
      <c r="NIG12" s="15"/>
      <c r="NIH12" s="15"/>
      <c r="NII12" s="15"/>
      <c r="NIJ12" s="15"/>
      <c r="NIK12" s="15"/>
      <c r="NIL12" s="15"/>
      <c r="NIM12" s="15"/>
      <c r="NIN12" s="15"/>
      <c r="NIO12" s="15"/>
      <c r="NIP12" s="15"/>
      <c r="NIQ12" s="15"/>
      <c r="NIR12" s="15"/>
      <c r="NIS12" s="15"/>
      <c r="NIT12" s="15"/>
      <c r="NIU12" s="15"/>
      <c r="NIV12" s="15"/>
      <c r="NIW12" s="15"/>
      <c r="NIX12" s="15"/>
      <c r="NIY12" s="15"/>
      <c r="NIZ12" s="15"/>
      <c r="NJA12" s="15"/>
      <c r="NJB12" s="15"/>
      <c r="NJC12" s="15"/>
      <c r="NJD12" s="15"/>
      <c r="NJE12" s="15"/>
      <c r="NJF12" s="15"/>
      <c r="NJG12" s="15"/>
      <c r="NJH12" s="15"/>
      <c r="NJI12" s="15"/>
      <c r="NJJ12" s="15"/>
      <c r="NJK12" s="15"/>
      <c r="NJL12" s="15"/>
      <c r="NJM12" s="15"/>
      <c r="NJN12" s="15"/>
      <c r="NJO12" s="15"/>
      <c r="NJP12" s="15"/>
      <c r="NJQ12" s="15"/>
      <c r="NJR12" s="15"/>
      <c r="NJS12" s="15"/>
      <c r="NJT12" s="15"/>
      <c r="NJU12" s="15"/>
      <c r="NJV12" s="15"/>
      <c r="NJW12" s="15"/>
      <c r="NJX12" s="15"/>
      <c r="NJY12" s="15"/>
      <c r="NJZ12" s="15"/>
      <c r="NKA12" s="15"/>
      <c r="NKB12" s="15"/>
      <c r="NKC12" s="15"/>
      <c r="NKD12" s="15"/>
      <c r="NKE12" s="15"/>
      <c r="NKF12" s="15"/>
      <c r="NKG12" s="15"/>
      <c r="NKH12" s="15"/>
      <c r="NKI12" s="15"/>
      <c r="NKJ12" s="15"/>
      <c r="NKK12" s="15"/>
      <c r="NKL12" s="15"/>
      <c r="NKM12" s="15"/>
      <c r="NKN12" s="15"/>
      <c r="NKO12" s="15"/>
      <c r="NKP12" s="15"/>
      <c r="NKQ12" s="15"/>
      <c r="NKR12" s="15"/>
      <c r="NKS12" s="15"/>
      <c r="NKT12" s="15"/>
      <c r="NKU12" s="15"/>
      <c r="NKV12" s="15"/>
      <c r="NKW12" s="15"/>
      <c r="NKX12" s="15"/>
      <c r="NKY12" s="15"/>
      <c r="NKZ12" s="15"/>
      <c r="NLA12" s="15"/>
      <c r="NLB12" s="15"/>
      <c r="NLC12" s="15"/>
      <c r="NLD12" s="15"/>
      <c r="NLE12" s="15"/>
      <c r="NLF12" s="15"/>
      <c r="NLG12" s="15"/>
      <c r="NLH12" s="15"/>
      <c r="NLI12" s="15"/>
      <c r="NLJ12" s="15"/>
      <c r="NLK12" s="15"/>
      <c r="NLL12" s="15"/>
      <c r="NLM12" s="15"/>
      <c r="NLN12" s="15"/>
      <c r="NLO12" s="15"/>
      <c r="NLP12" s="15"/>
      <c r="NLQ12" s="15"/>
      <c r="NLR12" s="15"/>
      <c r="NLS12" s="15"/>
      <c r="NLT12" s="15"/>
      <c r="NLU12" s="15"/>
      <c r="NLV12" s="15"/>
      <c r="NLW12" s="15"/>
      <c r="NLX12" s="15"/>
      <c r="NLY12" s="15"/>
      <c r="NLZ12" s="15"/>
      <c r="NMA12" s="15"/>
      <c r="NMB12" s="15"/>
      <c r="NMC12" s="15"/>
      <c r="NMD12" s="15"/>
      <c r="NME12" s="15"/>
      <c r="NMF12" s="15"/>
      <c r="NMG12" s="15"/>
      <c r="NMH12" s="15"/>
      <c r="NMI12" s="15"/>
      <c r="NMJ12" s="15"/>
      <c r="NMK12" s="15"/>
      <c r="NML12" s="15"/>
      <c r="NMM12" s="15"/>
      <c r="NMN12" s="15"/>
      <c r="NMO12" s="15"/>
      <c r="NMP12" s="15"/>
      <c r="NMQ12" s="15"/>
      <c r="NMR12" s="15"/>
      <c r="NMS12" s="15"/>
      <c r="NMT12" s="15"/>
      <c r="NMU12" s="15"/>
      <c r="NMV12" s="15"/>
      <c r="NMW12" s="15"/>
      <c r="NMX12" s="15"/>
      <c r="NMY12" s="15"/>
      <c r="NMZ12" s="15"/>
      <c r="NNA12" s="15"/>
      <c r="NNB12" s="15"/>
      <c r="NNC12" s="15"/>
      <c r="NND12" s="15"/>
      <c r="NNE12" s="15"/>
      <c r="NNF12" s="15"/>
      <c r="NNG12" s="15"/>
      <c r="NNH12" s="15"/>
      <c r="NNI12" s="15"/>
      <c r="NNJ12" s="15"/>
      <c r="NNK12" s="15"/>
      <c r="NNL12" s="15"/>
      <c r="NNM12" s="15"/>
      <c r="NNN12" s="15"/>
      <c r="NNO12" s="15"/>
      <c r="NNP12" s="15"/>
      <c r="NNQ12" s="15"/>
      <c r="NNR12" s="15"/>
      <c r="NNS12" s="15"/>
      <c r="NNT12" s="15"/>
      <c r="NNU12" s="15"/>
      <c r="NNV12" s="15"/>
      <c r="NNW12" s="15"/>
      <c r="NNX12" s="15"/>
      <c r="NNY12" s="15"/>
      <c r="NNZ12" s="15"/>
      <c r="NOA12" s="15"/>
      <c r="NOB12" s="15"/>
      <c r="NOC12" s="15"/>
      <c r="NOD12" s="15"/>
      <c r="NOE12" s="15"/>
      <c r="NOF12" s="15"/>
      <c r="NOG12" s="15"/>
      <c r="NOH12" s="15"/>
      <c r="NOI12" s="15"/>
      <c r="NOJ12" s="15"/>
      <c r="NOK12" s="15"/>
      <c r="NOL12" s="15"/>
      <c r="NOM12" s="15"/>
      <c r="NON12" s="15"/>
      <c r="NOO12" s="15"/>
      <c r="NOP12" s="15"/>
      <c r="NOQ12" s="15"/>
      <c r="NOR12" s="15"/>
      <c r="NOS12" s="15"/>
      <c r="NOT12" s="15"/>
      <c r="NOU12" s="15"/>
      <c r="NOV12" s="15"/>
      <c r="NOW12" s="15"/>
      <c r="NOX12" s="15"/>
      <c r="NOY12" s="15"/>
      <c r="NOZ12" s="15"/>
      <c r="NPA12" s="15"/>
      <c r="NPB12" s="15"/>
      <c r="NPC12" s="15"/>
      <c r="NPD12" s="15"/>
      <c r="NPE12" s="15"/>
      <c r="NPF12" s="15"/>
      <c r="NPG12" s="15"/>
      <c r="NPH12" s="15"/>
      <c r="NPI12" s="15"/>
      <c r="NPJ12" s="15"/>
      <c r="NPK12" s="15"/>
      <c r="NPL12" s="15"/>
      <c r="NPM12" s="15"/>
      <c r="NPN12" s="15"/>
      <c r="NPO12" s="15"/>
      <c r="NPP12" s="15"/>
      <c r="NPQ12" s="15"/>
      <c r="NPR12" s="15"/>
      <c r="NPS12" s="15"/>
      <c r="NPT12" s="15"/>
      <c r="NPU12" s="15"/>
      <c r="NPV12" s="15"/>
      <c r="NPW12" s="15"/>
      <c r="NPX12" s="15"/>
      <c r="NPY12" s="15"/>
      <c r="NPZ12" s="15"/>
      <c r="NQA12" s="15"/>
      <c r="NQB12" s="15"/>
      <c r="NQC12" s="15"/>
      <c r="NQD12" s="15"/>
      <c r="NQE12" s="15"/>
      <c r="NQF12" s="15"/>
      <c r="NQG12" s="15"/>
      <c r="NQH12" s="15"/>
      <c r="NQI12" s="15"/>
      <c r="NQJ12" s="15"/>
      <c r="NQK12" s="15"/>
      <c r="NQL12" s="15"/>
      <c r="NQM12" s="15"/>
      <c r="NQN12" s="15"/>
      <c r="NQO12" s="15"/>
      <c r="NQP12" s="15"/>
      <c r="NQQ12" s="15"/>
      <c r="NQR12" s="15"/>
      <c r="NQS12" s="15"/>
      <c r="NQT12" s="15"/>
      <c r="NQU12" s="15"/>
      <c r="NQV12" s="15"/>
      <c r="NQW12" s="15"/>
      <c r="NQX12" s="15"/>
      <c r="NQY12" s="15"/>
      <c r="NQZ12" s="15"/>
      <c r="NRA12" s="15"/>
      <c r="NRB12" s="15"/>
      <c r="NRC12" s="15"/>
      <c r="NRD12" s="15"/>
      <c r="NRE12" s="15"/>
      <c r="NRF12" s="15"/>
      <c r="NRG12" s="15"/>
      <c r="NRH12" s="15"/>
      <c r="NRI12" s="15"/>
      <c r="NRJ12" s="15"/>
      <c r="NRK12" s="15"/>
      <c r="NRL12" s="15"/>
      <c r="NRM12" s="15"/>
      <c r="NRN12" s="15"/>
      <c r="NRO12" s="15"/>
      <c r="NRP12" s="15"/>
      <c r="NRQ12" s="15"/>
      <c r="NRR12" s="15"/>
      <c r="NRS12" s="15"/>
      <c r="NRT12" s="15"/>
      <c r="NRU12" s="15"/>
      <c r="NRV12" s="15"/>
      <c r="NRW12" s="15"/>
      <c r="NRX12" s="15"/>
      <c r="NRY12" s="15"/>
      <c r="NRZ12" s="15"/>
      <c r="NSA12" s="15"/>
      <c r="NSB12" s="15"/>
      <c r="NSC12" s="15"/>
      <c r="NSD12" s="15"/>
      <c r="NSE12" s="15"/>
      <c r="NSF12" s="15"/>
      <c r="NSG12" s="15"/>
      <c r="NSH12" s="15"/>
      <c r="NSI12" s="15"/>
      <c r="NSJ12" s="15"/>
      <c r="NSK12" s="15"/>
      <c r="NSL12" s="15"/>
      <c r="NSM12" s="15"/>
      <c r="NSN12" s="15"/>
      <c r="NSO12" s="15"/>
      <c r="NSP12" s="15"/>
      <c r="NSQ12" s="15"/>
      <c r="NSR12" s="15"/>
      <c r="NSS12" s="15"/>
      <c r="NST12" s="15"/>
      <c r="NSU12" s="15"/>
      <c r="NSV12" s="15"/>
      <c r="NSW12" s="15"/>
      <c r="NSX12" s="15"/>
      <c r="NSY12" s="15"/>
      <c r="NSZ12" s="15"/>
      <c r="NTA12" s="15"/>
      <c r="NTB12" s="15"/>
      <c r="NTC12" s="15"/>
      <c r="NTD12" s="15"/>
      <c r="NTE12" s="15"/>
      <c r="NTF12" s="15"/>
      <c r="NTG12" s="15"/>
      <c r="NTH12" s="15"/>
      <c r="NTI12" s="15"/>
      <c r="NTJ12" s="15"/>
      <c r="NTK12" s="15"/>
      <c r="NTL12" s="15"/>
      <c r="NTM12" s="15"/>
      <c r="NTN12" s="15"/>
      <c r="NTO12" s="15"/>
      <c r="NTP12" s="15"/>
      <c r="NTQ12" s="15"/>
      <c r="NTR12" s="15"/>
      <c r="NTS12" s="15"/>
      <c r="NTT12" s="15"/>
      <c r="NTU12" s="15"/>
      <c r="NTV12" s="15"/>
      <c r="NTW12" s="15"/>
      <c r="NTX12" s="15"/>
      <c r="NTY12" s="15"/>
      <c r="NTZ12" s="15"/>
      <c r="NUA12" s="15"/>
      <c r="NUB12" s="15"/>
      <c r="NUC12" s="15"/>
      <c r="NUD12" s="15"/>
      <c r="NUE12" s="15"/>
      <c r="NUF12" s="15"/>
      <c r="NUG12" s="15"/>
      <c r="NUH12" s="15"/>
      <c r="NUI12" s="15"/>
      <c r="NUJ12" s="15"/>
      <c r="NUK12" s="15"/>
      <c r="NUL12" s="15"/>
      <c r="NUM12" s="15"/>
      <c r="NUN12" s="15"/>
      <c r="NUO12" s="15"/>
      <c r="NUP12" s="15"/>
      <c r="NUQ12" s="15"/>
      <c r="NUR12" s="15"/>
      <c r="NUS12" s="15"/>
      <c r="NUT12" s="15"/>
      <c r="NUU12" s="15"/>
      <c r="NUV12" s="15"/>
      <c r="NUW12" s="15"/>
      <c r="NUX12" s="15"/>
      <c r="NUY12" s="15"/>
      <c r="NUZ12" s="15"/>
      <c r="NVA12" s="15"/>
      <c r="NVB12" s="15"/>
      <c r="NVC12" s="15"/>
      <c r="NVD12" s="15"/>
      <c r="NVE12" s="15"/>
      <c r="NVF12" s="15"/>
      <c r="NVG12" s="15"/>
      <c r="NVH12" s="15"/>
      <c r="NVI12" s="15"/>
      <c r="NVJ12" s="15"/>
      <c r="NVK12" s="15"/>
      <c r="NVL12" s="15"/>
      <c r="NVM12" s="15"/>
      <c r="NVN12" s="15"/>
      <c r="NVO12" s="15"/>
      <c r="NVP12" s="15"/>
      <c r="NVQ12" s="15"/>
      <c r="NVR12" s="15"/>
      <c r="NVS12" s="15"/>
      <c r="NVT12" s="15"/>
      <c r="NVU12" s="15"/>
      <c r="NVV12" s="15"/>
      <c r="NVW12" s="15"/>
      <c r="NVX12" s="15"/>
      <c r="NVY12" s="15"/>
      <c r="NVZ12" s="15"/>
      <c r="NWA12" s="15"/>
      <c r="NWB12" s="15"/>
      <c r="NWC12" s="15"/>
      <c r="NWD12" s="15"/>
      <c r="NWE12" s="15"/>
      <c r="NWF12" s="15"/>
      <c r="NWG12" s="15"/>
      <c r="NWH12" s="15"/>
      <c r="NWI12" s="15"/>
      <c r="NWJ12" s="15"/>
      <c r="NWK12" s="15"/>
      <c r="NWL12" s="15"/>
      <c r="NWM12" s="15"/>
      <c r="NWN12" s="15"/>
      <c r="NWO12" s="15"/>
      <c r="NWP12" s="15"/>
      <c r="NWQ12" s="15"/>
      <c r="NWR12" s="15"/>
      <c r="NWS12" s="15"/>
      <c r="NWT12" s="15"/>
      <c r="NWU12" s="15"/>
      <c r="NWV12" s="15"/>
      <c r="NWW12" s="15"/>
      <c r="NWX12" s="15"/>
      <c r="NWY12" s="15"/>
      <c r="NWZ12" s="15"/>
      <c r="NXA12" s="15"/>
      <c r="NXB12" s="15"/>
      <c r="NXC12" s="15"/>
      <c r="NXD12" s="15"/>
      <c r="NXE12" s="15"/>
      <c r="NXF12" s="15"/>
      <c r="NXG12" s="15"/>
      <c r="NXH12" s="15"/>
      <c r="NXI12" s="15"/>
      <c r="NXJ12" s="15"/>
      <c r="NXK12" s="15"/>
      <c r="NXL12" s="15"/>
      <c r="NXM12" s="15"/>
      <c r="NXN12" s="15"/>
      <c r="NXO12" s="15"/>
      <c r="NXP12" s="15"/>
      <c r="NXQ12" s="15"/>
      <c r="NXR12" s="15"/>
      <c r="NXS12" s="15"/>
      <c r="NXT12" s="15"/>
      <c r="NXU12" s="15"/>
      <c r="NXV12" s="15"/>
      <c r="NXW12" s="15"/>
      <c r="NXX12" s="15"/>
      <c r="NXY12" s="15"/>
      <c r="NXZ12" s="15"/>
      <c r="NYA12" s="15"/>
      <c r="NYB12" s="15"/>
      <c r="NYC12" s="15"/>
      <c r="NYD12" s="15"/>
      <c r="NYE12" s="15"/>
      <c r="NYF12" s="15"/>
      <c r="NYG12" s="15"/>
      <c r="NYH12" s="15"/>
      <c r="NYI12" s="15"/>
      <c r="NYJ12" s="15"/>
      <c r="NYK12" s="15"/>
      <c r="NYL12" s="15"/>
      <c r="NYM12" s="15"/>
      <c r="NYN12" s="15"/>
      <c r="NYO12" s="15"/>
      <c r="NYP12" s="15"/>
      <c r="NYQ12" s="15"/>
      <c r="NYR12" s="15"/>
      <c r="NYS12" s="15"/>
      <c r="NYT12" s="15"/>
      <c r="NYU12" s="15"/>
      <c r="NYV12" s="15"/>
      <c r="NYW12" s="15"/>
      <c r="NYX12" s="15"/>
      <c r="NYY12" s="15"/>
      <c r="NYZ12" s="15"/>
      <c r="NZA12" s="15"/>
      <c r="NZB12" s="15"/>
      <c r="NZC12" s="15"/>
      <c r="NZD12" s="15"/>
      <c r="NZE12" s="15"/>
      <c r="NZF12" s="15"/>
      <c r="NZG12" s="15"/>
      <c r="NZH12" s="15"/>
      <c r="NZI12" s="15"/>
      <c r="NZJ12" s="15"/>
      <c r="NZK12" s="15"/>
      <c r="NZL12" s="15"/>
      <c r="NZM12" s="15"/>
      <c r="NZN12" s="15"/>
      <c r="NZO12" s="15"/>
      <c r="NZP12" s="15"/>
      <c r="NZQ12" s="15"/>
      <c r="NZR12" s="15"/>
      <c r="NZS12" s="15"/>
      <c r="NZT12" s="15"/>
      <c r="NZU12" s="15"/>
      <c r="NZV12" s="15"/>
      <c r="NZW12" s="15"/>
      <c r="NZX12" s="15"/>
      <c r="NZY12" s="15"/>
      <c r="NZZ12" s="15"/>
      <c r="OAA12" s="15"/>
      <c r="OAB12" s="15"/>
      <c r="OAC12" s="15"/>
      <c r="OAD12" s="15"/>
      <c r="OAE12" s="15"/>
      <c r="OAF12" s="15"/>
      <c r="OAG12" s="15"/>
      <c r="OAH12" s="15"/>
      <c r="OAI12" s="15"/>
      <c r="OAJ12" s="15"/>
      <c r="OAK12" s="15"/>
      <c r="OAL12" s="15"/>
      <c r="OAM12" s="15"/>
      <c r="OAN12" s="15"/>
      <c r="OAO12" s="15"/>
      <c r="OAP12" s="15"/>
      <c r="OAQ12" s="15"/>
      <c r="OAR12" s="15"/>
      <c r="OAS12" s="15"/>
      <c r="OAT12" s="15"/>
      <c r="OAU12" s="15"/>
      <c r="OAV12" s="15"/>
      <c r="OAW12" s="15"/>
      <c r="OAX12" s="15"/>
      <c r="OAY12" s="15"/>
      <c r="OAZ12" s="15"/>
      <c r="OBA12" s="15"/>
      <c r="OBB12" s="15"/>
      <c r="OBC12" s="15"/>
      <c r="OBD12" s="15"/>
      <c r="OBE12" s="15"/>
      <c r="OBF12" s="15"/>
      <c r="OBG12" s="15"/>
      <c r="OBH12" s="15"/>
      <c r="OBI12" s="15"/>
      <c r="OBJ12" s="15"/>
      <c r="OBK12" s="15"/>
      <c r="OBL12" s="15"/>
      <c r="OBM12" s="15"/>
      <c r="OBN12" s="15"/>
      <c r="OBO12" s="15"/>
      <c r="OBP12" s="15"/>
      <c r="OBQ12" s="15"/>
      <c r="OBR12" s="15"/>
      <c r="OBS12" s="15"/>
      <c r="OBT12" s="15"/>
      <c r="OBU12" s="15"/>
      <c r="OBV12" s="15"/>
      <c r="OBW12" s="15"/>
      <c r="OBX12" s="15"/>
      <c r="OBY12" s="15"/>
      <c r="OBZ12" s="15"/>
      <c r="OCA12" s="15"/>
      <c r="OCB12" s="15"/>
      <c r="OCC12" s="15"/>
      <c r="OCD12" s="15"/>
      <c r="OCE12" s="15"/>
      <c r="OCF12" s="15"/>
      <c r="OCG12" s="15"/>
      <c r="OCH12" s="15"/>
      <c r="OCI12" s="15"/>
      <c r="OCJ12" s="15"/>
      <c r="OCK12" s="15"/>
      <c r="OCL12" s="15"/>
      <c r="OCM12" s="15"/>
      <c r="OCN12" s="15"/>
      <c r="OCO12" s="15"/>
      <c r="OCP12" s="15"/>
      <c r="OCQ12" s="15"/>
      <c r="OCR12" s="15"/>
      <c r="OCS12" s="15"/>
      <c r="OCT12" s="15"/>
      <c r="OCU12" s="15"/>
      <c r="OCV12" s="15"/>
      <c r="OCW12" s="15"/>
      <c r="OCX12" s="15"/>
      <c r="OCY12" s="15"/>
      <c r="OCZ12" s="15"/>
      <c r="ODA12" s="15"/>
      <c r="ODB12" s="15"/>
      <c r="ODC12" s="15"/>
      <c r="ODD12" s="15"/>
      <c r="ODE12" s="15"/>
      <c r="ODF12" s="15"/>
      <c r="ODG12" s="15"/>
      <c r="ODH12" s="15"/>
      <c r="ODI12" s="15"/>
      <c r="ODJ12" s="15"/>
      <c r="ODK12" s="15"/>
      <c r="ODL12" s="15"/>
      <c r="ODM12" s="15"/>
      <c r="ODN12" s="15"/>
      <c r="ODO12" s="15"/>
      <c r="ODP12" s="15"/>
      <c r="ODQ12" s="15"/>
      <c r="ODR12" s="15"/>
      <c r="ODS12" s="15"/>
      <c r="ODT12" s="15"/>
      <c r="ODU12" s="15"/>
      <c r="ODV12" s="15"/>
      <c r="ODW12" s="15"/>
      <c r="ODX12" s="15"/>
      <c r="ODY12" s="15"/>
      <c r="ODZ12" s="15"/>
      <c r="OEA12" s="15"/>
      <c r="OEB12" s="15"/>
      <c r="OEC12" s="15"/>
      <c r="OED12" s="15"/>
      <c r="OEE12" s="15"/>
      <c r="OEF12" s="15"/>
      <c r="OEG12" s="15"/>
      <c r="OEH12" s="15"/>
      <c r="OEI12" s="15"/>
      <c r="OEJ12" s="15"/>
      <c r="OEK12" s="15"/>
      <c r="OEL12" s="15"/>
      <c r="OEM12" s="15"/>
      <c r="OEN12" s="15"/>
      <c r="OEO12" s="15"/>
      <c r="OEP12" s="15"/>
      <c r="OEQ12" s="15"/>
      <c r="OER12" s="15"/>
      <c r="OES12" s="15"/>
      <c r="OET12" s="15"/>
      <c r="OEU12" s="15"/>
      <c r="OEV12" s="15"/>
      <c r="OEW12" s="15"/>
      <c r="OEX12" s="15"/>
      <c r="OEY12" s="15"/>
      <c r="OEZ12" s="15"/>
      <c r="OFA12" s="15"/>
      <c r="OFB12" s="15"/>
      <c r="OFC12" s="15"/>
      <c r="OFD12" s="15"/>
      <c r="OFE12" s="15"/>
      <c r="OFF12" s="15"/>
      <c r="OFG12" s="15"/>
      <c r="OFH12" s="15"/>
      <c r="OFI12" s="15"/>
      <c r="OFJ12" s="15"/>
      <c r="OFK12" s="15"/>
      <c r="OFL12" s="15"/>
      <c r="OFM12" s="15"/>
      <c r="OFN12" s="15"/>
      <c r="OFO12" s="15"/>
      <c r="OFP12" s="15"/>
      <c r="OFQ12" s="15"/>
      <c r="OFR12" s="15"/>
      <c r="OFS12" s="15"/>
      <c r="OFT12" s="15"/>
      <c r="OFU12" s="15"/>
      <c r="OFV12" s="15"/>
      <c r="OFW12" s="15"/>
      <c r="OFX12" s="15"/>
      <c r="OFY12" s="15"/>
      <c r="OFZ12" s="15"/>
      <c r="OGA12" s="15"/>
      <c r="OGB12" s="15"/>
      <c r="OGC12" s="15"/>
      <c r="OGD12" s="15"/>
      <c r="OGE12" s="15"/>
      <c r="OGF12" s="15"/>
      <c r="OGG12" s="15"/>
      <c r="OGH12" s="15"/>
      <c r="OGI12" s="15"/>
      <c r="OGJ12" s="15"/>
      <c r="OGK12" s="15"/>
      <c r="OGL12" s="15"/>
      <c r="OGM12" s="15"/>
      <c r="OGN12" s="15"/>
      <c r="OGO12" s="15"/>
      <c r="OGP12" s="15"/>
      <c r="OGQ12" s="15"/>
      <c r="OGR12" s="15"/>
      <c r="OGS12" s="15"/>
      <c r="OGT12" s="15"/>
      <c r="OGU12" s="15"/>
      <c r="OGV12" s="15"/>
      <c r="OGW12" s="15"/>
      <c r="OGX12" s="15"/>
      <c r="OGY12" s="15"/>
      <c r="OGZ12" s="15"/>
      <c r="OHA12" s="15"/>
      <c r="OHB12" s="15"/>
      <c r="OHC12" s="15"/>
      <c r="OHD12" s="15"/>
      <c r="OHE12" s="15"/>
      <c r="OHF12" s="15"/>
      <c r="OHG12" s="15"/>
      <c r="OHH12" s="15"/>
      <c r="OHI12" s="15"/>
      <c r="OHJ12" s="15"/>
      <c r="OHK12" s="15"/>
      <c r="OHL12" s="15"/>
      <c r="OHM12" s="15"/>
      <c r="OHN12" s="15"/>
      <c r="OHO12" s="15"/>
      <c r="OHP12" s="15"/>
      <c r="OHQ12" s="15"/>
      <c r="OHR12" s="15"/>
      <c r="OHS12" s="15"/>
      <c r="OHT12" s="15"/>
      <c r="OHU12" s="15"/>
      <c r="OHV12" s="15"/>
      <c r="OHW12" s="15"/>
      <c r="OHX12" s="15"/>
      <c r="OHY12" s="15"/>
      <c r="OHZ12" s="15"/>
      <c r="OIA12" s="15"/>
      <c r="OIB12" s="15"/>
      <c r="OIC12" s="15"/>
      <c r="OID12" s="15"/>
      <c r="OIE12" s="15"/>
      <c r="OIF12" s="15"/>
      <c r="OIG12" s="15"/>
      <c r="OIH12" s="15"/>
      <c r="OII12" s="15"/>
      <c r="OIJ12" s="15"/>
      <c r="OIK12" s="15"/>
      <c r="OIL12" s="15"/>
      <c r="OIM12" s="15"/>
      <c r="OIN12" s="15"/>
      <c r="OIO12" s="15"/>
      <c r="OIP12" s="15"/>
      <c r="OIQ12" s="15"/>
      <c r="OIR12" s="15"/>
      <c r="OIS12" s="15"/>
      <c r="OIT12" s="15"/>
      <c r="OIU12" s="15"/>
      <c r="OIV12" s="15"/>
      <c r="OIW12" s="15"/>
      <c r="OIX12" s="15"/>
      <c r="OIY12" s="15"/>
      <c r="OIZ12" s="15"/>
      <c r="OJA12" s="15"/>
      <c r="OJB12" s="15"/>
      <c r="OJC12" s="15"/>
      <c r="OJD12" s="15"/>
      <c r="OJE12" s="15"/>
      <c r="OJF12" s="15"/>
      <c r="OJG12" s="15"/>
      <c r="OJH12" s="15"/>
      <c r="OJI12" s="15"/>
      <c r="OJJ12" s="15"/>
      <c r="OJK12" s="15"/>
      <c r="OJL12" s="15"/>
      <c r="OJM12" s="15"/>
      <c r="OJN12" s="15"/>
      <c r="OJO12" s="15"/>
      <c r="OJP12" s="15"/>
      <c r="OJQ12" s="15"/>
      <c r="OJR12" s="15"/>
      <c r="OJS12" s="15"/>
      <c r="OJT12" s="15"/>
      <c r="OJU12" s="15"/>
      <c r="OJV12" s="15"/>
      <c r="OJW12" s="15"/>
      <c r="OJX12" s="15"/>
      <c r="OJY12" s="15"/>
      <c r="OJZ12" s="15"/>
      <c r="OKA12" s="15"/>
      <c r="OKB12" s="15"/>
      <c r="OKC12" s="15"/>
      <c r="OKD12" s="15"/>
      <c r="OKE12" s="15"/>
      <c r="OKF12" s="15"/>
      <c r="OKG12" s="15"/>
      <c r="OKH12" s="15"/>
      <c r="OKI12" s="15"/>
      <c r="OKJ12" s="15"/>
      <c r="OKK12" s="15"/>
      <c r="OKL12" s="15"/>
      <c r="OKM12" s="15"/>
      <c r="OKN12" s="15"/>
      <c r="OKO12" s="15"/>
      <c r="OKP12" s="15"/>
      <c r="OKQ12" s="15"/>
      <c r="OKR12" s="15"/>
      <c r="OKS12" s="15"/>
      <c r="OKT12" s="15"/>
      <c r="OKU12" s="15"/>
      <c r="OKV12" s="15"/>
      <c r="OKW12" s="15"/>
      <c r="OKX12" s="15"/>
      <c r="OKY12" s="15"/>
      <c r="OKZ12" s="15"/>
      <c r="OLA12" s="15"/>
      <c r="OLB12" s="15"/>
      <c r="OLC12" s="15"/>
      <c r="OLD12" s="15"/>
      <c r="OLE12" s="15"/>
      <c r="OLF12" s="15"/>
      <c r="OLG12" s="15"/>
      <c r="OLH12" s="15"/>
      <c r="OLI12" s="15"/>
      <c r="OLJ12" s="15"/>
      <c r="OLK12" s="15"/>
      <c r="OLL12" s="15"/>
      <c r="OLM12" s="15"/>
      <c r="OLN12" s="15"/>
      <c r="OLO12" s="15"/>
      <c r="OLP12" s="15"/>
      <c r="OLQ12" s="15"/>
      <c r="OLR12" s="15"/>
      <c r="OLS12" s="15"/>
      <c r="OLT12" s="15"/>
      <c r="OLU12" s="15"/>
      <c r="OLV12" s="15"/>
      <c r="OLW12" s="15"/>
      <c r="OLX12" s="15"/>
      <c r="OLY12" s="15"/>
      <c r="OLZ12" s="15"/>
      <c r="OMA12" s="15"/>
      <c r="OMB12" s="15"/>
      <c r="OMC12" s="15"/>
      <c r="OMD12" s="15"/>
      <c r="OME12" s="15"/>
      <c r="OMF12" s="15"/>
      <c r="OMG12" s="15"/>
      <c r="OMH12" s="15"/>
      <c r="OMI12" s="15"/>
      <c r="OMJ12" s="15"/>
      <c r="OMK12" s="15"/>
      <c r="OML12" s="15"/>
      <c r="OMM12" s="15"/>
      <c r="OMN12" s="15"/>
      <c r="OMO12" s="15"/>
      <c r="OMP12" s="15"/>
      <c r="OMQ12" s="15"/>
      <c r="OMR12" s="15"/>
      <c r="OMS12" s="15"/>
      <c r="OMT12" s="15"/>
      <c r="OMU12" s="15"/>
      <c r="OMV12" s="15"/>
      <c r="OMW12" s="15"/>
      <c r="OMX12" s="15"/>
      <c r="OMY12" s="15"/>
      <c r="OMZ12" s="15"/>
      <c r="ONA12" s="15"/>
      <c r="ONB12" s="15"/>
      <c r="ONC12" s="15"/>
      <c r="OND12" s="15"/>
      <c r="ONE12" s="15"/>
      <c r="ONF12" s="15"/>
      <c r="ONG12" s="15"/>
      <c r="ONH12" s="15"/>
      <c r="ONI12" s="15"/>
      <c r="ONJ12" s="15"/>
      <c r="ONK12" s="15"/>
      <c r="ONL12" s="15"/>
      <c r="ONM12" s="15"/>
      <c r="ONN12" s="15"/>
      <c r="ONO12" s="15"/>
      <c r="ONP12" s="15"/>
      <c r="ONQ12" s="15"/>
      <c r="ONR12" s="15"/>
      <c r="ONS12" s="15"/>
      <c r="ONT12" s="15"/>
      <c r="ONU12" s="15"/>
      <c r="ONV12" s="15"/>
      <c r="ONW12" s="15"/>
      <c r="ONX12" s="15"/>
      <c r="ONY12" s="15"/>
      <c r="ONZ12" s="15"/>
      <c r="OOA12" s="15"/>
      <c r="OOB12" s="15"/>
      <c r="OOC12" s="15"/>
      <c r="OOD12" s="15"/>
      <c r="OOE12" s="15"/>
      <c r="OOF12" s="15"/>
      <c r="OOG12" s="15"/>
      <c r="OOH12" s="15"/>
      <c r="OOI12" s="15"/>
      <c r="OOJ12" s="15"/>
      <c r="OOK12" s="15"/>
      <c r="OOL12" s="15"/>
      <c r="OOM12" s="15"/>
      <c r="OON12" s="15"/>
      <c r="OOO12" s="15"/>
      <c r="OOP12" s="15"/>
      <c r="OOQ12" s="15"/>
      <c r="OOR12" s="15"/>
      <c r="OOS12" s="15"/>
      <c r="OOT12" s="15"/>
      <c r="OOU12" s="15"/>
      <c r="OOV12" s="15"/>
      <c r="OOW12" s="15"/>
      <c r="OOX12" s="15"/>
      <c r="OOY12" s="15"/>
      <c r="OOZ12" s="15"/>
      <c r="OPA12" s="15"/>
      <c r="OPB12" s="15"/>
      <c r="OPC12" s="15"/>
      <c r="OPD12" s="15"/>
      <c r="OPE12" s="15"/>
      <c r="OPF12" s="15"/>
      <c r="OPG12" s="15"/>
      <c r="OPH12" s="15"/>
      <c r="OPI12" s="15"/>
      <c r="OPJ12" s="15"/>
      <c r="OPK12" s="15"/>
      <c r="OPL12" s="15"/>
      <c r="OPM12" s="15"/>
      <c r="OPN12" s="15"/>
      <c r="OPO12" s="15"/>
      <c r="OPP12" s="15"/>
      <c r="OPQ12" s="15"/>
      <c r="OPR12" s="15"/>
      <c r="OPS12" s="15"/>
      <c r="OPT12" s="15"/>
      <c r="OPU12" s="15"/>
      <c r="OPV12" s="15"/>
      <c r="OPW12" s="15"/>
      <c r="OPX12" s="15"/>
      <c r="OPY12" s="15"/>
      <c r="OPZ12" s="15"/>
      <c r="OQA12" s="15"/>
      <c r="OQB12" s="15"/>
      <c r="OQC12" s="15"/>
      <c r="OQD12" s="15"/>
      <c r="OQE12" s="15"/>
      <c r="OQF12" s="15"/>
      <c r="OQG12" s="15"/>
      <c r="OQH12" s="15"/>
      <c r="OQI12" s="15"/>
      <c r="OQJ12" s="15"/>
      <c r="OQK12" s="15"/>
      <c r="OQL12" s="15"/>
      <c r="OQM12" s="15"/>
      <c r="OQN12" s="15"/>
      <c r="OQO12" s="15"/>
      <c r="OQP12" s="15"/>
      <c r="OQQ12" s="15"/>
      <c r="OQR12" s="15"/>
      <c r="OQS12" s="15"/>
      <c r="OQT12" s="15"/>
      <c r="OQU12" s="15"/>
      <c r="OQV12" s="15"/>
      <c r="OQW12" s="15"/>
      <c r="OQX12" s="15"/>
      <c r="OQY12" s="15"/>
      <c r="OQZ12" s="15"/>
      <c r="ORA12" s="15"/>
      <c r="ORB12" s="15"/>
      <c r="ORC12" s="15"/>
      <c r="ORD12" s="15"/>
      <c r="ORE12" s="15"/>
      <c r="ORF12" s="15"/>
      <c r="ORG12" s="15"/>
      <c r="ORH12" s="15"/>
      <c r="ORI12" s="15"/>
      <c r="ORJ12" s="15"/>
      <c r="ORK12" s="15"/>
      <c r="ORL12" s="15"/>
      <c r="ORM12" s="15"/>
      <c r="ORN12" s="15"/>
      <c r="ORO12" s="15"/>
      <c r="ORP12" s="15"/>
      <c r="ORQ12" s="15"/>
      <c r="ORR12" s="15"/>
      <c r="ORS12" s="15"/>
      <c r="ORT12" s="15"/>
      <c r="ORU12" s="15"/>
      <c r="ORV12" s="15"/>
      <c r="ORW12" s="15"/>
      <c r="ORX12" s="15"/>
      <c r="ORY12" s="15"/>
      <c r="ORZ12" s="15"/>
      <c r="OSA12" s="15"/>
      <c r="OSB12" s="15"/>
      <c r="OSC12" s="15"/>
      <c r="OSD12" s="15"/>
      <c r="OSE12" s="15"/>
      <c r="OSF12" s="15"/>
      <c r="OSG12" s="15"/>
      <c r="OSH12" s="15"/>
      <c r="OSI12" s="15"/>
      <c r="OSJ12" s="15"/>
      <c r="OSK12" s="15"/>
      <c r="OSL12" s="15"/>
      <c r="OSM12" s="15"/>
      <c r="OSN12" s="15"/>
      <c r="OSO12" s="15"/>
      <c r="OSP12" s="15"/>
      <c r="OSQ12" s="15"/>
      <c r="OSR12" s="15"/>
      <c r="OSS12" s="15"/>
      <c r="OST12" s="15"/>
      <c r="OSU12" s="15"/>
      <c r="OSV12" s="15"/>
      <c r="OSW12" s="15"/>
      <c r="OSX12" s="15"/>
      <c r="OSY12" s="15"/>
      <c r="OSZ12" s="15"/>
      <c r="OTA12" s="15"/>
      <c r="OTB12" s="15"/>
      <c r="OTC12" s="15"/>
      <c r="OTD12" s="15"/>
      <c r="OTE12" s="15"/>
      <c r="OTF12" s="15"/>
      <c r="OTG12" s="15"/>
      <c r="OTH12" s="15"/>
      <c r="OTI12" s="15"/>
      <c r="OTJ12" s="15"/>
      <c r="OTK12" s="15"/>
      <c r="OTL12" s="15"/>
      <c r="OTM12" s="15"/>
      <c r="OTN12" s="15"/>
      <c r="OTO12" s="15"/>
      <c r="OTP12" s="15"/>
      <c r="OTQ12" s="15"/>
      <c r="OTR12" s="15"/>
      <c r="OTS12" s="15"/>
      <c r="OTT12" s="15"/>
      <c r="OTU12" s="15"/>
      <c r="OTV12" s="15"/>
      <c r="OTW12" s="15"/>
      <c r="OTX12" s="15"/>
      <c r="OTY12" s="15"/>
      <c r="OTZ12" s="15"/>
      <c r="OUA12" s="15"/>
      <c r="OUB12" s="15"/>
      <c r="OUC12" s="15"/>
      <c r="OUD12" s="15"/>
      <c r="OUE12" s="15"/>
      <c r="OUF12" s="15"/>
      <c r="OUG12" s="15"/>
      <c r="OUH12" s="15"/>
      <c r="OUI12" s="15"/>
      <c r="OUJ12" s="15"/>
      <c r="OUK12" s="15"/>
      <c r="OUL12" s="15"/>
      <c r="OUM12" s="15"/>
      <c r="OUN12" s="15"/>
      <c r="OUO12" s="15"/>
      <c r="OUP12" s="15"/>
      <c r="OUQ12" s="15"/>
      <c r="OUR12" s="15"/>
      <c r="OUS12" s="15"/>
      <c r="OUT12" s="15"/>
      <c r="OUU12" s="15"/>
      <c r="OUV12" s="15"/>
      <c r="OUW12" s="15"/>
      <c r="OUX12" s="15"/>
      <c r="OUY12" s="15"/>
      <c r="OUZ12" s="15"/>
      <c r="OVA12" s="15"/>
      <c r="OVB12" s="15"/>
      <c r="OVC12" s="15"/>
      <c r="OVD12" s="15"/>
      <c r="OVE12" s="15"/>
      <c r="OVF12" s="15"/>
      <c r="OVG12" s="15"/>
      <c r="OVH12" s="15"/>
      <c r="OVI12" s="15"/>
      <c r="OVJ12" s="15"/>
      <c r="OVK12" s="15"/>
      <c r="OVL12" s="15"/>
      <c r="OVM12" s="15"/>
      <c r="OVN12" s="15"/>
      <c r="OVO12" s="15"/>
      <c r="OVP12" s="15"/>
      <c r="OVQ12" s="15"/>
      <c r="OVR12" s="15"/>
      <c r="OVS12" s="15"/>
      <c r="OVT12" s="15"/>
      <c r="OVU12" s="15"/>
      <c r="OVV12" s="15"/>
      <c r="OVW12" s="15"/>
      <c r="OVX12" s="15"/>
      <c r="OVY12" s="15"/>
      <c r="OVZ12" s="15"/>
      <c r="OWA12" s="15"/>
      <c r="OWB12" s="15"/>
      <c r="OWC12" s="15"/>
      <c r="OWD12" s="15"/>
      <c r="OWE12" s="15"/>
      <c r="OWF12" s="15"/>
      <c r="OWG12" s="15"/>
      <c r="OWH12" s="15"/>
      <c r="OWI12" s="15"/>
      <c r="OWJ12" s="15"/>
      <c r="OWK12" s="15"/>
      <c r="OWL12" s="15"/>
      <c r="OWM12" s="15"/>
      <c r="OWN12" s="15"/>
      <c r="OWO12" s="15"/>
      <c r="OWP12" s="15"/>
      <c r="OWQ12" s="15"/>
      <c r="OWR12" s="15"/>
      <c r="OWS12" s="15"/>
      <c r="OWT12" s="15"/>
      <c r="OWU12" s="15"/>
      <c r="OWV12" s="15"/>
      <c r="OWW12" s="15"/>
      <c r="OWX12" s="15"/>
      <c r="OWY12" s="15"/>
      <c r="OWZ12" s="15"/>
      <c r="OXA12" s="15"/>
      <c r="OXB12" s="15"/>
      <c r="OXC12" s="15"/>
      <c r="OXD12" s="15"/>
      <c r="OXE12" s="15"/>
      <c r="OXF12" s="15"/>
      <c r="OXG12" s="15"/>
      <c r="OXH12" s="15"/>
      <c r="OXI12" s="15"/>
      <c r="OXJ12" s="15"/>
      <c r="OXK12" s="15"/>
      <c r="OXL12" s="15"/>
      <c r="OXM12" s="15"/>
      <c r="OXN12" s="15"/>
      <c r="OXO12" s="15"/>
      <c r="OXP12" s="15"/>
      <c r="OXQ12" s="15"/>
      <c r="OXR12" s="15"/>
      <c r="OXS12" s="15"/>
      <c r="OXT12" s="15"/>
      <c r="OXU12" s="15"/>
      <c r="OXV12" s="15"/>
      <c r="OXW12" s="15"/>
      <c r="OXX12" s="15"/>
      <c r="OXY12" s="15"/>
      <c r="OXZ12" s="15"/>
      <c r="OYA12" s="15"/>
      <c r="OYB12" s="15"/>
      <c r="OYC12" s="15"/>
      <c r="OYD12" s="15"/>
      <c r="OYE12" s="15"/>
      <c r="OYF12" s="15"/>
      <c r="OYG12" s="15"/>
      <c r="OYH12" s="15"/>
      <c r="OYI12" s="15"/>
      <c r="OYJ12" s="15"/>
      <c r="OYK12" s="15"/>
      <c r="OYL12" s="15"/>
      <c r="OYM12" s="15"/>
      <c r="OYN12" s="15"/>
      <c r="OYO12" s="15"/>
      <c r="OYP12" s="15"/>
      <c r="OYQ12" s="15"/>
      <c r="OYR12" s="15"/>
      <c r="OYS12" s="15"/>
      <c r="OYT12" s="15"/>
      <c r="OYU12" s="15"/>
      <c r="OYV12" s="15"/>
      <c r="OYW12" s="15"/>
      <c r="OYX12" s="15"/>
      <c r="OYY12" s="15"/>
      <c r="OYZ12" s="15"/>
      <c r="OZA12" s="15"/>
      <c r="OZB12" s="15"/>
      <c r="OZC12" s="15"/>
      <c r="OZD12" s="15"/>
      <c r="OZE12" s="15"/>
      <c r="OZF12" s="15"/>
      <c r="OZG12" s="15"/>
      <c r="OZH12" s="15"/>
      <c r="OZI12" s="15"/>
      <c r="OZJ12" s="15"/>
      <c r="OZK12" s="15"/>
      <c r="OZL12" s="15"/>
      <c r="OZM12" s="15"/>
      <c r="OZN12" s="15"/>
      <c r="OZO12" s="15"/>
      <c r="OZP12" s="15"/>
      <c r="OZQ12" s="15"/>
      <c r="OZR12" s="15"/>
      <c r="OZS12" s="15"/>
      <c r="OZT12" s="15"/>
      <c r="OZU12" s="15"/>
      <c r="OZV12" s="15"/>
      <c r="OZW12" s="15"/>
      <c r="OZX12" s="15"/>
      <c r="OZY12" s="15"/>
      <c r="OZZ12" s="15"/>
      <c r="PAA12" s="15"/>
      <c r="PAB12" s="15"/>
      <c r="PAC12" s="15"/>
      <c r="PAD12" s="15"/>
      <c r="PAE12" s="15"/>
      <c r="PAF12" s="15"/>
      <c r="PAG12" s="15"/>
      <c r="PAH12" s="15"/>
      <c r="PAI12" s="15"/>
      <c r="PAJ12" s="15"/>
      <c r="PAK12" s="15"/>
      <c r="PAL12" s="15"/>
      <c r="PAM12" s="15"/>
      <c r="PAN12" s="15"/>
      <c r="PAO12" s="15"/>
      <c r="PAP12" s="15"/>
      <c r="PAQ12" s="15"/>
      <c r="PAR12" s="15"/>
      <c r="PAS12" s="15"/>
      <c r="PAT12" s="15"/>
      <c r="PAU12" s="15"/>
      <c r="PAV12" s="15"/>
      <c r="PAW12" s="15"/>
      <c r="PAX12" s="15"/>
      <c r="PAY12" s="15"/>
      <c r="PAZ12" s="15"/>
      <c r="PBA12" s="15"/>
      <c r="PBB12" s="15"/>
      <c r="PBC12" s="15"/>
      <c r="PBD12" s="15"/>
      <c r="PBE12" s="15"/>
      <c r="PBF12" s="15"/>
      <c r="PBG12" s="15"/>
      <c r="PBH12" s="15"/>
      <c r="PBI12" s="15"/>
      <c r="PBJ12" s="15"/>
      <c r="PBK12" s="15"/>
      <c r="PBL12" s="15"/>
      <c r="PBM12" s="15"/>
      <c r="PBN12" s="15"/>
      <c r="PBO12" s="15"/>
      <c r="PBP12" s="15"/>
      <c r="PBQ12" s="15"/>
      <c r="PBR12" s="15"/>
      <c r="PBS12" s="15"/>
      <c r="PBT12" s="15"/>
      <c r="PBU12" s="15"/>
      <c r="PBV12" s="15"/>
      <c r="PBW12" s="15"/>
      <c r="PBX12" s="15"/>
      <c r="PBY12" s="15"/>
      <c r="PBZ12" s="15"/>
      <c r="PCA12" s="15"/>
      <c r="PCB12" s="15"/>
      <c r="PCC12" s="15"/>
      <c r="PCD12" s="15"/>
      <c r="PCE12" s="15"/>
      <c r="PCF12" s="15"/>
      <c r="PCG12" s="15"/>
      <c r="PCH12" s="15"/>
      <c r="PCI12" s="15"/>
      <c r="PCJ12" s="15"/>
      <c r="PCK12" s="15"/>
      <c r="PCL12" s="15"/>
      <c r="PCM12" s="15"/>
      <c r="PCN12" s="15"/>
      <c r="PCO12" s="15"/>
      <c r="PCP12" s="15"/>
      <c r="PCQ12" s="15"/>
      <c r="PCR12" s="15"/>
      <c r="PCS12" s="15"/>
      <c r="PCT12" s="15"/>
      <c r="PCU12" s="15"/>
      <c r="PCV12" s="15"/>
      <c r="PCW12" s="15"/>
      <c r="PCX12" s="15"/>
      <c r="PCY12" s="15"/>
      <c r="PCZ12" s="15"/>
      <c r="PDA12" s="15"/>
      <c r="PDB12" s="15"/>
      <c r="PDC12" s="15"/>
      <c r="PDD12" s="15"/>
      <c r="PDE12" s="15"/>
      <c r="PDF12" s="15"/>
      <c r="PDG12" s="15"/>
      <c r="PDH12" s="15"/>
      <c r="PDI12" s="15"/>
      <c r="PDJ12" s="15"/>
      <c r="PDK12" s="15"/>
      <c r="PDL12" s="15"/>
      <c r="PDM12" s="15"/>
      <c r="PDN12" s="15"/>
      <c r="PDO12" s="15"/>
      <c r="PDP12" s="15"/>
      <c r="PDQ12" s="15"/>
      <c r="PDR12" s="15"/>
      <c r="PDS12" s="15"/>
      <c r="PDT12" s="15"/>
      <c r="PDU12" s="15"/>
      <c r="PDV12" s="15"/>
      <c r="PDW12" s="15"/>
      <c r="PDX12" s="15"/>
      <c r="PDY12" s="15"/>
      <c r="PDZ12" s="15"/>
      <c r="PEA12" s="15"/>
      <c r="PEB12" s="15"/>
      <c r="PEC12" s="15"/>
      <c r="PED12" s="15"/>
      <c r="PEE12" s="15"/>
      <c r="PEF12" s="15"/>
      <c r="PEG12" s="15"/>
      <c r="PEH12" s="15"/>
      <c r="PEI12" s="15"/>
      <c r="PEJ12" s="15"/>
      <c r="PEK12" s="15"/>
      <c r="PEL12" s="15"/>
      <c r="PEM12" s="15"/>
      <c r="PEN12" s="15"/>
      <c r="PEO12" s="15"/>
      <c r="PEP12" s="15"/>
      <c r="PEQ12" s="15"/>
      <c r="PER12" s="15"/>
      <c r="PES12" s="15"/>
      <c r="PET12" s="15"/>
      <c r="PEU12" s="15"/>
      <c r="PEV12" s="15"/>
      <c r="PEW12" s="15"/>
      <c r="PEX12" s="15"/>
      <c r="PEY12" s="15"/>
      <c r="PEZ12" s="15"/>
      <c r="PFA12" s="15"/>
      <c r="PFB12" s="15"/>
      <c r="PFC12" s="15"/>
      <c r="PFD12" s="15"/>
      <c r="PFE12" s="15"/>
      <c r="PFF12" s="15"/>
      <c r="PFG12" s="15"/>
      <c r="PFH12" s="15"/>
      <c r="PFI12" s="15"/>
      <c r="PFJ12" s="15"/>
      <c r="PFK12" s="15"/>
      <c r="PFL12" s="15"/>
      <c r="PFM12" s="15"/>
      <c r="PFN12" s="15"/>
      <c r="PFO12" s="15"/>
      <c r="PFP12" s="15"/>
      <c r="PFQ12" s="15"/>
      <c r="PFR12" s="15"/>
      <c r="PFS12" s="15"/>
      <c r="PFT12" s="15"/>
      <c r="PFU12" s="15"/>
      <c r="PFV12" s="15"/>
      <c r="PFW12" s="15"/>
      <c r="PFX12" s="15"/>
      <c r="PFY12" s="15"/>
      <c r="PFZ12" s="15"/>
      <c r="PGA12" s="15"/>
      <c r="PGB12" s="15"/>
      <c r="PGC12" s="15"/>
      <c r="PGD12" s="15"/>
      <c r="PGE12" s="15"/>
      <c r="PGF12" s="15"/>
      <c r="PGG12" s="15"/>
      <c r="PGH12" s="15"/>
      <c r="PGI12" s="15"/>
      <c r="PGJ12" s="15"/>
      <c r="PGK12" s="15"/>
      <c r="PGL12" s="15"/>
      <c r="PGM12" s="15"/>
      <c r="PGN12" s="15"/>
      <c r="PGO12" s="15"/>
      <c r="PGP12" s="15"/>
      <c r="PGQ12" s="15"/>
      <c r="PGR12" s="15"/>
      <c r="PGS12" s="15"/>
      <c r="PGT12" s="15"/>
      <c r="PGU12" s="15"/>
      <c r="PGV12" s="15"/>
      <c r="PGW12" s="15"/>
      <c r="PGX12" s="15"/>
      <c r="PGY12" s="15"/>
      <c r="PGZ12" s="15"/>
      <c r="PHA12" s="15"/>
      <c r="PHB12" s="15"/>
      <c r="PHC12" s="15"/>
      <c r="PHD12" s="15"/>
      <c r="PHE12" s="15"/>
      <c r="PHF12" s="15"/>
      <c r="PHG12" s="15"/>
      <c r="PHH12" s="15"/>
      <c r="PHI12" s="15"/>
      <c r="PHJ12" s="15"/>
      <c r="PHK12" s="15"/>
      <c r="PHL12" s="15"/>
      <c r="PHM12" s="15"/>
      <c r="PHN12" s="15"/>
      <c r="PHO12" s="15"/>
      <c r="PHP12" s="15"/>
      <c r="PHQ12" s="15"/>
      <c r="PHR12" s="15"/>
      <c r="PHS12" s="15"/>
      <c r="PHT12" s="15"/>
      <c r="PHU12" s="15"/>
      <c r="PHV12" s="15"/>
      <c r="PHW12" s="15"/>
      <c r="PHX12" s="15"/>
      <c r="PHY12" s="15"/>
      <c r="PHZ12" s="15"/>
      <c r="PIA12" s="15"/>
      <c r="PIB12" s="15"/>
      <c r="PIC12" s="15"/>
      <c r="PID12" s="15"/>
      <c r="PIE12" s="15"/>
      <c r="PIF12" s="15"/>
      <c r="PIG12" s="15"/>
      <c r="PIH12" s="15"/>
      <c r="PII12" s="15"/>
      <c r="PIJ12" s="15"/>
      <c r="PIK12" s="15"/>
      <c r="PIL12" s="15"/>
      <c r="PIM12" s="15"/>
      <c r="PIN12" s="15"/>
      <c r="PIO12" s="15"/>
      <c r="PIP12" s="15"/>
      <c r="PIQ12" s="15"/>
      <c r="PIR12" s="15"/>
      <c r="PIS12" s="15"/>
      <c r="PIT12" s="15"/>
      <c r="PIU12" s="15"/>
      <c r="PIV12" s="15"/>
      <c r="PIW12" s="15"/>
      <c r="PIX12" s="15"/>
      <c r="PIY12" s="15"/>
      <c r="PIZ12" s="15"/>
      <c r="PJA12" s="15"/>
      <c r="PJB12" s="15"/>
      <c r="PJC12" s="15"/>
      <c r="PJD12" s="15"/>
      <c r="PJE12" s="15"/>
      <c r="PJF12" s="15"/>
      <c r="PJG12" s="15"/>
      <c r="PJH12" s="15"/>
      <c r="PJI12" s="15"/>
      <c r="PJJ12" s="15"/>
      <c r="PJK12" s="15"/>
      <c r="PJL12" s="15"/>
      <c r="PJM12" s="15"/>
      <c r="PJN12" s="15"/>
      <c r="PJO12" s="15"/>
      <c r="PJP12" s="15"/>
      <c r="PJQ12" s="15"/>
      <c r="PJR12" s="15"/>
      <c r="PJS12" s="15"/>
      <c r="PJT12" s="15"/>
      <c r="PJU12" s="15"/>
      <c r="PJV12" s="15"/>
      <c r="PJW12" s="15"/>
      <c r="PJX12" s="15"/>
      <c r="PJY12" s="15"/>
      <c r="PJZ12" s="15"/>
      <c r="PKA12" s="15"/>
      <c r="PKB12" s="15"/>
      <c r="PKC12" s="15"/>
      <c r="PKD12" s="15"/>
      <c r="PKE12" s="15"/>
      <c r="PKF12" s="15"/>
      <c r="PKG12" s="15"/>
      <c r="PKH12" s="15"/>
      <c r="PKI12" s="15"/>
      <c r="PKJ12" s="15"/>
      <c r="PKK12" s="15"/>
      <c r="PKL12" s="15"/>
      <c r="PKM12" s="15"/>
      <c r="PKN12" s="15"/>
      <c r="PKO12" s="15"/>
      <c r="PKP12" s="15"/>
      <c r="PKQ12" s="15"/>
      <c r="PKR12" s="15"/>
      <c r="PKS12" s="15"/>
      <c r="PKT12" s="15"/>
      <c r="PKU12" s="15"/>
      <c r="PKV12" s="15"/>
      <c r="PKW12" s="15"/>
      <c r="PKX12" s="15"/>
      <c r="PKY12" s="15"/>
      <c r="PKZ12" s="15"/>
      <c r="PLA12" s="15"/>
      <c r="PLB12" s="15"/>
      <c r="PLC12" s="15"/>
      <c r="PLD12" s="15"/>
      <c r="PLE12" s="15"/>
      <c r="PLF12" s="15"/>
      <c r="PLG12" s="15"/>
      <c r="PLH12" s="15"/>
      <c r="PLI12" s="15"/>
      <c r="PLJ12" s="15"/>
      <c r="PLK12" s="15"/>
      <c r="PLL12" s="15"/>
      <c r="PLM12" s="15"/>
      <c r="PLN12" s="15"/>
      <c r="PLO12" s="15"/>
      <c r="PLP12" s="15"/>
      <c r="PLQ12" s="15"/>
      <c r="PLR12" s="15"/>
      <c r="PLS12" s="15"/>
      <c r="PLT12" s="15"/>
      <c r="PLU12" s="15"/>
      <c r="PLV12" s="15"/>
      <c r="PLW12" s="15"/>
      <c r="PLX12" s="15"/>
      <c r="PLY12" s="15"/>
      <c r="PLZ12" s="15"/>
      <c r="PMA12" s="15"/>
      <c r="PMB12" s="15"/>
      <c r="PMC12" s="15"/>
      <c r="PMD12" s="15"/>
      <c r="PME12" s="15"/>
      <c r="PMF12" s="15"/>
      <c r="PMG12" s="15"/>
      <c r="PMH12" s="15"/>
      <c r="PMI12" s="15"/>
      <c r="PMJ12" s="15"/>
      <c r="PMK12" s="15"/>
      <c r="PML12" s="15"/>
      <c r="PMM12" s="15"/>
      <c r="PMN12" s="15"/>
      <c r="PMO12" s="15"/>
      <c r="PMP12" s="15"/>
      <c r="PMQ12" s="15"/>
      <c r="PMR12" s="15"/>
      <c r="PMS12" s="15"/>
      <c r="PMT12" s="15"/>
      <c r="PMU12" s="15"/>
      <c r="PMV12" s="15"/>
      <c r="PMW12" s="15"/>
      <c r="PMX12" s="15"/>
      <c r="PMY12" s="15"/>
      <c r="PMZ12" s="15"/>
      <c r="PNA12" s="15"/>
      <c r="PNB12" s="15"/>
      <c r="PNC12" s="15"/>
      <c r="PND12" s="15"/>
      <c r="PNE12" s="15"/>
      <c r="PNF12" s="15"/>
      <c r="PNG12" s="15"/>
      <c r="PNH12" s="15"/>
      <c r="PNI12" s="15"/>
      <c r="PNJ12" s="15"/>
      <c r="PNK12" s="15"/>
      <c r="PNL12" s="15"/>
      <c r="PNM12" s="15"/>
      <c r="PNN12" s="15"/>
      <c r="PNO12" s="15"/>
      <c r="PNP12" s="15"/>
      <c r="PNQ12" s="15"/>
      <c r="PNR12" s="15"/>
      <c r="PNS12" s="15"/>
      <c r="PNT12" s="15"/>
      <c r="PNU12" s="15"/>
      <c r="PNV12" s="15"/>
      <c r="PNW12" s="15"/>
      <c r="PNX12" s="15"/>
      <c r="PNY12" s="15"/>
      <c r="PNZ12" s="15"/>
      <c r="POA12" s="15"/>
      <c r="POB12" s="15"/>
      <c r="POC12" s="15"/>
      <c r="POD12" s="15"/>
      <c r="POE12" s="15"/>
      <c r="POF12" s="15"/>
      <c r="POG12" s="15"/>
      <c r="POH12" s="15"/>
      <c r="POI12" s="15"/>
      <c r="POJ12" s="15"/>
      <c r="POK12" s="15"/>
      <c r="POL12" s="15"/>
      <c r="POM12" s="15"/>
      <c r="PON12" s="15"/>
      <c r="POO12" s="15"/>
      <c r="POP12" s="15"/>
      <c r="POQ12" s="15"/>
      <c r="POR12" s="15"/>
      <c r="POS12" s="15"/>
      <c r="POT12" s="15"/>
      <c r="POU12" s="15"/>
      <c r="POV12" s="15"/>
      <c r="POW12" s="15"/>
      <c r="POX12" s="15"/>
      <c r="POY12" s="15"/>
      <c r="POZ12" s="15"/>
      <c r="PPA12" s="15"/>
      <c r="PPB12" s="15"/>
      <c r="PPC12" s="15"/>
      <c r="PPD12" s="15"/>
      <c r="PPE12" s="15"/>
      <c r="PPF12" s="15"/>
      <c r="PPG12" s="15"/>
      <c r="PPH12" s="15"/>
      <c r="PPI12" s="15"/>
      <c r="PPJ12" s="15"/>
      <c r="PPK12" s="15"/>
      <c r="PPL12" s="15"/>
      <c r="PPM12" s="15"/>
      <c r="PPN12" s="15"/>
      <c r="PPO12" s="15"/>
      <c r="PPP12" s="15"/>
      <c r="PPQ12" s="15"/>
      <c r="PPR12" s="15"/>
      <c r="PPS12" s="15"/>
      <c r="PPT12" s="15"/>
      <c r="PPU12" s="15"/>
      <c r="PPV12" s="15"/>
      <c r="PPW12" s="15"/>
      <c r="PPX12" s="15"/>
      <c r="PPY12" s="15"/>
      <c r="PPZ12" s="15"/>
      <c r="PQA12" s="15"/>
      <c r="PQB12" s="15"/>
      <c r="PQC12" s="15"/>
      <c r="PQD12" s="15"/>
      <c r="PQE12" s="15"/>
      <c r="PQF12" s="15"/>
      <c r="PQG12" s="15"/>
      <c r="PQH12" s="15"/>
      <c r="PQI12" s="15"/>
      <c r="PQJ12" s="15"/>
      <c r="PQK12" s="15"/>
      <c r="PQL12" s="15"/>
      <c r="PQM12" s="15"/>
      <c r="PQN12" s="15"/>
      <c r="PQO12" s="15"/>
      <c r="PQP12" s="15"/>
      <c r="PQQ12" s="15"/>
      <c r="PQR12" s="15"/>
      <c r="PQS12" s="15"/>
      <c r="PQT12" s="15"/>
      <c r="PQU12" s="15"/>
      <c r="PQV12" s="15"/>
      <c r="PQW12" s="15"/>
      <c r="PQX12" s="15"/>
      <c r="PQY12" s="15"/>
      <c r="PQZ12" s="15"/>
      <c r="PRA12" s="15"/>
      <c r="PRB12" s="15"/>
      <c r="PRC12" s="15"/>
      <c r="PRD12" s="15"/>
      <c r="PRE12" s="15"/>
      <c r="PRF12" s="15"/>
      <c r="PRG12" s="15"/>
      <c r="PRH12" s="15"/>
      <c r="PRI12" s="15"/>
      <c r="PRJ12" s="15"/>
      <c r="PRK12" s="15"/>
      <c r="PRL12" s="15"/>
      <c r="PRM12" s="15"/>
      <c r="PRN12" s="15"/>
      <c r="PRO12" s="15"/>
      <c r="PRP12" s="15"/>
      <c r="PRQ12" s="15"/>
      <c r="PRR12" s="15"/>
      <c r="PRS12" s="15"/>
      <c r="PRT12" s="15"/>
      <c r="PRU12" s="15"/>
      <c r="PRV12" s="15"/>
      <c r="PRW12" s="15"/>
      <c r="PRX12" s="15"/>
      <c r="PRY12" s="15"/>
      <c r="PRZ12" s="15"/>
      <c r="PSA12" s="15"/>
      <c r="PSB12" s="15"/>
      <c r="PSC12" s="15"/>
      <c r="PSD12" s="15"/>
      <c r="PSE12" s="15"/>
      <c r="PSF12" s="15"/>
      <c r="PSG12" s="15"/>
      <c r="PSH12" s="15"/>
      <c r="PSI12" s="15"/>
      <c r="PSJ12" s="15"/>
      <c r="PSK12" s="15"/>
      <c r="PSL12" s="15"/>
      <c r="PSM12" s="15"/>
      <c r="PSN12" s="15"/>
      <c r="PSO12" s="15"/>
      <c r="PSP12" s="15"/>
      <c r="PSQ12" s="15"/>
      <c r="PSR12" s="15"/>
      <c r="PSS12" s="15"/>
      <c r="PST12" s="15"/>
      <c r="PSU12" s="15"/>
      <c r="PSV12" s="15"/>
      <c r="PSW12" s="15"/>
      <c r="PSX12" s="15"/>
      <c r="PSY12" s="15"/>
      <c r="PSZ12" s="15"/>
      <c r="PTA12" s="15"/>
      <c r="PTB12" s="15"/>
      <c r="PTC12" s="15"/>
      <c r="PTD12" s="15"/>
      <c r="PTE12" s="15"/>
      <c r="PTF12" s="15"/>
      <c r="PTG12" s="15"/>
      <c r="PTH12" s="15"/>
      <c r="PTI12" s="15"/>
      <c r="PTJ12" s="15"/>
      <c r="PTK12" s="15"/>
      <c r="PTL12" s="15"/>
      <c r="PTM12" s="15"/>
      <c r="PTN12" s="15"/>
      <c r="PTO12" s="15"/>
      <c r="PTP12" s="15"/>
      <c r="PTQ12" s="15"/>
      <c r="PTR12" s="15"/>
      <c r="PTS12" s="15"/>
      <c r="PTT12" s="15"/>
      <c r="PTU12" s="15"/>
      <c r="PTV12" s="15"/>
      <c r="PTW12" s="15"/>
      <c r="PTX12" s="15"/>
      <c r="PTY12" s="15"/>
      <c r="PTZ12" s="15"/>
      <c r="PUA12" s="15"/>
      <c r="PUB12" s="15"/>
      <c r="PUC12" s="15"/>
      <c r="PUD12" s="15"/>
      <c r="PUE12" s="15"/>
      <c r="PUF12" s="15"/>
      <c r="PUG12" s="15"/>
      <c r="PUH12" s="15"/>
      <c r="PUI12" s="15"/>
      <c r="PUJ12" s="15"/>
      <c r="PUK12" s="15"/>
      <c r="PUL12" s="15"/>
      <c r="PUM12" s="15"/>
      <c r="PUN12" s="15"/>
      <c r="PUO12" s="15"/>
      <c r="PUP12" s="15"/>
      <c r="PUQ12" s="15"/>
      <c r="PUR12" s="15"/>
      <c r="PUS12" s="15"/>
      <c r="PUT12" s="15"/>
      <c r="PUU12" s="15"/>
      <c r="PUV12" s="15"/>
      <c r="PUW12" s="15"/>
      <c r="PUX12" s="15"/>
      <c r="PUY12" s="15"/>
      <c r="PUZ12" s="15"/>
      <c r="PVA12" s="15"/>
      <c r="PVB12" s="15"/>
      <c r="PVC12" s="15"/>
      <c r="PVD12" s="15"/>
      <c r="PVE12" s="15"/>
      <c r="PVF12" s="15"/>
      <c r="PVG12" s="15"/>
      <c r="PVH12" s="15"/>
      <c r="PVI12" s="15"/>
      <c r="PVJ12" s="15"/>
      <c r="PVK12" s="15"/>
      <c r="PVL12" s="15"/>
      <c r="PVM12" s="15"/>
      <c r="PVN12" s="15"/>
      <c r="PVO12" s="15"/>
      <c r="PVP12" s="15"/>
      <c r="PVQ12" s="15"/>
      <c r="PVR12" s="15"/>
      <c r="PVS12" s="15"/>
      <c r="PVT12" s="15"/>
      <c r="PVU12" s="15"/>
      <c r="PVV12" s="15"/>
      <c r="PVW12" s="15"/>
      <c r="PVX12" s="15"/>
      <c r="PVY12" s="15"/>
      <c r="PVZ12" s="15"/>
      <c r="PWA12" s="15"/>
      <c r="PWB12" s="15"/>
      <c r="PWC12" s="15"/>
      <c r="PWD12" s="15"/>
      <c r="PWE12" s="15"/>
      <c r="PWF12" s="15"/>
      <c r="PWG12" s="15"/>
      <c r="PWH12" s="15"/>
      <c r="PWI12" s="15"/>
      <c r="PWJ12" s="15"/>
      <c r="PWK12" s="15"/>
      <c r="PWL12" s="15"/>
      <c r="PWM12" s="15"/>
      <c r="PWN12" s="15"/>
      <c r="PWO12" s="15"/>
      <c r="PWP12" s="15"/>
      <c r="PWQ12" s="15"/>
      <c r="PWR12" s="15"/>
      <c r="PWS12" s="15"/>
      <c r="PWT12" s="15"/>
      <c r="PWU12" s="15"/>
      <c r="PWV12" s="15"/>
      <c r="PWW12" s="15"/>
      <c r="PWX12" s="15"/>
      <c r="PWY12" s="15"/>
      <c r="PWZ12" s="15"/>
      <c r="PXA12" s="15"/>
      <c r="PXB12" s="15"/>
      <c r="PXC12" s="15"/>
      <c r="PXD12" s="15"/>
      <c r="PXE12" s="15"/>
      <c r="PXF12" s="15"/>
      <c r="PXG12" s="15"/>
      <c r="PXH12" s="15"/>
      <c r="PXI12" s="15"/>
      <c r="PXJ12" s="15"/>
      <c r="PXK12" s="15"/>
      <c r="PXL12" s="15"/>
      <c r="PXM12" s="15"/>
      <c r="PXN12" s="15"/>
      <c r="PXO12" s="15"/>
      <c r="PXP12" s="15"/>
      <c r="PXQ12" s="15"/>
      <c r="PXR12" s="15"/>
      <c r="PXS12" s="15"/>
      <c r="PXT12" s="15"/>
      <c r="PXU12" s="15"/>
      <c r="PXV12" s="15"/>
      <c r="PXW12" s="15"/>
      <c r="PXX12" s="15"/>
      <c r="PXY12" s="15"/>
      <c r="PXZ12" s="15"/>
      <c r="PYA12" s="15"/>
      <c r="PYB12" s="15"/>
      <c r="PYC12" s="15"/>
      <c r="PYD12" s="15"/>
      <c r="PYE12" s="15"/>
      <c r="PYF12" s="15"/>
      <c r="PYG12" s="15"/>
      <c r="PYH12" s="15"/>
      <c r="PYI12" s="15"/>
      <c r="PYJ12" s="15"/>
      <c r="PYK12" s="15"/>
      <c r="PYL12" s="15"/>
      <c r="PYM12" s="15"/>
      <c r="PYN12" s="15"/>
      <c r="PYO12" s="15"/>
      <c r="PYP12" s="15"/>
      <c r="PYQ12" s="15"/>
      <c r="PYR12" s="15"/>
      <c r="PYS12" s="15"/>
      <c r="PYT12" s="15"/>
      <c r="PYU12" s="15"/>
      <c r="PYV12" s="15"/>
      <c r="PYW12" s="15"/>
      <c r="PYX12" s="15"/>
      <c r="PYY12" s="15"/>
      <c r="PYZ12" s="15"/>
      <c r="PZA12" s="15"/>
      <c r="PZB12" s="15"/>
      <c r="PZC12" s="15"/>
      <c r="PZD12" s="15"/>
      <c r="PZE12" s="15"/>
      <c r="PZF12" s="15"/>
      <c r="PZG12" s="15"/>
      <c r="PZH12" s="15"/>
      <c r="PZI12" s="15"/>
      <c r="PZJ12" s="15"/>
      <c r="PZK12" s="15"/>
      <c r="PZL12" s="15"/>
      <c r="PZM12" s="15"/>
      <c r="PZN12" s="15"/>
      <c r="PZO12" s="15"/>
      <c r="PZP12" s="15"/>
      <c r="PZQ12" s="15"/>
      <c r="PZR12" s="15"/>
      <c r="PZS12" s="15"/>
      <c r="PZT12" s="15"/>
      <c r="PZU12" s="15"/>
      <c r="PZV12" s="15"/>
      <c r="PZW12" s="15"/>
      <c r="PZX12" s="15"/>
      <c r="PZY12" s="15"/>
      <c r="PZZ12" s="15"/>
      <c r="QAA12" s="15"/>
      <c r="QAB12" s="15"/>
      <c r="QAC12" s="15"/>
      <c r="QAD12" s="15"/>
      <c r="QAE12" s="15"/>
      <c r="QAF12" s="15"/>
      <c r="QAG12" s="15"/>
      <c r="QAH12" s="15"/>
      <c r="QAI12" s="15"/>
      <c r="QAJ12" s="15"/>
      <c r="QAK12" s="15"/>
      <c r="QAL12" s="15"/>
      <c r="QAM12" s="15"/>
      <c r="QAN12" s="15"/>
      <c r="QAO12" s="15"/>
      <c r="QAP12" s="15"/>
      <c r="QAQ12" s="15"/>
      <c r="QAR12" s="15"/>
      <c r="QAS12" s="15"/>
      <c r="QAT12" s="15"/>
      <c r="QAU12" s="15"/>
      <c r="QAV12" s="15"/>
      <c r="QAW12" s="15"/>
      <c r="QAX12" s="15"/>
      <c r="QAY12" s="15"/>
      <c r="QAZ12" s="15"/>
      <c r="QBA12" s="15"/>
      <c r="QBB12" s="15"/>
      <c r="QBC12" s="15"/>
      <c r="QBD12" s="15"/>
      <c r="QBE12" s="15"/>
      <c r="QBF12" s="15"/>
      <c r="QBG12" s="15"/>
      <c r="QBH12" s="15"/>
      <c r="QBI12" s="15"/>
      <c r="QBJ12" s="15"/>
      <c r="QBK12" s="15"/>
      <c r="QBL12" s="15"/>
      <c r="QBM12" s="15"/>
      <c r="QBN12" s="15"/>
      <c r="QBO12" s="15"/>
      <c r="QBP12" s="15"/>
      <c r="QBQ12" s="15"/>
      <c r="QBR12" s="15"/>
      <c r="QBS12" s="15"/>
      <c r="QBT12" s="15"/>
      <c r="QBU12" s="15"/>
      <c r="QBV12" s="15"/>
      <c r="QBW12" s="15"/>
      <c r="QBX12" s="15"/>
      <c r="QBY12" s="15"/>
      <c r="QBZ12" s="15"/>
      <c r="QCA12" s="15"/>
      <c r="QCB12" s="15"/>
      <c r="QCC12" s="15"/>
      <c r="QCD12" s="15"/>
      <c r="QCE12" s="15"/>
      <c r="QCF12" s="15"/>
      <c r="QCG12" s="15"/>
      <c r="QCH12" s="15"/>
      <c r="QCI12" s="15"/>
      <c r="QCJ12" s="15"/>
      <c r="QCK12" s="15"/>
      <c r="QCL12" s="15"/>
      <c r="QCM12" s="15"/>
      <c r="QCN12" s="15"/>
      <c r="QCO12" s="15"/>
      <c r="QCP12" s="15"/>
      <c r="QCQ12" s="15"/>
      <c r="QCR12" s="15"/>
      <c r="QCS12" s="15"/>
      <c r="QCT12" s="15"/>
      <c r="QCU12" s="15"/>
      <c r="QCV12" s="15"/>
      <c r="QCW12" s="15"/>
      <c r="QCX12" s="15"/>
      <c r="QCY12" s="15"/>
      <c r="QCZ12" s="15"/>
      <c r="QDA12" s="15"/>
      <c r="QDB12" s="15"/>
      <c r="QDC12" s="15"/>
      <c r="QDD12" s="15"/>
      <c r="QDE12" s="15"/>
      <c r="QDF12" s="15"/>
      <c r="QDG12" s="15"/>
      <c r="QDH12" s="15"/>
      <c r="QDI12" s="15"/>
      <c r="QDJ12" s="15"/>
      <c r="QDK12" s="15"/>
      <c r="QDL12" s="15"/>
      <c r="QDM12" s="15"/>
      <c r="QDN12" s="15"/>
      <c r="QDO12" s="15"/>
      <c r="QDP12" s="15"/>
      <c r="QDQ12" s="15"/>
      <c r="QDR12" s="15"/>
      <c r="QDS12" s="15"/>
      <c r="QDT12" s="15"/>
      <c r="QDU12" s="15"/>
      <c r="QDV12" s="15"/>
      <c r="QDW12" s="15"/>
      <c r="QDX12" s="15"/>
      <c r="QDY12" s="15"/>
      <c r="QDZ12" s="15"/>
      <c r="QEA12" s="15"/>
      <c r="QEB12" s="15"/>
      <c r="QEC12" s="15"/>
      <c r="QED12" s="15"/>
      <c r="QEE12" s="15"/>
      <c r="QEF12" s="15"/>
      <c r="QEG12" s="15"/>
      <c r="QEH12" s="15"/>
      <c r="QEI12" s="15"/>
      <c r="QEJ12" s="15"/>
      <c r="QEK12" s="15"/>
      <c r="QEL12" s="15"/>
      <c r="QEM12" s="15"/>
      <c r="QEN12" s="15"/>
      <c r="QEO12" s="15"/>
      <c r="QEP12" s="15"/>
      <c r="QEQ12" s="15"/>
      <c r="QER12" s="15"/>
      <c r="QES12" s="15"/>
      <c r="QET12" s="15"/>
      <c r="QEU12" s="15"/>
      <c r="QEV12" s="15"/>
      <c r="QEW12" s="15"/>
      <c r="QEX12" s="15"/>
      <c r="QEY12" s="15"/>
      <c r="QEZ12" s="15"/>
      <c r="QFA12" s="15"/>
      <c r="QFB12" s="15"/>
      <c r="QFC12" s="15"/>
      <c r="QFD12" s="15"/>
      <c r="QFE12" s="15"/>
      <c r="QFF12" s="15"/>
      <c r="QFG12" s="15"/>
      <c r="QFH12" s="15"/>
      <c r="QFI12" s="15"/>
      <c r="QFJ12" s="15"/>
      <c r="QFK12" s="15"/>
      <c r="QFL12" s="15"/>
      <c r="QFM12" s="15"/>
      <c r="QFN12" s="15"/>
      <c r="QFO12" s="15"/>
      <c r="QFP12" s="15"/>
      <c r="QFQ12" s="15"/>
      <c r="QFR12" s="15"/>
      <c r="QFS12" s="15"/>
      <c r="QFT12" s="15"/>
      <c r="QFU12" s="15"/>
      <c r="QFV12" s="15"/>
      <c r="QFW12" s="15"/>
      <c r="QFX12" s="15"/>
      <c r="QFY12" s="15"/>
      <c r="QFZ12" s="15"/>
      <c r="QGA12" s="15"/>
      <c r="QGB12" s="15"/>
      <c r="QGC12" s="15"/>
      <c r="QGD12" s="15"/>
      <c r="QGE12" s="15"/>
      <c r="QGF12" s="15"/>
      <c r="QGG12" s="15"/>
      <c r="QGH12" s="15"/>
      <c r="QGI12" s="15"/>
      <c r="QGJ12" s="15"/>
      <c r="QGK12" s="15"/>
      <c r="QGL12" s="15"/>
      <c r="QGM12" s="15"/>
      <c r="QGN12" s="15"/>
      <c r="QGO12" s="15"/>
      <c r="QGP12" s="15"/>
      <c r="QGQ12" s="15"/>
      <c r="QGR12" s="15"/>
      <c r="QGS12" s="15"/>
      <c r="QGT12" s="15"/>
      <c r="QGU12" s="15"/>
      <c r="QGV12" s="15"/>
      <c r="QGW12" s="15"/>
      <c r="QGX12" s="15"/>
      <c r="QGY12" s="15"/>
      <c r="QGZ12" s="15"/>
      <c r="QHA12" s="15"/>
      <c r="QHB12" s="15"/>
      <c r="QHC12" s="15"/>
      <c r="QHD12" s="15"/>
      <c r="QHE12" s="15"/>
      <c r="QHF12" s="15"/>
      <c r="QHG12" s="15"/>
      <c r="QHH12" s="15"/>
      <c r="QHI12" s="15"/>
      <c r="QHJ12" s="15"/>
      <c r="QHK12" s="15"/>
      <c r="QHL12" s="15"/>
      <c r="QHM12" s="15"/>
      <c r="QHN12" s="15"/>
      <c r="QHO12" s="15"/>
      <c r="QHP12" s="15"/>
      <c r="QHQ12" s="15"/>
      <c r="QHR12" s="15"/>
      <c r="QHS12" s="15"/>
      <c r="QHT12" s="15"/>
      <c r="QHU12" s="15"/>
      <c r="QHV12" s="15"/>
      <c r="QHW12" s="15"/>
      <c r="QHX12" s="15"/>
      <c r="QHY12" s="15"/>
      <c r="QHZ12" s="15"/>
      <c r="QIA12" s="15"/>
      <c r="QIB12" s="15"/>
      <c r="QIC12" s="15"/>
      <c r="QID12" s="15"/>
      <c r="QIE12" s="15"/>
      <c r="QIF12" s="15"/>
      <c r="QIG12" s="15"/>
      <c r="QIH12" s="15"/>
      <c r="QII12" s="15"/>
      <c r="QIJ12" s="15"/>
      <c r="QIK12" s="15"/>
      <c r="QIL12" s="15"/>
      <c r="QIM12" s="15"/>
      <c r="QIN12" s="15"/>
      <c r="QIO12" s="15"/>
      <c r="QIP12" s="15"/>
      <c r="QIQ12" s="15"/>
      <c r="QIR12" s="15"/>
      <c r="QIS12" s="15"/>
      <c r="QIT12" s="15"/>
      <c r="QIU12" s="15"/>
      <c r="QIV12" s="15"/>
      <c r="QIW12" s="15"/>
      <c r="QIX12" s="15"/>
      <c r="QIY12" s="15"/>
      <c r="QIZ12" s="15"/>
      <c r="QJA12" s="15"/>
      <c r="QJB12" s="15"/>
      <c r="QJC12" s="15"/>
      <c r="QJD12" s="15"/>
      <c r="QJE12" s="15"/>
      <c r="QJF12" s="15"/>
      <c r="QJG12" s="15"/>
      <c r="QJH12" s="15"/>
      <c r="QJI12" s="15"/>
      <c r="QJJ12" s="15"/>
      <c r="QJK12" s="15"/>
      <c r="QJL12" s="15"/>
      <c r="QJM12" s="15"/>
      <c r="QJN12" s="15"/>
      <c r="QJO12" s="15"/>
      <c r="QJP12" s="15"/>
      <c r="QJQ12" s="15"/>
      <c r="QJR12" s="15"/>
      <c r="QJS12" s="15"/>
      <c r="QJT12" s="15"/>
      <c r="QJU12" s="15"/>
      <c r="QJV12" s="15"/>
      <c r="QJW12" s="15"/>
      <c r="QJX12" s="15"/>
      <c r="QJY12" s="15"/>
      <c r="QJZ12" s="15"/>
      <c r="QKA12" s="15"/>
      <c r="QKB12" s="15"/>
      <c r="QKC12" s="15"/>
      <c r="QKD12" s="15"/>
      <c r="QKE12" s="15"/>
      <c r="QKF12" s="15"/>
      <c r="QKG12" s="15"/>
      <c r="QKH12" s="15"/>
      <c r="QKI12" s="15"/>
      <c r="QKJ12" s="15"/>
      <c r="QKK12" s="15"/>
      <c r="QKL12" s="15"/>
      <c r="QKM12" s="15"/>
      <c r="QKN12" s="15"/>
      <c r="QKO12" s="15"/>
      <c r="QKP12" s="15"/>
      <c r="QKQ12" s="15"/>
      <c r="QKR12" s="15"/>
      <c r="QKS12" s="15"/>
      <c r="QKT12" s="15"/>
      <c r="QKU12" s="15"/>
      <c r="QKV12" s="15"/>
      <c r="QKW12" s="15"/>
      <c r="QKX12" s="15"/>
      <c r="QKY12" s="15"/>
      <c r="QKZ12" s="15"/>
      <c r="QLA12" s="15"/>
      <c r="QLB12" s="15"/>
      <c r="QLC12" s="15"/>
      <c r="QLD12" s="15"/>
      <c r="QLE12" s="15"/>
      <c r="QLF12" s="15"/>
      <c r="QLG12" s="15"/>
      <c r="QLH12" s="15"/>
      <c r="QLI12" s="15"/>
      <c r="QLJ12" s="15"/>
      <c r="QLK12" s="15"/>
      <c r="QLL12" s="15"/>
      <c r="QLM12" s="15"/>
      <c r="QLN12" s="15"/>
      <c r="QLO12" s="15"/>
      <c r="QLP12" s="15"/>
      <c r="QLQ12" s="15"/>
      <c r="QLR12" s="15"/>
      <c r="QLS12" s="15"/>
      <c r="QLT12" s="15"/>
      <c r="QLU12" s="15"/>
      <c r="QLV12" s="15"/>
      <c r="QLW12" s="15"/>
      <c r="QLX12" s="15"/>
      <c r="QLY12" s="15"/>
      <c r="QLZ12" s="15"/>
      <c r="QMA12" s="15"/>
      <c r="QMB12" s="15"/>
      <c r="QMC12" s="15"/>
      <c r="QMD12" s="15"/>
      <c r="QME12" s="15"/>
      <c r="QMF12" s="15"/>
      <c r="QMG12" s="15"/>
      <c r="QMH12" s="15"/>
      <c r="QMI12" s="15"/>
      <c r="QMJ12" s="15"/>
      <c r="QMK12" s="15"/>
      <c r="QML12" s="15"/>
      <c r="QMM12" s="15"/>
      <c r="QMN12" s="15"/>
      <c r="QMO12" s="15"/>
      <c r="QMP12" s="15"/>
      <c r="QMQ12" s="15"/>
      <c r="QMR12" s="15"/>
      <c r="QMS12" s="15"/>
      <c r="QMT12" s="15"/>
      <c r="QMU12" s="15"/>
      <c r="QMV12" s="15"/>
      <c r="QMW12" s="15"/>
      <c r="QMX12" s="15"/>
      <c r="QMY12" s="15"/>
      <c r="QMZ12" s="15"/>
      <c r="QNA12" s="15"/>
      <c r="QNB12" s="15"/>
      <c r="QNC12" s="15"/>
      <c r="QND12" s="15"/>
      <c r="QNE12" s="15"/>
      <c r="QNF12" s="15"/>
      <c r="QNG12" s="15"/>
      <c r="QNH12" s="15"/>
      <c r="QNI12" s="15"/>
      <c r="QNJ12" s="15"/>
      <c r="QNK12" s="15"/>
      <c r="QNL12" s="15"/>
      <c r="QNM12" s="15"/>
      <c r="QNN12" s="15"/>
      <c r="QNO12" s="15"/>
      <c r="QNP12" s="15"/>
      <c r="QNQ12" s="15"/>
      <c r="QNR12" s="15"/>
      <c r="QNS12" s="15"/>
      <c r="QNT12" s="15"/>
      <c r="QNU12" s="15"/>
      <c r="QNV12" s="15"/>
      <c r="QNW12" s="15"/>
      <c r="QNX12" s="15"/>
      <c r="QNY12" s="15"/>
      <c r="QNZ12" s="15"/>
      <c r="QOA12" s="15"/>
      <c r="QOB12" s="15"/>
      <c r="QOC12" s="15"/>
      <c r="QOD12" s="15"/>
      <c r="QOE12" s="15"/>
      <c r="QOF12" s="15"/>
      <c r="QOG12" s="15"/>
      <c r="QOH12" s="15"/>
      <c r="QOI12" s="15"/>
      <c r="QOJ12" s="15"/>
      <c r="QOK12" s="15"/>
      <c r="QOL12" s="15"/>
      <c r="QOM12" s="15"/>
      <c r="QON12" s="15"/>
      <c r="QOO12" s="15"/>
      <c r="QOP12" s="15"/>
      <c r="QOQ12" s="15"/>
      <c r="QOR12" s="15"/>
      <c r="QOS12" s="15"/>
      <c r="QOT12" s="15"/>
      <c r="QOU12" s="15"/>
      <c r="QOV12" s="15"/>
      <c r="QOW12" s="15"/>
      <c r="QOX12" s="15"/>
      <c r="QOY12" s="15"/>
      <c r="QOZ12" s="15"/>
      <c r="QPA12" s="15"/>
      <c r="QPB12" s="15"/>
      <c r="QPC12" s="15"/>
      <c r="QPD12" s="15"/>
      <c r="QPE12" s="15"/>
      <c r="QPF12" s="15"/>
      <c r="QPG12" s="15"/>
      <c r="QPH12" s="15"/>
      <c r="QPI12" s="15"/>
      <c r="QPJ12" s="15"/>
      <c r="QPK12" s="15"/>
      <c r="QPL12" s="15"/>
      <c r="QPM12" s="15"/>
      <c r="QPN12" s="15"/>
      <c r="QPO12" s="15"/>
      <c r="QPP12" s="15"/>
      <c r="QPQ12" s="15"/>
      <c r="QPR12" s="15"/>
      <c r="QPS12" s="15"/>
      <c r="QPT12" s="15"/>
      <c r="QPU12" s="15"/>
      <c r="QPV12" s="15"/>
      <c r="QPW12" s="15"/>
      <c r="QPX12" s="15"/>
      <c r="QPY12" s="15"/>
      <c r="QPZ12" s="15"/>
      <c r="QQA12" s="15"/>
      <c r="QQB12" s="15"/>
      <c r="QQC12" s="15"/>
      <c r="QQD12" s="15"/>
      <c r="QQE12" s="15"/>
      <c r="QQF12" s="15"/>
      <c r="QQG12" s="15"/>
      <c r="QQH12" s="15"/>
      <c r="QQI12" s="15"/>
      <c r="QQJ12" s="15"/>
      <c r="QQK12" s="15"/>
      <c r="QQL12" s="15"/>
      <c r="QQM12" s="15"/>
      <c r="QQN12" s="15"/>
      <c r="QQO12" s="15"/>
      <c r="QQP12" s="15"/>
      <c r="QQQ12" s="15"/>
      <c r="QQR12" s="15"/>
      <c r="QQS12" s="15"/>
      <c r="QQT12" s="15"/>
      <c r="QQU12" s="15"/>
      <c r="QQV12" s="15"/>
      <c r="QQW12" s="15"/>
      <c r="QQX12" s="15"/>
      <c r="QQY12" s="15"/>
      <c r="QQZ12" s="15"/>
      <c r="QRA12" s="15"/>
      <c r="QRB12" s="15"/>
      <c r="QRC12" s="15"/>
      <c r="QRD12" s="15"/>
      <c r="QRE12" s="15"/>
      <c r="QRF12" s="15"/>
      <c r="QRG12" s="15"/>
      <c r="QRH12" s="15"/>
      <c r="QRI12" s="15"/>
      <c r="QRJ12" s="15"/>
      <c r="QRK12" s="15"/>
      <c r="QRL12" s="15"/>
      <c r="QRM12" s="15"/>
      <c r="QRN12" s="15"/>
      <c r="QRO12" s="15"/>
      <c r="QRP12" s="15"/>
      <c r="QRQ12" s="15"/>
      <c r="QRR12" s="15"/>
      <c r="QRS12" s="15"/>
      <c r="QRT12" s="15"/>
      <c r="QRU12" s="15"/>
      <c r="QRV12" s="15"/>
      <c r="QRW12" s="15"/>
      <c r="QRX12" s="15"/>
      <c r="QRY12" s="15"/>
      <c r="QRZ12" s="15"/>
      <c r="QSA12" s="15"/>
      <c r="QSB12" s="15"/>
      <c r="QSC12" s="15"/>
      <c r="QSD12" s="15"/>
      <c r="QSE12" s="15"/>
      <c r="QSF12" s="15"/>
      <c r="QSG12" s="15"/>
      <c r="QSH12" s="15"/>
      <c r="QSI12" s="15"/>
      <c r="QSJ12" s="15"/>
      <c r="QSK12" s="15"/>
      <c r="QSL12" s="15"/>
      <c r="QSM12" s="15"/>
      <c r="QSN12" s="15"/>
      <c r="QSO12" s="15"/>
      <c r="QSP12" s="15"/>
      <c r="QSQ12" s="15"/>
      <c r="QSR12" s="15"/>
      <c r="QSS12" s="15"/>
      <c r="QST12" s="15"/>
      <c r="QSU12" s="15"/>
      <c r="QSV12" s="15"/>
      <c r="QSW12" s="15"/>
      <c r="QSX12" s="15"/>
      <c r="QSY12" s="15"/>
      <c r="QSZ12" s="15"/>
      <c r="QTA12" s="15"/>
      <c r="QTB12" s="15"/>
      <c r="QTC12" s="15"/>
      <c r="QTD12" s="15"/>
      <c r="QTE12" s="15"/>
      <c r="QTF12" s="15"/>
      <c r="QTG12" s="15"/>
      <c r="QTH12" s="15"/>
      <c r="QTI12" s="15"/>
      <c r="QTJ12" s="15"/>
      <c r="QTK12" s="15"/>
      <c r="QTL12" s="15"/>
      <c r="QTM12" s="15"/>
      <c r="QTN12" s="15"/>
      <c r="QTO12" s="15"/>
      <c r="QTP12" s="15"/>
      <c r="QTQ12" s="15"/>
      <c r="QTR12" s="15"/>
      <c r="QTS12" s="15"/>
      <c r="QTT12" s="15"/>
      <c r="QTU12" s="15"/>
      <c r="QTV12" s="15"/>
      <c r="QTW12" s="15"/>
      <c r="QTX12" s="15"/>
      <c r="QTY12" s="15"/>
      <c r="QTZ12" s="15"/>
      <c r="QUA12" s="15"/>
      <c r="QUB12" s="15"/>
      <c r="QUC12" s="15"/>
      <c r="QUD12" s="15"/>
      <c r="QUE12" s="15"/>
      <c r="QUF12" s="15"/>
      <c r="QUG12" s="15"/>
      <c r="QUH12" s="15"/>
      <c r="QUI12" s="15"/>
      <c r="QUJ12" s="15"/>
      <c r="QUK12" s="15"/>
      <c r="QUL12" s="15"/>
      <c r="QUM12" s="15"/>
      <c r="QUN12" s="15"/>
      <c r="QUO12" s="15"/>
      <c r="QUP12" s="15"/>
      <c r="QUQ12" s="15"/>
      <c r="QUR12" s="15"/>
      <c r="QUS12" s="15"/>
      <c r="QUT12" s="15"/>
      <c r="QUU12" s="15"/>
      <c r="QUV12" s="15"/>
      <c r="QUW12" s="15"/>
      <c r="QUX12" s="15"/>
      <c r="QUY12" s="15"/>
      <c r="QUZ12" s="15"/>
      <c r="QVA12" s="15"/>
      <c r="QVB12" s="15"/>
      <c r="QVC12" s="15"/>
      <c r="QVD12" s="15"/>
      <c r="QVE12" s="15"/>
      <c r="QVF12" s="15"/>
      <c r="QVG12" s="15"/>
      <c r="QVH12" s="15"/>
      <c r="QVI12" s="15"/>
      <c r="QVJ12" s="15"/>
      <c r="QVK12" s="15"/>
      <c r="QVL12" s="15"/>
      <c r="QVM12" s="15"/>
      <c r="QVN12" s="15"/>
      <c r="QVO12" s="15"/>
      <c r="QVP12" s="15"/>
      <c r="QVQ12" s="15"/>
      <c r="QVR12" s="15"/>
      <c r="QVS12" s="15"/>
      <c r="QVT12" s="15"/>
      <c r="QVU12" s="15"/>
      <c r="QVV12" s="15"/>
      <c r="QVW12" s="15"/>
      <c r="QVX12" s="15"/>
      <c r="QVY12" s="15"/>
      <c r="QVZ12" s="15"/>
      <c r="QWA12" s="15"/>
      <c r="QWB12" s="15"/>
      <c r="QWC12" s="15"/>
      <c r="QWD12" s="15"/>
      <c r="QWE12" s="15"/>
      <c r="QWF12" s="15"/>
      <c r="QWG12" s="15"/>
      <c r="QWH12" s="15"/>
      <c r="QWI12" s="15"/>
      <c r="QWJ12" s="15"/>
      <c r="QWK12" s="15"/>
      <c r="QWL12" s="15"/>
      <c r="QWM12" s="15"/>
      <c r="QWN12" s="15"/>
      <c r="QWO12" s="15"/>
      <c r="QWP12" s="15"/>
      <c r="QWQ12" s="15"/>
      <c r="QWR12" s="15"/>
      <c r="QWS12" s="15"/>
      <c r="QWT12" s="15"/>
      <c r="QWU12" s="15"/>
      <c r="QWV12" s="15"/>
      <c r="QWW12" s="15"/>
      <c r="QWX12" s="15"/>
      <c r="QWY12" s="15"/>
      <c r="QWZ12" s="15"/>
      <c r="QXA12" s="15"/>
      <c r="QXB12" s="15"/>
      <c r="QXC12" s="15"/>
      <c r="QXD12" s="15"/>
      <c r="QXE12" s="15"/>
      <c r="QXF12" s="15"/>
      <c r="QXG12" s="15"/>
      <c r="QXH12" s="15"/>
      <c r="QXI12" s="15"/>
      <c r="QXJ12" s="15"/>
      <c r="QXK12" s="15"/>
      <c r="QXL12" s="15"/>
      <c r="QXM12" s="15"/>
      <c r="QXN12" s="15"/>
      <c r="QXO12" s="15"/>
      <c r="QXP12" s="15"/>
      <c r="QXQ12" s="15"/>
      <c r="QXR12" s="15"/>
      <c r="QXS12" s="15"/>
      <c r="QXT12" s="15"/>
      <c r="QXU12" s="15"/>
      <c r="QXV12" s="15"/>
      <c r="QXW12" s="15"/>
      <c r="QXX12" s="15"/>
      <c r="QXY12" s="15"/>
      <c r="QXZ12" s="15"/>
      <c r="QYA12" s="15"/>
      <c r="QYB12" s="15"/>
      <c r="QYC12" s="15"/>
      <c r="QYD12" s="15"/>
      <c r="QYE12" s="15"/>
      <c r="QYF12" s="15"/>
      <c r="QYG12" s="15"/>
      <c r="QYH12" s="15"/>
      <c r="QYI12" s="15"/>
      <c r="QYJ12" s="15"/>
      <c r="QYK12" s="15"/>
      <c r="QYL12" s="15"/>
      <c r="QYM12" s="15"/>
      <c r="QYN12" s="15"/>
      <c r="QYO12" s="15"/>
      <c r="QYP12" s="15"/>
      <c r="QYQ12" s="15"/>
      <c r="QYR12" s="15"/>
      <c r="QYS12" s="15"/>
      <c r="QYT12" s="15"/>
      <c r="QYU12" s="15"/>
      <c r="QYV12" s="15"/>
      <c r="QYW12" s="15"/>
      <c r="QYX12" s="15"/>
      <c r="QYY12" s="15"/>
      <c r="QYZ12" s="15"/>
      <c r="QZA12" s="15"/>
      <c r="QZB12" s="15"/>
      <c r="QZC12" s="15"/>
      <c r="QZD12" s="15"/>
      <c r="QZE12" s="15"/>
      <c r="QZF12" s="15"/>
      <c r="QZG12" s="15"/>
      <c r="QZH12" s="15"/>
      <c r="QZI12" s="15"/>
      <c r="QZJ12" s="15"/>
      <c r="QZK12" s="15"/>
      <c r="QZL12" s="15"/>
      <c r="QZM12" s="15"/>
      <c r="QZN12" s="15"/>
      <c r="QZO12" s="15"/>
      <c r="QZP12" s="15"/>
      <c r="QZQ12" s="15"/>
      <c r="QZR12" s="15"/>
      <c r="QZS12" s="15"/>
      <c r="QZT12" s="15"/>
      <c r="QZU12" s="15"/>
      <c r="QZV12" s="15"/>
      <c r="QZW12" s="15"/>
      <c r="QZX12" s="15"/>
      <c r="QZY12" s="15"/>
      <c r="QZZ12" s="15"/>
      <c r="RAA12" s="15"/>
      <c r="RAB12" s="15"/>
      <c r="RAC12" s="15"/>
      <c r="RAD12" s="15"/>
      <c r="RAE12" s="15"/>
      <c r="RAF12" s="15"/>
      <c r="RAG12" s="15"/>
      <c r="RAH12" s="15"/>
      <c r="RAI12" s="15"/>
      <c r="RAJ12" s="15"/>
      <c r="RAK12" s="15"/>
      <c r="RAL12" s="15"/>
      <c r="RAM12" s="15"/>
      <c r="RAN12" s="15"/>
      <c r="RAO12" s="15"/>
      <c r="RAP12" s="15"/>
      <c r="RAQ12" s="15"/>
      <c r="RAR12" s="15"/>
      <c r="RAS12" s="15"/>
      <c r="RAT12" s="15"/>
      <c r="RAU12" s="15"/>
      <c r="RAV12" s="15"/>
      <c r="RAW12" s="15"/>
      <c r="RAX12" s="15"/>
      <c r="RAY12" s="15"/>
      <c r="RAZ12" s="15"/>
      <c r="RBA12" s="15"/>
      <c r="RBB12" s="15"/>
      <c r="RBC12" s="15"/>
      <c r="RBD12" s="15"/>
      <c r="RBE12" s="15"/>
      <c r="RBF12" s="15"/>
      <c r="RBG12" s="15"/>
      <c r="RBH12" s="15"/>
      <c r="RBI12" s="15"/>
      <c r="RBJ12" s="15"/>
      <c r="RBK12" s="15"/>
      <c r="RBL12" s="15"/>
      <c r="RBM12" s="15"/>
      <c r="RBN12" s="15"/>
      <c r="RBO12" s="15"/>
      <c r="RBP12" s="15"/>
      <c r="RBQ12" s="15"/>
      <c r="RBR12" s="15"/>
      <c r="RBS12" s="15"/>
      <c r="RBT12" s="15"/>
      <c r="RBU12" s="15"/>
      <c r="RBV12" s="15"/>
      <c r="RBW12" s="15"/>
      <c r="RBX12" s="15"/>
      <c r="RBY12" s="15"/>
      <c r="RBZ12" s="15"/>
      <c r="RCA12" s="15"/>
      <c r="RCB12" s="15"/>
      <c r="RCC12" s="15"/>
      <c r="RCD12" s="15"/>
      <c r="RCE12" s="15"/>
      <c r="RCF12" s="15"/>
      <c r="RCG12" s="15"/>
      <c r="RCH12" s="15"/>
      <c r="RCI12" s="15"/>
      <c r="RCJ12" s="15"/>
      <c r="RCK12" s="15"/>
      <c r="RCL12" s="15"/>
      <c r="RCM12" s="15"/>
      <c r="RCN12" s="15"/>
      <c r="RCO12" s="15"/>
      <c r="RCP12" s="15"/>
      <c r="RCQ12" s="15"/>
      <c r="RCR12" s="15"/>
      <c r="RCS12" s="15"/>
      <c r="RCT12" s="15"/>
      <c r="RCU12" s="15"/>
      <c r="RCV12" s="15"/>
      <c r="RCW12" s="15"/>
      <c r="RCX12" s="15"/>
      <c r="RCY12" s="15"/>
      <c r="RCZ12" s="15"/>
      <c r="RDA12" s="15"/>
      <c r="RDB12" s="15"/>
      <c r="RDC12" s="15"/>
      <c r="RDD12" s="15"/>
      <c r="RDE12" s="15"/>
      <c r="RDF12" s="15"/>
      <c r="RDG12" s="15"/>
      <c r="RDH12" s="15"/>
      <c r="RDI12" s="15"/>
      <c r="RDJ12" s="15"/>
      <c r="RDK12" s="15"/>
      <c r="RDL12" s="15"/>
      <c r="RDM12" s="15"/>
      <c r="RDN12" s="15"/>
      <c r="RDO12" s="15"/>
      <c r="RDP12" s="15"/>
      <c r="RDQ12" s="15"/>
      <c r="RDR12" s="15"/>
      <c r="RDS12" s="15"/>
      <c r="RDT12" s="15"/>
      <c r="RDU12" s="15"/>
      <c r="RDV12" s="15"/>
      <c r="RDW12" s="15"/>
      <c r="RDX12" s="15"/>
      <c r="RDY12" s="15"/>
      <c r="RDZ12" s="15"/>
      <c r="REA12" s="15"/>
      <c r="REB12" s="15"/>
      <c r="REC12" s="15"/>
      <c r="RED12" s="15"/>
      <c r="REE12" s="15"/>
      <c r="REF12" s="15"/>
      <c r="REG12" s="15"/>
      <c r="REH12" s="15"/>
      <c r="REI12" s="15"/>
      <c r="REJ12" s="15"/>
      <c r="REK12" s="15"/>
      <c r="REL12" s="15"/>
      <c r="REM12" s="15"/>
      <c r="REN12" s="15"/>
      <c r="REO12" s="15"/>
      <c r="REP12" s="15"/>
      <c r="REQ12" s="15"/>
      <c r="RER12" s="15"/>
      <c r="RES12" s="15"/>
      <c r="RET12" s="15"/>
      <c r="REU12" s="15"/>
      <c r="REV12" s="15"/>
      <c r="REW12" s="15"/>
      <c r="REX12" s="15"/>
      <c r="REY12" s="15"/>
      <c r="REZ12" s="15"/>
      <c r="RFA12" s="15"/>
      <c r="RFB12" s="15"/>
      <c r="RFC12" s="15"/>
      <c r="RFD12" s="15"/>
      <c r="RFE12" s="15"/>
      <c r="RFF12" s="15"/>
      <c r="RFG12" s="15"/>
      <c r="RFH12" s="15"/>
      <c r="RFI12" s="15"/>
      <c r="RFJ12" s="15"/>
      <c r="RFK12" s="15"/>
      <c r="RFL12" s="15"/>
      <c r="RFM12" s="15"/>
      <c r="RFN12" s="15"/>
      <c r="RFO12" s="15"/>
      <c r="RFP12" s="15"/>
      <c r="RFQ12" s="15"/>
      <c r="RFR12" s="15"/>
      <c r="RFS12" s="15"/>
      <c r="RFT12" s="15"/>
      <c r="RFU12" s="15"/>
      <c r="RFV12" s="15"/>
      <c r="RFW12" s="15"/>
      <c r="RFX12" s="15"/>
      <c r="RFY12" s="15"/>
      <c r="RFZ12" s="15"/>
      <c r="RGA12" s="15"/>
      <c r="RGB12" s="15"/>
      <c r="RGC12" s="15"/>
      <c r="RGD12" s="15"/>
      <c r="RGE12" s="15"/>
      <c r="RGF12" s="15"/>
      <c r="RGG12" s="15"/>
      <c r="RGH12" s="15"/>
      <c r="RGI12" s="15"/>
      <c r="RGJ12" s="15"/>
      <c r="RGK12" s="15"/>
      <c r="RGL12" s="15"/>
      <c r="RGM12" s="15"/>
      <c r="RGN12" s="15"/>
      <c r="RGO12" s="15"/>
      <c r="RGP12" s="15"/>
      <c r="RGQ12" s="15"/>
      <c r="RGR12" s="15"/>
      <c r="RGS12" s="15"/>
      <c r="RGT12" s="15"/>
      <c r="RGU12" s="15"/>
      <c r="RGV12" s="15"/>
      <c r="RGW12" s="15"/>
      <c r="RGX12" s="15"/>
      <c r="RGY12" s="15"/>
      <c r="RGZ12" s="15"/>
      <c r="RHA12" s="15"/>
      <c r="RHB12" s="15"/>
      <c r="RHC12" s="15"/>
      <c r="RHD12" s="15"/>
      <c r="RHE12" s="15"/>
      <c r="RHF12" s="15"/>
      <c r="RHG12" s="15"/>
      <c r="RHH12" s="15"/>
      <c r="RHI12" s="15"/>
      <c r="RHJ12" s="15"/>
      <c r="RHK12" s="15"/>
      <c r="RHL12" s="15"/>
      <c r="RHM12" s="15"/>
      <c r="RHN12" s="15"/>
      <c r="RHO12" s="15"/>
      <c r="RHP12" s="15"/>
      <c r="RHQ12" s="15"/>
      <c r="RHR12" s="15"/>
      <c r="RHS12" s="15"/>
      <c r="RHT12" s="15"/>
      <c r="RHU12" s="15"/>
      <c r="RHV12" s="15"/>
      <c r="RHW12" s="15"/>
      <c r="RHX12" s="15"/>
      <c r="RHY12" s="15"/>
      <c r="RHZ12" s="15"/>
      <c r="RIA12" s="15"/>
      <c r="RIB12" s="15"/>
      <c r="RIC12" s="15"/>
      <c r="RID12" s="15"/>
      <c r="RIE12" s="15"/>
      <c r="RIF12" s="15"/>
      <c r="RIG12" s="15"/>
      <c r="RIH12" s="15"/>
      <c r="RII12" s="15"/>
      <c r="RIJ12" s="15"/>
      <c r="RIK12" s="15"/>
      <c r="RIL12" s="15"/>
      <c r="RIM12" s="15"/>
      <c r="RIN12" s="15"/>
      <c r="RIO12" s="15"/>
      <c r="RIP12" s="15"/>
      <c r="RIQ12" s="15"/>
      <c r="RIR12" s="15"/>
      <c r="RIS12" s="15"/>
      <c r="RIT12" s="15"/>
      <c r="RIU12" s="15"/>
      <c r="RIV12" s="15"/>
      <c r="RIW12" s="15"/>
      <c r="RIX12" s="15"/>
      <c r="RIY12" s="15"/>
      <c r="RIZ12" s="15"/>
      <c r="RJA12" s="15"/>
      <c r="RJB12" s="15"/>
      <c r="RJC12" s="15"/>
      <c r="RJD12" s="15"/>
      <c r="RJE12" s="15"/>
      <c r="RJF12" s="15"/>
      <c r="RJG12" s="15"/>
      <c r="RJH12" s="15"/>
      <c r="RJI12" s="15"/>
      <c r="RJJ12" s="15"/>
      <c r="RJK12" s="15"/>
      <c r="RJL12" s="15"/>
      <c r="RJM12" s="15"/>
      <c r="RJN12" s="15"/>
      <c r="RJO12" s="15"/>
      <c r="RJP12" s="15"/>
      <c r="RJQ12" s="15"/>
      <c r="RJR12" s="15"/>
      <c r="RJS12" s="15"/>
      <c r="RJT12" s="15"/>
      <c r="RJU12" s="15"/>
      <c r="RJV12" s="15"/>
      <c r="RJW12" s="15"/>
      <c r="RJX12" s="15"/>
      <c r="RJY12" s="15"/>
      <c r="RJZ12" s="15"/>
      <c r="RKA12" s="15"/>
      <c r="RKB12" s="15"/>
      <c r="RKC12" s="15"/>
      <c r="RKD12" s="15"/>
      <c r="RKE12" s="15"/>
      <c r="RKF12" s="15"/>
      <c r="RKG12" s="15"/>
      <c r="RKH12" s="15"/>
      <c r="RKI12" s="15"/>
      <c r="RKJ12" s="15"/>
      <c r="RKK12" s="15"/>
      <c r="RKL12" s="15"/>
      <c r="RKM12" s="15"/>
      <c r="RKN12" s="15"/>
      <c r="RKO12" s="15"/>
      <c r="RKP12" s="15"/>
      <c r="RKQ12" s="15"/>
      <c r="RKR12" s="15"/>
      <c r="RKS12" s="15"/>
      <c r="RKT12" s="15"/>
      <c r="RKU12" s="15"/>
      <c r="RKV12" s="15"/>
      <c r="RKW12" s="15"/>
      <c r="RKX12" s="15"/>
      <c r="RKY12" s="15"/>
      <c r="RKZ12" s="15"/>
      <c r="RLA12" s="15"/>
      <c r="RLB12" s="15"/>
      <c r="RLC12" s="15"/>
      <c r="RLD12" s="15"/>
      <c r="RLE12" s="15"/>
      <c r="RLF12" s="15"/>
      <c r="RLG12" s="15"/>
      <c r="RLH12" s="15"/>
      <c r="RLI12" s="15"/>
      <c r="RLJ12" s="15"/>
      <c r="RLK12" s="15"/>
      <c r="RLL12" s="15"/>
      <c r="RLM12" s="15"/>
      <c r="RLN12" s="15"/>
      <c r="RLO12" s="15"/>
      <c r="RLP12" s="15"/>
      <c r="RLQ12" s="15"/>
      <c r="RLR12" s="15"/>
      <c r="RLS12" s="15"/>
      <c r="RLT12" s="15"/>
      <c r="RLU12" s="15"/>
      <c r="RLV12" s="15"/>
      <c r="RLW12" s="15"/>
      <c r="RLX12" s="15"/>
      <c r="RLY12" s="15"/>
      <c r="RLZ12" s="15"/>
      <c r="RMA12" s="15"/>
      <c r="RMB12" s="15"/>
      <c r="RMC12" s="15"/>
      <c r="RMD12" s="15"/>
      <c r="RME12" s="15"/>
      <c r="RMF12" s="15"/>
      <c r="RMG12" s="15"/>
      <c r="RMH12" s="15"/>
      <c r="RMI12" s="15"/>
      <c r="RMJ12" s="15"/>
      <c r="RMK12" s="15"/>
      <c r="RML12" s="15"/>
      <c r="RMM12" s="15"/>
      <c r="RMN12" s="15"/>
      <c r="RMO12" s="15"/>
      <c r="RMP12" s="15"/>
      <c r="RMQ12" s="15"/>
      <c r="RMR12" s="15"/>
      <c r="RMS12" s="15"/>
      <c r="RMT12" s="15"/>
      <c r="RMU12" s="15"/>
      <c r="RMV12" s="15"/>
      <c r="RMW12" s="15"/>
      <c r="RMX12" s="15"/>
      <c r="RMY12" s="15"/>
      <c r="RMZ12" s="15"/>
      <c r="RNA12" s="15"/>
      <c r="RNB12" s="15"/>
      <c r="RNC12" s="15"/>
      <c r="RND12" s="15"/>
      <c r="RNE12" s="15"/>
      <c r="RNF12" s="15"/>
      <c r="RNG12" s="15"/>
      <c r="RNH12" s="15"/>
      <c r="RNI12" s="15"/>
      <c r="RNJ12" s="15"/>
      <c r="RNK12" s="15"/>
      <c r="RNL12" s="15"/>
      <c r="RNM12" s="15"/>
      <c r="RNN12" s="15"/>
      <c r="RNO12" s="15"/>
      <c r="RNP12" s="15"/>
      <c r="RNQ12" s="15"/>
      <c r="RNR12" s="15"/>
      <c r="RNS12" s="15"/>
      <c r="RNT12" s="15"/>
      <c r="RNU12" s="15"/>
      <c r="RNV12" s="15"/>
      <c r="RNW12" s="15"/>
      <c r="RNX12" s="15"/>
      <c r="RNY12" s="15"/>
      <c r="RNZ12" s="15"/>
      <c r="ROA12" s="15"/>
      <c r="ROB12" s="15"/>
      <c r="ROC12" s="15"/>
      <c r="ROD12" s="15"/>
      <c r="ROE12" s="15"/>
      <c r="ROF12" s="15"/>
      <c r="ROG12" s="15"/>
      <c r="ROH12" s="15"/>
      <c r="ROI12" s="15"/>
      <c r="ROJ12" s="15"/>
      <c r="ROK12" s="15"/>
      <c r="ROL12" s="15"/>
      <c r="ROM12" s="15"/>
      <c r="RON12" s="15"/>
      <c r="ROO12" s="15"/>
      <c r="ROP12" s="15"/>
      <c r="ROQ12" s="15"/>
      <c r="ROR12" s="15"/>
      <c r="ROS12" s="15"/>
      <c r="ROT12" s="15"/>
      <c r="ROU12" s="15"/>
      <c r="ROV12" s="15"/>
      <c r="ROW12" s="15"/>
      <c r="ROX12" s="15"/>
      <c r="ROY12" s="15"/>
      <c r="ROZ12" s="15"/>
      <c r="RPA12" s="15"/>
      <c r="RPB12" s="15"/>
      <c r="RPC12" s="15"/>
      <c r="RPD12" s="15"/>
      <c r="RPE12" s="15"/>
      <c r="RPF12" s="15"/>
      <c r="RPG12" s="15"/>
      <c r="RPH12" s="15"/>
      <c r="RPI12" s="15"/>
      <c r="RPJ12" s="15"/>
      <c r="RPK12" s="15"/>
      <c r="RPL12" s="15"/>
      <c r="RPM12" s="15"/>
      <c r="RPN12" s="15"/>
      <c r="RPO12" s="15"/>
      <c r="RPP12" s="15"/>
      <c r="RPQ12" s="15"/>
      <c r="RPR12" s="15"/>
      <c r="RPS12" s="15"/>
      <c r="RPT12" s="15"/>
      <c r="RPU12" s="15"/>
      <c r="RPV12" s="15"/>
      <c r="RPW12" s="15"/>
      <c r="RPX12" s="15"/>
      <c r="RPY12" s="15"/>
      <c r="RPZ12" s="15"/>
      <c r="RQA12" s="15"/>
      <c r="RQB12" s="15"/>
      <c r="RQC12" s="15"/>
      <c r="RQD12" s="15"/>
      <c r="RQE12" s="15"/>
      <c r="RQF12" s="15"/>
      <c r="RQG12" s="15"/>
      <c r="RQH12" s="15"/>
      <c r="RQI12" s="15"/>
      <c r="RQJ12" s="15"/>
      <c r="RQK12" s="15"/>
      <c r="RQL12" s="15"/>
      <c r="RQM12" s="15"/>
      <c r="RQN12" s="15"/>
      <c r="RQO12" s="15"/>
      <c r="RQP12" s="15"/>
      <c r="RQQ12" s="15"/>
      <c r="RQR12" s="15"/>
      <c r="RQS12" s="15"/>
      <c r="RQT12" s="15"/>
      <c r="RQU12" s="15"/>
      <c r="RQV12" s="15"/>
      <c r="RQW12" s="15"/>
      <c r="RQX12" s="15"/>
      <c r="RQY12" s="15"/>
      <c r="RQZ12" s="15"/>
      <c r="RRA12" s="15"/>
      <c r="RRB12" s="15"/>
      <c r="RRC12" s="15"/>
      <c r="RRD12" s="15"/>
      <c r="RRE12" s="15"/>
      <c r="RRF12" s="15"/>
      <c r="RRG12" s="15"/>
      <c r="RRH12" s="15"/>
      <c r="RRI12" s="15"/>
      <c r="RRJ12" s="15"/>
      <c r="RRK12" s="15"/>
      <c r="RRL12" s="15"/>
      <c r="RRM12" s="15"/>
      <c r="RRN12" s="15"/>
      <c r="RRO12" s="15"/>
      <c r="RRP12" s="15"/>
      <c r="RRQ12" s="15"/>
      <c r="RRR12" s="15"/>
      <c r="RRS12" s="15"/>
      <c r="RRT12" s="15"/>
      <c r="RRU12" s="15"/>
      <c r="RRV12" s="15"/>
      <c r="RRW12" s="15"/>
      <c r="RRX12" s="15"/>
      <c r="RRY12" s="15"/>
      <c r="RRZ12" s="15"/>
      <c r="RSA12" s="15"/>
      <c r="RSB12" s="15"/>
      <c r="RSC12" s="15"/>
      <c r="RSD12" s="15"/>
      <c r="RSE12" s="15"/>
      <c r="RSF12" s="15"/>
      <c r="RSG12" s="15"/>
      <c r="RSH12" s="15"/>
      <c r="RSI12" s="15"/>
      <c r="RSJ12" s="15"/>
      <c r="RSK12" s="15"/>
      <c r="RSL12" s="15"/>
      <c r="RSM12" s="15"/>
      <c r="RSN12" s="15"/>
      <c r="RSO12" s="15"/>
      <c r="RSP12" s="15"/>
      <c r="RSQ12" s="15"/>
      <c r="RSR12" s="15"/>
      <c r="RSS12" s="15"/>
      <c r="RST12" s="15"/>
      <c r="RSU12" s="15"/>
      <c r="RSV12" s="15"/>
      <c r="RSW12" s="15"/>
      <c r="RSX12" s="15"/>
      <c r="RSY12" s="15"/>
      <c r="RSZ12" s="15"/>
      <c r="RTA12" s="15"/>
      <c r="RTB12" s="15"/>
      <c r="RTC12" s="15"/>
      <c r="RTD12" s="15"/>
      <c r="RTE12" s="15"/>
      <c r="RTF12" s="15"/>
      <c r="RTG12" s="15"/>
      <c r="RTH12" s="15"/>
      <c r="RTI12" s="15"/>
      <c r="RTJ12" s="15"/>
      <c r="RTK12" s="15"/>
      <c r="RTL12" s="15"/>
      <c r="RTM12" s="15"/>
      <c r="RTN12" s="15"/>
      <c r="RTO12" s="15"/>
      <c r="RTP12" s="15"/>
      <c r="RTQ12" s="15"/>
      <c r="RTR12" s="15"/>
      <c r="RTS12" s="15"/>
      <c r="RTT12" s="15"/>
      <c r="RTU12" s="15"/>
      <c r="RTV12" s="15"/>
      <c r="RTW12" s="15"/>
      <c r="RTX12" s="15"/>
      <c r="RTY12" s="15"/>
      <c r="RTZ12" s="15"/>
      <c r="RUA12" s="15"/>
      <c r="RUB12" s="15"/>
      <c r="RUC12" s="15"/>
      <c r="RUD12" s="15"/>
      <c r="RUE12" s="15"/>
      <c r="RUF12" s="15"/>
      <c r="RUG12" s="15"/>
      <c r="RUH12" s="15"/>
      <c r="RUI12" s="15"/>
      <c r="RUJ12" s="15"/>
      <c r="RUK12" s="15"/>
      <c r="RUL12" s="15"/>
      <c r="RUM12" s="15"/>
      <c r="RUN12" s="15"/>
      <c r="RUO12" s="15"/>
      <c r="RUP12" s="15"/>
      <c r="RUQ12" s="15"/>
      <c r="RUR12" s="15"/>
      <c r="RUS12" s="15"/>
      <c r="RUT12" s="15"/>
      <c r="RUU12" s="15"/>
      <c r="RUV12" s="15"/>
      <c r="RUW12" s="15"/>
      <c r="RUX12" s="15"/>
      <c r="RUY12" s="15"/>
      <c r="RUZ12" s="15"/>
      <c r="RVA12" s="15"/>
      <c r="RVB12" s="15"/>
      <c r="RVC12" s="15"/>
      <c r="RVD12" s="15"/>
      <c r="RVE12" s="15"/>
      <c r="RVF12" s="15"/>
      <c r="RVG12" s="15"/>
      <c r="RVH12" s="15"/>
      <c r="RVI12" s="15"/>
      <c r="RVJ12" s="15"/>
      <c r="RVK12" s="15"/>
      <c r="RVL12" s="15"/>
      <c r="RVM12" s="15"/>
      <c r="RVN12" s="15"/>
      <c r="RVO12" s="15"/>
      <c r="RVP12" s="15"/>
      <c r="RVQ12" s="15"/>
      <c r="RVR12" s="15"/>
      <c r="RVS12" s="15"/>
      <c r="RVT12" s="15"/>
      <c r="RVU12" s="15"/>
      <c r="RVV12" s="15"/>
      <c r="RVW12" s="15"/>
      <c r="RVX12" s="15"/>
      <c r="RVY12" s="15"/>
      <c r="RVZ12" s="15"/>
      <c r="RWA12" s="15"/>
      <c r="RWB12" s="15"/>
      <c r="RWC12" s="15"/>
      <c r="RWD12" s="15"/>
      <c r="RWE12" s="15"/>
      <c r="RWF12" s="15"/>
      <c r="RWG12" s="15"/>
      <c r="RWH12" s="15"/>
      <c r="RWI12" s="15"/>
      <c r="RWJ12" s="15"/>
      <c r="RWK12" s="15"/>
      <c r="RWL12" s="15"/>
      <c r="RWM12" s="15"/>
      <c r="RWN12" s="15"/>
      <c r="RWO12" s="15"/>
      <c r="RWP12" s="15"/>
      <c r="RWQ12" s="15"/>
      <c r="RWR12" s="15"/>
      <c r="RWS12" s="15"/>
      <c r="RWT12" s="15"/>
      <c r="RWU12" s="15"/>
      <c r="RWV12" s="15"/>
      <c r="RWW12" s="15"/>
      <c r="RWX12" s="15"/>
      <c r="RWY12" s="15"/>
      <c r="RWZ12" s="15"/>
      <c r="RXA12" s="15"/>
      <c r="RXB12" s="15"/>
      <c r="RXC12" s="15"/>
      <c r="RXD12" s="15"/>
      <c r="RXE12" s="15"/>
      <c r="RXF12" s="15"/>
      <c r="RXG12" s="15"/>
      <c r="RXH12" s="15"/>
      <c r="RXI12" s="15"/>
      <c r="RXJ12" s="15"/>
      <c r="RXK12" s="15"/>
      <c r="RXL12" s="15"/>
      <c r="RXM12" s="15"/>
      <c r="RXN12" s="15"/>
      <c r="RXO12" s="15"/>
      <c r="RXP12" s="15"/>
      <c r="RXQ12" s="15"/>
      <c r="RXR12" s="15"/>
      <c r="RXS12" s="15"/>
      <c r="RXT12" s="15"/>
      <c r="RXU12" s="15"/>
      <c r="RXV12" s="15"/>
      <c r="RXW12" s="15"/>
      <c r="RXX12" s="15"/>
      <c r="RXY12" s="15"/>
      <c r="RXZ12" s="15"/>
      <c r="RYA12" s="15"/>
      <c r="RYB12" s="15"/>
      <c r="RYC12" s="15"/>
      <c r="RYD12" s="15"/>
      <c r="RYE12" s="15"/>
      <c r="RYF12" s="15"/>
      <c r="RYG12" s="15"/>
      <c r="RYH12" s="15"/>
      <c r="RYI12" s="15"/>
      <c r="RYJ12" s="15"/>
      <c r="RYK12" s="15"/>
      <c r="RYL12" s="15"/>
      <c r="RYM12" s="15"/>
      <c r="RYN12" s="15"/>
      <c r="RYO12" s="15"/>
      <c r="RYP12" s="15"/>
      <c r="RYQ12" s="15"/>
      <c r="RYR12" s="15"/>
      <c r="RYS12" s="15"/>
      <c r="RYT12" s="15"/>
      <c r="RYU12" s="15"/>
      <c r="RYV12" s="15"/>
      <c r="RYW12" s="15"/>
      <c r="RYX12" s="15"/>
      <c r="RYY12" s="15"/>
      <c r="RYZ12" s="15"/>
      <c r="RZA12" s="15"/>
      <c r="RZB12" s="15"/>
      <c r="RZC12" s="15"/>
      <c r="RZD12" s="15"/>
      <c r="RZE12" s="15"/>
      <c r="RZF12" s="15"/>
      <c r="RZG12" s="15"/>
      <c r="RZH12" s="15"/>
      <c r="RZI12" s="15"/>
      <c r="RZJ12" s="15"/>
      <c r="RZK12" s="15"/>
      <c r="RZL12" s="15"/>
      <c r="RZM12" s="15"/>
      <c r="RZN12" s="15"/>
      <c r="RZO12" s="15"/>
      <c r="RZP12" s="15"/>
      <c r="RZQ12" s="15"/>
      <c r="RZR12" s="15"/>
      <c r="RZS12" s="15"/>
      <c r="RZT12" s="15"/>
      <c r="RZU12" s="15"/>
      <c r="RZV12" s="15"/>
      <c r="RZW12" s="15"/>
      <c r="RZX12" s="15"/>
      <c r="RZY12" s="15"/>
      <c r="RZZ12" s="15"/>
      <c r="SAA12" s="15"/>
      <c r="SAB12" s="15"/>
      <c r="SAC12" s="15"/>
      <c r="SAD12" s="15"/>
      <c r="SAE12" s="15"/>
      <c r="SAF12" s="15"/>
      <c r="SAG12" s="15"/>
      <c r="SAH12" s="15"/>
      <c r="SAI12" s="15"/>
      <c r="SAJ12" s="15"/>
      <c r="SAK12" s="15"/>
      <c r="SAL12" s="15"/>
      <c r="SAM12" s="15"/>
      <c r="SAN12" s="15"/>
      <c r="SAO12" s="15"/>
      <c r="SAP12" s="15"/>
      <c r="SAQ12" s="15"/>
      <c r="SAR12" s="15"/>
      <c r="SAS12" s="15"/>
      <c r="SAT12" s="15"/>
      <c r="SAU12" s="15"/>
      <c r="SAV12" s="15"/>
      <c r="SAW12" s="15"/>
      <c r="SAX12" s="15"/>
      <c r="SAY12" s="15"/>
      <c r="SAZ12" s="15"/>
      <c r="SBA12" s="15"/>
      <c r="SBB12" s="15"/>
      <c r="SBC12" s="15"/>
      <c r="SBD12" s="15"/>
      <c r="SBE12" s="15"/>
      <c r="SBF12" s="15"/>
      <c r="SBG12" s="15"/>
      <c r="SBH12" s="15"/>
      <c r="SBI12" s="15"/>
      <c r="SBJ12" s="15"/>
      <c r="SBK12" s="15"/>
      <c r="SBL12" s="15"/>
      <c r="SBM12" s="15"/>
      <c r="SBN12" s="15"/>
      <c r="SBO12" s="15"/>
      <c r="SBP12" s="15"/>
      <c r="SBQ12" s="15"/>
      <c r="SBR12" s="15"/>
      <c r="SBS12" s="15"/>
      <c r="SBT12" s="15"/>
      <c r="SBU12" s="15"/>
      <c r="SBV12" s="15"/>
      <c r="SBW12" s="15"/>
      <c r="SBX12" s="15"/>
      <c r="SBY12" s="15"/>
      <c r="SBZ12" s="15"/>
      <c r="SCA12" s="15"/>
      <c r="SCB12" s="15"/>
      <c r="SCC12" s="15"/>
      <c r="SCD12" s="15"/>
      <c r="SCE12" s="15"/>
      <c r="SCF12" s="15"/>
      <c r="SCG12" s="15"/>
      <c r="SCH12" s="15"/>
      <c r="SCI12" s="15"/>
      <c r="SCJ12" s="15"/>
      <c r="SCK12" s="15"/>
      <c r="SCL12" s="15"/>
      <c r="SCM12" s="15"/>
      <c r="SCN12" s="15"/>
      <c r="SCO12" s="15"/>
      <c r="SCP12" s="15"/>
      <c r="SCQ12" s="15"/>
      <c r="SCR12" s="15"/>
      <c r="SCS12" s="15"/>
      <c r="SCT12" s="15"/>
      <c r="SCU12" s="15"/>
      <c r="SCV12" s="15"/>
      <c r="SCW12" s="15"/>
      <c r="SCX12" s="15"/>
      <c r="SCY12" s="15"/>
      <c r="SCZ12" s="15"/>
      <c r="SDA12" s="15"/>
      <c r="SDB12" s="15"/>
      <c r="SDC12" s="15"/>
      <c r="SDD12" s="15"/>
      <c r="SDE12" s="15"/>
      <c r="SDF12" s="15"/>
      <c r="SDG12" s="15"/>
      <c r="SDH12" s="15"/>
      <c r="SDI12" s="15"/>
      <c r="SDJ12" s="15"/>
      <c r="SDK12" s="15"/>
      <c r="SDL12" s="15"/>
      <c r="SDM12" s="15"/>
      <c r="SDN12" s="15"/>
      <c r="SDO12" s="15"/>
      <c r="SDP12" s="15"/>
      <c r="SDQ12" s="15"/>
      <c r="SDR12" s="15"/>
      <c r="SDS12" s="15"/>
      <c r="SDT12" s="15"/>
      <c r="SDU12" s="15"/>
      <c r="SDV12" s="15"/>
      <c r="SDW12" s="15"/>
      <c r="SDX12" s="15"/>
      <c r="SDY12" s="15"/>
      <c r="SDZ12" s="15"/>
      <c r="SEA12" s="15"/>
      <c r="SEB12" s="15"/>
      <c r="SEC12" s="15"/>
      <c r="SED12" s="15"/>
      <c r="SEE12" s="15"/>
      <c r="SEF12" s="15"/>
      <c r="SEG12" s="15"/>
      <c r="SEH12" s="15"/>
      <c r="SEI12" s="15"/>
      <c r="SEJ12" s="15"/>
      <c r="SEK12" s="15"/>
      <c r="SEL12" s="15"/>
      <c r="SEM12" s="15"/>
      <c r="SEN12" s="15"/>
      <c r="SEO12" s="15"/>
      <c r="SEP12" s="15"/>
      <c r="SEQ12" s="15"/>
      <c r="SER12" s="15"/>
      <c r="SES12" s="15"/>
      <c r="SET12" s="15"/>
      <c r="SEU12" s="15"/>
      <c r="SEV12" s="15"/>
      <c r="SEW12" s="15"/>
      <c r="SEX12" s="15"/>
      <c r="SEY12" s="15"/>
      <c r="SEZ12" s="15"/>
      <c r="SFA12" s="15"/>
      <c r="SFB12" s="15"/>
      <c r="SFC12" s="15"/>
      <c r="SFD12" s="15"/>
      <c r="SFE12" s="15"/>
      <c r="SFF12" s="15"/>
      <c r="SFG12" s="15"/>
      <c r="SFH12" s="15"/>
      <c r="SFI12" s="15"/>
      <c r="SFJ12" s="15"/>
      <c r="SFK12" s="15"/>
      <c r="SFL12" s="15"/>
      <c r="SFM12" s="15"/>
      <c r="SFN12" s="15"/>
      <c r="SFO12" s="15"/>
      <c r="SFP12" s="15"/>
      <c r="SFQ12" s="15"/>
      <c r="SFR12" s="15"/>
      <c r="SFS12" s="15"/>
      <c r="SFT12" s="15"/>
      <c r="SFU12" s="15"/>
      <c r="SFV12" s="15"/>
      <c r="SFW12" s="15"/>
      <c r="SFX12" s="15"/>
      <c r="SFY12" s="15"/>
      <c r="SFZ12" s="15"/>
      <c r="SGA12" s="15"/>
      <c r="SGB12" s="15"/>
      <c r="SGC12" s="15"/>
      <c r="SGD12" s="15"/>
      <c r="SGE12" s="15"/>
      <c r="SGF12" s="15"/>
      <c r="SGG12" s="15"/>
      <c r="SGH12" s="15"/>
      <c r="SGI12" s="15"/>
      <c r="SGJ12" s="15"/>
      <c r="SGK12" s="15"/>
      <c r="SGL12" s="15"/>
      <c r="SGM12" s="15"/>
      <c r="SGN12" s="15"/>
      <c r="SGO12" s="15"/>
      <c r="SGP12" s="15"/>
      <c r="SGQ12" s="15"/>
      <c r="SGR12" s="15"/>
      <c r="SGS12" s="15"/>
      <c r="SGT12" s="15"/>
      <c r="SGU12" s="15"/>
      <c r="SGV12" s="15"/>
      <c r="SGW12" s="15"/>
      <c r="SGX12" s="15"/>
      <c r="SGY12" s="15"/>
      <c r="SGZ12" s="15"/>
      <c r="SHA12" s="15"/>
      <c r="SHB12" s="15"/>
      <c r="SHC12" s="15"/>
      <c r="SHD12" s="15"/>
      <c r="SHE12" s="15"/>
      <c r="SHF12" s="15"/>
      <c r="SHG12" s="15"/>
      <c r="SHH12" s="15"/>
      <c r="SHI12" s="15"/>
      <c r="SHJ12" s="15"/>
      <c r="SHK12" s="15"/>
      <c r="SHL12" s="15"/>
      <c r="SHM12" s="15"/>
      <c r="SHN12" s="15"/>
      <c r="SHO12" s="15"/>
      <c r="SHP12" s="15"/>
      <c r="SHQ12" s="15"/>
      <c r="SHR12" s="15"/>
      <c r="SHS12" s="15"/>
      <c r="SHT12" s="15"/>
      <c r="SHU12" s="15"/>
      <c r="SHV12" s="15"/>
      <c r="SHW12" s="15"/>
      <c r="SHX12" s="15"/>
      <c r="SHY12" s="15"/>
      <c r="SHZ12" s="15"/>
      <c r="SIA12" s="15"/>
      <c r="SIB12" s="15"/>
      <c r="SIC12" s="15"/>
      <c r="SID12" s="15"/>
      <c r="SIE12" s="15"/>
      <c r="SIF12" s="15"/>
      <c r="SIG12" s="15"/>
      <c r="SIH12" s="15"/>
      <c r="SII12" s="15"/>
      <c r="SIJ12" s="15"/>
      <c r="SIK12" s="15"/>
      <c r="SIL12" s="15"/>
      <c r="SIM12" s="15"/>
      <c r="SIN12" s="15"/>
      <c r="SIO12" s="15"/>
      <c r="SIP12" s="15"/>
      <c r="SIQ12" s="15"/>
      <c r="SIR12" s="15"/>
      <c r="SIS12" s="15"/>
      <c r="SIT12" s="15"/>
      <c r="SIU12" s="15"/>
      <c r="SIV12" s="15"/>
      <c r="SIW12" s="15"/>
      <c r="SIX12" s="15"/>
      <c r="SIY12" s="15"/>
      <c r="SIZ12" s="15"/>
      <c r="SJA12" s="15"/>
      <c r="SJB12" s="15"/>
      <c r="SJC12" s="15"/>
      <c r="SJD12" s="15"/>
      <c r="SJE12" s="15"/>
      <c r="SJF12" s="15"/>
      <c r="SJG12" s="15"/>
      <c r="SJH12" s="15"/>
      <c r="SJI12" s="15"/>
      <c r="SJJ12" s="15"/>
      <c r="SJK12" s="15"/>
      <c r="SJL12" s="15"/>
      <c r="SJM12" s="15"/>
      <c r="SJN12" s="15"/>
      <c r="SJO12" s="15"/>
      <c r="SJP12" s="15"/>
      <c r="SJQ12" s="15"/>
      <c r="SJR12" s="15"/>
      <c r="SJS12" s="15"/>
      <c r="SJT12" s="15"/>
      <c r="SJU12" s="15"/>
      <c r="SJV12" s="15"/>
      <c r="SJW12" s="15"/>
      <c r="SJX12" s="15"/>
      <c r="SJY12" s="15"/>
      <c r="SJZ12" s="15"/>
      <c r="SKA12" s="15"/>
      <c r="SKB12" s="15"/>
      <c r="SKC12" s="15"/>
      <c r="SKD12" s="15"/>
      <c r="SKE12" s="15"/>
      <c r="SKF12" s="15"/>
      <c r="SKG12" s="15"/>
      <c r="SKH12" s="15"/>
      <c r="SKI12" s="15"/>
      <c r="SKJ12" s="15"/>
      <c r="SKK12" s="15"/>
      <c r="SKL12" s="15"/>
      <c r="SKM12" s="15"/>
      <c r="SKN12" s="15"/>
      <c r="SKO12" s="15"/>
      <c r="SKP12" s="15"/>
      <c r="SKQ12" s="15"/>
      <c r="SKR12" s="15"/>
      <c r="SKS12" s="15"/>
      <c r="SKT12" s="15"/>
      <c r="SKU12" s="15"/>
      <c r="SKV12" s="15"/>
      <c r="SKW12" s="15"/>
      <c r="SKX12" s="15"/>
      <c r="SKY12" s="15"/>
      <c r="SKZ12" s="15"/>
      <c r="SLA12" s="15"/>
      <c r="SLB12" s="15"/>
      <c r="SLC12" s="15"/>
      <c r="SLD12" s="15"/>
      <c r="SLE12" s="15"/>
      <c r="SLF12" s="15"/>
      <c r="SLG12" s="15"/>
      <c r="SLH12" s="15"/>
      <c r="SLI12" s="15"/>
      <c r="SLJ12" s="15"/>
      <c r="SLK12" s="15"/>
      <c r="SLL12" s="15"/>
      <c r="SLM12" s="15"/>
      <c r="SLN12" s="15"/>
      <c r="SLO12" s="15"/>
      <c r="SLP12" s="15"/>
      <c r="SLQ12" s="15"/>
      <c r="SLR12" s="15"/>
      <c r="SLS12" s="15"/>
      <c r="SLT12" s="15"/>
      <c r="SLU12" s="15"/>
      <c r="SLV12" s="15"/>
      <c r="SLW12" s="15"/>
      <c r="SLX12" s="15"/>
      <c r="SLY12" s="15"/>
      <c r="SLZ12" s="15"/>
      <c r="SMA12" s="15"/>
      <c r="SMB12" s="15"/>
      <c r="SMC12" s="15"/>
      <c r="SMD12" s="15"/>
      <c r="SME12" s="15"/>
      <c r="SMF12" s="15"/>
      <c r="SMG12" s="15"/>
      <c r="SMH12" s="15"/>
      <c r="SMI12" s="15"/>
      <c r="SMJ12" s="15"/>
      <c r="SMK12" s="15"/>
      <c r="SML12" s="15"/>
      <c r="SMM12" s="15"/>
      <c r="SMN12" s="15"/>
      <c r="SMO12" s="15"/>
      <c r="SMP12" s="15"/>
      <c r="SMQ12" s="15"/>
      <c r="SMR12" s="15"/>
      <c r="SMS12" s="15"/>
      <c r="SMT12" s="15"/>
      <c r="SMU12" s="15"/>
      <c r="SMV12" s="15"/>
      <c r="SMW12" s="15"/>
      <c r="SMX12" s="15"/>
      <c r="SMY12" s="15"/>
      <c r="SMZ12" s="15"/>
      <c r="SNA12" s="15"/>
      <c r="SNB12" s="15"/>
      <c r="SNC12" s="15"/>
      <c r="SND12" s="15"/>
      <c r="SNE12" s="15"/>
      <c r="SNF12" s="15"/>
      <c r="SNG12" s="15"/>
      <c r="SNH12" s="15"/>
      <c r="SNI12" s="15"/>
      <c r="SNJ12" s="15"/>
      <c r="SNK12" s="15"/>
      <c r="SNL12" s="15"/>
      <c r="SNM12" s="15"/>
      <c r="SNN12" s="15"/>
      <c r="SNO12" s="15"/>
      <c r="SNP12" s="15"/>
      <c r="SNQ12" s="15"/>
      <c r="SNR12" s="15"/>
      <c r="SNS12" s="15"/>
      <c r="SNT12" s="15"/>
      <c r="SNU12" s="15"/>
      <c r="SNV12" s="15"/>
      <c r="SNW12" s="15"/>
      <c r="SNX12" s="15"/>
      <c r="SNY12" s="15"/>
      <c r="SNZ12" s="15"/>
      <c r="SOA12" s="15"/>
      <c r="SOB12" s="15"/>
      <c r="SOC12" s="15"/>
      <c r="SOD12" s="15"/>
      <c r="SOE12" s="15"/>
      <c r="SOF12" s="15"/>
      <c r="SOG12" s="15"/>
      <c r="SOH12" s="15"/>
      <c r="SOI12" s="15"/>
      <c r="SOJ12" s="15"/>
      <c r="SOK12" s="15"/>
      <c r="SOL12" s="15"/>
      <c r="SOM12" s="15"/>
      <c r="SON12" s="15"/>
      <c r="SOO12" s="15"/>
      <c r="SOP12" s="15"/>
      <c r="SOQ12" s="15"/>
      <c r="SOR12" s="15"/>
      <c r="SOS12" s="15"/>
      <c r="SOT12" s="15"/>
      <c r="SOU12" s="15"/>
      <c r="SOV12" s="15"/>
      <c r="SOW12" s="15"/>
      <c r="SOX12" s="15"/>
      <c r="SOY12" s="15"/>
      <c r="SOZ12" s="15"/>
      <c r="SPA12" s="15"/>
      <c r="SPB12" s="15"/>
      <c r="SPC12" s="15"/>
      <c r="SPD12" s="15"/>
      <c r="SPE12" s="15"/>
      <c r="SPF12" s="15"/>
      <c r="SPG12" s="15"/>
      <c r="SPH12" s="15"/>
      <c r="SPI12" s="15"/>
      <c r="SPJ12" s="15"/>
      <c r="SPK12" s="15"/>
      <c r="SPL12" s="15"/>
      <c r="SPM12" s="15"/>
      <c r="SPN12" s="15"/>
      <c r="SPO12" s="15"/>
      <c r="SPP12" s="15"/>
      <c r="SPQ12" s="15"/>
      <c r="SPR12" s="15"/>
      <c r="SPS12" s="15"/>
      <c r="SPT12" s="15"/>
      <c r="SPU12" s="15"/>
      <c r="SPV12" s="15"/>
      <c r="SPW12" s="15"/>
      <c r="SPX12" s="15"/>
      <c r="SPY12" s="15"/>
      <c r="SPZ12" s="15"/>
      <c r="SQA12" s="15"/>
      <c r="SQB12" s="15"/>
      <c r="SQC12" s="15"/>
      <c r="SQD12" s="15"/>
      <c r="SQE12" s="15"/>
      <c r="SQF12" s="15"/>
      <c r="SQG12" s="15"/>
      <c r="SQH12" s="15"/>
      <c r="SQI12" s="15"/>
      <c r="SQJ12" s="15"/>
      <c r="SQK12" s="15"/>
      <c r="SQL12" s="15"/>
      <c r="SQM12" s="15"/>
      <c r="SQN12" s="15"/>
      <c r="SQO12" s="15"/>
      <c r="SQP12" s="15"/>
      <c r="SQQ12" s="15"/>
      <c r="SQR12" s="15"/>
      <c r="SQS12" s="15"/>
      <c r="SQT12" s="15"/>
      <c r="SQU12" s="15"/>
      <c r="SQV12" s="15"/>
      <c r="SQW12" s="15"/>
      <c r="SQX12" s="15"/>
      <c r="SQY12" s="15"/>
      <c r="SQZ12" s="15"/>
      <c r="SRA12" s="15"/>
      <c r="SRB12" s="15"/>
      <c r="SRC12" s="15"/>
      <c r="SRD12" s="15"/>
      <c r="SRE12" s="15"/>
      <c r="SRF12" s="15"/>
      <c r="SRG12" s="15"/>
      <c r="SRH12" s="15"/>
      <c r="SRI12" s="15"/>
      <c r="SRJ12" s="15"/>
      <c r="SRK12" s="15"/>
      <c r="SRL12" s="15"/>
      <c r="SRM12" s="15"/>
      <c r="SRN12" s="15"/>
      <c r="SRO12" s="15"/>
      <c r="SRP12" s="15"/>
      <c r="SRQ12" s="15"/>
      <c r="SRR12" s="15"/>
      <c r="SRS12" s="15"/>
      <c r="SRT12" s="15"/>
      <c r="SRU12" s="15"/>
      <c r="SRV12" s="15"/>
      <c r="SRW12" s="15"/>
      <c r="SRX12" s="15"/>
      <c r="SRY12" s="15"/>
      <c r="SRZ12" s="15"/>
      <c r="SSA12" s="15"/>
      <c r="SSB12" s="15"/>
      <c r="SSC12" s="15"/>
      <c r="SSD12" s="15"/>
      <c r="SSE12" s="15"/>
      <c r="SSF12" s="15"/>
      <c r="SSG12" s="15"/>
      <c r="SSH12" s="15"/>
      <c r="SSI12" s="15"/>
      <c r="SSJ12" s="15"/>
      <c r="SSK12" s="15"/>
      <c r="SSL12" s="15"/>
      <c r="SSM12" s="15"/>
      <c r="SSN12" s="15"/>
      <c r="SSO12" s="15"/>
      <c r="SSP12" s="15"/>
      <c r="SSQ12" s="15"/>
      <c r="SSR12" s="15"/>
      <c r="SSS12" s="15"/>
      <c r="SST12" s="15"/>
      <c r="SSU12" s="15"/>
      <c r="SSV12" s="15"/>
      <c r="SSW12" s="15"/>
      <c r="SSX12" s="15"/>
      <c r="SSY12" s="15"/>
      <c r="SSZ12" s="15"/>
      <c r="STA12" s="15"/>
      <c r="STB12" s="15"/>
      <c r="STC12" s="15"/>
      <c r="STD12" s="15"/>
      <c r="STE12" s="15"/>
      <c r="STF12" s="15"/>
      <c r="STG12" s="15"/>
      <c r="STH12" s="15"/>
      <c r="STI12" s="15"/>
      <c r="STJ12" s="15"/>
      <c r="STK12" s="15"/>
      <c r="STL12" s="15"/>
      <c r="STM12" s="15"/>
      <c r="STN12" s="15"/>
      <c r="STO12" s="15"/>
      <c r="STP12" s="15"/>
      <c r="STQ12" s="15"/>
      <c r="STR12" s="15"/>
      <c r="STS12" s="15"/>
      <c r="STT12" s="15"/>
      <c r="STU12" s="15"/>
      <c r="STV12" s="15"/>
      <c r="STW12" s="15"/>
      <c r="STX12" s="15"/>
      <c r="STY12" s="15"/>
      <c r="STZ12" s="15"/>
      <c r="SUA12" s="15"/>
      <c r="SUB12" s="15"/>
      <c r="SUC12" s="15"/>
      <c r="SUD12" s="15"/>
      <c r="SUE12" s="15"/>
      <c r="SUF12" s="15"/>
      <c r="SUG12" s="15"/>
      <c r="SUH12" s="15"/>
      <c r="SUI12" s="15"/>
      <c r="SUJ12" s="15"/>
      <c r="SUK12" s="15"/>
      <c r="SUL12" s="15"/>
      <c r="SUM12" s="15"/>
      <c r="SUN12" s="15"/>
      <c r="SUO12" s="15"/>
      <c r="SUP12" s="15"/>
      <c r="SUQ12" s="15"/>
      <c r="SUR12" s="15"/>
      <c r="SUS12" s="15"/>
      <c r="SUT12" s="15"/>
      <c r="SUU12" s="15"/>
      <c r="SUV12" s="15"/>
      <c r="SUW12" s="15"/>
      <c r="SUX12" s="15"/>
      <c r="SUY12" s="15"/>
      <c r="SUZ12" s="15"/>
      <c r="SVA12" s="15"/>
      <c r="SVB12" s="15"/>
      <c r="SVC12" s="15"/>
      <c r="SVD12" s="15"/>
      <c r="SVE12" s="15"/>
      <c r="SVF12" s="15"/>
      <c r="SVG12" s="15"/>
      <c r="SVH12" s="15"/>
      <c r="SVI12" s="15"/>
      <c r="SVJ12" s="15"/>
      <c r="SVK12" s="15"/>
      <c r="SVL12" s="15"/>
      <c r="SVM12" s="15"/>
      <c r="SVN12" s="15"/>
      <c r="SVO12" s="15"/>
      <c r="SVP12" s="15"/>
      <c r="SVQ12" s="15"/>
      <c r="SVR12" s="15"/>
      <c r="SVS12" s="15"/>
      <c r="SVT12" s="15"/>
      <c r="SVU12" s="15"/>
      <c r="SVV12" s="15"/>
      <c r="SVW12" s="15"/>
      <c r="SVX12" s="15"/>
      <c r="SVY12" s="15"/>
      <c r="SVZ12" s="15"/>
      <c r="SWA12" s="15"/>
      <c r="SWB12" s="15"/>
      <c r="SWC12" s="15"/>
      <c r="SWD12" s="15"/>
      <c r="SWE12" s="15"/>
      <c r="SWF12" s="15"/>
      <c r="SWG12" s="15"/>
      <c r="SWH12" s="15"/>
      <c r="SWI12" s="15"/>
      <c r="SWJ12" s="15"/>
      <c r="SWK12" s="15"/>
      <c r="SWL12" s="15"/>
      <c r="SWM12" s="15"/>
      <c r="SWN12" s="15"/>
      <c r="SWO12" s="15"/>
      <c r="SWP12" s="15"/>
      <c r="SWQ12" s="15"/>
      <c r="SWR12" s="15"/>
      <c r="SWS12" s="15"/>
      <c r="SWT12" s="15"/>
      <c r="SWU12" s="15"/>
      <c r="SWV12" s="15"/>
      <c r="SWW12" s="15"/>
      <c r="SWX12" s="15"/>
      <c r="SWY12" s="15"/>
      <c r="SWZ12" s="15"/>
      <c r="SXA12" s="15"/>
      <c r="SXB12" s="15"/>
      <c r="SXC12" s="15"/>
      <c r="SXD12" s="15"/>
      <c r="SXE12" s="15"/>
      <c r="SXF12" s="15"/>
      <c r="SXG12" s="15"/>
      <c r="SXH12" s="15"/>
      <c r="SXI12" s="15"/>
      <c r="SXJ12" s="15"/>
      <c r="SXK12" s="15"/>
      <c r="SXL12" s="15"/>
      <c r="SXM12" s="15"/>
      <c r="SXN12" s="15"/>
      <c r="SXO12" s="15"/>
      <c r="SXP12" s="15"/>
      <c r="SXQ12" s="15"/>
      <c r="SXR12" s="15"/>
      <c r="SXS12" s="15"/>
      <c r="SXT12" s="15"/>
      <c r="SXU12" s="15"/>
      <c r="SXV12" s="15"/>
      <c r="SXW12" s="15"/>
      <c r="SXX12" s="15"/>
      <c r="SXY12" s="15"/>
      <c r="SXZ12" s="15"/>
      <c r="SYA12" s="15"/>
      <c r="SYB12" s="15"/>
      <c r="SYC12" s="15"/>
      <c r="SYD12" s="15"/>
      <c r="SYE12" s="15"/>
      <c r="SYF12" s="15"/>
      <c r="SYG12" s="15"/>
      <c r="SYH12" s="15"/>
      <c r="SYI12" s="15"/>
      <c r="SYJ12" s="15"/>
      <c r="SYK12" s="15"/>
      <c r="SYL12" s="15"/>
      <c r="SYM12" s="15"/>
      <c r="SYN12" s="15"/>
      <c r="SYO12" s="15"/>
      <c r="SYP12" s="15"/>
      <c r="SYQ12" s="15"/>
      <c r="SYR12" s="15"/>
      <c r="SYS12" s="15"/>
      <c r="SYT12" s="15"/>
      <c r="SYU12" s="15"/>
      <c r="SYV12" s="15"/>
      <c r="SYW12" s="15"/>
      <c r="SYX12" s="15"/>
      <c r="SYY12" s="15"/>
      <c r="SYZ12" s="15"/>
      <c r="SZA12" s="15"/>
      <c r="SZB12" s="15"/>
      <c r="SZC12" s="15"/>
      <c r="SZD12" s="15"/>
      <c r="SZE12" s="15"/>
      <c r="SZF12" s="15"/>
      <c r="SZG12" s="15"/>
      <c r="SZH12" s="15"/>
      <c r="SZI12" s="15"/>
      <c r="SZJ12" s="15"/>
      <c r="SZK12" s="15"/>
      <c r="SZL12" s="15"/>
      <c r="SZM12" s="15"/>
      <c r="SZN12" s="15"/>
      <c r="SZO12" s="15"/>
      <c r="SZP12" s="15"/>
      <c r="SZQ12" s="15"/>
      <c r="SZR12" s="15"/>
      <c r="SZS12" s="15"/>
      <c r="SZT12" s="15"/>
      <c r="SZU12" s="15"/>
      <c r="SZV12" s="15"/>
      <c r="SZW12" s="15"/>
      <c r="SZX12" s="15"/>
      <c r="SZY12" s="15"/>
      <c r="SZZ12" s="15"/>
      <c r="TAA12" s="15"/>
      <c r="TAB12" s="15"/>
      <c r="TAC12" s="15"/>
      <c r="TAD12" s="15"/>
      <c r="TAE12" s="15"/>
      <c r="TAF12" s="15"/>
      <c r="TAG12" s="15"/>
      <c r="TAH12" s="15"/>
      <c r="TAI12" s="15"/>
      <c r="TAJ12" s="15"/>
      <c r="TAK12" s="15"/>
      <c r="TAL12" s="15"/>
      <c r="TAM12" s="15"/>
      <c r="TAN12" s="15"/>
      <c r="TAO12" s="15"/>
      <c r="TAP12" s="15"/>
      <c r="TAQ12" s="15"/>
      <c r="TAR12" s="15"/>
      <c r="TAS12" s="15"/>
      <c r="TAT12" s="15"/>
      <c r="TAU12" s="15"/>
      <c r="TAV12" s="15"/>
      <c r="TAW12" s="15"/>
      <c r="TAX12" s="15"/>
      <c r="TAY12" s="15"/>
      <c r="TAZ12" s="15"/>
      <c r="TBA12" s="15"/>
      <c r="TBB12" s="15"/>
      <c r="TBC12" s="15"/>
      <c r="TBD12" s="15"/>
      <c r="TBE12" s="15"/>
      <c r="TBF12" s="15"/>
      <c r="TBG12" s="15"/>
      <c r="TBH12" s="15"/>
      <c r="TBI12" s="15"/>
      <c r="TBJ12" s="15"/>
      <c r="TBK12" s="15"/>
      <c r="TBL12" s="15"/>
      <c r="TBM12" s="15"/>
      <c r="TBN12" s="15"/>
      <c r="TBO12" s="15"/>
      <c r="TBP12" s="15"/>
      <c r="TBQ12" s="15"/>
      <c r="TBR12" s="15"/>
      <c r="TBS12" s="15"/>
      <c r="TBT12" s="15"/>
      <c r="TBU12" s="15"/>
      <c r="TBV12" s="15"/>
      <c r="TBW12" s="15"/>
      <c r="TBX12" s="15"/>
      <c r="TBY12" s="15"/>
      <c r="TBZ12" s="15"/>
      <c r="TCA12" s="15"/>
      <c r="TCB12" s="15"/>
      <c r="TCC12" s="15"/>
      <c r="TCD12" s="15"/>
      <c r="TCE12" s="15"/>
      <c r="TCF12" s="15"/>
      <c r="TCG12" s="15"/>
      <c r="TCH12" s="15"/>
      <c r="TCI12" s="15"/>
      <c r="TCJ12" s="15"/>
      <c r="TCK12" s="15"/>
      <c r="TCL12" s="15"/>
      <c r="TCM12" s="15"/>
      <c r="TCN12" s="15"/>
      <c r="TCO12" s="15"/>
      <c r="TCP12" s="15"/>
      <c r="TCQ12" s="15"/>
      <c r="TCR12" s="15"/>
      <c r="TCS12" s="15"/>
      <c r="TCT12" s="15"/>
      <c r="TCU12" s="15"/>
      <c r="TCV12" s="15"/>
      <c r="TCW12" s="15"/>
      <c r="TCX12" s="15"/>
      <c r="TCY12" s="15"/>
      <c r="TCZ12" s="15"/>
      <c r="TDA12" s="15"/>
      <c r="TDB12" s="15"/>
      <c r="TDC12" s="15"/>
      <c r="TDD12" s="15"/>
      <c r="TDE12" s="15"/>
      <c r="TDF12" s="15"/>
      <c r="TDG12" s="15"/>
      <c r="TDH12" s="15"/>
      <c r="TDI12" s="15"/>
      <c r="TDJ12" s="15"/>
      <c r="TDK12" s="15"/>
      <c r="TDL12" s="15"/>
      <c r="TDM12" s="15"/>
      <c r="TDN12" s="15"/>
      <c r="TDO12" s="15"/>
      <c r="TDP12" s="15"/>
      <c r="TDQ12" s="15"/>
      <c r="TDR12" s="15"/>
      <c r="TDS12" s="15"/>
      <c r="TDT12" s="15"/>
      <c r="TDU12" s="15"/>
      <c r="TDV12" s="15"/>
      <c r="TDW12" s="15"/>
      <c r="TDX12" s="15"/>
      <c r="TDY12" s="15"/>
      <c r="TDZ12" s="15"/>
      <c r="TEA12" s="15"/>
      <c r="TEB12" s="15"/>
      <c r="TEC12" s="15"/>
      <c r="TED12" s="15"/>
      <c r="TEE12" s="15"/>
      <c r="TEF12" s="15"/>
      <c r="TEG12" s="15"/>
      <c r="TEH12" s="15"/>
      <c r="TEI12" s="15"/>
      <c r="TEJ12" s="15"/>
      <c r="TEK12" s="15"/>
      <c r="TEL12" s="15"/>
      <c r="TEM12" s="15"/>
      <c r="TEN12" s="15"/>
      <c r="TEO12" s="15"/>
      <c r="TEP12" s="15"/>
      <c r="TEQ12" s="15"/>
      <c r="TER12" s="15"/>
      <c r="TES12" s="15"/>
      <c r="TET12" s="15"/>
      <c r="TEU12" s="15"/>
      <c r="TEV12" s="15"/>
      <c r="TEW12" s="15"/>
      <c r="TEX12" s="15"/>
      <c r="TEY12" s="15"/>
      <c r="TEZ12" s="15"/>
      <c r="TFA12" s="15"/>
      <c r="TFB12" s="15"/>
      <c r="TFC12" s="15"/>
      <c r="TFD12" s="15"/>
      <c r="TFE12" s="15"/>
      <c r="TFF12" s="15"/>
      <c r="TFG12" s="15"/>
      <c r="TFH12" s="15"/>
      <c r="TFI12" s="15"/>
      <c r="TFJ12" s="15"/>
      <c r="TFK12" s="15"/>
      <c r="TFL12" s="15"/>
      <c r="TFM12" s="15"/>
      <c r="TFN12" s="15"/>
      <c r="TFO12" s="15"/>
      <c r="TFP12" s="15"/>
      <c r="TFQ12" s="15"/>
      <c r="TFR12" s="15"/>
      <c r="TFS12" s="15"/>
      <c r="TFT12" s="15"/>
      <c r="TFU12" s="15"/>
      <c r="TFV12" s="15"/>
      <c r="TFW12" s="15"/>
      <c r="TFX12" s="15"/>
      <c r="TFY12" s="15"/>
      <c r="TFZ12" s="15"/>
      <c r="TGA12" s="15"/>
      <c r="TGB12" s="15"/>
      <c r="TGC12" s="15"/>
      <c r="TGD12" s="15"/>
      <c r="TGE12" s="15"/>
      <c r="TGF12" s="15"/>
      <c r="TGG12" s="15"/>
      <c r="TGH12" s="15"/>
      <c r="TGI12" s="15"/>
      <c r="TGJ12" s="15"/>
      <c r="TGK12" s="15"/>
      <c r="TGL12" s="15"/>
      <c r="TGM12" s="15"/>
      <c r="TGN12" s="15"/>
      <c r="TGO12" s="15"/>
      <c r="TGP12" s="15"/>
      <c r="TGQ12" s="15"/>
      <c r="TGR12" s="15"/>
      <c r="TGS12" s="15"/>
      <c r="TGT12" s="15"/>
      <c r="TGU12" s="15"/>
      <c r="TGV12" s="15"/>
      <c r="TGW12" s="15"/>
      <c r="TGX12" s="15"/>
      <c r="TGY12" s="15"/>
      <c r="TGZ12" s="15"/>
      <c r="THA12" s="15"/>
      <c r="THB12" s="15"/>
      <c r="THC12" s="15"/>
      <c r="THD12" s="15"/>
      <c r="THE12" s="15"/>
      <c r="THF12" s="15"/>
      <c r="THG12" s="15"/>
      <c r="THH12" s="15"/>
      <c r="THI12" s="15"/>
      <c r="THJ12" s="15"/>
      <c r="THK12" s="15"/>
      <c r="THL12" s="15"/>
      <c r="THM12" s="15"/>
      <c r="THN12" s="15"/>
      <c r="THO12" s="15"/>
      <c r="THP12" s="15"/>
      <c r="THQ12" s="15"/>
      <c r="THR12" s="15"/>
      <c r="THS12" s="15"/>
      <c r="THT12" s="15"/>
      <c r="THU12" s="15"/>
      <c r="THV12" s="15"/>
      <c r="THW12" s="15"/>
      <c r="THX12" s="15"/>
      <c r="THY12" s="15"/>
      <c r="THZ12" s="15"/>
      <c r="TIA12" s="15"/>
      <c r="TIB12" s="15"/>
      <c r="TIC12" s="15"/>
      <c r="TID12" s="15"/>
      <c r="TIE12" s="15"/>
      <c r="TIF12" s="15"/>
      <c r="TIG12" s="15"/>
      <c r="TIH12" s="15"/>
      <c r="TII12" s="15"/>
      <c r="TIJ12" s="15"/>
      <c r="TIK12" s="15"/>
      <c r="TIL12" s="15"/>
      <c r="TIM12" s="15"/>
      <c r="TIN12" s="15"/>
      <c r="TIO12" s="15"/>
      <c r="TIP12" s="15"/>
      <c r="TIQ12" s="15"/>
      <c r="TIR12" s="15"/>
      <c r="TIS12" s="15"/>
      <c r="TIT12" s="15"/>
      <c r="TIU12" s="15"/>
      <c r="TIV12" s="15"/>
      <c r="TIW12" s="15"/>
      <c r="TIX12" s="15"/>
      <c r="TIY12" s="15"/>
      <c r="TIZ12" s="15"/>
      <c r="TJA12" s="15"/>
      <c r="TJB12" s="15"/>
      <c r="TJC12" s="15"/>
      <c r="TJD12" s="15"/>
      <c r="TJE12" s="15"/>
      <c r="TJF12" s="15"/>
      <c r="TJG12" s="15"/>
      <c r="TJH12" s="15"/>
      <c r="TJI12" s="15"/>
      <c r="TJJ12" s="15"/>
      <c r="TJK12" s="15"/>
      <c r="TJL12" s="15"/>
      <c r="TJM12" s="15"/>
      <c r="TJN12" s="15"/>
      <c r="TJO12" s="15"/>
      <c r="TJP12" s="15"/>
      <c r="TJQ12" s="15"/>
      <c r="TJR12" s="15"/>
      <c r="TJS12" s="15"/>
      <c r="TJT12" s="15"/>
      <c r="TJU12" s="15"/>
      <c r="TJV12" s="15"/>
      <c r="TJW12" s="15"/>
      <c r="TJX12" s="15"/>
      <c r="TJY12" s="15"/>
      <c r="TJZ12" s="15"/>
      <c r="TKA12" s="15"/>
      <c r="TKB12" s="15"/>
      <c r="TKC12" s="15"/>
      <c r="TKD12" s="15"/>
      <c r="TKE12" s="15"/>
      <c r="TKF12" s="15"/>
      <c r="TKG12" s="15"/>
      <c r="TKH12" s="15"/>
      <c r="TKI12" s="15"/>
      <c r="TKJ12" s="15"/>
      <c r="TKK12" s="15"/>
      <c r="TKL12" s="15"/>
      <c r="TKM12" s="15"/>
      <c r="TKN12" s="15"/>
      <c r="TKO12" s="15"/>
      <c r="TKP12" s="15"/>
      <c r="TKQ12" s="15"/>
      <c r="TKR12" s="15"/>
      <c r="TKS12" s="15"/>
      <c r="TKT12" s="15"/>
      <c r="TKU12" s="15"/>
      <c r="TKV12" s="15"/>
      <c r="TKW12" s="15"/>
      <c r="TKX12" s="15"/>
      <c r="TKY12" s="15"/>
      <c r="TKZ12" s="15"/>
      <c r="TLA12" s="15"/>
      <c r="TLB12" s="15"/>
      <c r="TLC12" s="15"/>
      <c r="TLD12" s="15"/>
      <c r="TLE12" s="15"/>
      <c r="TLF12" s="15"/>
      <c r="TLG12" s="15"/>
      <c r="TLH12" s="15"/>
      <c r="TLI12" s="15"/>
      <c r="TLJ12" s="15"/>
      <c r="TLK12" s="15"/>
      <c r="TLL12" s="15"/>
      <c r="TLM12" s="15"/>
      <c r="TLN12" s="15"/>
      <c r="TLO12" s="15"/>
      <c r="TLP12" s="15"/>
      <c r="TLQ12" s="15"/>
      <c r="TLR12" s="15"/>
      <c r="TLS12" s="15"/>
      <c r="TLT12" s="15"/>
      <c r="TLU12" s="15"/>
      <c r="TLV12" s="15"/>
      <c r="TLW12" s="15"/>
      <c r="TLX12" s="15"/>
      <c r="TLY12" s="15"/>
      <c r="TLZ12" s="15"/>
      <c r="TMA12" s="15"/>
      <c r="TMB12" s="15"/>
      <c r="TMC12" s="15"/>
      <c r="TMD12" s="15"/>
      <c r="TME12" s="15"/>
      <c r="TMF12" s="15"/>
      <c r="TMG12" s="15"/>
      <c r="TMH12" s="15"/>
      <c r="TMI12" s="15"/>
      <c r="TMJ12" s="15"/>
      <c r="TMK12" s="15"/>
      <c r="TML12" s="15"/>
      <c r="TMM12" s="15"/>
      <c r="TMN12" s="15"/>
      <c r="TMO12" s="15"/>
      <c r="TMP12" s="15"/>
      <c r="TMQ12" s="15"/>
      <c r="TMR12" s="15"/>
      <c r="TMS12" s="15"/>
      <c r="TMT12" s="15"/>
      <c r="TMU12" s="15"/>
      <c r="TMV12" s="15"/>
      <c r="TMW12" s="15"/>
      <c r="TMX12" s="15"/>
      <c r="TMY12" s="15"/>
      <c r="TMZ12" s="15"/>
      <c r="TNA12" s="15"/>
      <c r="TNB12" s="15"/>
      <c r="TNC12" s="15"/>
      <c r="TND12" s="15"/>
      <c r="TNE12" s="15"/>
      <c r="TNF12" s="15"/>
      <c r="TNG12" s="15"/>
      <c r="TNH12" s="15"/>
      <c r="TNI12" s="15"/>
      <c r="TNJ12" s="15"/>
      <c r="TNK12" s="15"/>
      <c r="TNL12" s="15"/>
      <c r="TNM12" s="15"/>
      <c r="TNN12" s="15"/>
      <c r="TNO12" s="15"/>
      <c r="TNP12" s="15"/>
      <c r="TNQ12" s="15"/>
      <c r="TNR12" s="15"/>
      <c r="TNS12" s="15"/>
      <c r="TNT12" s="15"/>
      <c r="TNU12" s="15"/>
      <c r="TNV12" s="15"/>
      <c r="TNW12" s="15"/>
      <c r="TNX12" s="15"/>
      <c r="TNY12" s="15"/>
      <c r="TNZ12" s="15"/>
      <c r="TOA12" s="15"/>
      <c r="TOB12" s="15"/>
      <c r="TOC12" s="15"/>
      <c r="TOD12" s="15"/>
      <c r="TOE12" s="15"/>
      <c r="TOF12" s="15"/>
      <c r="TOG12" s="15"/>
      <c r="TOH12" s="15"/>
      <c r="TOI12" s="15"/>
      <c r="TOJ12" s="15"/>
      <c r="TOK12" s="15"/>
      <c r="TOL12" s="15"/>
      <c r="TOM12" s="15"/>
      <c r="TON12" s="15"/>
      <c r="TOO12" s="15"/>
      <c r="TOP12" s="15"/>
      <c r="TOQ12" s="15"/>
      <c r="TOR12" s="15"/>
      <c r="TOS12" s="15"/>
      <c r="TOT12" s="15"/>
      <c r="TOU12" s="15"/>
      <c r="TOV12" s="15"/>
      <c r="TOW12" s="15"/>
      <c r="TOX12" s="15"/>
      <c r="TOY12" s="15"/>
      <c r="TOZ12" s="15"/>
      <c r="TPA12" s="15"/>
      <c r="TPB12" s="15"/>
      <c r="TPC12" s="15"/>
      <c r="TPD12" s="15"/>
      <c r="TPE12" s="15"/>
      <c r="TPF12" s="15"/>
      <c r="TPG12" s="15"/>
      <c r="TPH12" s="15"/>
      <c r="TPI12" s="15"/>
      <c r="TPJ12" s="15"/>
      <c r="TPK12" s="15"/>
      <c r="TPL12" s="15"/>
      <c r="TPM12" s="15"/>
      <c r="TPN12" s="15"/>
      <c r="TPO12" s="15"/>
      <c r="TPP12" s="15"/>
      <c r="TPQ12" s="15"/>
      <c r="TPR12" s="15"/>
      <c r="TPS12" s="15"/>
      <c r="TPT12" s="15"/>
      <c r="TPU12" s="15"/>
      <c r="TPV12" s="15"/>
      <c r="TPW12" s="15"/>
      <c r="TPX12" s="15"/>
      <c r="TPY12" s="15"/>
      <c r="TPZ12" s="15"/>
      <c r="TQA12" s="15"/>
      <c r="TQB12" s="15"/>
      <c r="TQC12" s="15"/>
      <c r="TQD12" s="15"/>
      <c r="TQE12" s="15"/>
      <c r="TQF12" s="15"/>
      <c r="TQG12" s="15"/>
      <c r="TQH12" s="15"/>
      <c r="TQI12" s="15"/>
      <c r="TQJ12" s="15"/>
      <c r="TQK12" s="15"/>
      <c r="TQL12" s="15"/>
      <c r="TQM12" s="15"/>
      <c r="TQN12" s="15"/>
      <c r="TQO12" s="15"/>
      <c r="TQP12" s="15"/>
      <c r="TQQ12" s="15"/>
      <c r="TQR12" s="15"/>
      <c r="TQS12" s="15"/>
      <c r="TQT12" s="15"/>
      <c r="TQU12" s="15"/>
      <c r="TQV12" s="15"/>
      <c r="TQW12" s="15"/>
      <c r="TQX12" s="15"/>
      <c r="TQY12" s="15"/>
      <c r="TQZ12" s="15"/>
      <c r="TRA12" s="15"/>
      <c r="TRB12" s="15"/>
      <c r="TRC12" s="15"/>
      <c r="TRD12" s="15"/>
      <c r="TRE12" s="15"/>
      <c r="TRF12" s="15"/>
      <c r="TRG12" s="15"/>
      <c r="TRH12" s="15"/>
      <c r="TRI12" s="15"/>
      <c r="TRJ12" s="15"/>
      <c r="TRK12" s="15"/>
      <c r="TRL12" s="15"/>
      <c r="TRM12" s="15"/>
      <c r="TRN12" s="15"/>
      <c r="TRO12" s="15"/>
      <c r="TRP12" s="15"/>
      <c r="TRQ12" s="15"/>
      <c r="TRR12" s="15"/>
      <c r="TRS12" s="15"/>
      <c r="TRT12" s="15"/>
      <c r="TRU12" s="15"/>
      <c r="TRV12" s="15"/>
      <c r="TRW12" s="15"/>
      <c r="TRX12" s="15"/>
      <c r="TRY12" s="15"/>
      <c r="TRZ12" s="15"/>
      <c r="TSA12" s="15"/>
      <c r="TSB12" s="15"/>
      <c r="TSC12" s="15"/>
      <c r="TSD12" s="15"/>
      <c r="TSE12" s="15"/>
      <c r="TSF12" s="15"/>
      <c r="TSG12" s="15"/>
      <c r="TSH12" s="15"/>
      <c r="TSI12" s="15"/>
      <c r="TSJ12" s="15"/>
      <c r="TSK12" s="15"/>
      <c r="TSL12" s="15"/>
      <c r="TSM12" s="15"/>
      <c r="TSN12" s="15"/>
      <c r="TSO12" s="15"/>
      <c r="TSP12" s="15"/>
      <c r="TSQ12" s="15"/>
      <c r="TSR12" s="15"/>
      <c r="TSS12" s="15"/>
      <c r="TST12" s="15"/>
      <c r="TSU12" s="15"/>
      <c r="TSV12" s="15"/>
      <c r="TSW12" s="15"/>
      <c r="TSX12" s="15"/>
      <c r="TSY12" s="15"/>
      <c r="TSZ12" s="15"/>
      <c r="TTA12" s="15"/>
      <c r="TTB12" s="15"/>
      <c r="TTC12" s="15"/>
      <c r="TTD12" s="15"/>
      <c r="TTE12" s="15"/>
      <c r="TTF12" s="15"/>
      <c r="TTG12" s="15"/>
      <c r="TTH12" s="15"/>
      <c r="TTI12" s="15"/>
      <c r="TTJ12" s="15"/>
      <c r="TTK12" s="15"/>
      <c r="TTL12" s="15"/>
      <c r="TTM12" s="15"/>
      <c r="TTN12" s="15"/>
      <c r="TTO12" s="15"/>
      <c r="TTP12" s="15"/>
      <c r="TTQ12" s="15"/>
      <c r="TTR12" s="15"/>
      <c r="TTS12" s="15"/>
      <c r="TTT12" s="15"/>
      <c r="TTU12" s="15"/>
      <c r="TTV12" s="15"/>
      <c r="TTW12" s="15"/>
      <c r="TTX12" s="15"/>
      <c r="TTY12" s="15"/>
      <c r="TTZ12" s="15"/>
      <c r="TUA12" s="15"/>
      <c r="TUB12" s="15"/>
      <c r="TUC12" s="15"/>
      <c r="TUD12" s="15"/>
      <c r="TUE12" s="15"/>
      <c r="TUF12" s="15"/>
      <c r="TUG12" s="15"/>
      <c r="TUH12" s="15"/>
      <c r="TUI12" s="15"/>
      <c r="TUJ12" s="15"/>
      <c r="TUK12" s="15"/>
      <c r="TUL12" s="15"/>
      <c r="TUM12" s="15"/>
      <c r="TUN12" s="15"/>
      <c r="TUO12" s="15"/>
      <c r="TUP12" s="15"/>
      <c r="TUQ12" s="15"/>
      <c r="TUR12" s="15"/>
      <c r="TUS12" s="15"/>
      <c r="TUT12" s="15"/>
      <c r="TUU12" s="15"/>
      <c r="TUV12" s="15"/>
      <c r="TUW12" s="15"/>
      <c r="TUX12" s="15"/>
      <c r="TUY12" s="15"/>
      <c r="TUZ12" s="15"/>
      <c r="TVA12" s="15"/>
      <c r="TVB12" s="15"/>
      <c r="TVC12" s="15"/>
      <c r="TVD12" s="15"/>
      <c r="TVE12" s="15"/>
      <c r="TVF12" s="15"/>
      <c r="TVG12" s="15"/>
      <c r="TVH12" s="15"/>
      <c r="TVI12" s="15"/>
      <c r="TVJ12" s="15"/>
      <c r="TVK12" s="15"/>
      <c r="TVL12" s="15"/>
      <c r="TVM12" s="15"/>
      <c r="TVN12" s="15"/>
      <c r="TVO12" s="15"/>
      <c r="TVP12" s="15"/>
      <c r="TVQ12" s="15"/>
      <c r="TVR12" s="15"/>
      <c r="TVS12" s="15"/>
      <c r="TVT12" s="15"/>
      <c r="TVU12" s="15"/>
      <c r="TVV12" s="15"/>
      <c r="TVW12" s="15"/>
      <c r="TVX12" s="15"/>
      <c r="TVY12" s="15"/>
      <c r="TVZ12" s="15"/>
      <c r="TWA12" s="15"/>
      <c r="TWB12" s="15"/>
      <c r="TWC12" s="15"/>
      <c r="TWD12" s="15"/>
      <c r="TWE12" s="15"/>
      <c r="TWF12" s="15"/>
      <c r="TWG12" s="15"/>
      <c r="TWH12" s="15"/>
      <c r="TWI12" s="15"/>
      <c r="TWJ12" s="15"/>
      <c r="TWK12" s="15"/>
      <c r="TWL12" s="15"/>
      <c r="TWM12" s="15"/>
      <c r="TWN12" s="15"/>
      <c r="TWO12" s="15"/>
      <c r="TWP12" s="15"/>
      <c r="TWQ12" s="15"/>
      <c r="TWR12" s="15"/>
      <c r="TWS12" s="15"/>
      <c r="TWT12" s="15"/>
      <c r="TWU12" s="15"/>
      <c r="TWV12" s="15"/>
      <c r="TWW12" s="15"/>
      <c r="TWX12" s="15"/>
      <c r="TWY12" s="15"/>
      <c r="TWZ12" s="15"/>
      <c r="TXA12" s="15"/>
      <c r="TXB12" s="15"/>
      <c r="TXC12" s="15"/>
      <c r="TXD12" s="15"/>
      <c r="TXE12" s="15"/>
      <c r="TXF12" s="15"/>
      <c r="TXG12" s="15"/>
      <c r="TXH12" s="15"/>
      <c r="TXI12" s="15"/>
      <c r="TXJ12" s="15"/>
      <c r="TXK12" s="15"/>
      <c r="TXL12" s="15"/>
      <c r="TXM12" s="15"/>
      <c r="TXN12" s="15"/>
      <c r="TXO12" s="15"/>
      <c r="TXP12" s="15"/>
      <c r="TXQ12" s="15"/>
      <c r="TXR12" s="15"/>
      <c r="TXS12" s="15"/>
      <c r="TXT12" s="15"/>
      <c r="TXU12" s="15"/>
      <c r="TXV12" s="15"/>
      <c r="TXW12" s="15"/>
      <c r="TXX12" s="15"/>
      <c r="TXY12" s="15"/>
      <c r="TXZ12" s="15"/>
      <c r="TYA12" s="15"/>
      <c r="TYB12" s="15"/>
      <c r="TYC12" s="15"/>
      <c r="TYD12" s="15"/>
      <c r="TYE12" s="15"/>
      <c r="TYF12" s="15"/>
      <c r="TYG12" s="15"/>
      <c r="TYH12" s="15"/>
      <c r="TYI12" s="15"/>
      <c r="TYJ12" s="15"/>
      <c r="TYK12" s="15"/>
      <c r="TYL12" s="15"/>
      <c r="TYM12" s="15"/>
      <c r="TYN12" s="15"/>
      <c r="TYO12" s="15"/>
      <c r="TYP12" s="15"/>
      <c r="TYQ12" s="15"/>
      <c r="TYR12" s="15"/>
      <c r="TYS12" s="15"/>
      <c r="TYT12" s="15"/>
      <c r="TYU12" s="15"/>
      <c r="TYV12" s="15"/>
      <c r="TYW12" s="15"/>
      <c r="TYX12" s="15"/>
      <c r="TYY12" s="15"/>
      <c r="TYZ12" s="15"/>
      <c r="TZA12" s="15"/>
      <c r="TZB12" s="15"/>
      <c r="TZC12" s="15"/>
      <c r="TZD12" s="15"/>
      <c r="TZE12" s="15"/>
      <c r="TZF12" s="15"/>
      <c r="TZG12" s="15"/>
      <c r="TZH12" s="15"/>
      <c r="TZI12" s="15"/>
      <c r="TZJ12" s="15"/>
      <c r="TZK12" s="15"/>
      <c r="TZL12" s="15"/>
      <c r="TZM12" s="15"/>
      <c r="TZN12" s="15"/>
      <c r="TZO12" s="15"/>
      <c r="TZP12" s="15"/>
      <c r="TZQ12" s="15"/>
      <c r="TZR12" s="15"/>
      <c r="TZS12" s="15"/>
      <c r="TZT12" s="15"/>
      <c r="TZU12" s="15"/>
      <c r="TZV12" s="15"/>
      <c r="TZW12" s="15"/>
      <c r="TZX12" s="15"/>
      <c r="TZY12" s="15"/>
      <c r="TZZ12" s="15"/>
      <c r="UAA12" s="15"/>
      <c r="UAB12" s="15"/>
      <c r="UAC12" s="15"/>
      <c r="UAD12" s="15"/>
      <c r="UAE12" s="15"/>
      <c r="UAF12" s="15"/>
      <c r="UAG12" s="15"/>
      <c r="UAH12" s="15"/>
      <c r="UAI12" s="15"/>
      <c r="UAJ12" s="15"/>
      <c r="UAK12" s="15"/>
      <c r="UAL12" s="15"/>
      <c r="UAM12" s="15"/>
      <c r="UAN12" s="15"/>
      <c r="UAO12" s="15"/>
      <c r="UAP12" s="15"/>
      <c r="UAQ12" s="15"/>
      <c r="UAR12" s="15"/>
      <c r="UAS12" s="15"/>
      <c r="UAT12" s="15"/>
      <c r="UAU12" s="15"/>
      <c r="UAV12" s="15"/>
      <c r="UAW12" s="15"/>
      <c r="UAX12" s="15"/>
      <c r="UAY12" s="15"/>
      <c r="UAZ12" s="15"/>
      <c r="UBA12" s="15"/>
      <c r="UBB12" s="15"/>
      <c r="UBC12" s="15"/>
      <c r="UBD12" s="15"/>
      <c r="UBE12" s="15"/>
      <c r="UBF12" s="15"/>
      <c r="UBG12" s="15"/>
      <c r="UBH12" s="15"/>
      <c r="UBI12" s="15"/>
      <c r="UBJ12" s="15"/>
      <c r="UBK12" s="15"/>
      <c r="UBL12" s="15"/>
      <c r="UBM12" s="15"/>
      <c r="UBN12" s="15"/>
      <c r="UBO12" s="15"/>
      <c r="UBP12" s="15"/>
      <c r="UBQ12" s="15"/>
      <c r="UBR12" s="15"/>
      <c r="UBS12" s="15"/>
      <c r="UBT12" s="15"/>
      <c r="UBU12" s="15"/>
      <c r="UBV12" s="15"/>
      <c r="UBW12" s="15"/>
      <c r="UBX12" s="15"/>
      <c r="UBY12" s="15"/>
      <c r="UBZ12" s="15"/>
      <c r="UCA12" s="15"/>
      <c r="UCB12" s="15"/>
      <c r="UCC12" s="15"/>
      <c r="UCD12" s="15"/>
      <c r="UCE12" s="15"/>
      <c r="UCF12" s="15"/>
      <c r="UCG12" s="15"/>
      <c r="UCH12" s="15"/>
      <c r="UCI12" s="15"/>
      <c r="UCJ12" s="15"/>
      <c r="UCK12" s="15"/>
      <c r="UCL12" s="15"/>
      <c r="UCM12" s="15"/>
      <c r="UCN12" s="15"/>
      <c r="UCO12" s="15"/>
      <c r="UCP12" s="15"/>
      <c r="UCQ12" s="15"/>
      <c r="UCR12" s="15"/>
      <c r="UCS12" s="15"/>
      <c r="UCT12" s="15"/>
      <c r="UCU12" s="15"/>
      <c r="UCV12" s="15"/>
      <c r="UCW12" s="15"/>
      <c r="UCX12" s="15"/>
      <c r="UCY12" s="15"/>
      <c r="UCZ12" s="15"/>
      <c r="UDA12" s="15"/>
      <c r="UDB12" s="15"/>
      <c r="UDC12" s="15"/>
      <c r="UDD12" s="15"/>
      <c r="UDE12" s="15"/>
      <c r="UDF12" s="15"/>
      <c r="UDG12" s="15"/>
      <c r="UDH12" s="15"/>
      <c r="UDI12" s="15"/>
      <c r="UDJ12" s="15"/>
      <c r="UDK12" s="15"/>
      <c r="UDL12" s="15"/>
      <c r="UDM12" s="15"/>
      <c r="UDN12" s="15"/>
      <c r="UDO12" s="15"/>
      <c r="UDP12" s="15"/>
      <c r="UDQ12" s="15"/>
      <c r="UDR12" s="15"/>
      <c r="UDS12" s="15"/>
      <c r="UDT12" s="15"/>
      <c r="UDU12" s="15"/>
      <c r="UDV12" s="15"/>
      <c r="UDW12" s="15"/>
      <c r="UDX12" s="15"/>
      <c r="UDY12" s="15"/>
      <c r="UDZ12" s="15"/>
      <c r="UEA12" s="15"/>
      <c r="UEB12" s="15"/>
      <c r="UEC12" s="15"/>
      <c r="UED12" s="15"/>
      <c r="UEE12" s="15"/>
      <c r="UEF12" s="15"/>
      <c r="UEG12" s="15"/>
      <c r="UEH12" s="15"/>
      <c r="UEI12" s="15"/>
      <c r="UEJ12" s="15"/>
      <c r="UEK12" s="15"/>
      <c r="UEL12" s="15"/>
      <c r="UEM12" s="15"/>
      <c r="UEN12" s="15"/>
      <c r="UEO12" s="15"/>
      <c r="UEP12" s="15"/>
      <c r="UEQ12" s="15"/>
      <c r="UER12" s="15"/>
      <c r="UES12" s="15"/>
      <c r="UET12" s="15"/>
      <c r="UEU12" s="15"/>
      <c r="UEV12" s="15"/>
      <c r="UEW12" s="15"/>
      <c r="UEX12" s="15"/>
      <c r="UEY12" s="15"/>
      <c r="UEZ12" s="15"/>
      <c r="UFA12" s="15"/>
      <c r="UFB12" s="15"/>
      <c r="UFC12" s="15"/>
      <c r="UFD12" s="15"/>
      <c r="UFE12" s="15"/>
      <c r="UFF12" s="15"/>
      <c r="UFG12" s="15"/>
      <c r="UFH12" s="15"/>
      <c r="UFI12" s="15"/>
      <c r="UFJ12" s="15"/>
      <c r="UFK12" s="15"/>
      <c r="UFL12" s="15"/>
      <c r="UFM12" s="15"/>
      <c r="UFN12" s="15"/>
      <c r="UFO12" s="15"/>
      <c r="UFP12" s="15"/>
      <c r="UFQ12" s="15"/>
      <c r="UFR12" s="15"/>
      <c r="UFS12" s="15"/>
      <c r="UFT12" s="15"/>
      <c r="UFU12" s="15"/>
      <c r="UFV12" s="15"/>
      <c r="UFW12" s="15"/>
      <c r="UFX12" s="15"/>
      <c r="UFY12" s="15"/>
      <c r="UFZ12" s="15"/>
      <c r="UGA12" s="15"/>
      <c r="UGB12" s="15"/>
      <c r="UGC12" s="15"/>
      <c r="UGD12" s="15"/>
      <c r="UGE12" s="15"/>
      <c r="UGF12" s="15"/>
      <c r="UGG12" s="15"/>
      <c r="UGH12" s="15"/>
      <c r="UGI12" s="15"/>
      <c r="UGJ12" s="15"/>
      <c r="UGK12" s="15"/>
      <c r="UGL12" s="15"/>
      <c r="UGM12" s="15"/>
      <c r="UGN12" s="15"/>
      <c r="UGO12" s="15"/>
      <c r="UGP12" s="15"/>
      <c r="UGQ12" s="15"/>
      <c r="UGR12" s="15"/>
      <c r="UGS12" s="15"/>
      <c r="UGT12" s="15"/>
      <c r="UGU12" s="15"/>
      <c r="UGV12" s="15"/>
      <c r="UGW12" s="15"/>
      <c r="UGX12" s="15"/>
      <c r="UGY12" s="15"/>
      <c r="UGZ12" s="15"/>
      <c r="UHA12" s="15"/>
      <c r="UHB12" s="15"/>
      <c r="UHC12" s="15"/>
      <c r="UHD12" s="15"/>
      <c r="UHE12" s="15"/>
      <c r="UHF12" s="15"/>
      <c r="UHG12" s="15"/>
      <c r="UHH12" s="15"/>
      <c r="UHI12" s="15"/>
      <c r="UHJ12" s="15"/>
      <c r="UHK12" s="15"/>
      <c r="UHL12" s="15"/>
      <c r="UHM12" s="15"/>
      <c r="UHN12" s="15"/>
      <c r="UHO12" s="15"/>
      <c r="UHP12" s="15"/>
      <c r="UHQ12" s="15"/>
      <c r="UHR12" s="15"/>
      <c r="UHS12" s="15"/>
      <c r="UHT12" s="15"/>
      <c r="UHU12" s="15"/>
      <c r="UHV12" s="15"/>
      <c r="UHW12" s="15"/>
      <c r="UHX12" s="15"/>
      <c r="UHY12" s="15"/>
      <c r="UHZ12" s="15"/>
      <c r="UIA12" s="15"/>
      <c r="UIB12" s="15"/>
      <c r="UIC12" s="15"/>
      <c r="UID12" s="15"/>
      <c r="UIE12" s="15"/>
      <c r="UIF12" s="15"/>
      <c r="UIG12" s="15"/>
      <c r="UIH12" s="15"/>
      <c r="UII12" s="15"/>
      <c r="UIJ12" s="15"/>
      <c r="UIK12" s="15"/>
      <c r="UIL12" s="15"/>
      <c r="UIM12" s="15"/>
      <c r="UIN12" s="15"/>
      <c r="UIO12" s="15"/>
      <c r="UIP12" s="15"/>
      <c r="UIQ12" s="15"/>
      <c r="UIR12" s="15"/>
      <c r="UIS12" s="15"/>
      <c r="UIT12" s="15"/>
      <c r="UIU12" s="15"/>
      <c r="UIV12" s="15"/>
      <c r="UIW12" s="15"/>
      <c r="UIX12" s="15"/>
      <c r="UIY12" s="15"/>
      <c r="UIZ12" s="15"/>
      <c r="UJA12" s="15"/>
      <c r="UJB12" s="15"/>
      <c r="UJC12" s="15"/>
      <c r="UJD12" s="15"/>
      <c r="UJE12" s="15"/>
      <c r="UJF12" s="15"/>
      <c r="UJG12" s="15"/>
      <c r="UJH12" s="15"/>
      <c r="UJI12" s="15"/>
      <c r="UJJ12" s="15"/>
      <c r="UJK12" s="15"/>
      <c r="UJL12" s="15"/>
      <c r="UJM12" s="15"/>
      <c r="UJN12" s="15"/>
      <c r="UJO12" s="15"/>
      <c r="UJP12" s="15"/>
      <c r="UJQ12" s="15"/>
      <c r="UJR12" s="15"/>
      <c r="UJS12" s="15"/>
      <c r="UJT12" s="15"/>
      <c r="UJU12" s="15"/>
      <c r="UJV12" s="15"/>
      <c r="UJW12" s="15"/>
      <c r="UJX12" s="15"/>
      <c r="UJY12" s="15"/>
      <c r="UJZ12" s="15"/>
      <c r="UKA12" s="15"/>
      <c r="UKB12" s="15"/>
      <c r="UKC12" s="15"/>
      <c r="UKD12" s="15"/>
      <c r="UKE12" s="15"/>
      <c r="UKF12" s="15"/>
      <c r="UKG12" s="15"/>
      <c r="UKH12" s="15"/>
      <c r="UKI12" s="15"/>
      <c r="UKJ12" s="15"/>
      <c r="UKK12" s="15"/>
      <c r="UKL12" s="15"/>
      <c r="UKM12" s="15"/>
      <c r="UKN12" s="15"/>
      <c r="UKO12" s="15"/>
      <c r="UKP12" s="15"/>
      <c r="UKQ12" s="15"/>
      <c r="UKR12" s="15"/>
      <c r="UKS12" s="15"/>
      <c r="UKT12" s="15"/>
      <c r="UKU12" s="15"/>
      <c r="UKV12" s="15"/>
      <c r="UKW12" s="15"/>
      <c r="UKX12" s="15"/>
      <c r="UKY12" s="15"/>
      <c r="UKZ12" s="15"/>
      <c r="ULA12" s="15"/>
      <c r="ULB12" s="15"/>
      <c r="ULC12" s="15"/>
      <c r="ULD12" s="15"/>
      <c r="ULE12" s="15"/>
      <c r="ULF12" s="15"/>
      <c r="ULG12" s="15"/>
      <c r="ULH12" s="15"/>
      <c r="ULI12" s="15"/>
      <c r="ULJ12" s="15"/>
      <c r="ULK12" s="15"/>
      <c r="ULL12" s="15"/>
      <c r="ULM12" s="15"/>
      <c r="ULN12" s="15"/>
      <c r="ULO12" s="15"/>
      <c r="ULP12" s="15"/>
      <c r="ULQ12" s="15"/>
      <c r="ULR12" s="15"/>
      <c r="ULS12" s="15"/>
      <c r="ULT12" s="15"/>
      <c r="ULU12" s="15"/>
      <c r="ULV12" s="15"/>
      <c r="ULW12" s="15"/>
      <c r="ULX12" s="15"/>
      <c r="ULY12" s="15"/>
      <c r="ULZ12" s="15"/>
      <c r="UMA12" s="15"/>
      <c r="UMB12" s="15"/>
      <c r="UMC12" s="15"/>
      <c r="UMD12" s="15"/>
      <c r="UME12" s="15"/>
      <c r="UMF12" s="15"/>
      <c r="UMG12" s="15"/>
      <c r="UMH12" s="15"/>
      <c r="UMI12" s="15"/>
      <c r="UMJ12" s="15"/>
      <c r="UMK12" s="15"/>
      <c r="UML12" s="15"/>
      <c r="UMM12" s="15"/>
      <c r="UMN12" s="15"/>
      <c r="UMO12" s="15"/>
      <c r="UMP12" s="15"/>
      <c r="UMQ12" s="15"/>
      <c r="UMR12" s="15"/>
      <c r="UMS12" s="15"/>
      <c r="UMT12" s="15"/>
      <c r="UMU12" s="15"/>
      <c r="UMV12" s="15"/>
      <c r="UMW12" s="15"/>
      <c r="UMX12" s="15"/>
      <c r="UMY12" s="15"/>
      <c r="UMZ12" s="15"/>
      <c r="UNA12" s="15"/>
      <c r="UNB12" s="15"/>
      <c r="UNC12" s="15"/>
      <c r="UND12" s="15"/>
      <c r="UNE12" s="15"/>
      <c r="UNF12" s="15"/>
      <c r="UNG12" s="15"/>
      <c r="UNH12" s="15"/>
      <c r="UNI12" s="15"/>
      <c r="UNJ12" s="15"/>
      <c r="UNK12" s="15"/>
      <c r="UNL12" s="15"/>
      <c r="UNM12" s="15"/>
      <c r="UNN12" s="15"/>
      <c r="UNO12" s="15"/>
      <c r="UNP12" s="15"/>
      <c r="UNQ12" s="15"/>
      <c r="UNR12" s="15"/>
      <c r="UNS12" s="15"/>
      <c r="UNT12" s="15"/>
      <c r="UNU12" s="15"/>
      <c r="UNV12" s="15"/>
      <c r="UNW12" s="15"/>
      <c r="UNX12" s="15"/>
      <c r="UNY12" s="15"/>
      <c r="UNZ12" s="15"/>
      <c r="UOA12" s="15"/>
      <c r="UOB12" s="15"/>
      <c r="UOC12" s="15"/>
      <c r="UOD12" s="15"/>
      <c r="UOE12" s="15"/>
      <c r="UOF12" s="15"/>
      <c r="UOG12" s="15"/>
      <c r="UOH12" s="15"/>
      <c r="UOI12" s="15"/>
      <c r="UOJ12" s="15"/>
      <c r="UOK12" s="15"/>
      <c r="UOL12" s="15"/>
      <c r="UOM12" s="15"/>
      <c r="UON12" s="15"/>
      <c r="UOO12" s="15"/>
      <c r="UOP12" s="15"/>
      <c r="UOQ12" s="15"/>
      <c r="UOR12" s="15"/>
      <c r="UOS12" s="15"/>
      <c r="UOT12" s="15"/>
      <c r="UOU12" s="15"/>
      <c r="UOV12" s="15"/>
      <c r="UOW12" s="15"/>
      <c r="UOX12" s="15"/>
      <c r="UOY12" s="15"/>
      <c r="UOZ12" s="15"/>
      <c r="UPA12" s="15"/>
      <c r="UPB12" s="15"/>
      <c r="UPC12" s="15"/>
      <c r="UPD12" s="15"/>
      <c r="UPE12" s="15"/>
      <c r="UPF12" s="15"/>
      <c r="UPG12" s="15"/>
      <c r="UPH12" s="15"/>
      <c r="UPI12" s="15"/>
      <c r="UPJ12" s="15"/>
      <c r="UPK12" s="15"/>
      <c r="UPL12" s="15"/>
      <c r="UPM12" s="15"/>
      <c r="UPN12" s="15"/>
      <c r="UPO12" s="15"/>
      <c r="UPP12" s="15"/>
      <c r="UPQ12" s="15"/>
      <c r="UPR12" s="15"/>
      <c r="UPS12" s="15"/>
      <c r="UPT12" s="15"/>
      <c r="UPU12" s="15"/>
      <c r="UPV12" s="15"/>
      <c r="UPW12" s="15"/>
      <c r="UPX12" s="15"/>
      <c r="UPY12" s="15"/>
      <c r="UPZ12" s="15"/>
      <c r="UQA12" s="15"/>
      <c r="UQB12" s="15"/>
      <c r="UQC12" s="15"/>
      <c r="UQD12" s="15"/>
      <c r="UQE12" s="15"/>
      <c r="UQF12" s="15"/>
      <c r="UQG12" s="15"/>
      <c r="UQH12" s="15"/>
      <c r="UQI12" s="15"/>
      <c r="UQJ12" s="15"/>
      <c r="UQK12" s="15"/>
      <c r="UQL12" s="15"/>
      <c r="UQM12" s="15"/>
      <c r="UQN12" s="15"/>
      <c r="UQO12" s="15"/>
      <c r="UQP12" s="15"/>
      <c r="UQQ12" s="15"/>
      <c r="UQR12" s="15"/>
      <c r="UQS12" s="15"/>
      <c r="UQT12" s="15"/>
      <c r="UQU12" s="15"/>
      <c r="UQV12" s="15"/>
      <c r="UQW12" s="15"/>
      <c r="UQX12" s="15"/>
      <c r="UQY12" s="15"/>
      <c r="UQZ12" s="15"/>
      <c r="URA12" s="15"/>
      <c r="URB12" s="15"/>
      <c r="URC12" s="15"/>
      <c r="URD12" s="15"/>
      <c r="URE12" s="15"/>
      <c r="URF12" s="15"/>
      <c r="URG12" s="15"/>
      <c r="URH12" s="15"/>
      <c r="URI12" s="15"/>
      <c r="URJ12" s="15"/>
      <c r="URK12" s="15"/>
      <c r="URL12" s="15"/>
      <c r="URM12" s="15"/>
      <c r="URN12" s="15"/>
      <c r="URO12" s="15"/>
      <c r="URP12" s="15"/>
      <c r="URQ12" s="15"/>
      <c r="URR12" s="15"/>
      <c r="URS12" s="15"/>
      <c r="URT12" s="15"/>
      <c r="URU12" s="15"/>
      <c r="URV12" s="15"/>
      <c r="URW12" s="15"/>
      <c r="URX12" s="15"/>
      <c r="URY12" s="15"/>
      <c r="URZ12" s="15"/>
      <c r="USA12" s="15"/>
      <c r="USB12" s="15"/>
      <c r="USC12" s="15"/>
      <c r="USD12" s="15"/>
      <c r="USE12" s="15"/>
      <c r="USF12" s="15"/>
      <c r="USG12" s="15"/>
      <c r="USH12" s="15"/>
      <c r="USI12" s="15"/>
      <c r="USJ12" s="15"/>
      <c r="USK12" s="15"/>
      <c r="USL12" s="15"/>
      <c r="USM12" s="15"/>
      <c r="USN12" s="15"/>
      <c r="USO12" s="15"/>
      <c r="USP12" s="15"/>
      <c r="USQ12" s="15"/>
      <c r="USR12" s="15"/>
      <c r="USS12" s="15"/>
      <c r="UST12" s="15"/>
      <c r="USU12" s="15"/>
      <c r="USV12" s="15"/>
      <c r="USW12" s="15"/>
      <c r="USX12" s="15"/>
      <c r="USY12" s="15"/>
      <c r="USZ12" s="15"/>
      <c r="UTA12" s="15"/>
      <c r="UTB12" s="15"/>
      <c r="UTC12" s="15"/>
      <c r="UTD12" s="15"/>
      <c r="UTE12" s="15"/>
      <c r="UTF12" s="15"/>
      <c r="UTG12" s="15"/>
      <c r="UTH12" s="15"/>
      <c r="UTI12" s="15"/>
      <c r="UTJ12" s="15"/>
      <c r="UTK12" s="15"/>
      <c r="UTL12" s="15"/>
      <c r="UTM12" s="15"/>
      <c r="UTN12" s="15"/>
      <c r="UTO12" s="15"/>
      <c r="UTP12" s="15"/>
      <c r="UTQ12" s="15"/>
      <c r="UTR12" s="15"/>
      <c r="UTS12" s="15"/>
      <c r="UTT12" s="15"/>
      <c r="UTU12" s="15"/>
      <c r="UTV12" s="15"/>
      <c r="UTW12" s="15"/>
      <c r="UTX12" s="15"/>
      <c r="UTY12" s="15"/>
      <c r="UTZ12" s="15"/>
      <c r="UUA12" s="15"/>
      <c r="UUB12" s="15"/>
      <c r="UUC12" s="15"/>
      <c r="UUD12" s="15"/>
      <c r="UUE12" s="15"/>
      <c r="UUF12" s="15"/>
      <c r="UUG12" s="15"/>
      <c r="UUH12" s="15"/>
      <c r="UUI12" s="15"/>
      <c r="UUJ12" s="15"/>
      <c r="UUK12" s="15"/>
      <c r="UUL12" s="15"/>
      <c r="UUM12" s="15"/>
      <c r="UUN12" s="15"/>
      <c r="UUO12" s="15"/>
      <c r="UUP12" s="15"/>
      <c r="UUQ12" s="15"/>
      <c r="UUR12" s="15"/>
      <c r="UUS12" s="15"/>
      <c r="UUT12" s="15"/>
      <c r="UUU12" s="15"/>
      <c r="UUV12" s="15"/>
      <c r="UUW12" s="15"/>
      <c r="UUX12" s="15"/>
      <c r="UUY12" s="15"/>
      <c r="UUZ12" s="15"/>
      <c r="UVA12" s="15"/>
      <c r="UVB12" s="15"/>
      <c r="UVC12" s="15"/>
      <c r="UVD12" s="15"/>
      <c r="UVE12" s="15"/>
      <c r="UVF12" s="15"/>
      <c r="UVG12" s="15"/>
      <c r="UVH12" s="15"/>
      <c r="UVI12" s="15"/>
      <c r="UVJ12" s="15"/>
      <c r="UVK12" s="15"/>
      <c r="UVL12" s="15"/>
      <c r="UVM12" s="15"/>
      <c r="UVN12" s="15"/>
      <c r="UVO12" s="15"/>
      <c r="UVP12" s="15"/>
      <c r="UVQ12" s="15"/>
      <c r="UVR12" s="15"/>
      <c r="UVS12" s="15"/>
      <c r="UVT12" s="15"/>
      <c r="UVU12" s="15"/>
      <c r="UVV12" s="15"/>
      <c r="UVW12" s="15"/>
      <c r="UVX12" s="15"/>
      <c r="UVY12" s="15"/>
      <c r="UVZ12" s="15"/>
      <c r="UWA12" s="15"/>
      <c r="UWB12" s="15"/>
      <c r="UWC12" s="15"/>
      <c r="UWD12" s="15"/>
      <c r="UWE12" s="15"/>
      <c r="UWF12" s="15"/>
      <c r="UWG12" s="15"/>
      <c r="UWH12" s="15"/>
      <c r="UWI12" s="15"/>
      <c r="UWJ12" s="15"/>
      <c r="UWK12" s="15"/>
      <c r="UWL12" s="15"/>
      <c r="UWM12" s="15"/>
      <c r="UWN12" s="15"/>
      <c r="UWO12" s="15"/>
      <c r="UWP12" s="15"/>
      <c r="UWQ12" s="15"/>
      <c r="UWR12" s="15"/>
      <c r="UWS12" s="15"/>
      <c r="UWT12" s="15"/>
      <c r="UWU12" s="15"/>
      <c r="UWV12" s="15"/>
      <c r="UWW12" s="15"/>
      <c r="UWX12" s="15"/>
      <c r="UWY12" s="15"/>
      <c r="UWZ12" s="15"/>
      <c r="UXA12" s="15"/>
      <c r="UXB12" s="15"/>
      <c r="UXC12" s="15"/>
      <c r="UXD12" s="15"/>
      <c r="UXE12" s="15"/>
      <c r="UXF12" s="15"/>
      <c r="UXG12" s="15"/>
      <c r="UXH12" s="15"/>
      <c r="UXI12" s="15"/>
      <c r="UXJ12" s="15"/>
      <c r="UXK12" s="15"/>
      <c r="UXL12" s="15"/>
      <c r="UXM12" s="15"/>
      <c r="UXN12" s="15"/>
      <c r="UXO12" s="15"/>
      <c r="UXP12" s="15"/>
      <c r="UXQ12" s="15"/>
      <c r="UXR12" s="15"/>
      <c r="UXS12" s="15"/>
      <c r="UXT12" s="15"/>
      <c r="UXU12" s="15"/>
      <c r="UXV12" s="15"/>
      <c r="UXW12" s="15"/>
      <c r="UXX12" s="15"/>
      <c r="UXY12" s="15"/>
      <c r="UXZ12" s="15"/>
      <c r="UYA12" s="15"/>
      <c r="UYB12" s="15"/>
      <c r="UYC12" s="15"/>
      <c r="UYD12" s="15"/>
      <c r="UYE12" s="15"/>
      <c r="UYF12" s="15"/>
      <c r="UYG12" s="15"/>
      <c r="UYH12" s="15"/>
      <c r="UYI12" s="15"/>
      <c r="UYJ12" s="15"/>
      <c r="UYK12" s="15"/>
      <c r="UYL12" s="15"/>
      <c r="UYM12" s="15"/>
      <c r="UYN12" s="15"/>
      <c r="UYO12" s="15"/>
      <c r="UYP12" s="15"/>
      <c r="UYQ12" s="15"/>
      <c r="UYR12" s="15"/>
      <c r="UYS12" s="15"/>
      <c r="UYT12" s="15"/>
      <c r="UYU12" s="15"/>
      <c r="UYV12" s="15"/>
      <c r="UYW12" s="15"/>
      <c r="UYX12" s="15"/>
      <c r="UYY12" s="15"/>
      <c r="UYZ12" s="15"/>
      <c r="UZA12" s="15"/>
      <c r="UZB12" s="15"/>
      <c r="UZC12" s="15"/>
      <c r="UZD12" s="15"/>
      <c r="UZE12" s="15"/>
      <c r="UZF12" s="15"/>
      <c r="UZG12" s="15"/>
      <c r="UZH12" s="15"/>
      <c r="UZI12" s="15"/>
      <c r="UZJ12" s="15"/>
      <c r="UZK12" s="15"/>
      <c r="UZL12" s="15"/>
      <c r="UZM12" s="15"/>
      <c r="UZN12" s="15"/>
      <c r="UZO12" s="15"/>
      <c r="UZP12" s="15"/>
      <c r="UZQ12" s="15"/>
      <c r="UZR12" s="15"/>
      <c r="UZS12" s="15"/>
      <c r="UZT12" s="15"/>
      <c r="UZU12" s="15"/>
      <c r="UZV12" s="15"/>
      <c r="UZW12" s="15"/>
      <c r="UZX12" s="15"/>
      <c r="UZY12" s="15"/>
      <c r="UZZ12" s="15"/>
      <c r="VAA12" s="15"/>
      <c r="VAB12" s="15"/>
      <c r="VAC12" s="15"/>
      <c r="VAD12" s="15"/>
      <c r="VAE12" s="15"/>
      <c r="VAF12" s="15"/>
      <c r="VAG12" s="15"/>
      <c r="VAH12" s="15"/>
      <c r="VAI12" s="15"/>
      <c r="VAJ12" s="15"/>
      <c r="VAK12" s="15"/>
      <c r="VAL12" s="15"/>
      <c r="VAM12" s="15"/>
      <c r="VAN12" s="15"/>
      <c r="VAO12" s="15"/>
      <c r="VAP12" s="15"/>
      <c r="VAQ12" s="15"/>
      <c r="VAR12" s="15"/>
      <c r="VAS12" s="15"/>
      <c r="VAT12" s="15"/>
      <c r="VAU12" s="15"/>
      <c r="VAV12" s="15"/>
      <c r="VAW12" s="15"/>
      <c r="VAX12" s="15"/>
      <c r="VAY12" s="15"/>
      <c r="VAZ12" s="15"/>
      <c r="VBA12" s="15"/>
      <c r="VBB12" s="15"/>
      <c r="VBC12" s="15"/>
      <c r="VBD12" s="15"/>
      <c r="VBE12" s="15"/>
      <c r="VBF12" s="15"/>
      <c r="VBG12" s="15"/>
      <c r="VBH12" s="15"/>
      <c r="VBI12" s="15"/>
      <c r="VBJ12" s="15"/>
      <c r="VBK12" s="15"/>
      <c r="VBL12" s="15"/>
      <c r="VBM12" s="15"/>
      <c r="VBN12" s="15"/>
      <c r="VBO12" s="15"/>
      <c r="VBP12" s="15"/>
      <c r="VBQ12" s="15"/>
      <c r="VBR12" s="15"/>
      <c r="VBS12" s="15"/>
      <c r="VBT12" s="15"/>
      <c r="VBU12" s="15"/>
      <c r="VBV12" s="15"/>
      <c r="VBW12" s="15"/>
      <c r="VBX12" s="15"/>
      <c r="VBY12" s="15"/>
      <c r="VBZ12" s="15"/>
      <c r="VCA12" s="15"/>
      <c r="VCB12" s="15"/>
      <c r="VCC12" s="15"/>
      <c r="VCD12" s="15"/>
      <c r="VCE12" s="15"/>
      <c r="VCF12" s="15"/>
      <c r="VCG12" s="15"/>
      <c r="VCH12" s="15"/>
      <c r="VCI12" s="15"/>
      <c r="VCJ12" s="15"/>
      <c r="VCK12" s="15"/>
      <c r="VCL12" s="15"/>
      <c r="VCM12" s="15"/>
      <c r="VCN12" s="15"/>
      <c r="VCO12" s="15"/>
      <c r="VCP12" s="15"/>
      <c r="VCQ12" s="15"/>
      <c r="VCR12" s="15"/>
      <c r="VCS12" s="15"/>
      <c r="VCT12" s="15"/>
      <c r="VCU12" s="15"/>
      <c r="VCV12" s="15"/>
      <c r="VCW12" s="15"/>
      <c r="VCX12" s="15"/>
      <c r="VCY12" s="15"/>
      <c r="VCZ12" s="15"/>
      <c r="VDA12" s="15"/>
      <c r="VDB12" s="15"/>
      <c r="VDC12" s="15"/>
      <c r="VDD12" s="15"/>
      <c r="VDE12" s="15"/>
      <c r="VDF12" s="15"/>
      <c r="VDG12" s="15"/>
      <c r="VDH12" s="15"/>
      <c r="VDI12" s="15"/>
      <c r="VDJ12" s="15"/>
      <c r="VDK12" s="15"/>
      <c r="VDL12" s="15"/>
      <c r="VDM12" s="15"/>
      <c r="VDN12" s="15"/>
      <c r="VDO12" s="15"/>
      <c r="VDP12" s="15"/>
      <c r="VDQ12" s="15"/>
      <c r="VDR12" s="15"/>
      <c r="VDS12" s="15"/>
      <c r="VDT12" s="15"/>
      <c r="VDU12" s="15"/>
      <c r="VDV12" s="15"/>
      <c r="VDW12" s="15"/>
      <c r="VDX12" s="15"/>
      <c r="VDY12" s="15"/>
      <c r="VDZ12" s="15"/>
      <c r="VEA12" s="15"/>
      <c r="VEB12" s="15"/>
      <c r="VEC12" s="15"/>
      <c r="VED12" s="15"/>
      <c r="VEE12" s="15"/>
      <c r="VEF12" s="15"/>
      <c r="VEG12" s="15"/>
      <c r="VEH12" s="15"/>
      <c r="VEI12" s="15"/>
      <c r="VEJ12" s="15"/>
      <c r="VEK12" s="15"/>
      <c r="VEL12" s="15"/>
      <c r="VEM12" s="15"/>
      <c r="VEN12" s="15"/>
      <c r="VEO12" s="15"/>
      <c r="VEP12" s="15"/>
      <c r="VEQ12" s="15"/>
      <c r="VER12" s="15"/>
      <c r="VES12" s="15"/>
      <c r="VET12" s="15"/>
      <c r="VEU12" s="15"/>
      <c r="VEV12" s="15"/>
      <c r="VEW12" s="15"/>
      <c r="VEX12" s="15"/>
      <c r="VEY12" s="15"/>
      <c r="VEZ12" s="15"/>
      <c r="VFA12" s="15"/>
      <c r="VFB12" s="15"/>
      <c r="VFC12" s="15"/>
      <c r="VFD12" s="15"/>
      <c r="VFE12" s="15"/>
      <c r="VFF12" s="15"/>
      <c r="VFG12" s="15"/>
      <c r="VFH12" s="15"/>
      <c r="VFI12" s="15"/>
      <c r="VFJ12" s="15"/>
      <c r="VFK12" s="15"/>
      <c r="VFL12" s="15"/>
      <c r="VFM12" s="15"/>
      <c r="VFN12" s="15"/>
      <c r="VFO12" s="15"/>
      <c r="VFP12" s="15"/>
      <c r="VFQ12" s="15"/>
      <c r="VFR12" s="15"/>
      <c r="VFS12" s="15"/>
      <c r="VFT12" s="15"/>
      <c r="VFU12" s="15"/>
      <c r="VFV12" s="15"/>
      <c r="VFW12" s="15"/>
      <c r="VFX12" s="15"/>
      <c r="VFY12" s="15"/>
      <c r="VFZ12" s="15"/>
      <c r="VGA12" s="15"/>
      <c r="VGB12" s="15"/>
      <c r="VGC12" s="15"/>
      <c r="VGD12" s="15"/>
      <c r="VGE12" s="15"/>
      <c r="VGF12" s="15"/>
      <c r="VGG12" s="15"/>
      <c r="VGH12" s="15"/>
      <c r="VGI12" s="15"/>
      <c r="VGJ12" s="15"/>
      <c r="VGK12" s="15"/>
      <c r="VGL12" s="15"/>
      <c r="VGM12" s="15"/>
      <c r="VGN12" s="15"/>
      <c r="VGO12" s="15"/>
      <c r="VGP12" s="15"/>
      <c r="VGQ12" s="15"/>
      <c r="VGR12" s="15"/>
      <c r="VGS12" s="15"/>
      <c r="VGT12" s="15"/>
      <c r="VGU12" s="15"/>
      <c r="VGV12" s="15"/>
      <c r="VGW12" s="15"/>
      <c r="VGX12" s="15"/>
      <c r="VGY12" s="15"/>
      <c r="VGZ12" s="15"/>
      <c r="VHA12" s="15"/>
      <c r="VHB12" s="15"/>
      <c r="VHC12" s="15"/>
      <c r="VHD12" s="15"/>
      <c r="VHE12" s="15"/>
      <c r="VHF12" s="15"/>
      <c r="VHG12" s="15"/>
      <c r="VHH12" s="15"/>
      <c r="VHI12" s="15"/>
      <c r="VHJ12" s="15"/>
      <c r="VHK12" s="15"/>
      <c r="VHL12" s="15"/>
      <c r="VHM12" s="15"/>
      <c r="VHN12" s="15"/>
      <c r="VHO12" s="15"/>
      <c r="VHP12" s="15"/>
      <c r="VHQ12" s="15"/>
      <c r="VHR12" s="15"/>
      <c r="VHS12" s="15"/>
      <c r="VHT12" s="15"/>
      <c r="VHU12" s="15"/>
      <c r="VHV12" s="15"/>
      <c r="VHW12" s="15"/>
      <c r="VHX12" s="15"/>
      <c r="VHY12" s="15"/>
      <c r="VHZ12" s="15"/>
      <c r="VIA12" s="15"/>
      <c r="VIB12" s="15"/>
      <c r="VIC12" s="15"/>
      <c r="VID12" s="15"/>
      <c r="VIE12" s="15"/>
      <c r="VIF12" s="15"/>
      <c r="VIG12" s="15"/>
      <c r="VIH12" s="15"/>
      <c r="VII12" s="15"/>
      <c r="VIJ12" s="15"/>
      <c r="VIK12" s="15"/>
      <c r="VIL12" s="15"/>
      <c r="VIM12" s="15"/>
      <c r="VIN12" s="15"/>
      <c r="VIO12" s="15"/>
      <c r="VIP12" s="15"/>
      <c r="VIQ12" s="15"/>
      <c r="VIR12" s="15"/>
      <c r="VIS12" s="15"/>
      <c r="VIT12" s="15"/>
      <c r="VIU12" s="15"/>
      <c r="VIV12" s="15"/>
      <c r="VIW12" s="15"/>
      <c r="VIX12" s="15"/>
      <c r="VIY12" s="15"/>
      <c r="VIZ12" s="15"/>
      <c r="VJA12" s="15"/>
      <c r="VJB12" s="15"/>
      <c r="VJC12" s="15"/>
      <c r="VJD12" s="15"/>
      <c r="VJE12" s="15"/>
      <c r="VJF12" s="15"/>
      <c r="VJG12" s="15"/>
      <c r="VJH12" s="15"/>
      <c r="VJI12" s="15"/>
      <c r="VJJ12" s="15"/>
      <c r="VJK12" s="15"/>
      <c r="VJL12" s="15"/>
      <c r="VJM12" s="15"/>
      <c r="VJN12" s="15"/>
      <c r="VJO12" s="15"/>
      <c r="VJP12" s="15"/>
      <c r="VJQ12" s="15"/>
      <c r="VJR12" s="15"/>
      <c r="VJS12" s="15"/>
      <c r="VJT12" s="15"/>
      <c r="VJU12" s="15"/>
      <c r="VJV12" s="15"/>
      <c r="VJW12" s="15"/>
      <c r="VJX12" s="15"/>
      <c r="VJY12" s="15"/>
      <c r="VJZ12" s="15"/>
      <c r="VKA12" s="15"/>
      <c r="VKB12" s="15"/>
      <c r="VKC12" s="15"/>
      <c r="VKD12" s="15"/>
      <c r="VKE12" s="15"/>
      <c r="VKF12" s="15"/>
      <c r="VKG12" s="15"/>
      <c r="VKH12" s="15"/>
      <c r="VKI12" s="15"/>
      <c r="VKJ12" s="15"/>
      <c r="VKK12" s="15"/>
      <c r="VKL12" s="15"/>
      <c r="VKM12" s="15"/>
      <c r="VKN12" s="15"/>
      <c r="VKO12" s="15"/>
      <c r="VKP12" s="15"/>
      <c r="VKQ12" s="15"/>
      <c r="VKR12" s="15"/>
      <c r="VKS12" s="15"/>
      <c r="VKT12" s="15"/>
      <c r="VKU12" s="15"/>
      <c r="VKV12" s="15"/>
      <c r="VKW12" s="15"/>
      <c r="VKX12" s="15"/>
      <c r="VKY12" s="15"/>
      <c r="VKZ12" s="15"/>
      <c r="VLA12" s="15"/>
      <c r="VLB12" s="15"/>
      <c r="VLC12" s="15"/>
      <c r="VLD12" s="15"/>
      <c r="VLE12" s="15"/>
      <c r="VLF12" s="15"/>
      <c r="VLG12" s="15"/>
      <c r="VLH12" s="15"/>
      <c r="VLI12" s="15"/>
      <c r="VLJ12" s="15"/>
      <c r="VLK12" s="15"/>
      <c r="VLL12" s="15"/>
      <c r="VLM12" s="15"/>
      <c r="VLN12" s="15"/>
      <c r="VLO12" s="15"/>
      <c r="VLP12" s="15"/>
      <c r="VLQ12" s="15"/>
      <c r="VLR12" s="15"/>
      <c r="VLS12" s="15"/>
      <c r="VLT12" s="15"/>
      <c r="VLU12" s="15"/>
      <c r="VLV12" s="15"/>
      <c r="VLW12" s="15"/>
      <c r="VLX12" s="15"/>
      <c r="VLY12" s="15"/>
      <c r="VLZ12" s="15"/>
      <c r="VMA12" s="15"/>
      <c r="VMB12" s="15"/>
      <c r="VMC12" s="15"/>
      <c r="VMD12" s="15"/>
      <c r="VME12" s="15"/>
      <c r="VMF12" s="15"/>
      <c r="VMG12" s="15"/>
      <c r="VMH12" s="15"/>
      <c r="VMI12" s="15"/>
      <c r="VMJ12" s="15"/>
      <c r="VMK12" s="15"/>
      <c r="VML12" s="15"/>
      <c r="VMM12" s="15"/>
      <c r="VMN12" s="15"/>
      <c r="VMO12" s="15"/>
      <c r="VMP12" s="15"/>
      <c r="VMQ12" s="15"/>
      <c r="VMR12" s="15"/>
      <c r="VMS12" s="15"/>
      <c r="VMT12" s="15"/>
      <c r="VMU12" s="15"/>
      <c r="VMV12" s="15"/>
      <c r="VMW12" s="15"/>
      <c r="VMX12" s="15"/>
      <c r="VMY12" s="15"/>
      <c r="VMZ12" s="15"/>
      <c r="VNA12" s="15"/>
      <c r="VNB12" s="15"/>
      <c r="VNC12" s="15"/>
      <c r="VND12" s="15"/>
      <c r="VNE12" s="15"/>
      <c r="VNF12" s="15"/>
      <c r="VNG12" s="15"/>
      <c r="VNH12" s="15"/>
      <c r="VNI12" s="15"/>
      <c r="VNJ12" s="15"/>
      <c r="VNK12" s="15"/>
      <c r="VNL12" s="15"/>
      <c r="VNM12" s="15"/>
      <c r="VNN12" s="15"/>
      <c r="VNO12" s="15"/>
      <c r="VNP12" s="15"/>
      <c r="VNQ12" s="15"/>
      <c r="VNR12" s="15"/>
      <c r="VNS12" s="15"/>
      <c r="VNT12" s="15"/>
      <c r="VNU12" s="15"/>
      <c r="VNV12" s="15"/>
      <c r="VNW12" s="15"/>
      <c r="VNX12" s="15"/>
      <c r="VNY12" s="15"/>
      <c r="VNZ12" s="15"/>
      <c r="VOA12" s="15"/>
      <c r="VOB12" s="15"/>
      <c r="VOC12" s="15"/>
      <c r="VOD12" s="15"/>
      <c r="VOE12" s="15"/>
      <c r="VOF12" s="15"/>
      <c r="VOG12" s="15"/>
      <c r="VOH12" s="15"/>
      <c r="VOI12" s="15"/>
      <c r="VOJ12" s="15"/>
      <c r="VOK12" s="15"/>
      <c r="VOL12" s="15"/>
      <c r="VOM12" s="15"/>
      <c r="VON12" s="15"/>
      <c r="VOO12" s="15"/>
      <c r="VOP12" s="15"/>
      <c r="VOQ12" s="15"/>
      <c r="VOR12" s="15"/>
      <c r="VOS12" s="15"/>
      <c r="VOT12" s="15"/>
      <c r="VOU12" s="15"/>
      <c r="VOV12" s="15"/>
      <c r="VOW12" s="15"/>
      <c r="VOX12" s="15"/>
      <c r="VOY12" s="15"/>
      <c r="VOZ12" s="15"/>
      <c r="VPA12" s="15"/>
      <c r="VPB12" s="15"/>
      <c r="VPC12" s="15"/>
      <c r="VPD12" s="15"/>
      <c r="VPE12" s="15"/>
      <c r="VPF12" s="15"/>
      <c r="VPG12" s="15"/>
      <c r="VPH12" s="15"/>
      <c r="VPI12" s="15"/>
      <c r="VPJ12" s="15"/>
      <c r="VPK12" s="15"/>
      <c r="VPL12" s="15"/>
      <c r="VPM12" s="15"/>
      <c r="VPN12" s="15"/>
      <c r="VPO12" s="15"/>
      <c r="VPP12" s="15"/>
      <c r="VPQ12" s="15"/>
      <c r="VPR12" s="15"/>
      <c r="VPS12" s="15"/>
      <c r="VPT12" s="15"/>
      <c r="VPU12" s="15"/>
      <c r="VPV12" s="15"/>
      <c r="VPW12" s="15"/>
      <c r="VPX12" s="15"/>
      <c r="VPY12" s="15"/>
      <c r="VPZ12" s="15"/>
      <c r="VQA12" s="15"/>
      <c r="VQB12" s="15"/>
      <c r="VQC12" s="15"/>
      <c r="VQD12" s="15"/>
      <c r="VQE12" s="15"/>
      <c r="VQF12" s="15"/>
      <c r="VQG12" s="15"/>
      <c r="VQH12" s="15"/>
      <c r="VQI12" s="15"/>
      <c r="VQJ12" s="15"/>
      <c r="VQK12" s="15"/>
      <c r="VQL12" s="15"/>
      <c r="VQM12" s="15"/>
      <c r="VQN12" s="15"/>
      <c r="VQO12" s="15"/>
      <c r="VQP12" s="15"/>
      <c r="VQQ12" s="15"/>
      <c r="VQR12" s="15"/>
      <c r="VQS12" s="15"/>
      <c r="VQT12" s="15"/>
      <c r="VQU12" s="15"/>
      <c r="VQV12" s="15"/>
      <c r="VQW12" s="15"/>
      <c r="VQX12" s="15"/>
      <c r="VQY12" s="15"/>
      <c r="VQZ12" s="15"/>
      <c r="VRA12" s="15"/>
      <c r="VRB12" s="15"/>
      <c r="VRC12" s="15"/>
      <c r="VRD12" s="15"/>
      <c r="VRE12" s="15"/>
      <c r="VRF12" s="15"/>
      <c r="VRG12" s="15"/>
      <c r="VRH12" s="15"/>
      <c r="VRI12" s="15"/>
      <c r="VRJ12" s="15"/>
      <c r="VRK12" s="15"/>
      <c r="VRL12" s="15"/>
      <c r="VRM12" s="15"/>
      <c r="VRN12" s="15"/>
      <c r="VRO12" s="15"/>
      <c r="VRP12" s="15"/>
      <c r="VRQ12" s="15"/>
      <c r="VRR12" s="15"/>
      <c r="VRS12" s="15"/>
      <c r="VRT12" s="15"/>
      <c r="VRU12" s="15"/>
      <c r="VRV12" s="15"/>
      <c r="VRW12" s="15"/>
      <c r="VRX12" s="15"/>
      <c r="VRY12" s="15"/>
      <c r="VRZ12" s="15"/>
      <c r="VSA12" s="15"/>
      <c r="VSB12" s="15"/>
      <c r="VSC12" s="15"/>
      <c r="VSD12" s="15"/>
      <c r="VSE12" s="15"/>
      <c r="VSF12" s="15"/>
      <c r="VSG12" s="15"/>
      <c r="VSH12" s="15"/>
      <c r="VSI12" s="15"/>
      <c r="VSJ12" s="15"/>
      <c r="VSK12" s="15"/>
      <c r="VSL12" s="15"/>
      <c r="VSM12" s="15"/>
      <c r="VSN12" s="15"/>
      <c r="VSO12" s="15"/>
      <c r="VSP12" s="15"/>
      <c r="VSQ12" s="15"/>
      <c r="VSR12" s="15"/>
      <c r="VSS12" s="15"/>
      <c r="VST12" s="15"/>
      <c r="VSU12" s="15"/>
      <c r="VSV12" s="15"/>
      <c r="VSW12" s="15"/>
      <c r="VSX12" s="15"/>
      <c r="VSY12" s="15"/>
      <c r="VSZ12" s="15"/>
      <c r="VTA12" s="15"/>
      <c r="VTB12" s="15"/>
      <c r="VTC12" s="15"/>
      <c r="VTD12" s="15"/>
      <c r="VTE12" s="15"/>
      <c r="VTF12" s="15"/>
      <c r="VTG12" s="15"/>
      <c r="VTH12" s="15"/>
      <c r="VTI12" s="15"/>
      <c r="VTJ12" s="15"/>
      <c r="VTK12" s="15"/>
      <c r="VTL12" s="15"/>
      <c r="VTM12" s="15"/>
      <c r="VTN12" s="15"/>
      <c r="VTO12" s="15"/>
      <c r="VTP12" s="15"/>
      <c r="VTQ12" s="15"/>
      <c r="VTR12" s="15"/>
      <c r="VTS12" s="15"/>
      <c r="VTT12" s="15"/>
      <c r="VTU12" s="15"/>
      <c r="VTV12" s="15"/>
      <c r="VTW12" s="15"/>
      <c r="VTX12" s="15"/>
      <c r="VTY12" s="15"/>
      <c r="VTZ12" s="15"/>
      <c r="VUA12" s="15"/>
      <c r="VUB12" s="15"/>
      <c r="VUC12" s="15"/>
      <c r="VUD12" s="15"/>
      <c r="VUE12" s="15"/>
      <c r="VUF12" s="15"/>
      <c r="VUG12" s="15"/>
      <c r="VUH12" s="15"/>
      <c r="VUI12" s="15"/>
      <c r="VUJ12" s="15"/>
      <c r="VUK12" s="15"/>
      <c r="VUL12" s="15"/>
      <c r="VUM12" s="15"/>
      <c r="VUN12" s="15"/>
      <c r="VUO12" s="15"/>
      <c r="VUP12" s="15"/>
      <c r="VUQ12" s="15"/>
      <c r="VUR12" s="15"/>
      <c r="VUS12" s="15"/>
      <c r="VUT12" s="15"/>
      <c r="VUU12" s="15"/>
      <c r="VUV12" s="15"/>
      <c r="VUW12" s="15"/>
      <c r="VUX12" s="15"/>
      <c r="VUY12" s="15"/>
      <c r="VUZ12" s="15"/>
      <c r="VVA12" s="15"/>
      <c r="VVB12" s="15"/>
      <c r="VVC12" s="15"/>
      <c r="VVD12" s="15"/>
      <c r="VVE12" s="15"/>
      <c r="VVF12" s="15"/>
      <c r="VVG12" s="15"/>
      <c r="VVH12" s="15"/>
      <c r="VVI12" s="15"/>
      <c r="VVJ12" s="15"/>
      <c r="VVK12" s="15"/>
      <c r="VVL12" s="15"/>
      <c r="VVM12" s="15"/>
      <c r="VVN12" s="15"/>
      <c r="VVO12" s="15"/>
      <c r="VVP12" s="15"/>
      <c r="VVQ12" s="15"/>
      <c r="VVR12" s="15"/>
      <c r="VVS12" s="15"/>
      <c r="VVT12" s="15"/>
      <c r="VVU12" s="15"/>
      <c r="VVV12" s="15"/>
      <c r="VVW12" s="15"/>
      <c r="VVX12" s="15"/>
      <c r="VVY12" s="15"/>
      <c r="VVZ12" s="15"/>
      <c r="VWA12" s="15"/>
      <c r="VWB12" s="15"/>
      <c r="VWC12" s="15"/>
      <c r="VWD12" s="15"/>
      <c r="VWE12" s="15"/>
      <c r="VWF12" s="15"/>
      <c r="VWG12" s="15"/>
      <c r="VWH12" s="15"/>
      <c r="VWI12" s="15"/>
      <c r="VWJ12" s="15"/>
      <c r="VWK12" s="15"/>
      <c r="VWL12" s="15"/>
      <c r="VWM12" s="15"/>
      <c r="VWN12" s="15"/>
      <c r="VWO12" s="15"/>
      <c r="VWP12" s="15"/>
      <c r="VWQ12" s="15"/>
      <c r="VWR12" s="15"/>
      <c r="VWS12" s="15"/>
      <c r="VWT12" s="15"/>
      <c r="VWU12" s="15"/>
      <c r="VWV12" s="15"/>
      <c r="VWW12" s="15"/>
      <c r="VWX12" s="15"/>
      <c r="VWY12" s="15"/>
      <c r="VWZ12" s="15"/>
      <c r="VXA12" s="15"/>
      <c r="VXB12" s="15"/>
      <c r="VXC12" s="15"/>
      <c r="VXD12" s="15"/>
      <c r="VXE12" s="15"/>
      <c r="VXF12" s="15"/>
      <c r="VXG12" s="15"/>
      <c r="VXH12" s="15"/>
      <c r="VXI12" s="15"/>
      <c r="VXJ12" s="15"/>
      <c r="VXK12" s="15"/>
      <c r="VXL12" s="15"/>
      <c r="VXM12" s="15"/>
      <c r="VXN12" s="15"/>
      <c r="VXO12" s="15"/>
      <c r="VXP12" s="15"/>
      <c r="VXQ12" s="15"/>
      <c r="VXR12" s="15"/>
      <c r="VXS12" s="15"/>
      <c r="VXT12" s="15"/>
      <c r="VXU12" s="15"/>
      <c r="VXV12" s="15"/>
      <c r="VXW12" s="15"/>
      <c r="VXX12" s="15"/>
      <c r="VXY12" s="15"/>
      <c r="VXZ12" s="15"/>
      <c r="VYA12" s="15"/>
      <c r="VYB12" s="15"/>
      <c r="VYC12" s="15"/>
      <c r="VYD12" s="15"/>
      <c r="VYE12" s="15"/>
      <c r="VYF12" s="15"/>
      <c r="VYG12" s="15"/>
      <c r="VYH12" s="15"/>
      <c r="VYI12" s="15"/>
      <c r="VYJ12" s="15"/>
      <c r="VYK12" s="15"/>
      <c r="VYL12" s="15"/>
      <c r="VYM12" s="15"/>
      <c r="VYN12" s="15"/>
      <c r="VYO12" s="15"/>
      <c r="VYP12" s="15"/>
      <c r="VYQ12" s="15"/>
      <c r="VYR12" s="15"/>
      <c r="VYS12" s="15"/>
      <c r="VYT12" s="15"/>
      <c r="VYU12" s="15"/>
      <c r="VYV12" s="15"/>
      <c r="VYW12" s="15"/>
      <c r="VYX12" s="15"/>
      <c r="VYY12" s="15"/>
      <c r="VYZ12" s="15"/>
      <c r="VZA12" s="15"/>
      <c r="VZB12" s="15"/>
      <c r="VZC12" s="15"/>
      <c r="VZD12" s="15"/>
      <c r="VZE12" s="15"/>
      <c r="VZF12" s="15"/>
      <c r="VZG12" s="15"/>
      <c r="VZH12" s="15"/>
      <c r="VZI12" s="15"/>
      <c r="VZJ12" s="15"/>
      <c r="VZK12" s="15"/>
      <c r="VZL12" s="15"/>
      <c r="VZM12" s="15"/>
      <c r="VZN12" s="15"/>
      <c r="VZO12" s="15"/>
      <c r="VZP12" s="15"/>
      <c r="VZQ12" s="15"/>
      <c r="VZR12" s="15"/>
      <c r="VZS12" s="15"/>
      <c r="VZT12" s="15"/>
      <c r="VZU12" s="15"/>
      <c r="VZV12" s="15"/>
      <c r="VZW12" s="15"/>
      <c r="VZX12" s="15"/>
      <c r="VZY12" s="15"/>
      <c r="VZZ12" s="15"/>
      <c r="WAA12" s="15"/>
      <c r="WAB12" s="15"/>
      <c r="WAC12" s="15"/>
      <c r="WAD12" s="15"/>
      <c r="WAE12" s="15"/>
      <c r="WAF12" s="15"/>
      <c r="WAG12" s="15"/>
      <c r="WAH12" s="15"/>
      <c r="WAI12" s="15"/>
      <c r="WAJ12" s="15"/>
      <c r="WAK12" s="15"/>
      <c r="WAL12" s="15"/>
      <c r="WAM12" s="15"/>
      <c r="WAN12" s="15"/>
      <c r="WAO12" s="15"/>
      <c r="WAP12" s="15"/>
      <c r="WAQ12" s="15"/>
      <c r="WAR12" s="15"/>
      <c r="WAS12" s="15"/>
      <c r="WAT12" s="15"/>
      <c r="WAU12" s="15"/>
      <c r="WAV12" s="15"/>
      <c r="WAW12" s="15"/>
      <c r="WAX12" s="15"/>
      <c r="WAY12" s="15"/>
      <c r="WAZ12" s="15"/>
      <c r="WBA12" s="15"/>
      <c r="WBB12" s="15"/>
      <c r="WBC12" s="15"/>
      <c r="WBD12" s="15"/>
      <c r="WBE12" s="15"/>
      <c r="WBF12" s="15"/>
      <c r="WBG12" s="15"/>
      <c r="WBH12" s="15"/>
      <c r="WBI12" s="15"/>
      <c r="WBJ12" s="15"/>
      <c r="WBK12" s="15"/>
      <c r="WBL12" s="15"/>
      <c r="WBM12" s="15"/>
      <c r="WBN12" s="15"/>
      <c r="WBO12" s="15"/>
      <c r="WBP12" s="15"/>
      <c r="WBQ12" s="15"/>
      <c r="WBR12" s="15"/>
      <c r="WBS12" s="15"/>
      <c r="WBT12" s="15"/>
      <c r="WBU12" s="15"/>
      <c r="WBV12" s="15"/>
      <c r="WBW12" s="15"/>
      <c r="WBX12" s="15"/>
      <c r="WBY12" s="15"/>
      <c r="WBZ12" s="15"/>
      <c r="WCA12" s="15"/>
      <c r="WCB12" s="15"/>
      <c r="WCC12" s="15"/>
      <c r="WCD12" s="15"/>
      <c r="WCE12" s="15"/>
      <c r="WCF12" s="15"/>
      <c r="WCG12" s="15"/>
      <c r="WCH12" s="15"/>
      <c r="WCI12" s="15"/>
      <c r="WCJ12" s="15"/>
      <c r="WCK12" s="15"/>
      <c r="WCL12" s="15"/>
      <c r="WCM12" s="15"/>
      <c r="WCN12" s="15"/>
      <c r="WCO12" s="15"/>
      <c r="WCP12" s="15"/>
      <c r="WCQ12" s="15"/>
      <c r="WCR12" s="15"/>
      <c r="WCS12" s="15"/>
      <c r="WCT12" s="15"/>
      <c r="WCU12" s="15"/>
      <c r="WCV12" s="15"/>
      <c r="WCW12" s="15"/>
      <c r="WCX12" s="15"/>
      <c r="WCY12" s="15"/>
      <c r="WCZ12" s="15"/>
      <c r="WDA12" s="15"/>
      <c r="WDB12" s="15"/>
      <c r="WDC12" s="15"/>
      <c r="WDD12" s="15"/>
      <c r="WDE12" s="15"/>
      <c r="WDF12" s="15"/>
      <c r="WDG12" s="15"/>
      <c r="WDH12" s="15"/>
      <c r="WDI12" s="15"/>
      <c r="WDJ12" s="15"/>
      <c r="WDK12" s="15"/>
      <c r="WDL12" s="15"/>
      <c r="WDM12" s="15"/>
      <c r="WDN12" s="15"/>
      <c r="WDO12" s="15"/>
      <c r="WDP12" s="15"/>
      <c r="WDQ12" s="15"/>
      <c r="WDR12" s="15"/>
      <c r="WDS12" s="15"/>
      <c r="WDT12" s="15"/>
      <c r="WDU12" s="15"/>
      <c r="WDV12" s="15"/>
      <c r="WDW12" s="15"/>
      <c r="WDX12" s="15"/>
      <c r="WDY12" s="15"/>
      <c r="WDZ12" s="15"/>
      <c r="WEA12" s="15"/>
      <c r="WEB12" s="15"/>
      <c r="WEC12" s="15"/>
      <c r="WED12" s="15"/>
      <c r="WEE12" s="15"/>
      <c r="WEF12" s="15"/>
      <c r="WEG12" s="15"/>
      <c r="WEH12" s="15"/>
      <c r="WEI12" s="15"/>
      <c r="WEJ12" s="15"/>
      <c r="WEK12" s="15"/>
      <c r="WEL12" s="15"/>
      <c r="WEM12" s="15"/>
      <c r="WEN12" s="15"/>
      <c r="WEO12" s="15"/>
      <c r="WEP12" s="15"/>
      <c r="WEQ12" s="15"/>
      <c r="WER12" s="15"/>
      <c r="WES12" s="15"/>
      <c r="WET12" s="15"/>
      <c r="WEU12" s="15"/>
      <c r="WEV12" s="15"/>
      <c r="WEW12" s="15"/>
      <c r="WEX12" s="15"/>
      <c r="WEY12" s="15"/>
      <c r="WEZ12" s="15"/>
      <c r="WFA12" s="15"/>
      <c r="WFB12" s="15"/>
      <c r="WFC12" s="15"/>
      <c r="WFD12" s="15"/>
      <c r="WFE12" s="15"/>
      <c r="WFF12" s="15"/>
      <c r="WFG12" s="15"/>
      <c r="WFH12" s="15"/>
      <c r="WFI12" s="15"/>
      <c r="WFJ12" s="15"/>
      <c r="WFK12" s="15"/>
      <c r="WFL12" s="15"/>
      <c r="WFM12" s="15"/>
      <c r="WFN12" s="15"/>
      <c r="WFO12" s="15"/>
      <c r="WFP12" s="15"/>
      <c r="WFQ12" s="15"/>
      <c r="WFR12" s="15"/>
      <c r="WFS12" s="15"/>
      <c r="WFT12" s="15"/>
      <c r="WFU12" s="15"/>
      <c r="WFV12" s="15"/>
      <c r="WFW12" s="15"/>
      <c r="WFX12" s="15"/>
      <c r="WFY12" s="15"/>
      <c r="WFZ12" s="15"/>
      <c r="WGA12" s="15"/>
      <c r="WGB12" s="15"/>
      <c r="WGC12" s="15"/>
      <c r="WGD12" s="15"/>
      <c r="WGE12" s="15"/>
      <c r="WGF12" s="15"/>
      <c r="WGG12" s="15"/>
      <c r="WGH12" s="15"/>
      <c r="WGI12" s="15"/>
      <c r="WGJ12" s="15"/>
      <c r="WGK12" s="15"/>
      <c r="WGL12" s="15"/>
      <c r="WGM12" s="15"/>
      <c r="WGN12" s="15"/>
      <c r="WGO12" s="15"/>
      <c r="WGP12" s="15"/>
      <c r="WGQ12" s="15"/>
      <c r="WGR12" s="15"/>
      <c r="WGS12" s="15"/>
      <c r="WGT12" s="15"/>
      <c r="WGU12" s="15"/>
      <c r="WGV12" s="15"/>
      <c r="WGW12" s="15"/>
      <c r="WGX12" s="15"/>
      <c r="WGY12" s="15"/>
      <c r="WGZ12" s="15"/>
      <c r="WHA12" s="15"/>
      <c r="WHB12" s="15"/>
      <c r="WHC12" s="15"/>
      <c r="WHD12" s="15"/>
      <c r="WHE12" s="15"/>
      <c r="WHF12" s="15"/>
      <c r="WHG12" s="15"/>
      <c r="WHH12" s="15"/>
      <c r="WHI12" s="15"/>
      <c r="WHJ12" s="15"/>
      <c r="WHK12" s="15"/>
      <c r="WHL12" s="15"/>
      <c r="WHM12" s="15"/>
      <c r="WHN12" s="15"/>
      <c r="WHO12" s="15"/>
      <c r="WHP12" s="15"/>
      <c r="WHQ12" s="15"/>
      <c r="WHR12" s="15"/>
      <c r="WHS12" s="15"/>
      <c r="WHT12" s="15"/>
      <c r="WHU12" s="15"/>
      <c r="WHV12" s="15"/>
      <c r="WHW12" s="15"/>
      <c r="WHX12" s="15"/>
      <c r="WHY12" s="15"/>
      <c r="WHZ12" s="15"/>
      <c r="WIA12" s="15"/>
      <c r="WIB12" s="15"/>
      <c r="WIC12" s="15"/>
      <c r="WID12" s="15"/>
      <c r="WIE12" s="15"/>
      <c r="WIF12" s="15"/>
      <c r="WIG12" s="15"/>
      <c r="WIH12" s="15"/>
      <c r="WII12" s="15"/>
      <c r="WIJ12" s="15"/>
      <c r="WIK12" s="15"/>
      <c r="WIL12" s="15"/>
      <c r="WIM12" s="15"/>
      <c r="WIN12" s="15"/>
      <c r="WIO12" s="15"/>
      <c r="WIP12" s="15"/>
      <c r="WIQ12" s="15"/>
      <c r="WIR12" s="15"/>
      <c r="WIS12" s="15"/>
      <c r="WIT12" s="15"/>
      <c r="WIU12" s="15"/>
      <c r="WIV12" s="15"/>
      <c r="WIW12" s="15"/>
      <c r="WIX12" s="15"/>
      <c r="WIY12" s="15"/>
      <c r="WIZ12" s="15"/>
      <c r="WJA12" s="15"/>
      <c r="WJB12" s="15"/>
      <c r="WJC12" s="15"/>
      <c r="WJD12" s="15"/>
      <c r="WJE12" s="15"/>
      <c r="WJF12" s="15"/>
      <c r="WJG12" s="15"/>
      <c r="WJH12" s="15"/>
      <c r="WJI12" s="15"/>
      <c r="WJJ12" s="15"/>
      <c r="WJK12" s="15"/>
      <c r="WJL12" s="15"/>
      <c r="WJM12" s="15"/>
      <c r="WJN12" s="15"/>
      <c r="WJO12" s="15"/>
      <c r="WJP12" s="15"/>
      <c r="WJQ12" s="15"/>
      <c r="WJR12" s="15"/>
      <c r="WJS12" s="15"/>
      <c r="WJT12" s="15"/>
      <c r="WJU12" s="15"/>
      <c r="WJV12" s="15"/>
      <c r="WJW12" s="15"/>
      <c r="WJX12" s="15"/>
      <c r="WJY12" s="15"/>
      <c r="WJZ12" s="15"/>
      <c r="WKA12" s="15"/>
      <c r="WKB12" s="15"/>
      <c r="WKC12" s="15"/>
      <c r="WKD12" s="15"/>
      <c r="WKE12" s="15"/>
      <c r="WKF12" s="15"/>
      <c r="WKG12" s="15"/>
      <c r="WKH12" s="15"/>
      <c r="WKI12" s="15"/>
      <c r="WKJ12" s="15"/>
      <c r="WKK12" s="15"/>
      <c r="WKL12" s="15"/>
      <c r="WKM12" s="15"/>
      <c r="WKN12" s="15"/>
      <c r="WKO12" s="15"/>
      <c r="WKP12" s="15"/>
      <c r="WKQ12" s="15"/>
      <c r="WKR12" s="15"/>
      <c r="WKS12" s="15"/>
      <c r="WKT12" s="15"/>
      <c r="WKU12" s="15"/>
      <c r="WKV12" s="15"/>
      <c r="WKW12" s="15"/>
      <c r="WKX12" s="15"/>
      <c r="WKY12" s="15"/>
      <c r="WKZ12" s="15"/>
      <c r="WLA12" s="15"/>
      <c r="WLB12" s="15"/>
      <c r="WLC12" s="15"/>
      <c r="WLD12" s="15"/>
      <c r="WLE12" s="15"/>
      <c r="WLF12" s="15"/>
      <c r="WLG12" s="15"/>
      <c r="WLH12" s="15"/>
      <c r="WLI12" s="15"/>
      <c r="WLJ12" s="15"/>
      <c r="WLK12" s="15"/>
      <c r="WLL12" s="15"/>
      <c r="WLM12" s="15"/>
      <c r="WLN12" s="15"/>
      <c r="WLO12" s="15"/>
      <c r="WLP12" s="15"/>
      <c r="WLQ12" s="15"/>
      <c r="WLR12" s="15"/>
      <c r="WLS12" s="15"/>
      <c r="WLT12" s="15"/>
      <c r="WLU12" s="15"/>
      <c r="WLV12" s="15"/>
      <c r="WLW12" s="15"/>
      <c r="WLX12" s="15"/>
      <c r="WLY12" s="15"/>
      <c r="WLZ12" s="15"/>
      <c r="WMA12" s="15"/>
      <c r="WMB12" s="15"/>
      <c r="WMC12" s="15"/>
      <c r="WMD12" s="15"/>
      <c r="WME12" s="15"/>
      <c r="WMF12" s="15"/>
      <c r="WMG12" s="15"/>
      <c r="WMH12" s="15"/>
      <c r="WMI12" s="15"/>
      <c r="WMJ12" s="15"/>
      <c r="WMK12" s="15"/>
      <c r="WML12" s="15"/>
      <c r="WMM12" s="15"/>
      <c r="WMN12" s="15"/>
      <c r="WMO12" s="15"/>
      <c r="WMP12" s="15"/>
      <c r="WMQ12" s="15"/>
      <c r="WMR12" s="15"/>
      <c r="WMS12" s="15"/>
      <c r="WMT12" s="15"/>
      <c r="WMU12" s="15"/>
      <c r="WMV12" s="15"/>
      <c r="WMW12" s="15"/>
      <c r="WMX12" s="15"/>
      <c r="WMY12" s="15"/>
      <c r="WMZ12" s="15"/>
      <c r="WNA12" s="15"/>
      <c r="WNB12" s="15"/>
      <c r="WNC12" s="15"/>
      <c r="WND12" s="15"/>
      <c r="WNE12" s="15"/>
      <c r="WNF12" s="15"/>
      <c r="WNG12" s="15"/>
      <c r="WNH12" s="15"/>
      <c r="WNI12" s="15"/>
      <c r="WNJ12" s="15"/>
      <c r="WNK12" s="15"/>
      <c r="WNL12" s="15"/>
      <c r="WNM12" s="15"/>
      <c r="WNN12" s="15"/>
      <c r="WNO12" s="15"/>
      <c r="WNP12" s="15"/>
      <c r="WNQ12" s="15"/>
      <c r="WNR12" s="15"/>
      <c r="WNS12" s="15"/>
      <c r="WNT12" s="15"/>
      <c r="WNU12" s="15"/>
      <c r="WNV12" s="15"/>
      <c r="WNW12" s="15"/>
      <c r="WNX12" s="15"/>
      <c r="WNY12" s="15"/>
      <c r="WNZ12" s="15"/>
      <c r="WOA12" s="15"/>
      <c r="WOB12" s="15"/>
      <c r="WOC12" s="15"/>
      <c r="WOD12" s="15"/>
      <c r="WOE12" s="15"/>
      <c r="WOF12" s="15"/>
      <c r="WOG12" s="15"/>
      <c r="WOH12" s="15"/>
      <c r="WOI12" s="15"/>
      <c r="WOJ12" s="15"/>
      <c r="WOK12" s="15"/>
      <c r="WOL12" s="15"/>
      <c r="WOM12" s="15"/>
      <c r="WON12" s="15"/>
      <c r="WOO12" s="15"/>
      <c r="WOP12" s="15"/>
      <c r="WOQ12" s="15"/>
      <c r="WOR12" s="15"/>
      <c r="WOS12" s="15"/>
      <c r="WOT12" s="15"/>
      <c r="WOU12" s="15"/>
      <c r="WOV12" s="15"/>
      <c r="WOW12" s="15"/>
      <c r="WOX12" s="15"/>
      <c r="WOY12" s="15"/>
      <c r="WOZ12" s="15"/>
      <c r="WPA12" s="15"/>
      <c r="WPB12" s="15"/>
      <c r="WPC12" s="15"/>
      <c r="WPD12" s="15"/>
      <c r="WPE12" s="15"/>
      <c r="WPF12" s="15"/>
      <c r="WPG12" s="15"/>
      <c r="WPH12" s="15"/>
      <c r="WPI12" s="15"/>
      <c r="WPJ12" s="15"/>
      <c r="WPK12" s="15"/>
      <c r="WPL12" s="15"/>
      <c r="WPM12" s="15"/>
      <c r="WPN12" s="15"/>
      <c r="WPO12" s="15"/>
      <c r="WPP12" s="15"/>
      <c r="WPQ12" s="15"/>
      <c r="WPR12" s="15"/>
      <c r="WPS12" s="15"/>
      <c r="WPT12" s="15"/>
      <c r="WPU12" s="15"/>
      <c r="WPV12" s="15"/>
      <c r="WPW12" s="15"/>
      <c r="WPX12" s="15"/>
      <c r="WPY12" s="15"/>
      <c r="WPZ12" s="15"/>
      <c r="WQA12" s="15"/>
      <c r="WQB12" s="15"/>
      <c r="WQC12" s="15"/>
      <c r="WQD12" s="15"/>
      <c r="WQE12" s="15"/>
      <c r="WQF12" s="15"/>
      <c r="WQG12" s="15"/>
      <c r="WQH12" s="15"/>
      <c r="WQI12" s="15"/>
      <c r="WQJ12" s="15"/>
      <c r="WQK12" s="15"/>
      <c r="WQL12" s="15"/>
      <c r="WQM12" s="15"/>
      <c r="WQN12" s="15"/>
      <c r="WQO12" s="15"/>
      <c r="WQP12" s="15"/>
      <c r="WQQ12" s="15"/>
      <c r="WQR12" s="15"/>
      <c r="WQS12" s="15"/>
      <c r="WQT12" s="15"/>
      <c r="WQU12" s="15"/>
      <c r="WQV12" s="15"/>
      <c r="WQW12" s="15"/>
      <c r="WQX12" s="15"/>
      <c r="WQY12" s="15"/>
      <c r="WQZ12" s="15"/>
      <c r="WRA12" s="15"/>
      <c r="WRB12" s="15"/>
      <c r="WRC12" s="15"/>
      <c r="WRD12" s="15"/>
      <c r="WRE12" s="15"/>
      <c r="WRF12" s="15"/>
      <c r="WRG12" s="15"/>
      <c r="WRH12" s="15"/>
      <c r="WRI12" s="15"/>
      <c r="WRJ12" s="15"/>
      <c r="WRK12" s="15"/>
      <c r="WRL12" s="15"/>
      <c r="WRM12" s="15"/>
      <c r="WRN12" s="15"/>
      <c r="WRO12" s="15"/>
      <c r="WRP12" s="15"/>
      <c r="WRQ12" s="15"/>
      <c r="WRR12" s="15"/>
      <c r="WRS12" s="15"/>
      <c r="WRT12" s="15"/>
      <c r="WRU12" s="15"/>
      <c r="WRV12" s="15"/>
      <c r="WRW12" s="15"/>
      <c r="WRX12" s="15"/>
      <c r="WRY12" s="15"/>
      <c r="WRZ12" s="15"/>
      <c r="WSA12" s="15"/>
      <c r="WSB12" s="15"/>
      <c r="WSC12" s="15"/>
      <c r="WSD12" s="15"/>
      <c r="WSE12" s="15"/>
      <c r="WSF12" s="15"/>
      <c r="WSG12" s="15"/>
      <c r="WSH12" s="15"/>
      <c r="WSI12" s="15"/>
      <c r="WSJ12" s="15"/>
      <c r="WSK12" s="15"/>
      <c r="WSL12" s="15"/>
      <c r="WSM12" s="15"/>
      <c r="WSN12" s="15"/>
      <c r="WSO12" s="15"/>
      <c r="WSP12" s="15"/>
      <c r="WSQ12" s="15"/>
      <c r="WSR12" s="15"/>
      <c r="WSS12" s="15"/>
      <c r="WST12" s="15"/>
      <c r="WSU12" s="15"/>
      <c r="WSV12" s="15"/>
      <c r="WSW12" s="15"/>
      <c r="WSX12" s="15"/>
      <c r="WSY12" s="15"/>
      <c r="WSZ12" s="15"/>
      <c r="WTA12" s="15"/>
      <c r="WTB12" s="15"/>
      <c r="WTC12" s="15"/>
      <c r="WTD12" s="15"/>
      <c r="WTE12" s="15"/>
      <c r="WTF12" s="15"/>
      <c r="WTG12" s="15"/>
      <c r="WTH12" s="15"/>
      <c r="WTI12" s="15"/>
      <c r="WTJ12" s="15"/>
      <c r="WTK12" s="15"/>
      <c r="WTL12" s="15"/>
      <c r="WTM12" s="15"/>
      <c r="WTN12" s="15"/>
      <c r="WTO12" s="15"/>
      <c r="WTP12" s="15"/>
      <c r="WTQ12" s="15"/>
      <c r="WTR12" s="15"/>
      <c r="WTS12" s="15"/>
      <c r="WTT12" s="15"/>
      <c r="WTU12" s="15"/>
      <c r="WTV12" s="15"/>
      <c r="WTW12" s="15"/>
      <c r="WTX12" s="15"/>
      <c r="WTY12" s="15"/>
      <c r="WTZ12" s="15"/>
      <c r="WUA12" s="15"/>
      <c r="WUB12" s="15"/>
      <c r="WUC12" s="15"/>
      <c r="WUD12" s="15"/>
      <c r="WUE12" s="15"/>
      <c r="WUF12" s="15"/>
      <c r="WUG12" s="15"/>
      <c r="WUH12" s="15"/>
      <c r="WUI12" s="15"/>
      <c r="WUJ12" s="15"/>
      <c r="WUK12" s="15"/>
      <c r="WUL12" s="15"/>
      <c r="WUM12" s="15"/>
      <c r="WUN12" s="15"/>
      <c r="WUO12" s="15"/>
      <c r="WUP12" s="15"/>
      <c r="WUQ12" s="15"/>
      <c r="WUR12" s="15"/>
      <c r="WUS12" s="15"/>
      <c r="WUT12" s="15"/>
      <c r="WUU12" s="15"/>
      <c r="WUV12" s="15"/>
      <c r="WUW12" s="15"/>
      <c r="WUX12" s="15"/>
      <c r="WUY12" s="15"/>
      <c r="WUZ12" s="15"/>
      <c r="WVA12" s="15"/>
      <c r="WVB12" s="15"/>
      <c r="WVC12" s="15"/>
      <c r="WVD12" s="15"/>
      <c r="WVE12" s="15"/>
      <c r="WVF12" s="15"/>
      <c r="WVG12" s="15"/>
      <c r="WVH12" s="15"/>
      <c r="WVI12" s="15"/>
      <c r="WVJ12" s="15"/>
      <c r="WVK12" s="15"/>
      <c r="WVL12" s="15"/>
      <c r="WVM12" s="15"/>
      <c r="WVN12" s="15"/>
      <c r="WVO12" s="15"/>
      <c r="WVP12" s="15"/>
      <c r="WVQ12" s="15"/>
      <c r="WVR12" s="15"/>
      <c r="WVS12" s="15"/>
      <c r="WVT12" s="15"/>
      <c r="WVU12" s="15"/>
      <c r="WVV12" s="15"/>
      <c r="WVW12" s="15"/>
      <c r="WVX12" s="15"/>
      <c r="WVY12" s="15"/>
      <c r="WVZ12" s="15"/>
      <c r="WWA12" s="15"/>
      <c r="WWB12" s="15"/>
      <c r="WWC12" s="15"/>
      <c r="WWD12" s="15"/>
      <c r="WWE12" s="15"/>
      <c r="WWF12" s="15"/>
      <c r="WWG12" s="15"/>
      <c r="WWH12" s="15"/>
      <c r="WWI12" s="15"/>
      <c r="WWJ12" s="15"/>
      <c r="WWK12" s="15"/>
      <c r="WWL12" s="15"/>
      <c r="WWM12" s="15"/>
      <c r="WWN12" s="15"/>
      <c r="WWO12" s="15"/>
      <c r="WWP12" s="15"/>
      <c r="WWQ12" s="15"/>
      <c r="WWR12" s="15"/>
      <c r="WWS12" s="15"/>
      <c r="WWT12" s="15"/>
      <c r="WWU12" s="15"/>
      <c r="WWV12" s="15"/>
      <c r="WWW12" s="15"/>
      <c r="WWX12" s="15"/>
      <c r="WWY12" s="15"/>
      <c r="WWZ12" s="15"/>
      <c r="WXA12" s="15"/>
      <c r="WXB12" s="15"/>
      <c r="WXC12" s="15"/>
      <c r="WXD12" s="15"/>
      <c r="WXE12" s="15"/>
      <c r="WXF12" s="15"/>
      <c r="WXG12" s="15"/>
      <c r="WXH12" s="15"/>
      <c r="WXI12" s="15"/>
      <c r="WXJ12" s="15"/>
      <c r="WXK12" s="15"/>
      <c r="WXL12" s="15"/>
      <c r="WXM12" s="15"/>
      <c r="WXN12" s="15"/>
      <c r="WXO12" s="15"/>
      <c r="WXP12" s="15"/>
      <c r="WXQ12" s="15"/>
      <c r="WXR12" s="15"/>
      <c r="WXS12" s="15"/>
      <c r="WXT12" s="15"/>
      <c r="WXU12" s="15"/>
      <c r="WXV12" s="15"/>
      <c r="WXW12" s="15"/>
      <c r="WXX12" s="15"/>
      <c r="WXY12" s="15"/>
      <c r="WXZ12" s="15"/>
      <c r="WYA12" s="15"/>
      <c r="WYB12" s="15"/>
      <c r="WYC12" s="15"/>
      <c r="WYD12" s="15"/>
      <c r="WYE12" s="15"/>
      <c r="WYF12" s="15"/>
      <c r="WYG12" s="15"/>
      <c r="WYH12" s="15"/>
      <c r="WYI12" s="15"/>
      <c r="WYJ12" s="15"/>
      <c r="WYK12" s="15"/>
      <c r="WYL12" s="15"/>
      <c r="WYM12" s="15"/>
      <c r="WYN12" s="15"/>
      <c r="WYO12" s="15"/>
      <c r="WYP12" s="15"/>
      <c r="WYQ12" s="15"/>
      <c r="WYR12" s="15"/>
      <c r="WYS12" s="15"/>
      <c r="WYT12" s="15"/>
      <c r="WYU12" s="15"/>
      <c r="WYV12" s="15"/>
      <c r="WYW12" s="15"/>
      <c r="WYX12" s="15"/>
      <c r="WYY12" s="15"/>
      <c r="WYZ12" s="15"/>
      <c r="WZA12" s="15"/>
      <c r="WZB12" s="15"/>
      <c r="WZC12" s="15"/>
      <c r="WZD12" s="15"/>
      <c r="WZE12" s="15"/>
      <c r="WZF12" s="15"/>
      <c r="WZG12" s="15"/>
      <c r="WZH12" s="15"/>
      <c r="WZI12" s="15"/>
      <c r="WZJ12" s="15"/>
      <c r="WZK12" s="15"/>
      <c r="WZL12" s="15"/>
      <c r="WZM12" s="15"/>
      <c r="WZN12" s="15"/>
      <c r="WZO12" s="15"/>
      <c r="WZP12" s="15"/>
      <c r="WZQ12" s="15"/>
      <c r="WZR12" s="15"/>
      <c r="WZS12" s="15"/>
      <c r="WZT12" s="15"/>
      <c r="WZU12" s="15"/>
      <c r="WZV12" s="15"/>
      <c r="WZW12" s="15"/>
      <c r="WZX12" s="15"/>
      <c r="WZY12" s="15"/>
      <c r="WZZ12" s="15"/>
      <c r="XAA12" s="15"/>
      <c r="XAB12" s="15"/>
      <c r="XAC12" s="15"/>
      <c r="XAD12" s="15"/>
      <c r="XAE12" s="15"/>
      <c r="XAF12" s="15"/>
      <c r="XAG12" s="15"/>
      <c r="XAH12" s="15"/>
      <c r="XAI12" s="15"/>
      <c r="XAJ12" s="15"/>
      <c r="XAK12" s="15"/>
      <c r="XAL12" s="15"/>
      <c r="XAM12" s="15"/>
      <c r="XAN12" s="15"/>
      <c r="XAO12" s="15"/>
      <c r="XAP12" s="15"/>
      <c r="XAQ12" s="15"/>
      <c r="XAR12" s="15"/>
      <c r="XAS12" s="15"/>
      <c r="XAT12" s="15"/>
      <c r="XAU12" s="15"/>
      <c r="XAV12" s="15"/>
      <c r="XAW12" s="15"/>
      <c r="XAX12" s="15"/>
      <c r="XAY12" s="15"/>
      <c r="XAZ12" s="15"/>
      <c r="XBA12" s="15"/>
      <c r="XBB12" s="15"/>
      <c r="XBC12" s="15"/>
      <c r="XBD12" s="15"/>
      <c r="XBE12" s="15"/>
      <c r="XBF12" s="15"/>
      <c r="XBG12" s="15"/>
      <c r="XBH12" s="15"/>
      <c r="XBI12" s="15"/>
      <c r="XBJ12" s="15"/>
      <c r="XBK12" s="15"/>
      <c r="XBL12" s="15"/>
      <c r="XBM12" s="15"/>
      <c r="XBN12" s="15"/>
      <c r="XBO12" s="15"/>
      <c r="XBP12" s="15"/>
      <c r="XBQ12" s="15"/>
      <c r="XBR12" s="15"/>
      <c r="XBS12" s="15"/>
      <c r="XBT12" s="15"/>
      <c r="XBU12" s="15"/>
      <c r="XBV12" s="15"/>
      <c r="XBW12" s="15"/>
      <c r="XBX12" s="15"/>
      <c r="XBY12" s="15"/>
      <c r="XBZ12" s="15"/>
      <c r="XCA12" s="15"/>
      <c r="XCB12" s="15"/>
      <c r="XCC12" s="15"/>
      <c r="XCD12" s="15"/>
      <c r="XCE12" s="15"/>
      <c r="XCF12" s="15"/>
      <c r="XCG12" s="15"/>
      <c r="XCH12" s="15"/>
      <c r="XCI12" s="15"/>
      <c r="XCJ12" s="15"/>
      <c r="XCK12" s="15"/>
      <c r="XCL12" s="15"/>
      <c r="XCM12" s="15"/>
      <c r="XCN12" s="15"/>
      <c r="XCO12" s="15"/>
      <c r="XCP12" s="15"/>
      <c r="XCQ12" s="15"/>
      <c r="XCR12" s="15"/>
      <c r="XCS12" s="15"/>
      <c r="XCT12" s="15"/>
      <c r="XCU12" s="15"/>
      <c r="XCV12" s="15"/>
      <c r="XCW12" s="15"/>
      <c r="XCX12" s="15"/>
      <c r="XCY12" s="15"/>
      <c r="XCZ12" s="15"/>
      <c r="XDA12" s="15"/>
      <c r="XDB12" s="15"/>
      <c r="XDC12" s="15"/>
      <c r="XDD12" s="15"/>
      <c r="XDE12" s="15"/>
      <c r="XDF12" s="15"/>
      <c r="XDG12" s="15"/>
      <c r="XDH12" s="15"/>
      <c r="XDI12" s="15"/>
      <c r="XDJ12" s="15"/>
      <c r="XDK12" s="15"/>
      <c r="XDL12" s="15"/>
      <c r="XDM12" s="15"/>
      <c r="XDN12" s="15"/>
      <c r="XDO12" s="15"/>
      <c r="XDP12" s="15"/>
      <c r="XDQ12" s="15"/>
      <c r="XDR12" s="15"/>
      <c r="XDS12" s="15"/>
      <c r="XDT12" s="15"/>
      <c r="XDU12" s="15"/>
      <c r="XDV12" s="15"/>
      <c r="XDW12" s="15"/>
      <c r="XDX12" s="15"/>
      <c r="XDY12" s="15"/>
      <c r="XDZ12" s="15"/>
      <c r="XEA12" s="15"/>
      <c r="XEB12" s="15"/>
      <c r="XEC12" s="15"/>
      <c r="XED12" s="15"/>
      <c r="XEE12" s="15"/>
      <c r="XEF12" s="15"/>
      <c r="XEG12" s="15"/>
      <c r="XEH12" s="15"/>
      <c r="XEI12" s="15"/>
      <c r="XEJ12" s="15"/>
      <c r="XEK12" s="15"/>
      <c r="XEL12" s="15"/>
      <c r="XEM12" s="15"/>
      <c r="XEN12" s="15"/>
      <c r="XEO12" s="15"/>
      <c r="XEP12" s="15"/>
      <c r="XEQ12" s="15"/>
      <c r="XER12" s="15"/>
      <c r="XES12" s="15"/>
      <c r="XET12" s="15"/>
      <c r="XEU12" s="15"/>
      <c r="XEV12" s="15"/>
      <c r="XEW12" s="15"/>
      <c r="XEX12" s="15"/>
      <c r="XEY12" s="15"/>
      <c r="XEZ12" s="15"/>
      <c r="XFA12" s="15"/>
      <c r="XFB12" s="15"/>
      <c r="XFC12" s="15"/>
    </row>
    <row r="13" spans="1:16383" ht="15.6" x14ac:dyDescent="0.3">
      <c r="A13" s="464" t="s">
        <v>699</v>
      </c>
      <c r="B13" s="465"/>
      <c r="C13" s="458"/>
      <c r="D13" s="458"/>
      <c r="E13" s="458"/>
      <c r="F13" s="458"/>
      <c r="G13" s="458"/>
      <c r="H13" s="458"/>
      <c r="I13" s="458"/>
      <c r="J13" s="466"/>
    </row>
    <row r="14" spans="1:16383" ht="15.6" x14ac:dyDescent="0.3">
      <c r="A14" s="387" t="s">
        <v>686</v>
      </c>
      <c r="B14" s="465"/>
      <c r="C14" s="458"/>
      <c r="D14" s="458"/>
      <c r="E14" s="458"/>
      <c r="F14" s="458"/>
      <c r="G14" s="458"/>
      <c r="H14" s="458"/>
      <c r="I14" s="458"/>
      <c r="J14" s="466"/>
    </row>
    <row r="15" spans="1:16383" ht="30.9" customHeight="1" x14ac:dyDescent="0.3">
      <c r="A15" s="1040" t="s">
        <v>654</v>
      </c>
      <c r="B15" s="1040"/>
      <c r="C15" s="1040"/>
      <c r="D15" s="1040"/>
      <c r="E15" s="1040"/>
      <c r="F15" s="1040"/>
      <c r="G15" s="1040"/>
      <c r="H15" s="1040"/>
      <c r="I15" s="1040"/>
      <c r="J15" s="466"/>
    </row>
    <row r="16" spans="1:16383" x14ac:dyDescent="0.3">
      <c r="A16" s="570"/>
      <c r="B16" s="570"/>
      <c r="C16" s="570"/>
      <c r="D16" s="570"/>
      <c r="E16" s="570"/>
      <c r="F16" s="570"/>
      <c r="G16" s="570"/>
      <c r="H16" s="570"/>
      <c r="I16" s="570"/>
      <c r="J16" s="466"/>
    </row>
    <row r="17" spans="1:10" ht="37.5" customHeight="1" x14ac:dyDescent="0.3">
      <c r="A17" s="420" t="s">
        <v>704</v>
      </c>
      <c r="B17" s="420"/>
      <c r="C17" s="420"/>
      <c r="D17" s="420"/>
      <c r="E17" s="420"/>
      <c r="F17" s="420"/>
      <c r="G17" s="420"/>
      <c r="H17" s="420"/>
      <c r="I17" s="420"/>
      <c r="J17" s="83"/>
    </row>
    <row r="18" spans="1:10" ht="15" customHeight="1" x14ac:dyDescent="0.3">
      <c r="A18" t="s">
        <v>203</v>
      </c>
      <c r="B18" t="s">
        <v>86</v>
      </c>
      <c r="C18" s="420"/>
      <c r="D18" s="420"/>
      <c r="E18" s="420"/>
      <c r="F18" s="420"/>
      <c r="G18" s="420"/>
      <c r="H18" s="420"/>
      <c r="I18" s="420"/>
      <c r="J18" s="83"/>
    </row>
    <row r="19" spans="1:10" ht="15" customHeight="1" x14ac:dyDescent="0.3">
      <c r="A19" t="s">
        <v>204</v>
      </c>
      <c r="B19" t="s">
        <v>205</v>
      </c>
      <c r="C19" s="420"/>
      <c r="D19" s="420"/>
      <c r="E19" s="420"/>
      <c r="F19" s="420"/>
      <c r="G19" s="420"/>
      <c r="H19" s="420"/>
      <c r="I19" s="420"/>
      <c r="J19" s="83"/>
    </row>
    <row r="20" spans="1:10" ht="15" customHeight="1" x14ac:dyDescent="0.3">
      <c r="A20" t="s">
        <v>206</v>
      </c>
      <c r="B20" t="s">
        <v>207</v>
      </c>
      <c r="C20" s="420"/>
      <c r="D20" s="420"/>
      <c r="E20" s="420"/>
      <c r="F20" s="420"/>
      <c r="G20" s="420"/>
      <c r="H20" s="420"/>
      <c r="I20" s="420"/>
      <c r="J20" s="83"/>
    </row>
    <row r="21" spans="1:10" ht="27" x14ac:dyDescent="0.3">
      <c r="A21" s="78" t="s">
        <v>556</v>
      </c>
      <c r="B21" s="78" t="s">
        <v>550</v>
      </c>
      <c r="C21" s="37" t="s">
        <v>678</v>
      </c>
      <c r="D21" s="37" t="s">
        <v>679</v>
      </c>
      <c r="E21" s="37" t="s">
        <v>688</v>
      </c>
      <c r="F21" s="37" t="s">
        <v>681</v>
      </c>
      <c r="G21" s="37" t="s">
        <v>689</v>
      </c>
      <c r="H21" s="37" t="s">
        <v>690</v>
      </c>
      <c r="I21" s="37" t="s">
        <v>705</v>
      </c>
      <c r="J21" s="479" t="s">
        <v>340</v>
      </c>
    </row>
    <row r="22" spans="1:10" ht="15" thickBot="1" x14ac:dyDescent="0.35">
      <c r="A22" s="454" t="s">
        <v>549</v>
      </c>
      <c r="B22" s="80" t="s">
        <v>685</v>
      </c>
      <c r="C22" s="314">
        <f>GETPIVOTDATA("Sum of Director",CSFTERoleAreaSupportPivot!$A$3,"ReportingLevel","4:National")</f>
        <v>3</v>
      </c>
      <c r="D22" s="314">
        <f>GETPIVOTDATA("Sum of Service Manager",CSFTERoleAreaSupportPivot!$A$3,"ReportingLevel","4:National")</f>
        <v>99.97</v>
      </c>
      <c r="E22" s="314">
        <f>GETPIVOTDATA("Sum of Team Leader",CSFTERoleAreaSupportPivot!$A$3,"ReportingLevel","4:National")</f>
        <v>44.69</v>
      </c>
      <c r="F22" s="314">
        <f>GETPIVOTDATA("Sum of Professional",CSFTERoleAreaSupportPivot!$A$3,"ReportingLevel","4:National")</f>
        <v>82.319999999999979</v>
      </c>
      <c r="G22" s="314">
        <f>GETPIVOTDATA("Sum of Specialist Technical",CSFTERoleAreaSupportPivot!$A$3,"ReportingLevel","4:National")</f>
        <v>446.82000000000022</v>
      </c>
      <c r="H22" s="314">
        <f>GETPIVOTDATA("Sum of Tech Support",CSFTERoleAreaSupportPivot!$A$3,"ReportingLevel","4:National")</f>
        <v>58.220000000000027</v>
      </c>
      <c r="I22" s="314">
        <f>GETPIVOTDATA("Sum of Administration",CSFTERoleAreaSupportPivot!$A$3,"ReportingLevel","4:National")</f>
        <v>116.98999999999998</v>
      </c>
      <c r="J22" s="480">
        <f>GETPIVOTDATA("Sum of Total",CSFTERoleAreaSupportPivot!$A$3,"ReportingLevel","4:National")</f>
        <v>852.01000000000022</v>
      </c>
    </row>
    <row r="23" spans="1:10" x14ac:dyDescent="0.3">
      <c r="B23" s="82"/>
      <c r="C23" s="82"/>
      <c r="D23" s="88"/>
      <c r="E23" s="88"/>
      <c r="F23" s="88"/>
      <c r="G23" s="88"/>
      <c r="H23" s="88"/>
    </row>
    <row r="24" spans="1:10" x14ac:dyDescent="0.3">
      <c r="A24" s="48"/>
      <c r="B24" s="460"/>
      <c r="C24" s="460"/>
      <c r="D24" s="460"/>
      <c r="E24" s="460"/>
      <c r="F24" s="460"/>
      <c r="G24" s="460"/>
      <c r="H24" s="461"/>
      <c r="I24" s="462"/>
    </row>
    <row r="25" spans="1:10" x14ac:dyDescent="0.3">
      <c r="A25" s="342" t="s">
        <v>329</v>
      </c>
      <c r="B25" s="447"/>
      <c r="C25" s="447"/>
      <c r="D25" s="447"/>
      <c r="E25" s="447"/>
      <c r="F25" s="447"/>
      <c r="G25" s="447"/>
      <c r="H25" s="448"/>
      <c r="I25" s="449"/>
    </row>
    <row r="26" spans="1:10" x14ac:dyDescent="0.3">
      <c r="A26" s="457" t="s">
        <v>524</v>
      </c>
      <c r="B26" s="447"/>
      <c r="C26" s="447"/>
      <c r="D26" s="447"/>
      <c r="E26" s="447"/>
      <c r="F26" s="447"/>
      <c r="G26" s="447"/>
      <c r="H26" s="448"/>
      <c r="I26" s="449"/>
    </row>
    <row r="27" spans="1:10" x14ac:dyDescent="0.3">
      <c r="A27" s="369" t="s">
        <v>699</v>
      </c>
      <c r="B27" s="447"/>
      <c r="C27" s="447"/>
      <c r="D27" s="447"/>
      <c r="E27" s="447"/>
      <c r="F27" s="447"/>
      <c r="G27" s="447"/>
      <c r="H27" s="448"/>
      <c r="I27" s="449"/>
    </row>
    <row r="28" spans="1:10" x14ac:dyDescent="0.3">
      <c r="A28" s="562" t="s">
        <v>691</v>
      </c>
      <c r="B28" s="447"/>
      <c r="C28" s="447"/>
      <c r="D28" s="447"/>
      <c r="E28" s="447"/>
      <c r="F28" s="447"/>
      <c r="G28" s="447"/>
      <c r="H28" s="448"/>
      <c r="I28" s="449"/>
    </row>
    <row r="29" spans="1:10" ht="31.5" customHeight="1" x14ac:dyDescent="0.3">
      <c r="A29" s="1029" t="s">
        <v>692</v>
      </c>
      <c r="B29" s="1029"/>
      <c r="C29" s="1029"/>
      <c r="D29" s="1029"/>
      <c r="E29" s="1029"/>
      <c r="F29" s="1029"/>
      <c r="G29" s="1029"/>
      <c r="H29" s="1029"/>
      <c r="I29" s="1029"/>
      <c r="J29" s="1029"/>
    </row>
    <row r="30" spans="1:10" x14ac:dyDescent="0.3">
      <c r="A30" s="450" t="s">
        <v>693</v>
      </c>
      <c r="B30" s="450"/>
      <c r="C30" s="450"/>
      <c r="D30" s="450"/>
      <c r="E30" s="450"/>
      <c r="F30" s="450"/>
      <c r="G30" s="450"/>
      <c r="H30" s="450"/>
      <c r="I30" s="450"/>
      <c r="J30" s="450"/>
    </row>
    <row r="31" spans="1:10" x14ac:dyDescent="0.3">
      <c r="A31" s="1048" t="s">
        <v>694</v>
      </c>
      <c r="B31" s="1048"/>
      <c r="C31" s="1048"/>
      <c r="D31" s="1048"/>
      <c r="E31" s="1048"/>
      <c r="F31" s="1048"/>
      <c r="G31" s="1048"/>
      <c r="H31" s="1048"/>
      <c r="I31" s="1048"/>
      <c r="J31" s="1048"/>
    </row>
    <row r="32" spans="1:10" x14ac:dyDescent="0.3">
      <c r="A32" s="345" t="s">
        <v>558</v>
      </c>
      <c r="B32" s="338"/>
      <c r="C32" s="346"/>
      <c r="D32" s="451"/>
      <c r="E32" s="451"/>
      <c r="F32" s="451"/>
      <c r="G32" s="451"/>
      <c r="H32" s="451"/>
      <c r="I32" s="451"/>
    </row>
    <row r="36" spans="1:10" ht="15" customHeight="1" x14ac:dyDescent="0.3"/>
    <row r="37" spans="1:10" ht="30" customHeight="1" x14ac:dyDescent="0.3">
      <c r="B37" s="1048"/>
      <c r="C37" s="1048"/>
      <c r="D37" s="1048"/>
      <c r="E37" s="1048"/>
      <c r="F37" s="1048"/>
      <c r="G37" s="1048"/>
      <c r="H37" s="1048"/>
      <c r="I37" s="1048"/>
      <c r="J37" s="1048"/>
    </row>
    <row r="38" spans="1:10" ht="15" customHeight="1" x14ac:dyDescent="0.3">
      <c r="A38" s="562"/>
      <c r="B38" s="447"/>
      <c r="C38" s="447"/>
      <c r="D38" s="447"/>
      <c r="E38" s="447"/>
      <c r="F38" s="447"/>
      <c r="G38" s="447"/>
      <c r="H38" s="448"/>
      <c r="I38" s="449"/>
    </row>
    <row r="39" spans="1:10" ht="30" customHeight="1" x14ac:dyDescent="0.3">
      <c r="A39" s="1029"/>
      <c r="B39" s="1029"/>
      <c r="C39" s="1029"/>
      <c r="D39" s="1029"/>
      <c r="E39" s="1029"/>
      <c r="F39" s="1029"/>
      <c r="G39" s="1029"/>
      <c r="H39" s="1029"/>
      <c r="I39" s="1029"/>
      <c r="J39" s="1029"/>
    </row>
    <row r="40" spans="1:10" ht="15" customHeight="1" x14ac:dyDescent="0.3">
      <c r="A40" s="450"/>
      <c r="B40" s="450"/>
      <c r="C40" s="450"/>
      <c r="D40" s="450"/>
      <c r="E40" s="450"/>
      <c r="F40" s="450"/>
      <c r="G40" s="450"/>
      <c r="H40" s="450"/>
      <c r="I40" s="450"/>
      <c r="J40" s="450"/>
    </row>
    <row r="41" spans="1:10" x14ac:dyDescent="0.3">
      <c r="A41" s="1048"/>
      <c r="B41" s="1048"/>
      <c r="C41" s="1048"/>
      <c r="D41" s="1048"/>
      <c r="E41" s="1048"/>
      <c r="F41" s="1048"/>
      <c r="G41" s="1048"/>
      <c r="H41" s="1048"/>
      <c r="I41" s="1048"/>
      <c r="J41" s="1048"/>
    </row>
    <row r="42" spans="1:10" x14ac:dyDescent="0.3">
      <c r="A42" s="345"/>
      <c r="B42" s="338"/>
      <c r="C42" s="346"/>
      <c r="D42" s="451"/>
      <c r="E42" s="451"/>
      <c r="F42" s="451"/>
      <c r="G42" s="451"/>
      <c r="H42" s="451"/>
      <c r="I42" s="451"/>
    </row>
  </sheetData>
  <sheetProtection algorithmName="SHA-512" hashValue="sACdHvnJ9edgdqCDjWmcQemuf9dKsDvRWxzhMge6uIV9BE0sXcNXLxwwDhE5DSDOictwNwcRTIf5rHdwUX8aqw==" saltValue="fZm5etUo4+1LyVBUosBOIA==" spinCount="100000" sheet="1" scenarios="1" formatCells="0" sort="0" autoFilter="0" pivotTables="0"/>
  <mergeCells count="7">
    <mergeCell ref="A41:J41"/>
    <mergeCell ref="A39:J39"/>
    <mergeCell ref="A1:H1"/>
    <mergeCell ref="B37:J37"/>
    <mergeCell ref="A29:J29"/>
    <mergeCell ref="A31:J31"/>
    <mergeCell ref="A15:I15"/>
  </mergeCells>
  <conditionalFormatting sqref="A21:A22">
    <cfRule type="duplicateValues" dxfId="0" priority="1"/>
  </conditionalFormatting>
  <hyperlinks>
    <hyperlink ref="A2" location="'Table of Contents'!A1" display="Back to Table of Contents" xr:uid="{00000000-0004-0000-4F00-000000000000}"/>
  </hyperlinks>
  <pageMargins left="0.70866141732283472" right="0.70866141732283472" top="0.74803149606299213" bottom="0.74803149606299213" header="0.31496062992125984" footer="0.31496062992125984"/>
  <pageSetup paperSize="9" scale="85" orientation="landscape" r:id="rId1"/>
  <drawing r:id="rId2"/>
  <extLst>
    <ext xmlns:x14="http://schemas.microsoft.com/office/spreadsheetml/2009/9/main" uri="{A8765BA9-456A-4dab-B4F3-ACF838C121DE}">
      <x14:slicerList>
        <x14:slicer r:id="rId3"/>
      </x14:slicerList>
    </ext>
  </extLst>
</worksheet>
</file>

<file path=xl/worksheets/sheet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284DCA-7C0E-46FE-AF0E-11A28C21773F}">
  <sheetPr>
    <tabColor theme="9" tint="0.39997558519241921"/>
  </sheetPr>
  <dimension ref="B5:N22"/>
  <sheetViews>
    <sheetView workbookViewId="0">
      <selection activeCell="M9" sqref="M9"/>
    </sheetView>
  </sheetViews>
  <sheetFormatPr defaultRowHeight="14.4" x14ac:dyDescent="0.3"/>
  <cols>
    <col min="2" max="2" width="12.77734375" bestFit="1" customWidth="1"/>
    <col min="3" max="3" width="16.88671875" bestFit="1" customWidth="1"/>
    <col min="4" max="4" width="14.88671875" bestFit="1" customWidth="1"/>
    <col min="5" max="5" width="17.33203125" bestFit="1" customWidth="1"/>
    <col min="6" max="6" width="15.21875" bestFit="1" customWidth="1"/>
    <col min="7" max="7" width="25.21875" bestFit="1" customWidth="1"/>
    <col min="8" max="8" width="23.21875" bestFit="1" customWidth="1"/>
    <col min="9" max="9" width="20.44140625" bestFit="1" customWidth="1"/>
    <col min="10" max="10" width="18.44140625" bestFit="1" customWidth="1"/>
    <col min="11" max="11" width="21" bestFit="1" customWidth="1"/>
    <col min="12" max="12" width="18.88671875" bestFit="1" customWidth="1"/>
    <col min="13" max="13" width="16.88671875" bestFit="1" customWidth="1"/>
    <col min="14" max="14" width="14.88671875" bestFit="1" customWidth="1"/>
  </cols>
  <sheetData>
    <row r="5" spans="2:14" x14ac:dyDescent="0.3">
      <c r="B5" s="386" t="s">
        <v>350</v>
      </c>
      <c r="C5" t="s">
        <v>706</v>
      </c>
      <c r="D5" t="s">
        <v>707</v>
      </c>
      <c r="E5" t="s">
        <v>708</v>
      </c>
      <c r="F5" t="s">
        <v>709</v>
      </c>
      <c r="G5" t="s">
        <v>710</v>
      </c>
      <c r="H5" t="s">
        <v>711</v>
      </c>
      <c r="I5" t="s">
        <v>712</v>
      </c>
      <c r="J5" t="s">
        <v>713</v>
      </c>
      <c r="K5" t="s">
        <v>714</v>
      </c>
      <c r="L5" t="s">
        <v>715</v>
      </c>
      <c r="M5" t="s">
        <v>716</v>
      </c>
      <c r="N5" t="s">
        <v>717</v>
      </c>
    </row>
    <row r="6" spans="2:14" x14ac:dyDescent="0.3">
      <c r="B6" s="387" t="s">
        <v>510</v>
      </c>
      <c r="C6">
        <v>146</v>
      </c>
      <c r="D6">
        <v>4055</v>
      </c>
      <c r="E6">
        <v>160</v>
      </c>
      <c r="F6">
        <v>2879</v>
      </c>
      <c r="I6">
        <v>199</v>
      </c>
      <c r="J6">
        <v>34</v>
      </c>
      <c r="K6">
        <v>650</v>
      </c>
      <c r="L6">
        <v>464</v>
      </c>
      <c r="M6">
        <v>63</v>
      </c>
      <c r="N6">
        <v>374</v>
      </c>
    </row>
    <row r="7" spans="2:14" x14ac:dyDescent="0.3">
      <c r="B7" s="387" t="s">
        <v>362</v>
      </c>
      <c r="C7">
        <v>148</v>
      </c>
      <c r="D7">
        <v>4011</v>
      </c>
      <c r="E7">
        <v>182</v>
      </c>
      <c r="F7">
        <v>2870</v>
      </c>
      <c r="I7">
        <v>202</v>
      </c>
      <c r="J7">
        <v>32</v>
      </c>
      <c r="K7">
        <v>649</v>
      </c>
      <c r="L7">
        <v>487</v>
      </c>
      <c r="M7">
        <v>59</v>
      </c>
      <c r="N7">
        <v>400</v>
      </c>
    </row>
    <row r="8" spans="2:14" x14ac:dyDescent="0.3">
      <c r="B8" s="387" t="s">
        <v>363</v>
      </c>
      <c r="C8">
        <v>158</v>
      </c>
      <c r="D8">
        <v>3993</v>
      </c>
      <c r="E8">
        <v>173</v>
      </c>
      <c r="F8">
        <v>2903</v>
      </c>
      <c r="I8">
        <v>203</v>
      </c>
      <c r="J8">
        <v>31</v>
      </c>
      <c r="K8">
        <v>604</v>
      </c>
      <c r="L8">
        <v>482</v>
      </c>
      <c r="M8">
        <v>52</v>
      </c>
      <c r="N8">
        <v>365</v>
      </c>
    </row>
    <row r="9" spans="2:14" x14ac:dyDescent="0.3">
      <c r="B9" s="387" t="s">
        <v>364</v>
      </c>
      <c r="C9">
        <v>159</v>
      </c>
      <c r="D9">
        <v>3842</v>
      </c>
      <c r="E9">
        <v>178</v>
      </c>
      <c r="F9">
        <v>2762</v>
      </c>
      <c r="I9">
        <v>199</v>
      </c>
      <c r="J9">
        <v>24</v>
      </c>
      <c r="K9">
        <v>545</v>
      </c>
      <c r="L9">
        <v>416</v>
      </c>
      <c r="M9">
        <v>52</v>
      </c>
      <c r="N9">
        <v>307</v>
      </c>
    </row>
    <row r="10" spans="2:14" x14ac:dyDescent="0.3">
      <c r="B10" s="387" t="s">
        <v>365</v>
      </c>
      <c r="C10">
        <v>164</v>
      </c>
      <c r="D10">
        <v>3692</v>
      </c>
      <c r="E10">
        <v>172</v>
      </c>
      <c r="F10">
        <v>2778</v>
      </c>
      <c r="I10">
        <v>192</v>
      </c>
      <c r="J10">
        <v>38</v>
      </c>
      <c r="K10">
        <v>480</v>
      </c>
      <c r="L10">
        <v>387</v>
      </c>
      <c r="M10">
        <v>56</v>
      </c>
      <c r="N10">
        <v>322</v>
      </c>
    </row>
    <row r="11" spans="2:14" x14ac:dyDescent="0.3">
      <c r="B11" s="387" t="s">
        <v>366</v>
      </c>
      <c r="C11">
        <v>167</v>
      </c>
      <c r="D11">
        <v>3523</v>
      </c>
      <c r="E11">
        <v>163</v>
      </c>
      <c r="F11">
        <v>2707</v>
      </c>
      <c r="I11">
        <v>171</v>
      </c>
      <c r="J11">
        <v>32</v>
      </c>
      <c r="K11">
        <v>463</v>
      </c>
      <c r="L11">
        <v>365</v>
      </c>
      <c r="M11">
        <v>56</v>
      </c>
      <c r="N11">
        <v>286</v>
      </c>
    </row>
    <row r="12" spans="2:14" x14ac:dyDescent="0.3">
      <c r="B12" s="387" t="s">
        <v>341</v>
      </c>
      <c r="C12">
        <v>178</v>
      </c>
      <c r="D12">
        <v>3467</v>
      </c>
      <c r="E12">
        <v>158</v>
      </c>
      <c r="F12">
        <v>2712</v>
      </c>
      <c r="I12">
        <v>139</v>
      </c>
      <c r="J12">
        <v>26</v>
      </c>
      <c r="K12">
        <v>466</v>
      </c>
      <c r="L12">
        <v>372</v>
      </c>
      <c r="M12">
        <v>48</v>
      </c>
      <c r="N12">
        <v>268</v>
      </c>
    </row>
    <row r="13" spans="2:14" x14ac:dyDescent="0.3">
      <c r="B13" s="387" t="s">
        <v>342</v>
      </c>
      <c r="C13">
        <v>175</v>
      </c>
      <c r="D13">
        <v>3371</v>
      </c>
      <c r="E13">
        <v>171</v>
      </c>
      <c r="F13">
        <v>2692</v>
      </c>
      <c r="I13">
        <v>158</v>
      </c>
      <c r="J13">
        <v>31</v>
      </c>
      <c r="K13">
        <v>476</v>
      </c>
      <c r="L13">
        <v>370</v>
      </c>
      <c r="M13">
        <v>55</v>
      </c>
      <c r="N13">
        <v>277</v>
      </c>
    </row>
    <row r="14" spans="2:14" x14ac:dyDescent="0.3">
      <c r="B14" s="387" t="s">
        <v>213</v>
      </c>
      <c r="C14">
        <v>196</v>
      </c>
      <c r="D14">
        <v>3441</v>
      </c>
      <c r="E14">
        <v>201</v>
      </c>
      <c r="F14">
        <v>2734</v>
      </c>
      <c r="G14">
        <v>1</v>
      </c>
      <c r="H14">
        <v>17</v>
      </c>
      <c r="I14">
        <v>172</v>
      </c>
      <c r="J14">
        <v>35</v>
      </c>
      <c r="K14">
        <v>427</v>
      </c>
      <c r="L14">
        <v>365</v>
      </c>
      <c r="M14">
        <v>54</v>
      </c>
      <c r="N14">
        <v>263</v>
      </c>
    </row>
    <row r="15" spans="2:14" x14ac:dyDescent="0.3">
      <c r="B15" s="387" t="s">
        <v>312</v>
      </c>
      <c r="C15">
        <v>222</v>
      </c>
      <c r="D15">
        <v>3414</v>
      </c>
      <c r="E15">
        <v>208</v>
      </c>
      <c r="F15">
        <v>2729</v>
      </c>
      <c r="G15">
        <v>7</v>
      </c>
      <c r="H15">
        <v>29</v>
      </c>
      <c r="I15">
        <v>156</v>
      </c>
      <c r="J15">
        <v>32</v>
      </c>
      <c r="K15">
        <v>447</v>
      </c>
      <c r="L15">
        <v>370</v>
      </c>
      <c r="M15">
        <v>54</v>
      </c>
      <c r="N15">
        <v>261</v>
      </c>
    </row>
    <row r="16" spans="2:14" x14ac:dyDescent="0.3">
      <c r="B16" s="387" t="s">
        <v>318</v>
      </c>
      <c r="C16">
        <v>219</v>
      </c>
      <c r="D16">
        <v>3362</v>
      </c>
      <c r="E16">
        <v>197</v>
      </c>
      <c r="F16">
        <v>2675</v>
      </c>
      <c r="G16">
        <v>11</v>
      </c>
      <c r="H16">
        <v>43</v>
      </c>
      <c r="I16">
        <v>151</v>
      </c>
      <c r="J16">
        <v>31</v>
      </c>
      <c r="K16">
        <v>461</v>
      </c>
      <c r="L16">
        <v>374</v>
      </c>
      <c r="M16">
        <v>52</v>
      </c>
      <c r="N16">
        <v>251</v>
      </c>
    </row>
    <row r="17" spans="2:14" x14ac:dyDescent="0.3">
      <c r="B17" s="387" t="s">
        <v>320</v>
      </c>
      <c r="C17">
        <v>225</v>
      </c>
      <c r="D17">
        <v>3305</v>
      </c>
      <c r="E17">
        <v>191</v>
      </c>
      <c r="F17">
        <v>2567</v>
      </c>
      <c r="G17">
        <v>10</v>
      </c>
      <c r="H17">
        <v>43</v>
      </c>
      <c r="I17">
        <v>146</v>
      </c>
      <c r="J17">
        <v>28</v>
      </c>
      <c r="K17">
        <v>501</v>
      </c>
      <c r="L17">
        <v>419</v>
      </c>
      <c r="M17">
        <v>46</v>
      </c>
      <c r="N17">
        <v>231</v>
      </c>
    </row>
    <row r="18" spans="2:14" x14ac:dyDescent="0.3">
      <c r="B18" s="387" t="s">
        <v>325</v>
      </c>
      <c r="C18">
        <v>227</v>
      </c>
      <c r="D18">
        <v>3263</v>
      </c>
      <c r="E18">
        <v>185</v>
      </c>
      <c r="F18">
        <v>2550</v>
      </c>
      <c r="G18">
        <v>9</v>
      </c>
      <c r="H18">
        <v>46</v>
      </c>
      <c r="I18">
        <v>144</v>
      </c>
      <c r="J18">
        <v>28</v>
      </c>
      <c r="K18">
        <v>484</v>
      </c>
      <c r="L18">
        <v>417</v>
      </c>
      <c r="M18">
        <v>40</v>
      </c>
      <c r="N18">
        <v>226</v>
      </c>
    </row>
    <row r="19" spans="2:14" x14ac:dyDescent="0.3">
      <c r="B19" s="387" t="s">
        <v>326</v>
      </c>
      <c r="C19">
        <v>220</v>
      </c>
      <c r="D19">
        <v>3202</v>
      </c>
      <c r="E19">
        <v>191</v>
      </c>
      <c r="F19">
        <v>2517</v>
      </c>
      <c r="G19">
        <v>8</v>
      </c>
      <c r="H19">
        <v>47</v>
      </c>
      <c r="I19">
        <v>142</v>
      </c>
      <c r="J19">
        <v>29</v>
      </c>
      <c r="K19">
        <v>482</v>
      </c>
      <c r="L19">
        <v>405</v>
      </c>
      <c r="M19">
        <v>42</v>
      </c>
      <c r="N19">
        <v>227</v>
      </c>
    </row>
    <row r="20" spans="2:14" x14ac:dyDescent="0.3">
      <c r="B20" s="387" t="s">
        <v>328</v>
      </c>
      <c r="C20">
        <v>220</v>
      </c>
      <c r="D20">
        <v>3210</v>
      </c>
      <c r="E20">
        <v>203</v>
      </c>
      <c r="F20">
        <v>2502</v>
      </c>
      <c r="G20">
        <v>7</v>
      </c>
      <c r="H20">
        <v>53</v>
      </c>
      <c r="I20">
        <v>139</v>
      </c>
      <c r="J20">
        <v>32</v>
      </c>
      <c r="K20">
        <v>492</v>
      </c>
      <c r="L20">
        <v>425</v>
      </c>
      <c r="M20">
        <v>42</v>
      </c>
      <c r="N20">
        <v>231</v>
      </c>
    </row>
    <row r="21" spans="2:14" x14ac:dyDescent="0.3">
      <c r="B21" s="387" t="s">
        <v>412</v>
      </c>
      <c r="C21">
        <v>229</v>
      </c>
      <c r="D21">
        <v>3202</v>
      </c>
      <c r="E21">
        <v>208</v>
      </c>
      <c r="F21">
        <v>2539</v>
      </c>
      <c r="G21">
        <v>8</v>
      </c>
      <c r="H21">
        <v>52</v>
      </c>
      <c r="I21">
        <v>136</v>
      </c>
      <c r="J21">
        <v>41</v>
      </c>
      <c r="K21">
        <v>490</v>
      </c>
      <c r="L21">
        <v>432</v>
      </c>
      <c r="M21">
        <v>38</v>
      </c>
      <c r="N21">
        <v>214</v>
      </c>
    </row>
    <row r="22" spans="2:14" x14ac:dyDescent="0.3">
      <c r="B22" s="387" t="s">
        <v>357</v>
      </c>
      <c r="C22">
        <v>3053</v>
      </c>
      <c r="D22">
        <v>56353</v>
      </c>
      <c r="E22">
        <v>2941</v>
      </c>
      <c r="F22">
        <v>43116</v>
      </c>
      <c r="G22">
        <v>61</v>
      </c>
      <c r="H22">
        <v>330</v>
      </c>
      <c r="I22">
        <v>2649</v>
      </c>
      <c r="J22">
        <v>504</v>
      </c>
      <c r="K22">
        <v>8117</v>
      </c>
      <c r="L22">
        <v>6550</v>
      </c>
      <c r="M22">
        <v>809</v>
      </c>
      <c r="N22">
        <v>4503</v>
      </c>
    </row>
  </sheetData>
  <pageMargins left="0.7" right="0.7" top="0.75" bottom="0.75" header="0.3" footer="0.3"/>
</worksheet>
</file>

<file path=xl/worksheets/sheet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9C08EC-A081-4979-8390-86EE4FCB83CC}">
  <sheetPr>
    <tabColor theme="9" tint="0.39997558519241921"/>
  </sheetPr>
  <dimension ref="A1:M17"/>
  <sheetViews>
    <sheetView workbookViewId="0">
      <selection activeCell="D5" sqref="D5"/>
    </sheetView>
  </sheetViews>
  <sheetFormatPr defaultRowHeight="14.4" x14ac:dyDescent="0.3"/>
  <cols>
    <col min="1" max="1" width="7.6640625" bestFit="1" customWidth="1"/>
    <col min="2" max="2" width="12.44140625" bestFit="1" customWidth="1"/>
    <col min="3" max="3" width="10.5546875" bestFit="1" customWidth="1"/>
    <col min="4" max="4" width="12.88671875" bestFit="1" customWidth="1"/>
    <col min="5" max="5" width="11" bestFit="1" customWidth="1"/>
    <col min="6" max="6" width="20.77734375" bestFit="1" customWidth="1"/>
    <col min="7" max="7" width="18.77734375" bestFit="1" customWidth="1"/>
    <col min="8" max="8" width="16.109375" bestFit="1" customWidth="1"/>
    <col min="9" max="9" width="14" bestFit="1" customWidth="1"/>
    <col min="10" max="10" width="16.5546875" bestFit="1" customWidth="1"/>
    <col min="11" max="11" width="14.44140625" bestFit="1" customWidth="1"/>
    <col min="12" max="12" width="12.44140625" bestFit="1" customWidth="1"/>
    <col min="13" max="13" width="10.5546875" bestFit="1" customWidth="1"/>
  </cols>
  <sheetData>
    <row r="1" spans="1:13" x14ac:dyDescent="0.3">
      <c r="A1" t="s">
        <v>208</v>
      </c>
      <c r="B1" t="s">
        <v>718</v>
      </c>
      <c r="C1" t="s">
        <v>719</v>
      </c>
      <c r="D1" t="s">
        <v>720</v>
      </c>
      <c r="E1" t="s">
        <v>721</v>
      </c>
      <c r="F1" t="s">
        <v>722</v>
      </c>
      <c r="G1" t="s">
        <v>723</v>
      </c>
      <c r="H1" t="s">
        <v>724</v>
      </c>
      <c r="I1" t="s">
        <v>725</v>
      </c>
      <c r="J1" t="s">
        <v>726</v>
      </c>
      <c r="K1" t="s">
        <v>727</v>
      </c>
      <c r="L1" t="s">
        <v>728</v>
      </c>
      <c r="M1" t="s">
        <v>729</v>
      </c>
    </row>
    <row r="2" spans="1:13" x14ac:dyDescent="0.3">
      <c r="A2" t="s">
        <v>510</v>
      </c>
      <c r="B2">
        <v>146</v>
      </c>
      <c r="C2">
        <v>4055</v>
      </c>
      <c r="D2">
        <v>160</v>
      </c>
      <c r="E2">
        <v>2879</v>
      </c>
      <c r="H2">
        <v>199</v>
      </c>
      <c r="I2">
        <v>34</v>
      </c>
      <c r="J2">
        <v>650</v>
      </c>
      <c r="K2">
        <v>464</v>
      </c>
      <c r="L2">
        <v>63</v>
      </c>
      <c r="M2">
        <v>374</v>
      </c>
    </row>
    <row r="3" spans="1:13" x14ac:dyDescent="0.3">
      <c r="A3" t="s">
        <v>342</v>
      </c>
      <c r="B3">
        <v>175</v>
      </c>
      <c r="C3">
        <v>3371</v>
      </c>
      <c r="D3">
        <v>171</v>
      </c>
      <c r="E3">
        <v>2692</v>
      </c>
      <c r="H3">
        <v>158</v>
      </c>
      <c r="I3">
        <v>31</v>
      </c>
      <c r="J3">
        <v>476</v>
      </c>
      <c r="K3">
        <v>370</v>
      </c>
      <c r="L3">
        <v>55</v>
      </c>
      <c r="M3">
        <v>277</v>
      </c>
    </row>
    <row r="4" spans="1:13" x14ac:dyDescent="0.3">
      <c r="A4" t="s">
        <v>364</v>
      </c>
      <c r="B4">
        <v>159</v>
      </c>
      <c r="C4">
        <v>3842</v>
      </c>
      <c r="D4">
        <v>178</v>
      </c>
      <c r="E4">
        <v>2762</v>
      </c>
      <c r="H4">
        <v>199</v>
      </c>
      <c r="I4">
        <v>24</v>
      </c>
      <c r="J4">
        <v>545</v>
      </c>
      <c r="K4">
        <v>416</v>
      </c>
      <c r="L4">
        <v>52</v>
      </c>
      <c r="M4">
        <v>307</v>
      </c>
    </row>
    <row r="5" spans="1:13" x14ac:dyDescent="0.3">
      <c r="A5" t="s">
        <v>365</v>
      </c>
      <c r="B5">
        <v>164</v>
      </c>
      <c r="C5">
        <v>3692</v>
      </c>
      <c r="D5">
        <v>172</v>
      </c>
      <c r="E5">
        <v>2778</v>
      </c>
      <c r="H5">
        <v>192</v>
      </c>
      <c r="I5">
        <v>38</v>
      </c>
      <c r="J5">
        <v>480</v>
      </c>
      <c r="K5">
        <v>387</v>
      </c>
      <c r="L5">
        <v>56</v>
      </c>
      <c r="M5">
        <v>322</v>
      </c>
    </row>
    <row r="6" spans="1:13" x14ac:dyDescent="0.3">
      <c r="A6" t="s">
        <v>366</v>
      </c>
      <c r="B6">
        <v>167</v>
      </c>
      <c r="C6">
        <v>3523</v>
      </c>
      <c r="D6">
        <v>163</v>
      </c>
      <c r="E6">
        <v>2707</v>
      </c>
      <c r="H6">
        <v>171</v>
      </c>
      <c r="I6">
        <v>32</v>
      </c>
      <c r="J6">
        <v>463</v>
      </c>
      <c r="K6">
        <v>365</v>
      </c>
      <c r="L6">
        <v>56</v>
      </c>
      <c r="M6">
        <v>286</v>
      </c>
    </row>
    <row r="7" spans="1:13" x14ac:dyDescent="0.3">
      <c r="A7" t="s">
        <v>341</v>
      </c>
      <c r="B7">
        <v>178</v>
      </c>
      <c r="C7">
        <v>3467</v>
      </c>
      <c r="D7">
        <v>158</v>
      </c>
      <c r="E7">
        <v>2712</v>
      </c>
      <c r="H7">
        <v>139</v>
      </c>
      <c r="I7">
        <v>26</v>
      </c>
      <c r="J7">
        <v>466</v>
      </c>
      <c r="K7">
        <v>372</v>
      </c>
      <c r="L7">
        <v>48</v>
      </c>
      <c r="M7">
        <v>268</v>
      </c>
    </row>
    <row r="8" spans="1:13" x14ac:dyDescent="0.3">
      <c r="A8" t="s">
        <v>326</v>
      </c>
      <c r="B8">
        <v>220</v>
      </c>
      <c r="C8">
        <v>3202</v>
      </c>
      <c r="D8">
        <v>191</v>
      </c>
      <c r="E8">
        <v>2517</v>
      </c>
      <c r="F8">
        <v>8</v>
      </c>
      <c r="G8">
        <v>47</v>
      </c>
      <c r="H8">
        <v>142</v>
      </c>
      <c r="I8">
        <v>29</v>
      </c>
      <c r="J8">
        <v>482</v>
      </c>
      <c r="K8">
        <v>405</v>
      </c>
      <c r="L8">
        <v>42</v>
      </c>
      <c r="M8">
        <v>227</v>
      </c>
    </row>
    <row r="9" spans="1:13" x14ac:dyDescent="0.3">
      <c r="A9" t="s">
        <v>412</v>
      </c>
      <c r="B9">
        <v>229</v>
      </c>
      <c r="C9">
        <v>3202</v>
      </c>
      <c r="D9">
        <v>208</v>
      </c>
      <c r="E9">
        <v>2539</v>
      </c>
      <c r="F9">
        <v>8</v>
      </c>
      <c r="G9">
        <v>52</v>
      </c>
      <c r="H9">
        <v>136</v>
      </c>
      <c r="I9">
        <v>41</v>
      </c>
      <c r="J9">
        <v>490</v>
      </c>
      <c r="K9">
        <v>432</v>
      </c>
      <c r="L9">
        <v>38</v>
      </c>
      <c r="M9">
        <v>214</v>
      </c>
    </row>
    <row r="10" spans="1:13" x14ac:dyDescent="0.3">
      <c r="A10" t="s">
        <v>213</v>
      </c>
      <c r="B10">
        <v>196</v>
      </c>
      <c r="C10">
        <v>3441</v>
      </c>
      <c r="D10">
        <v>201</v>
      </c>
      <c r="E10">
        <v>2734</v>
      </c>
      <c r="F10">
        <v>1</v>
      </c>
      <c r="G10">
        <v>17</v>
      </c>
      <c r="H10">
        <v>172</v>
      </c>
      <c r="I10">
        <v>35</v>
      </c>
      <c r="J10">
        <v>427</v>
      </c>
      <c r="K10">
        <v>365</v>
      </c>
      <c r="L10">
        <v>54</v>
      </c>
      <c r="M10">
        <v>263</v>
      </c>
    </row>
    <row r="11" spans="1:13" x14ac:dyDescent="0.3">
      <c r="A11" t="s">
        <v>312</v>
      </c>
      <c r="B11">
        <v>222</v>
      </c>
      <c r="C11">
        <v>3414</v>
      </c>
      <c r="D11">
        <v>208</v>
      </c>
      <c r="E11">
        <v>2729</v>
      </c>
      <c r="F11">
        <v>7</v>
      </c>
      <c r="G11">
        <v>29</v>
      </c>
      <c r="H11">
        <v>156</v>
      </c>
      <c r="I11">
        <v>32</v>
      </c>
      <c r="J11">
        <v>447</v>
      </c>
      <c r="K11">
        <v>370</v>
      </c>
      <c r="L11">
        <v>54</v>
      </c>
      <c r="M11">
        <v>261</v>
      </c>
    </row>
    <row r="12" spans="1:13" x14ac:dyDescent="0.3">
      <c r="A12" t="s">
        <v>362</v>
      </c>
      <c r="B12">
        <v>148</v>
      </c>
      <c r="C12">
        <v>4011</v>
      </c>
      <c r="D12">
        <v>182</v>
      </c>
      <c r="E12">
        <v>2870</v>
      </c>
      <c r="H12">
        <v>202</v>
      </c>
      <c r="I12">
        <v>32</v>
      </c>
      <c r="J12">
        <v>649</v>
      </c>
      <c r="K12">
        <v>487</v>
      </c>
      <c r="L12">
        <v>59</v>
      </c>
      <c r="M12">
        <v>400</v>
      </c>
    </row>
    <row r="13" spans="1:13" x14ac:dyDescent="0.3">
      <c r="A13" t="s">
        <v>318</v>
      </c>
      <c r="B13">
        <v>219</v>
      </c>
      <c r="C13">
        <v>3362</v>
      </c>
      <c r="D13">
        <v>197</v>
      </c>
      <c r="E13">
        <v>2675</v>
      </c>
      <c r="F13">
        <v>11</v>
      </c>
      <c r="G13">
        <v>43</v>
      </c>
      <c r="H13">
        <v>151</v>
      </c>
      <c r="I13">
        <v>31</v>
      </c>
      <c r="J13">
        <v>461</v>
      </c>
      <c r="K13">
        <v>374</v>
      </c>
      <c r="L13">
        <v>52</v>
      </c>
      <c r="M13">
        <v>251</v>
      </c>
    </row>
    <row r="14" spans="1:13" x14ac:dyDescent="0.3">
      <c r="A14" t="s">
        <v>328</v>
      </c>
      <c r="B14">
        <v>220</v>
      </c>
      <c r="C14">
        <v>3210</v>
      </c>
      <c r="D14">
        <v>203</v>
      </c>
      <c r="E14">
        <v>2502</v>
      </c>
      <c r="F14">
        <v>7</v>
      </c>
      <c r="G14">
        <v>53</v>
      </c>
      <c r="H14">
        <v>139</v>
      </c>
      <c r="I14">
        <v>32</v>
      </c>
      <c r="J14">
        <v>492</v>
      </c>
      <c r="K14">
        <v>425</v>
      </c>
      <c r="L14">
        <v>42</v>
      </c>
      <c r="M14">
        <v>231</v>
      </c>
    </row>
    <row r="15" spans="1:13" x14ac:dyDescent="0.3">
      <c r="A15" t="s">
        <v>363</v>
      </c>
      <c r="B15">
        <v>158</v>
      </c>
      <c r="C15">
        <v>3993</v>
      </c>
      <c r="D15">
        <v>173</v>
      </c>
      <c r="E15">
        <v>2903</v>
      </c>
      <c r="H15">
        <v>203</v>
      </c>
      <c r="I15">
        <v>31</v>
      </c>
      <c r="J15">
        <v>604</v>
      </c>
      <c r="K15">
        <v>482</v>
      </c>
      <c r="L15">
        <v>52</v>
      </c>
      <c r="M15">
        <v>365</v>
      </c>
    </row>
    <row r="16" spans="1:13" x14ac:dyDescent="0.3">
      <c r="A16" t="s">
        <v>320</v>
      </c>
      <c r="B16">
        <v>225</v>
      </c>
      <c r="C16">
        <v>3305</v>
      </c>
      <c r="D16">
        <v>191</v>
      </c>
      <c r="E16">
        <v>2567</v>
      </c>
      <c r="F16">
        <v>10</v>
      </c>
      <c r="G16">
        <v>43</v>
      </c>
      <c r="H16">
        <v>146</v>
      </c>
      <c r="I16">
        <v>28</v>
      </c>
      <c r="J16">
        <v>501</v>
      </c>
      <c r="K16">
        <v>419</v>
      </c>
      <c r="L16">
        <v>46</v>
      </c>
      <c r="M16">
        <v>231</v>
      </c>
    </row>
    <row r="17" spans="1:13" x14ac:dyDescent="0.3">
      <c r="A17" t="s">
        <v>325</v>
      </c>
      <c r="B17">
        <v>227</v>
      </c>
      <c r="C17">
        <v>3263</v>
      </c>
      <c r="D17">
        <v>185</v>
      </c>
      <c r="E17">
        <v>2550</v>
      </c>
      <c r="F17">
        <v>9</v>
      </c>
      <c r="G17">
        <v>46</v>
      </c>
      <c r="H17">
        <v>144</v>
      </c>
      <c r="I17">
        <v>28</v>
      </c>
      <c r="J17">
        <v>484</v>
      </c>
      <c r="K17">
        <v>417</v>
      </c>
      <c r="L17">
        <v>40</v>
      </c>
      <c r="M17">
        <v>226</v>
      </c>
    </row>
  </sheetData>
  <pageMargins left="0.7" right="0.7" top="0.75" bottom="0.75" header="0.3" footer="0.3"/>
  <tableParts count="1">
    <tablePart r:id="rId1"/>
  </tableParts>
</worksheet>
</file>

<file path=xl/worksheets/sheet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Sheet14">
    <tabColor theme="9" tint="0.39997558519241921"/>
    <pageSetUpPr fitToPage="1"/>
  </sheetPr>
  <dimension ref="A1:R66"/>
  <sheetViews>
    <sheetView showGridLines="0" zoomScaleNormal="100" workbookViewId="0">
      <pane ySplit="2" topLeftCell="A3" activePane="bottomLeft" state="frozen"/>
      <selection pane="bottomLeft" sqref="A1:E1"/>
    </sheetView>
  </sheetViews>
  <sheetFormatPr defaultRowHeight="14.4" x14ac:dyDescent="0.3"/>
  <cols>
    <col min="1" max="1" width="18.5546875" customWidth="1"/>
    <col min="2" max="2" width="12.5546875" customWidth="1"/>
    <col min="3" max="3" width="11.44140625" customWidth="1"/>
    <col min="4" max="4" width="12.88671875" bestFit="1" customWidth="1"/>
    <col min="5" max="5" width="10.6640625" bestFit="1" customWidth="1"/>
    <col min="6" max="6" width="20.5546875" bestFit="1" customWidth="1"/>
    <col min="7" max="7" width="18.44140625" bestFit="1" customWidth="1"/>
    <col min="8" max="8" width="15.88671875" bestFit="1" customWidth="1"/>
    <col min="9" max="9" width="13.6640625" bestFit="1" customWidth="1"/>
    <col min="10" max="10" width="16.44140625" bestFit="1" customWidth="1"/>
    <col min="11" max="11" width="14.109375" bestFit="1" customWidth="1"/>
    <col min="12" max="12" width="12.44140625" bestFit="1" customWidth="1"/>
    <col min="13" max="13" width="10.44140625" bestFit="1" customWidth="1"/>
    <col min="14" max="17" width="11.109375" customWidth="1"/>
  </cols>
  <sheetData>
    <row r="1" spans="1:18" ht="15.6" x14ac:dyDescent="0.3">
      <c r="A1" s="1030" t="s">
        <v>515</v>
      </c>
      <c r="B1" s="1030"/>
      <c r="C1" s="1030"/>
      <c r="D1" s="1030"/>
      <c r="E1" s="1030"/>
      <c r="F1" s="440"/>
      <c r="G1" s="440"/>
    </row>
    <row r="2" spans="1:18" ht="15.6" x14ac:dyDescent="0.3">
      <c r="A2" s="498" t="s">
        <v>202</v>
      </c>
      <c r="C2" s="440"/>
      <c r="D2" s="440"/>
      <c r="E2" s="440"/>
      <c r="F2" s="440"/>
      <c r="G2" s="440"/>
    </row>
    <row r="3" spans="1:18" ht="15.6" x14ac:dyDescent="0.3">
      <c r="C3" s="440"/>
      <c r="D3" s="440"/>
      <c r="E3" s="440"/>
      <c r="F3" s="440"/>
      <c r="G3" s="440"/>
      <c r="H3" s="25"/>
      <c r="I3" s="25"/>
      <c r="J3" s="25"/>
      <c r="K3" s="25"/>
      <c r="L3" s="25"/>
      <c r="M3" s="25"/>
      <c r="N3" s="25"/>
      <c r="O3" s="25"/>
      <c r="P3" s="25"/>
      <c r="Q3" s="25"/>
    </row>
    <row r="4" spans="1:18" ht="15.6" x14ac:dyDescent="0.3">
      <c r="A4" s="1059" t="s">
        <v>730</v>
      </c>
      <c r="B4" s="1059"/>
      <c r="C4" s="1059"/>
      <c r="D4" s="1059"/>
      <c r="E4" s="1059"/>
      <c r="F4" s="1059"/>
      <c r="G4" s="1059"/>
      <c r="H4" s="1059"/>
      <c r="I4" s="1059"/>
      <c r="J4" s="1059"/>
      <c r="K4" s="1059"/>
      <c r="L4" s="1059"/>
      <c r="M4" s="1059"/>
      <c r="N4" s="1059"/>
      <c r="O4" s="1059"/>
      <c r="P4" s="1059"/>
      <c r="Q4" s="1059"/>
    </row>
    <row r="5" spans="1:18" ht="15.6" x14ac:dyDescent="0.3">
      <c r="A5" t="s">
        <v>203</v>
      </c>
      <c r="B5" t="s">
        <v>88</v>
      </c>
      <c r="C5" s="420"/>
      <c r="D5" s="420"/>
      <c r="E5" s="420"/>
      <c r="F5" s="420"/>
      <c r="G5" s="420"/>
      <c r="H5" s="420"/>
      <c r="I5" s="420"/>
      <c r="J5" s="420"/>
      <c r="K5" s="420"/>
      <c r="L5" s="420"/>
      <c r="M5" s="420"/>
      <c r="N5" s="420"/>
      <c r="O5" s="420"/>
      <c r="P5" s="420"/>
      <c r="Q5" s="420"/>
    </row>
    <row r="6" spans="1:18" ht="15.6" x14ac:dyDescent="0.3">
      <c r="A6" t="s">
        <v>204</v>
      </c>
      <c r="B6" t="s">
        <v>205</v>
      </c>
      <c r="C6" s="420"/>
      <c r="D6" s="420"/>
      <c r="E6" s="420"/>
      <c r="F6" s="420"/>
      <c r="G6" s="420"/>
      <c r="H6" s="420"/>
      <c r="I6" s="420"/>
      <c r="J6" s="420"/>
      <c r="K6" s="420"/>
      <c r="L6" s="420"/>
      <c r="M6" s="420"/>
      <c r="N6" s="420"/>
      <c r="O6" s="420"/>
      <c r="P6" s="420"/>
      <c r="Q6" s="420"/>
    </row>
    <row r="7" spans="1:18" ht="15.6" x14ac:dyDescent="0.3">
      <c r="A7" t="s">
        <v>206</v>
      </c>
      <c r="B7" t="s">
        <v>207</v>
      </c>
      <c r="C7" s="420"/>
      <c r="D7" s="420"/>
      <c r="E7" s="420"/>
      <c r="F7" s="420"/>
      <c r="G7" s="420"/>
      <c r="H7" s="420"/>
      <c r="I7" s="420"/>
      <c r="J7" s="420"/>
      <c r="K7" s="420"/>
      <c r="L7" s="420"/>
      <c r="M7" s="420"/>
      <c r="N7" s="420"/>
      <c r="O7" s="420"/>
      <c r="P7" s="420"/>
      <c r="Q7" s="420"/>
    </row>
    <row r="8" spans="1:18" x14ac:dyDescent="0.3">
      <c r="A8" s="12"/>
      <c r="B8" s="12"/>
      <c r="C8" s="12"/>
      <c r="D8" s="12"/>
      <c r="E8" s="12"/>
      <c r="F8" s="12"/>
      <c r="G8" s="12"/>
      <c r="H8" s="12"/>
      <c r="I8" s="12"/>
      <c r="J8" s="12"/>
      <c r="K8" s="12"/>
      <c r="L8" s="15"/>
      <c r="M8" s="99"/>
      <c r="N8" s="15"/>
      <c r="O8" s="15"/>
      <c r="P8" s="15"/>
      <c r="Q8" s="97" t="s">
        <v>346</v>
      </c>
    </row>
    <row r="9" spans="1:18" ht="29.4" customHeight="1" x14ac:dyDescent="0.3">
      <c r="A9" s="812" t="s">
        <v>55</v>
      </c>
      <c r="B9" s="1055" t="s">
        <v>517</v>
      </c>
      <c r="C9" s="1056"/>
      <c r="D9" s="1054" t="s">
        <v>361</v>
      </c>
      <c r="E9" s="1054"/>
      <c r="F9" s="1053" t="s">
        <v>518</v>
      </c>
      <c r="G9" s="1054"/>
      <c r="H9" s="1053" t="s">
        <v>513</v>
      </c>
      <c r="I9" s="1054"/>
      <c r="J9" s="1053" t="s">
        <v>731</v>
      </c>
      <c r="K9" s="1054"/>
      <c r="L9" s="1054" t="s">
        <v>339</v>
      </c>
      <c r="M9" s="1054"/>
      <c r="N9" s="1053" t="s">
        <v>340</v>
      </c>
      <c r="O9" s="1054"/>
      <c r="P9" s="1055" t="s">
        <v>732</v>
      </c>
      <c r="Q9" s="1056"/>
      <c r="R9" s="811"/>
    </row>
    <row r="10" spans="1:18" x14ac:dyDescent="0.3">
      <c r="A10" s="525" t="s">
        <v>208</v>
      </c>
      <c r="B10" s="813" t="s">
        <v>733</v>
      </c>
      <c r="C10" s="814" t="s">
        <v>734</v>
      </c>
      <c r="D10" s="647" t="s">
        <v>733</v>
      </c>
      <c r="E10" s="647" t="s">
        <v>734</v>
      </c>
      <c r="F10" s="813" t="s">
        <v>733</v>
      </c>
      <c r="G10" s="647" t="s">
        <v>734</v>
      </c>
      <c r="H10" s="813" t="s">
        <v>733</v>
      </c>
      <c r="I10" s="647" t="s">
        <v>734</v>
      </c>
      <c r="J10" s="813" t="s">
        <v>733</v>
      </c>
      <c r="K10" s="647" t="s">
        <v>734</v>
      </c>
      <c r="L10" s="647" t="s">
        <v>733</v>
      </c>
      <c r="M10" s="647" t="s">
        <v>734</v>
      </c>
      <c r="N10" s="813" t="s">
        <v>733</v>
      </c>
      <c r="O10" s="647" t="s">
        <v>734</v>
      </c>
      <c r="P10" s="813" t="s">
        <v>733</v>
      </c>
      <c r="Q10" s="814" t="s">
        <v>734</v>
      </c>
    </row>
    <row r="11" spans="1:18" x14ac:dyDescent="0.3">
      <c r="A11" s="312" t="s">
        <v>362</v>
      </c>
      <c r="B11" s="609">
        <f>GETPIVOTDATA("Sum of WTFemale",SexTimeseriesPivot!$B$5,"Year",A11)</f>
        <v>148</v>
      </c>
      <c r="C11" s="609">
        <f>GETPIVOTDATA("Sum of WTMale",SexTimeseriesPivot!$B$5,"Year",A11)</f>
        <v>4011</v>
      </c>
      <c r="D11" s="609">
        <f>GETPIVOTDATA("Sum of RDSFemale",SexTimeseriesPivot!$B$5,"Year",A11)</f>
        <v>182</v>
      </c>
      <c r="E11" s="609">
        <f>GETPIVOTDATA("Sum of RDSMale",SexTimeseriesPivot!$B$5,"Year",A11)</f>
        <v>2870</v>
      </c>
      <c r="F11" s="609"/>
      <c r="G11" s="609"/>
      <c r="H11" s="609">
        <f>GETPIVOTDATA("Sum of ControlFemale",SexTimeseriesPivot!$B$5,"Year",A11)</f>
        <v>202</v>
      </c>
      <c r="I11" s="609">
        <f>GETPIVOTDATA("Sum of ControlMale",SexTimeseriesPivot!$B$5,"Year",A11)</f>
        <v>32</v>
      </c>
      <c r="J11" s="609">
        <f>GETPIVOTDATA("Sum of SupportFemale",SexTimeseriesPivot!$B$5,"Year",A11)</f>
        <v>649</v>
      </c>
      <c r="K11" s="609">
        <f>GETPIVOTDATA("Sum of SupportMale",SexTimeseriesPivot!$B$5,"Year",A11)</f>
        <v>487</v>
      </c>
      <c r="L11" s="609">
        <f>GETPIVOTDATA("Sum of VolFemale",SexTimeseriesPivot!$B$5,"Year",A11)</f>
        <v>59</v>
      </c>
      <c r="M11" s="609">
        <f>GETPIVOTDATA("Sum of VolMale",SexTimeseriesPivot!$B$5,"Year",A11)</f>
        <v>400</v>
      </c>
      <c r="N11" s="817">
        <f>L11+J11+H11+F11+D11+B11</f>
        <v>1240</v>
      </c>
      <c r="O11" s="610">
        <f>M11+K11+I11+G11+E11+C11</f>
        <v>7800</v>
      </c>
      <c r="P11" s="815">
        <f>B11+D11+F11+H11+J11</f>
        <v>1181</v>
      </c>
      <c r="Q11" s="816">
        <f>C11+E11+G11+I11+K11</f>
        <v>7400</v>
      </c>
    </row>
    <row r="12" spans="1:18" x14ac:dyDescent="0.3">
      <c r="A12" s="312" t="s">
        <v>363</v>
      </c>
      <c r="B12" s="609">
        <f>GETPIVOTDATA("Sum of WTFemale",SexTimeseriesPivot!$B$5,"Year",A12)</f>
        <v>158</v>
      </c>
      <c r="C12" s="609">
        <f>GETPIVOTDATA("Sum of WTMale",SexTimeseriesPivot!$B$5,"Year",A12)</f>
        <v>3993</v>
      </c>
      <c r="D12" s="609">
        <f>GETPIVOTDATA("Sum of RDSFemale",SexTimeseriesPivot!$B$5,"Year",A12)</f>
        <v>173</v>
      </c>
      <c r="E12" s="609">
        <f>GETPIVOTDATA("Sum of RDSMale",SexTimeseriesPivot!$B$5,"Year",A12)</f>
        <v>2903</v>
      </c>
      <c r="F12" s="609"/>
      <c r="G12" s="609"/>
      <c r="H12" s="609">
        <f>GETPIVOTDATA("Sum of ControlFemale",SexTimeseriesPivot!$B$5,"Year",A12)</f>
        <v>203</v>
      </c>
      <c r="I12" s="609">
        <f>GETPIVOTDATA("Sum of ControlMale",SexTimeseriesPivot!$B$5,"Year",A12)</f>
        <v>31</v>
      </c>
      <c r="J12" s="609">
        <f>GETPIVOTDATA("Sum of SupportFemale",SexTimeseriesPivot!$B$5,"Year",A12)</f>
        <v>604</v>
      </c>
      <c r="K12" s="609">
        <f>GETPIVOTDATA("Sum of SupportMale",SexTimeseriesPivot!$B$5,"Year",A12)</f>
        <v>482</v>
      </c>
      <c r="L12" s="609">
        <f>GETPIVOTDATA("Sum of VolFemale",SexTimeseriesPivot!$B$5,"Year",A12)</f>
        <v>52</v>
      </c>
      <c r="M12" s="609">
        <f>GETPIVOTDATA("Sum of VolMale",SexTimeseriesPivot!$B$5,"Year",A12)</f>
        <v>365</v>
      </c>
      <c r="N12" s="817">
        <f t="shared" ref="N12:N22" si="0">L12+J12+H12+F12+D12+B12</f>
        <v>1190</v>
      </c>
      <c r="O12" s="610">
        <f t="shared" ref="O12:O22" si="1">M12+K12+I12+G12+E12+C12</f>
        <v>7774</v>
      </c>
      <c r="P12" s="815">
        <f t="shared" ref="P12:P22" si="2">B12+D12+F12+H12+J12</f>
        <v>1138</v>
      </c>
      <c r="Q12" s="816">
        <f t="shared" ref="Q12:Q22" si="3">C12+E12+G12+I12+K12</f>
        <v>7409</v>
      </c>
    </row>
    <row r="13" spans="1:18" x14ac:dyDescent="0.3">
      <c r="A13" s="312" t="s">
        <v>364</v>
      </c>
      <c r="B13" s="609">
        <f>GETPIVOTDATA("Sum of WTFemale",SexTimeseriesPivot!$B$5,"Year",A13)</f>
        <v>159</v>
      </c>
      <c r="C13" s="609">
        <f>GETPIVOTDATA("Sum of WTMale",SexTimeseriesPivot!$B$5,"Year",A13)</f>
        <v>3842</v>
      </c>
      <c r="D13" s="609">
        <f>GETPIVOTDATA("Sum of RDSFemale",SexTimeseriesPivot!$B$5,"Year",A13)</f>
        <v>178</v>
      </c>
      <c r="E13" s="609">
        <f>GETPIVOTDATA("Sum of RDSMale",SexTimeseriesPivot!$B$5,"Year",A13)</f>
        <v>2762</v>
      </c>
      <c r="F13" s="609"/>
      <c r="G13" s="609"/>
      <c r="H13" s="609">
        <f>GETPIVOTDATA("Sum of ControlFemale",SexTimeseriesPivot!$B$5,"Year",A13)</f>
        <v>199</v>
      </c>
      <c r="I13" s="609">
        <f>GETPIVOTDATA("Sum of ControlMale",SexTimeseriesPivot!$B$5,"Year",A13)</f>
        <v>24</v>
      </c>
      <c r="J13" s="609">
        <f>GETPIVOTDATA("Sum of SupportFemale",SexTimeseriesPivot!$B$5,"Year",A13)</f>
        <v>545</v>
      </c>
      <c r="K13" s="609">
        <f>GETPIVOTDATA("Sum of SupportMale",SexTimeseriesPivot!$B$5,"Year",A13)</f>
        <v>416</v>
      </c>
      <c r="L13" s="609">
        <f>GETPIVOTDATA("Sum of VolFemale",SexTimeseriesPivot!$B$5,"Year",A13)</f>
        <v>52</v>
      </c>
      <c r="M13" s="609">
        <f>GETPIVOTDATA("Sum of VolMale",SexTimeseriesPivot!$B$5,"Year",A13)</f>
        <v>307</v>
      </c>
      <c r="N13" s="817">
        <f t="shared" si="0"/>
        <v>1133</v>
      </c>
      <c r="O13" s="610">
        <f t="shared" si="1"/>
        <v>7351</v>
      </c>
      <c r="P13" s="815">
        <f t="shared" si="2"/>
        <v>1081</v>
      </c>
      <c r="Q13" s="816">
        <f t="shared" si="3"/>
        <v>7044</v>
      </c>
    </row>
    <row r="14" spans="1:18" x14ac:dyDescent="0.3">
      <c r="A14" s="312" t="s">
        <v>365</v>
      </c>
      <c r="B14" s="609">
        <f>GETPIVOTDATA("Sum of WTFemale",SexTimeseriesPivot!$B$5,"Year",A14)</f>
        <v>164</v>
      </c>
      <c r="C14" s="609">
        <f>GETPIVOTDATA("Sum of WTMale",SexTimeseriesPivot!$B$5,"Year",A14)</f>
        <v>3692</v>
      </c>
      <c r="D14" s="609">
        <f>GETPIVOTDATA("Sum of RDSFemale",SexTimeseriesPivot!$B$5,"Year",A14)</f>
        <v>172</v>
      </c>
      <c r="E14" s="609">
        <f>GETPIVOTDATA("Sum of RDSMale",SexTimeseriesPivot!$B$5,"Year",A14)</f>
        <v>2778</v>
      </c>
      <c r="F14" s="609"/>
      <c r="G14" s="609"/>
      <c r="H14" s="609">
        <f>GETPIVOTDATA("Sum of ControlFemale",SexTimeseriesPivot!$B$5,"Year",A14)</f>
        <v>192</v>
      </c>
      <c r="I14" s="609">
        <f>GETPIVOTDATA("Sum of ControlMale",SexTimeseriesPivot!$B$5,"Year",A14)</f>
        <v>38</v>
      </c>
      <c r="J14" s="609">
        <f>GETPIVOTDATA("Sum of SupportFemale",SexTimeseriesPivot!$B$5,"Year",A14)</f>
        <v>480</v>
      </c>
      <c r="K14" s="609">
        <f>GETPIVOTDATA("Sum of SupportMale",SexTimeseriesPivot!$B$5,"Year",A14)</f>
        <v>387</v>
      </c>
      <c r="L14" s="609">
        <f>GETPIVOTDATA("Sum of VolFemale",SexTimeseriesPivot!$B$5,"Year",A14)</f>
        <v>56</v>
      </c>
      <c r="M14" s="609">
        <f>GETPIVOTDATA("Sum of VolMale",SexTimeseriesPivot!$B$5,"Year",A14)</f>
        <v>322</v>
      </c>
      <c r="N14" s="817">
        <f t="shared" si="0"/>
        <v>1064</v>
      </c>
      <c r="O14" s="610">
        <f t="shared" si="1"/>
        <v>7217</v>
      </c>
      <c r="P14" s="815">
        <f t="shared" si="2"/>
        <v>1008</v>
      </c>
      <c r="Q14" s="816">
        <f t="shared" si="3"/>
        <v>6895</v>
      </c>
    </row>
    <row r="15" spans="1:18" x14ac:dyDescent="0.3">
      <c r="A15" s="312" t="s">
        <v>366</v>
      </c>
      <c r="B15" s="609">
        <f>GETPIVOTDATA("Sum of WTFemale",SexTimeseriesPivot!$B$5,"Year",A15)</f>
        <v>167</v>
      </c>
      <c r="C15" s="609">
        <f>GETPIVOTDATA("Sum of WTMale",SexTimeseriesPivot!$B$5,"Year",A15)</f>
        <v>3523</v>
      </c>
      <c r="D15" s="609">
        <f>GETPIVOTDATA("Sum of RDSFemale",SexTimeseriesPivot!$B$5,"Year",A15)</f>
        <v>163</v>
      </c>
      <c r="E15" s="609">
        <f>GETPIVOTDATA("Sum of RDSMale",SexTimeseriesPivot!$B$5,"Year",A15)</f>
        <v>2707</v>
      </c>
      <c r="F15" s="609"/>
      <c r="G15" s="609"/>
      <c r="H15" s="609">
        <f>GETPIVOTDATA("Sum of ControlFemale",SexTimeseriesPivot!$B$5,"Year",A15)</f>
        <v>171</v>
      </c>
      <c r="I15" s="609">
        <f>GETPIVOTDATA("Sum of ControlMale",SexTimeseriesPivot!$B$5,"Year",A15)</f>
        <v>32</v>
      </c>
      <c r="J15" s="609">
        <f>GETPIVOTDATA("Sum of SupportFemale",SexTimeseriesPivot!$B$5,"Year",A15)</f>
        <v>463</v>
      </c>
      <c r="K15" s="609">
        <f>GETPIVOTDATA("Sum of SupportMale",SexTimeseriesPivot!$B$5,"Year",A15)</f>
        <v>365</v>
      </c>
      <c r="L15" s="609">
        <f>GETPIVOTDATA("Sum of VolFemale",SexTimeseriesPivot!$B$5,"Year",A15)</f>
        <v>56</v>
      </c>
      <c r="M15" s="609">
        <f>GETPIVOTDATA("Sum of VolMale",SexTimeseriesPivot!$B$5,"Year",A15)</f>
        <v>286</v>
      </c>
      <c r="N15" s="817">
        <f t="shared" si="0"/>
        <v>1020</v>
      </c>
      <c r="O15" s="610">
        <f t="shared" si="1"/>
        <v>6913</v>
      </c>
      <c r="P15" s="815">
        <f t="shared" si="2"/>
        <v>964</v>
      </c>
      <c r="Q15" s="816">
        <f t="shared" si="3"/>
        <v>6627</v>
      </c>
    </row>
    <row r="16" spans="1:18" x14ac:dyDescent="0.3">
      <c r="A16" s="312" t="s">
        <v>341</v>
      </c>
      <c r="B16" s="609">
        <f>GETPIVOTDATA("Sum of WTFemale",SexTimeseriesPivot!$B$5,"Year",A16)</f>
        <v>178</v>
      </c>
      <c r="C16" s="609">
        <f>GETPIVOTDATA("Sum of WTMale",SexTimeseriesPivot!$B$5,"Year",A16)</f>
        <v>3467</v>
      </c>
      <c r="D16" s="609">
        <f>GETPIVOTDATA("Sum of RDSFemale",SexTimeseriesPivot!$B$5,"Year",A16)</f>
        <v>158</v>
      </c>
      <c r="E16" s="609">
        <f>GETPIVOTDATA("Sum of RDSMale",SexTimeseriesPivot!$B$5,"Year",A16)</f>
        <v>2712</v>
      </c>
      <c r="F16" s="609"/>
      <c r="G16" s="609"/>
      <c r="H16" s="609">
        <f>GETPIVOTDATA("Sum of ControlFemale",SexTimeseriesPivot!$B$5,"Year",A16)</f>
        <v>139</v>
      </c>
      <c r="I16" s="609">
        <f>GETPIVOTDATA("Sum of ControlMale",SexTimeseriesPivot!$B$5,"Year",A16)</f>
        <v>26</v>
      </c>
      <c r="J16" s="609">
        <f>GETPIVOTDATA("Sum of SupportFemale",SexTimeseriesPivot!$B$5,"Year",A16)</f>
        <v>466</v>
      </c>
      <c r="K16" s="609">
        <f>GETPIVOTDATA("Sum of SupportMale",SexTimeseriesPivot!$B$5,"Year",A16)</f>
        <v>372</v>
      </c>
      <c r="L16" s="609">
        <f>GETPIVOTDATA("Sum of VolFemale",SexTimeseriesPivot!$B$5,"Year",A16)</f>
        <v>48</v>
      </c>
      <c r="M16" s="609">
        <f>GETPIVOTDATA("Sum of VolMale",SexTimeseriesPivot!$B$5,"Year",A16)</f>
        <v>268</v>
      </c>
      <c r="N16" s="817">
        <f t="shared" si="0"/>
        <v>989</v>
      </c>
      <c r="O16" s="610">
        <f t="shared" si="1"/>
        <v>6845</v>
      </c>
      <c r="P16" s="815">
        <f t="shared" si="2"/>
        <v>941</v>
      </c>
      <c r="Q16" s="816">
        <f t="shared" si="3"/>
        <v>6577</v>
      </c>
    </row>
    <row r="17" spans="1:17" x14ac:dyDescent="0.3">
      <c r="A17" s="312" t="s">
        <v>342</v>
      </c>
      <c r="B17" s="609">
        <f>GETPIVOTDATA("Sum of WTFemale",SexTimeseriesPivot!$B$5,"Year",A17)</f>
        <v>175</v>
      </c>
      <c r="C17" s="609">
        <f>GETPIVOTDATA("Sum of WTMale",SexTimeseriesPivot!$B$5,"Year",A17)</f>
        <v>3371</v>
      </c>
      <c r="D17" s="609">
        <f>GETPIVOTDATA("Sum of RDSFemale",SexTimeseriesPivot!$B$5,"Year",A17)</f>
        <v>171</v>
      </c>
      <c r="E17" s="609">
        <f>GETPIVOTDATA("Sum of RDSMale",SexTimeseriesPivot!$B$5,"Year",A17)</f>
        <v>2692</v>
      </c>
      <c r="F17" s="609"/>
      <c r="G17" s="609"/>
      <c r="H17" s="609">
        <f>GETPIVOTDATA("Sum of ControlFemale",SexTimeseriesPivot!$B$5,"Year",A17)</f>
        <v>158</v>
      </c>
      <c r="I17" s="609">
        <f>GETPIVOTDATA("Sum of ControlMale",SexTimeseriesPivot!$B$5,"Year",A17)</f>
        <v>31</v>
      </c>
      <c r="J17" s="609">
        <f>GETPIVOTDATA("Sum of SupportFemale",SexTimeseriesPivot!$B$5,"Year",A17)</f>
        <v>476</v>
      </c>
      <c r="K17" s="609">
        <f>GETPIVOTDATA("Sum of SupportMale",SexTimeseriesPivot!$B$5,"Year",A17)</f>
        <v>370</v>
      </c>
      <c r="L17" s="609">
        <f>GETPIVOTDATA("Sum of VolFemale",SexTimeseriesPivot!$B$5,"Year",A17)</f>
        <v>55</v>
      </c>
      <c r="M17" s="609">
        <f>GETPIVOTDATA("Sum of VolMale",SexTimeseriesPivot!$B$5,"Year",A17)</f>
        <v>277</v>
      </c>
      <c r="N17" s="817">
        <f t="shared" si="0"/>
        <v>1035</v>
      </c>
      <c r="O17" s="610">
        <f t="shared" si="1"/>
        <v>6741</v>
      </c>
      <c r="P17" s="815">
        <f t="shared" si="2"/>
        <v>980</v>
      </c>
      <c r="Q17" s="816">
        <f t="shared" si="3"/>
        <v>6464</v>
      </c>
    </row>
    <row r="18" spans="1:17" x14ac:dyDescent="0.3">
      <c r="A18" s="312" t="s">
        <v>213</v>
      </c>
      <c r="B18" s="609">
        <f>GETPIVOTDATA("Sum of WTFemale",SexTimeseriesPivot!$B$5,"Year",A18)</f>
        <v>196</v>
      </c>
      <c r="C18" s="609">
        <f>GETPIVOTDATA("Sum of WTMale",SexTimeseriesPivot!$B$5,"Year",A18)</f>
        <v>3441</v>
      </c>
      <c r="D18" s="609">
        <f>GETPIVOTDATA("Sum of RDSFemale",SexTimeseriesPivot!$B$5,"Year",A18)</f>
        <v>201</v>
      </c>
      <c r="E18" s="609">
        <f>GETPIVOTDATA("Sum of RDSMale",SexTimeseriesPivot!$B$5,"Year",A18)</f>
        <v>2734</v>
      </c>
      <c r="F18" s="609">
        <f>GETPIVOTDATA("Sum of RDS FulltimeFemale",SexTimeseriesPivot!$B$5,"Year",A18)</f>
        <v>1</v>
      </c>
      <c r="G18" s="609">
        <f>GETPIVOTDATA("Sum of RDS FulltimeMale",SexTimeseriesPivot!$B$5,"Year",A18)</f>
        <v>17</v>
      </c>
      <c r="H18" s="609">
        <f>GETPIVOTDATA("Sum of ControlFemale",SexTimeseriesPivot!$B$5,"Year",A18)</f>
        <v>172</v>
      </c>
      <c r="I18" s="609">
        <f>GETPIVOTDATA("Sum of ControlMale",SexTimeseriesPivot!$B$5,"Year",A18)</f>
        <v>35</v>
      </c>
      <c r="J18" s="609">
        <f>GETPIVOTDATA("Sum of SupportFemale",SexTimeseriesPivot!$B$5,"Year",A18)</f>
        <v>427</v>
      </c>
      <c r="K18" s="609">
        <f>GETPIVOTDATA("Sum of SupportMale",SexTimeseriesPivot!$B$5,"Year",A18)</f>
        <v>365</v>
      </c>
      <c r="L18" s="609">
        <f>GETPIVOTDATA("Sum of VolFemale",SexTimeseriesPivot!$B$5,"Year",A18)</f>
        <v>54</v>
      </c>
      <c r="M18" s="609">
        <f>GETPIVOTDATA("Sum of VolMale",SexTimeseriesPivot!$B$5,"Year",A18)</f>
        <v>263</v>
      </c>
      <c r="N18" s="817">
        <f t="shared" si="0"/>
        <v>1051</v>
      </c>
      <c r="O18" s="610">
        <f t="shared" si="1"/>
        <v>6855</v>
      </c>
      <c r="P18" s="815">
        <f t="shared" si="2"/>
        <v>997</v>
      </c>
      <c r="Q18" s="816">
        <f t="shared" si="3"/>
        <v>6592</v>
      </c>
    </row>
    <row r="19" spans="1:17" x14ac:dyDescent="0.3">
      <c r="A19" s="312" t="s">
        <v>312</v>
      </c>
      <c r="B19" s="609">
        <f>GETPIVOTDATA("Sum of WTFemale",SexTimeseriesPivot!$B$5,"Year",A19)</f>
        <v>222</v>
      </c>
      <c r="C19" s="609">
        <f>GETPIVOTDATA("Sum of WTMale",SexTimeseriesPivot!$B$5,"Year",A19)</f>
        <v>3414</v>
      </c>
      <c r="D19" s="609">
        <f>GETPIVOTDATA("Sum of RDSFemale",SexTimeseriesPivot!$B$5,"Year",A19)</f>
        <v>208</v>
      </c>
      <c r="E19" s="609">
        <f>GETPIVOTDATA("Sum of RDSMale",SexTimeseriesPivot!$B$5,"Year",A19)</f>
        <v>2729</v>
      </c>
      <c r="F19" s="609">
        <f>GETPIVOTDATA("Sum of RDS FulltimeFemale",SexTimeseriesPivot!$B$5,"Year",A19)</f>
        <v>7</v>
      </c>
      <c r="G19" s="609">
        <f>GETPIVOTDATA("Sum of RDS FulltimeMale",SexTimeseriesPivot!$B$5,"Year",A19)</f>
        <v>29</v>
      </c>
      <c r="H19" s="609">
        <f>GETPIVOTDATA("Sum of ControlFemale",SexTimeseriesPivot!$B$5,"Year",A19)</f>
        <v>156</v>
      </c>
      <c r="I19" s="609">
        <f>GETPIVOTDATA("Sum of ControlMale",SexTimeseriesPivot!$B$5,"Year",A19)</f>
        <v>32</v>
      </c>
      <c r="J19" s="609">
        <f>GETPIVOTDATA("Sum of SupportFemale",SexTimeseriesPivot!$B$5,"Year",A19)</f>
        <v>447</v>
      </c>
      <c r="K19" s="609">
        <f>GETPIVOTDATA("Sum of SupportMale",SexTimeseriesPivot!$B$5,"Year",A19)</f>
        <v>370</v>
      </c>
      <c r="L19" s="609">
        <f>GETPIVOTDATA("Sum of VolFemale",SexTimeseriesPivot!$B$5,"Year",A19)</f>
        <v>54</v>
      </c>
      <c r="M19" s="609">
        <f>GETPIVOTDATA("Sum of VolMale",SexTimeseriesPivot!$B$5,"Year",A19)</f>
        <v>261</v>
      </c>
      <c r="N19" s="817">
        <f t="shared" si="0"/>
        <v>1094</v>
      </c>
      <c r="O19" s="610">
        <f t="shared" si="1"/>
        <v>6835</v>
      </c>
      <c r="P19" s="815">
        <f t="shared" si="2"/>
        <v>1040</v>
      </c>
      <c r="Q19" s="816">
        <f t="shared" si="3"/>
        <v>6574</v>
      </c>
    </row>
    <row r="20" spans="1:17" x14ac:dyDescent="0.3">
      <c r="A20" s="312" t="s">
        <v>318</v>
      </c>
      <c r="B20" s="609">
        <f>GETPIVOTDATA("Sum of WTFemale",SexTimeseriesPivot!$B$5,"Year",A20)</f>
        <v>219</v>
      </c>
      <c r="C20" s="609">
        <f>GETPIVOTDATA("Sum of WTMale",SexTimeseriesPivot!$B$5,"Year",A20)</f>
        <v>3362</v>
      </c>
      <c r="D20" s="609">
        <f>GETPIVOTDATA("Sum of RDSFemale",SexTimeseriesPivot!$B$5,"Year",A20)</f>
        <v>197</v>
      </c>
      <c r="E20" s="609">
        <f>GETPIVOTDATA("Sum of RDSMale",SexTimeseriesPivot!$B$5,"Year",A20)</f>
        <v>2675</v>
      </c>
      <c r="F20" s="609">
        <f>GETPIVOTDATA("Sum of RDS FulltimeFemale",SexTimeseriesPivot!$B$5,"Year",A20)</f>
        <v>11</v>
      </c>
      <c r="G20" s="609">
        <f>GETPIVOTDATA("Sum of RDS FulltimeMale",SexTimeseriesPivot!$B$5,"Year",A20)</f>
        <v>43</v>
      </c>
      <c r="H20" s="609">
        <f>GETPIVOTDATA("Sum of ControlFemale",SexTimeseriesPivot!$B$5,"Year",A20)</f>
        <v>151</v>
      </c>
      <c r="I20" s="609">
        <f>GETPIVOTDATA("Sum of ControlMale",SexTimeseriesPivot!$B$5,"Year",A20)</f>
        <v>31</v>
      </c>
      <c r="J20" s="609">
        <f>GETPIVOTDATA("Sum of SupportFemale",SexTimeseriesPivot!$B$5,"Year",A20)</f>
        <v>461</v>
      </c>
      <c r="K20" s="609">
        <f>GETPIVOTDATA("Sum of SupportMale",SexTimeseriesPivot!$B$5,"Year",A20)</f>
        <v>374</v>
      </c>
      <c r="L20" s="609">
        <f>GETPIVOTDATA("Sum of VolFemale",SexTimeseriesPivot!$B$5,"Year",A20)</f>
        <v>52</v>
      </c>
      <c r="M20" s="609">
        <f>GETPIVOTDATA("Sum of VolMale",SexTimeseriesPivot!$B$5,"Year",A20)</f>
        <v>251</v>
      </c>
      <c r="N20" s="817">
        <f t="shared" si="0"/>
        <v>1091</v>
      </c>
      <c r="O20" s="610">
        <f t="shared" si="1"/>
        <v>6736</v>
      </c>
      <c r="P20" s="815">
        <f t="shared" si="2"/>
        <v>1039</v>
      </c>
      <c r="Q20" s="816">
        <f t="shared" si="3"/>
        <v>6485</v>
      </c>
    </row>
    <row r="21" spans="1:17" x14ac:dyDescent="0.3">
      <c r="A21" s="312" t="s">
        <v>320</v>
      </c>
      <c r="B21" s="609">
        <f>GETPIVOTDATA("Sum of WTFemale",SexTimeseriesPivot!$B$5,"Year",A21)</f>
        <v>225</v>
      </c>
      <c r="C21" s="609">
        <f>GETPIVOTDATA("Sum of WTMale",SexTimeseriesPivot!$B$5,"Year",A21)</f>
        <v>3305</v>
      </c>
      <c r="D21" s="609">
        <f>GETPIVOTDATA("Sum of RDSFemale",SexTimeseriesPivot!$B$5,"Year",A21)</f>
        <v>191</v>
      </c>
      <c r="E21" s="609">
        <f>GETPIVOTDATA("Sum of RDSMale",SexTimeseriesPivot!$B$5,"Year",A21)</f>
        <v>2567</v>
      </c>
      <c r="F21" s="609">
        <f>GETPIVOTDATA("Sum of RDS FulltimeFemale",SexTimeseriesPivot!$B$5,"Year",A21)</f>
        <v>10</v>
      </c>
      <c r="G21" s="609">
        <f>GETPIVOTDATA("Sum of RDS FulltimeMale",SexTimeseriesPivot!$B$5,"Year",A21)</f>
        <v>43</v>
      </c>
      <c r="H21" s="609">
        <f>GETPIVOTDATA("Sum of ControlFemale",SexTimeseriesPivot!$B$5,"Year",A21)</f>
        <v>146</v>
      </c>
      <c r="I21" s="609">
        <f>GETPIVOTDATA("Sum of ControlMale",SexTimeseriesPivot!$B$5,"Year",A21)</f>
        <v>28</v>
      </c>
      <c r="J21" s="609">
        <f>GETPIVOTDATA("Sum of SupportFemale",SexTimeseriesPivot!$B$5,"Year",A21)</f>
        <v>501</v>
      </c>
      <c r="K21" s="609">
        <f>GETPIVOTDATA("Sum of SupportMale",SexTimeseriesPivot!$B$5,"Year",A21)</f>
        <v>419</v>
      </c>
      <c r="L21" s="609">
        <f>GETPIVOTDATA("Sum of VolFemale",SexTimeseriesPivot!$B$5,"Year",A21)</f>
        <v>46</v>
      </c>
      <c r="M21" s="609">
        <f>GETPIVOTDATA("Sum of VolMale",SexTimeseriesPivot!$B$5,"Year",A21)</f>
        <v>231</v>
      </c>
      <c r="N21" s="817">
        <f t="shared" si="0"/>
        <v>1119</v>
      </c>
      <c r="O21" s="610">
        <f t="shared" si="1"/>
        <v>6593</v>
      </c>
      <c r="P21" s="815">
        <f t="shared" si="2"/>
        <v>1073</v>
      </c>
      <c r="Q21" s="816">
        <f t="shared" si="3"/>
        <v>6362</v>
      </c>
    </row>
    <row r="22" spans="1:17" x14ac:dyDescent="0.3">
      <c r="A22" s="312" t="s">
        <v>325</v>
      </c>
      <c r="B22" s="609">
        <f>GETPIVOTDATA("Sum of WTFemale",SexTimeseriesPivot!$B$5,"Year",A22)</f>
        <v>227</v>
      </c>
      <c r="C22" s="609">
        <f>GETPIVOTDATA("Sum of WTMale",SexTimeseriesPivot!$B$5,"Year",A22)</f>
        <v>3263</v>
      </c>
      <c r="D22" s="609">
        <f>GETPIVOTDATA("Sum of RDSFemale",SexTimeseriesPivot!$B$5,"Year",A22)</f>
        <v>185</v>
      </c>
      <c r="E22" s="609">
        <f>GETPIVOTDATA("Sum of RDSMale",SexTimeseriesPivot!$B$5,"Year",A22)</f>
        <v>2550</v>
      </c>
      <c r="F22" s="609">
        <f>GETPIVOTDATA("Sum of RDS FulltimeFemale",SexTimeseriesPivot!$B$5,"Year",A22)</f>
        <v>9</v>
      </c>
      <c r="G22" s="609">
        <f>GETPIVOTDATA("Sum of RDS FulltimeMale",SexTimeseriesPivot!$B$5,"Year",A22)</f>
        <v>46</v>
      </c>
      <c r="H22" s="609">
        <f>GETPIVOTDATA("Sum of ControlFemale",SexTimeseriesPivot!$B$5,"Year",A22)</f>
        <v>144</v>
      </c>
      <c r="I22" s="609">
        <f>GETPIVOTDATA("Sum of ControlMale",SexTimeseriesPivot!$B$5,"Year",A22)</f>
        <v>28</v>
      </c>
      <c r="J22" s="609">
        <f>GETPIVOTDATA("Sum of SupportFemale",SexTimeseriesPivot!$B$5,"Year",A22)</f>
        <v>484</v>
      </c>
      <c r="K22" s="609">
        <f>GETPIVOTDATA("Sum of SupportMale",SexTimeseriesPivot!$B$5,"Year",A22)</f>
        <v>417</v>
      </c>
      <c r="L22" s="609">
        <f>GETPIVOTDATA("Sum of VolFemale",SexTimeseriesPivot!$B$5,"Year",A22)</f>
        <v>40</v>
      </c>
      <c r="M22" s="609">
        <f>GETPIVOTDATA("Sum of VolMale",SexTimeseriesPivot!$B$5,"Year",A22)</f>
        <v>226</v>
      </c>
      <c r="N22" s="817">
        <f t="shared" si="0"/>
        <v>1089</v>
      </c>
      <c r="O22" s="829">
        <f t="shared" si="1"/>
        <v>6530</v>
      </c>
      <c r="P22" s="581">
        <f t="shared" si="2"/>
        <v>1049</v>
      </c>
      <c r="Q22" s="816">
        <f t="shared" si="3"/>
        <v>6304</v>
      </c>
    </row>
    <row r="23" spans="1:17" x14ac:dyDescent="0.3">
      <c r="A23" s="312" t="s">
        <v>326</v>
      </c>
      <c r="B23" s="609">
        <f>GETPIVOTDATA("Sum of WTFemale",SexTimeseriesPivot!$B$5,"Year",A23)</f>
        <v>220</v>
      </c>
      <c r="C23" s="609">
        <f>GETPIVOTDATA("Sum of WTMale",SexTimeseriesPivot!$B$5,"Year",A23)</f>
        <v>3202</v>
      </c>
      <c r="D23" s="609">
        <f>GETPIVOTDATA("Sum of RDSFemale",SexTimeseriesPivot!$B$5,"Year",A23)</f>
        <v>191</v>
      </c>
      <c r="E23" s="609">
        <f>GETPIVOTDATA("Sum of RDSMale",SexTimeseriesPivot!$B$5,"Year",A23)</f>
        <v>2517</v>
      </c>
      <c r="F23" s="609">
        <f>GETPIVOTDATA("Sum of RDS FulltimeFemale",SexTimeseriesPivot!$B$5,"Year",A23)</f>
        <v>8</v>
      </c>
      <c r="G23" s="609">
        <f>GETPIVOTDATA("Sum of RDS FulltimeMale",SexTimeseriesPivot!$B$5,"Year",A23)</f>
        <v>47</v>
      </c>
      <c r="H23" s="609">
        <f>GETPIVOTDATA("Sum of ControlFemale",SexTimeseriesPivot!$B$5,"Year",A23)</f>
        <v>142</v>
      </c>
      <c r="I23" s="609">
        <f>GETPIVOTDATA("Sum of ControlMale",SexTimeseriesPivot!$B$5,"Year",A23)</f>
        <v>29</v>
      </c>
      <c r="J23" s="609">
        <f>GETPIVOTDATA("Sum of SupportFemale",SexTimeseriesPivot!$B$5,"Year",A23)</f>
        <v>482</v>
      </c>
      <c r="K23" s="609">
        <f>GETPIVOTDATA("Sum of SupportMale",SexTimeseriesPivot!$B$5,"Year",A23)</f>
        <v>405</v>
      </c>
      <c r="L23" s="609">
        <f>GETPIVOTDATA("Sum of VolFemale",SexTimeseriesPivot!$B$5,"Year",A23)</f>
        <v>42</v>
      </c>
      <c r="M23" s="980">
        <f>GETPIVOTDATA("Sum of VolMale",SexTimeseriesPivot!$B$5,"Year",A23)</f>
        <v>227</v>
      </c>
      <c r="N23" s="817">
        <f t="shared" ref="N23" si="4">L23+J23+H23+F23+D23+B23</f>
        <v>1085</v>
      </c>
      <c r="O23" s="829">
        <f t="shared" ref="O23" si="5">M23+K23+I23+G23+E23+C23</f>
        <v>6427</v>
      </c>
      <c r="P23" s="815">
        <f t="shared" ref="P23" si="6">B23+D23+F23+H23+J23</f>
        <v>1043</v>
      </c>
      <c r="Q23" s="816">
        <f t="shared" ref="Q23" si="7">C23+E23+G23+I23+K23</f>
        <v>6200</v>
      </c>
    </row>
    <row r="24" spans="1:17" x14ac:dyDescent="0.3">
      <c r="A24" s="312" t="s">
        <v>328</v>
      </c>
      <c r="B24" s="609">
        <f>GETPIVOTDATA("Sum of WTFemale",SexTimeseriesPivot!$B$5,"Year",A24)</f>
        <v>220</v>
      </c>
      <c r="C24" s="609">
        <f>GETPIVOTDATA("Sum of WTMale",SexTimeseriesPivot!$B$5,"Year",A24)</f>
        <v>3210</v>
      </c>
      <c r="D24" s="609">
        <f>GETPIVOTDATA("Sum of RDSFemale",SexTimeseriesPivot!$B$5,"Year",A24)</f>
        <v>203</v>
      </c>
      <c r="E24" s="609">
        <f>GETPIVOTDATA("Sum of RDSMale",SexTimeseriesPivot!$B$5,"Year",A24)</f>
        <v>2502</v>
      </c>
      <c r="F24" s="609">
        <f>GETPIVOTDATA("Sum of RDS FulltimeFemale",SexTimeseriesPivot!$B$5,"Year",A24)</f>
        <v>7</v>
      </c>
      <c r="G24" s="609">
        <f>GETPIVOTDATA("Sum of RDS FulltimeMale",SexTimeseriesPivot!$B$5,"Year",A24)</f>
        <v>53</v>
      </c>
      <c r="H24" s="609">
        <f>GETPIVOTDATA("Sum of ControlFemale",SexTimeseriesPivot!$B$5,"Year",A24)</f>
        <v>139</v>
      </c>
      <c r="I24" s="609">
        <f>GETPIVOTDATA("Sum of ControlMale",SexTimeseriesPivot!$B$5,"Year",A24)</f>
        <v>32</v>
      </c>
      <c r="J24" s="609">
        <f>GETPIVOTDATA("Sum of SupportFemale",SexTimeseriesPivot!$B$5,"Year",A24)</f>
        <v>492</v>
      </c>
      <c r="K24" s="609">
        <f>GETPIVOTDATA("Sum of SupportMale",SexTimeseriesPivot!$B$5,"Year",A24)</f>
        <v>425</v>
      </c>
      <c r="L24" s="609">
        <f>GETPIVOTDATA("Sum of VolFemale",SexTimeseriesPivot!$B$5,"Year",A24)</f>
        <v>42</v>
      </c>
      <c r="M24" s="980">
        <f>GETPIVOTDATA("Sum of VolMale",SexTimeseriesPivot!$B$5,"Year",A24)</f>
        <v>231</v>
      </c>
      <c r="N24" s="610">
        <f t="shared" ref="N24" si="8">L24+J24+H24+F24+D24+B24</f>
        <v>1103</v>
      </c>
      <c r="O24" s="829">
        <f t="shared" ref="O24" si="9">M24+K24+I24+G24+E24+C24</f>
        <v>6453</v>
      </c>
      <c r="P24" s="581">
        <f t="shared" ref="P24" si="10">B24+D24+F24+H24+J24</f>
        <v>1061</v>
      </c>
      <c r="Q24" s="816">
        <f t="shared" ref="Q24" si="11">C24+E24+G24+I24+K24</f>
        <v>6222</v>
      </c>
    </row>
    <row r="25" spans="1:17" x14ac:dyDescent="0.3">
      <c r="A25" s="525" t="s">
        <v>412</v>
      </c>
      <c r="B25" s="818">
        <f>GETPIVOTDATA("Sum of WTFemale",SexTimeseriesPivot!$B$5,"Year",A25)</f>
        <v>229</v>
      </c>
      <c r="C25" s="818">
        <f>GETPIVOTDATA("Sum of WTMale",SexTimeseriesPivot!$B$5,"Year",A25)</f>
        <v>3202</v>
      </c>
      <c r="D25" s="818">
        <f>GETPIVOTDATA("Sum of RDSFemale",SexTimeseriesPivot!$B$5,"Year",A25)</f>
        <v>208</v>
      </c>
      <c r="E25" s="818">
        <f>GETPIVOTDATA("Sum of RDSMale",SexTimeseriesPivot!$B$5,"Year",A25)</f>
        <v>2539</v>
      </c>
      <c r="F25" s="818">
        <f>GETPIVOTDATA("Sum of RDS FulltimeFemale",SexTimeseriesPivot!$B$5,"Year",A25)</f>
        <v>8</v>
      </c>
      <c r="G25" s="818">
        <f>GETPIVOTDATA("Sum of RDS FulltimeMale",SexTimeseriesPivot!$B$5,"Year",A25)</f>
        <v>52</v>
      </c>
      <c r="H25" s="818">
        <f>GETPIVOTDATA("Sum of ControlFemale",SexTimeseriesPivot!$B$5,"Year",A25)</f>
        <v>136</v>
      </c>
      <c r="I25" s="818">
        <f>GETPIVOTDATA("Sum of ControlMale",SexTimeseriesPivot!$B$5,"Year",A25)</f>
        <v>41</v>
      </c>
      <c r="J25" s="818">
        <f>GETPIVOTDATA("Sum of SupportFemale",SexTimeseriesPivot!$B$5,"Year",A25)</f>
        <v>490</v>
      </c>
      <c r="K25" s="818">
        <f>GETPIVOTDATA("Sum of SupportMale",SexTimeseriesPivot!$B$5,"Year",A25)</f>
        <v>432</v>
      </c>
      <c r="L25" s="818">
        <f>GETPIVOTDATA("Sum of VolFemale",SexTimeseriesPivot!$B$5,"Year",A25)</f>
        <v>38</v>
      </c>
      <c r="M25" s="818">
        <f>GETPIVOTDATA("Sum of VolMale",SexTimeseriesPivot!$B$5,"Year",A25)</f>
        <v>214</v>
      </c>
      <c r="N25" s="819">
        <f t="shared" ref="N25" si="12">L25+J25+H25+F25+D25+B25</f>
        <v>1109</v>
      </c>
      <c r="O25" s="830">
        <f t="shared" ref="O25" si="13">M25+K25+I25+G25+E25+C25</f>
        <v>6480</v>
      </c>
      <c r="P25" s="647">
        <f t="shared" ref="P25" si="14">B25+D25+F25+H25+J25</f>
        <v>1071</v>
      </c>
      <c r="Q25" s="814">
        <f t="shared" ref="Q25" si="15">C25+E25+G25+I25+K25</f>
        <v>6266</v>
      </c>
    </row>
    <row r="26" spans="1:17" x14ac:dyDescent="0.3">
      <c r="A26" s="312"/>
      <c r="B26" s="609"/>
      <c r="C26" s="609"/>
      <c r="D26" s="609"/>
      <c r="E26" s="609"/>
      <c r="F26" s="609"/>
      <c r="G26" s="609"/>
      <c r="H26" s="609"/>
      <c r="I26" s="609"/>
      <c r="J26" s="609"/>
      <c r="K26" s="609"/>
      <c r="L26" s="609"/>
      <c r="M26" s="609"/>
      <c r="N26" s="610"/>
      <c r="O26" s="610"/>
      <c r="P26" s="581"/>
      <c r="Q26" s="581"/>
    </row>
    <row r="27" spans="1:17" x14ac:dyDescent="0.3">
      <c r="A27" s="5"/>
      <c r="B27" s="100"/>
      <c r="C27" s="100"/>
      <c r="D27" s="100"/>
      <c r="E27" s="100"/>
      <c r="F27" s="100"/>
      <c r="G27" s="100"/>
      <c r="H27" s="100"/>
      <c r="I27" s="100"/>
      <c r="J27" s="100"/>
      <c r="K27" s="100"/>
      <c r="L27" s="100"/>
      <c r="M27" s="100"/>
      <c r="N27" s="62"/>
      <c r="O27" s="62"/>
      <c r="P27" s="62"/>
      <c r="Q27" s="101" t="s">
        <v>94</v>
      </c>
    </row>
    <row r="28" spans="1:17" ht="27.9" customHeight="1" x14ac:dyDescent="0.3">
      <c r="A28" s="208" t="s">
        <v>94</v>
      </c>
      <c r="B28" s="1051" t="s">
        <v>735</v>
      </c>
      <c r="C28" s="1051"/>
      <c r="D28" s="1052" t="s">
        <v>361</v>
      </c>
      <c r="E28" s="1052"/>
      <c r="F28" s="1060" t="s">
        <v>518</v>
      </c>
      <c r="G28" s="1061"/>
      <c r="H28" s="1051" t="s">
        <v>513</v>
      </c>
      <c r="I28" s="1051"/>
      <c r="J28" s="1051" t="s">
        <v>731</v>
      </c>
      <c r="K28" s="1051"/>
      <c r="L28" s="1052" t="s">
        <v>339</v>
      </c>
      <c r="M28" s="1052"/>
      <c r="N28" s="1051" t="s">
        <v>340</v>
      </c>
      <c r="O28" s="1051"/>
      <c r="P28" s="1057" t="s">
        <v>732</v>
      </c>
      <c r="Q28" s="1058"/>
    </row>
    <row r="29" spans="1:17" ht="24.6" customHeight="1" x14ac:dyDescent="0.3">
      <c r="A29" s="470" t="s">
        <v>208</v>
      </c>
      <c r="B29" s="467" t="s">
        <v>733</v>
      </c>
      <c r="C29" s="467" t="s">
        <v>734</v>
      </c>
      <c r="D29" s="467" t="s">
        <v>733</v>
      </c>
      <c r="E29" s="467" t="s">
        <v>734</v>
      </c>
      <c r="F29" s="467" t="s">
        <v>733</v>
      </c>
      <c r="G29" s="467" t="s">
        <v>734</v>
      </c>
      <c r="H29" s="467" t="s">
        <v>733</v>
      </c>
      <c r="I29" s="467" t="s">
        <v>734</v>
      </c>
      <c r="J29" s="467" t="s">
        <v>733</v>
      </c>
      <c r="K29" s="467" t="s">
        <v>734</v>
      </c>
      <c r="L29" s="467" t="s">
        <v>733</v>
      </c>
      <c r="M29" s="467" t="s">
        <v>734</v>
      </c>
      <c r="N29" s="620" t="s">
        <v>733</v>
      </c>
      <c r="O29" s="467" t="s">
        <v>734</v>
      </c>
      <c r="P29" s="467" t="s">
        <v>733</v>
      </c>
      <c r="Q29" s="620" t="s">
        <v>734</v>
      </c>
    </row>
    <row r="30" spans="1:17" x14ac:dyDescent="0.3">
      <c r="A30" s="5" t="str">
        <f t="shared" ref="A30:A42" si="16">A13</f>
        <v>2013-14</v>
      </c>
      <c r="B30" s="102">
        <f t="shared" ref="B30:B38" si="17">B13/(B13+C13)</f>
        <v>3.9740064983754063E-2</v>
      </c>
      <c r="C30" s="102">
        <f t="shared" ref="C30:C38" si="18">C13/(B13+C13)</f>
        <v>0.96025993501624596</v>
      </c>
      <c r="D30" s="102">
        <f t="shared" ref="D30:D38" si="19">D13/(D13+E13)</f>
        <v>6.0544217687074832E-2</v>
      </c>
      <c r="E30" s="102">
        <f t="shared" ref="E30:E38" si="20">E13/(D13+E13)</f>
        <v>0.93945578231292515</v>
      </c>
      <c r="F30" s="102"/>
      <c r="G30" s="102"/>
      <c r="H30" s="102">
        <f t="shared" ref="H30:H38" si="21">H13/(H13+I13)</f>
        <v>0.8923766816143498</v>
      </c>
      <c r="I30" s="102">
        <f t="shared" ref="I30:I38" si="22">I13/(H13+I13)</f>
        <v>0.10762331838565023</v>
      </c>
      <c r="J30" s="102">
        <f t="shared" ref="J30:J38" si="23">J13/(J13+K13)</f>
        <v>0.56711758584807492</v>
      </c>
      <c r="K30" s="102">
        <f t="shared" ref="K30:K38" si="24">K13/(J13+K13)</f>
        <v>0.43288241415192508</v>
      </c>
      <c r="L30" s="102">
        <f t="shared" ref="L30:L38" si="25">L13/(L13+M13)</f>
        <v>0.14484679665738162</v>
      </c>
      <c r="M30" s="102">
        <f t="shared" ref="M30:M38" si="26">M13/(L13+M13)</f>
        <v>0.85515320334261835</v>
      </c>
      <c r="N30" s="468">
        <f t="shared" ref="N30:N39" si="27">N13/(N13+O13)</f>
        <v>0.13354549740688354</v>
      </c>
      <c r="O30" s="102">
        <f t="shared" ref="O30:O39" si="28">O13/(N13+O13)</f>
        <v>0.8664545025931164</v>
      </c>
      <c r="P30" s="468">
        <f t="shared" ref="P30:P39" si="29">P13/(P13+Q13)</f>
        <v>0.13304615384615384</v>
      </c>
      <c r="Q30" s="471">
        <f t="shared" ref="Q30:Q39" si="30">Q13/(P13+Q13)</f>
        <v>0.86695384615384619</v>
      </c>
    </row>
    <row r="31" spans="1:17" x14ac:dyDescent="0.3">
      <c r="A31" s="5" t="str">
        <f t="shared" si="16"/>
        <v>2014-15</v>
      </c>
      <c r="B31" s="102">
        <f t="shared" si="17"/>
        <v>4.2531120331950209E-2</v>
      </c>
      <c r="C31" s="102">
        <f t="shared" si="18"/>
        <v>0.95746887966804983</v>
      </c>
      <c r="D31" s="102">
        <f t="shared" si="19"/>
        <v>5.8305084745762709E-2</v>
      </c>
      <c r="E31" s="102">
        <f t="shared" si="20"/>
        <v>0.94169491525423732</v>
      </c>
      <c r="F31" s="102"/>
      <c r="G31" s="102"/>
      <c r="H31" s="102">
        <f t="shared" si="21"/>
        <v>0.83478260869565213</v>
      </c>
      <c r="I31" s="102">
        <f t="shared" si="22"/>
        <v>0.16521739130434782</v>
      </c>
      <c r="J31" s="102">
        <f t="shared" si="23"/>
        <v>0.55363321799307963</v>
      </c>
      <c r="K31" s="102">
        <f t="shared" si="24"/>
        <v>0.44636678200692043</v>
      </c>
      <c r="L31" s="102">
        <f t="shared" si="25"/>
        <v>0.14814814814814814</v>
      </c>
      <c r="M31" s="102">
        <f t="shared" si="26"/>
        <v>0.85185185185185186</v>
      </c>
      <c r="N31" s="469">
        <f t="shared" si="27"/>
        <v>0.12848689771766694</v>
      </c>
      <c r="O31" s="102">
        <f t="shared" si="28"/>
        <v>0.87151310228233303</v>
      </c>
      <c r="P31" s="469">
        <f t="shared" si="29"/>
        <v>0.1275465013286094</v>
      </c>
      <c r="Q31" s="472">
        <f t="shared" si="30"/>
        <v>0.87245349867139066</v>
      </c>
    </row>
    <row r="32" spans="1:17" x14ac:dyDescent="0.3">
      <c r="A32" s="5" t="str">
        <f t="shared" si="16"/>
        <v>2015-16</v>
      </c>
      <c r="B32" s="102">
        <f t="shared" si="17"/>
        <v>4.5257452574525743E-2</v>
      </c>
      <c r="C32" s="102">
        <f t="shared" si="18"/>
        <v>0.95474254742547426</v>
      </c>
      <c r="D32" s="102">
        <f t="shared" si="19"/>
        <v>5.6794425087108011E-2</v>
      </c>
      <c r="E32" s="102">
        <f t="shared" si="20"/>
        <v>0.94320557491289203</v>
      </c>
      <c r="F32" s="102"/>
      <c r="G32" s="102"/>
      <c r="H32" s="102">
        <f t="shared" si="21"/>
        <v>0.8423645320197044</v>
      </c>
      <c r="I32" s="102">
        <f t="shared" si="22"/>
        <v>0.15763546798029557</v>
      </c>
      <c r="J32" s="102">
        <f t="shared" si="23"/>
        <v>0.5591787439613527</v>
      </c>
      <c r="K32" s="102">
        <f t="shared" si="24"/>
        <v>0.44082125603864736</v>
      </c>
      <c r="L32" s="102">
        <f t="shared" si="25"/>
        <v>0.16374269005847952</v>
      </c>
      <c r="M32" s="102">
        <f t="shared" si="26"/>
        <v>0.83625730994152048</v>
      </c>
      <c r="N32" s="469">
        <f t="shared" si="27"/>
        <v>0.12857683095928402</v>
      </c>
      <c r="O32" s="102">
        <f t="shared" si="28"/>
        <v>0.87142316904071604</v>
      </c>
      <c r="P32" s="469">
        <f t="shared" si="29"/>
        <v>0.12699249110789093</v>
      </c>
      <c r="Q32" s="472">
        <f t="shared" si="30"/>
        <v>0.8730075088921091</v>
      </c>
    </row>
    <row r="33" spans="1:17" x14ac:dyDescent="0.3">
      <c r="A33" s="5" t="str">
        <f t="shared" si="16"/>
        <v>2016-17</v>
      </c>
      <c r="B33" s="102">
        <f t="shared" si="17"/>
        <v>4.8834019204389574E-2</v>
      </c>
      <c r="C33" s="102">
        <f t="shared" si="18"/>
        <v>0.95116598079561043</v>
      </c>
      <c r="D33" s="102">
        <f t="shared" si="19"/>
        <v>5.5052264808362367E-2</v>
      </c>
      <c r="E33" s="102">
        <f t="shared" si="20"/>
        <v>0.94494773519163766</v>
      </c>
      <c r="F33" s="102"/>
      <c r="G33" s="102"/>
      <c r="H33" s="102">
        <f t="shared" si="21"/>
        <v>0.84242424242424241</v>
      </c>
      <c r="I33" s="102">
        <f t="shared" si="22"/>
        <v>0.15757575757575756</v>
      </c>
      <c r="J33" s="102">
        <f t="shared" si="23"/>
        <v>0.55608591885441527</v>
      </c>
      <c r="K33" s="102">
        <f t="shared" si="24"/>
        <v>0.44391408114558473</v>
      </c>
      <c r="L33" s="102">
        <f t="shared" si="25"/>
        <v>0.15189873417721519</v>
      </c>
      <c r="M33" s="102">
        <f t="shared" si="26"/>
        <v>0.84810126582278478</v>
      </c>
      <c r="N33" s="469">
        <f t="shared" si="27"/>
        <v>0.12624457492979321</v>
      </c>
      <c r="O33" s="102">
        <f t="shared" si="28"/>
        <v>0.87375542507020676</v>
      </c>
      <c r="P33" s="469">
        <f t="shared" si="29"/>
        <v>0.12516626762436819</v>
      </c>
      <c r="Q33" s="472">
        <f t="shared" si="30"/>
        <v>0.87483373237563178</v>
      </c>
    </row>
    <row r="34" spans="1:17" x14ac:dyDescent="0.3">
      <c r="A34" s="5" t="str">
        <f t="shared" si="16"/>
        <v>2017-18</v>
      </c>
      <c r="B34" s="102">
        <f t="shared" si="17"/>
        <v>4.9351381838691484E-2</v>
      </c>
      <c r="C34" s="102">
        <f t="shared" si="18"/>
        <v>0.95064861816130852</v>
      </c>
      <c r="D34" s="102">
        <f t="shared" si="19"/>
        <v>5.9727558505064615E-2</v>
      </c>
      <c r="E34" s="102">
        <f t="shared" si="20"/>
        <v>0.94027244149493538</v>
      </c>
      <c r="F34" s="102"/>
      <c r="G34" s="102"/>
      <c r="H34" s="102">
        <f t="shared" si="21"/>
        <v>0.83597883597883593</v>
      </c>
      <c r="I34" s="102">
        <f t="shared" si="22"/>
        <v>0.16402116402116401</v>
      </c>
      <c r="J34" s="102">
        <f t="shared" si="23"/>
        <v>0.56264775413711587</v>
      </c>
      <c r="K34" s="102">
        <f t="shared" si="24"/>
        <v>0.43735224586288418</v>
      </c>
      <c r="L34" s="102">
        <f t="shared" si="25"/>
        <v>0.16566265060240964</v>
      </c>
      <c r="M34" s="102">
        <f t="shared" si="26"/>
        <v>0.83433734939759041</v>
      </c>
      <c r="N34" s="469">
        <f t="shared" si="27"/>
        <v>0.13310185185185186</v>
      </c>
      <c r="O34" s="102">
        <f t="shared" si="28"/>
        <v>0.86689814814814814</v>
      </c>
      <c r="P34" s="469">
        <f t="shared" si="29"/>
        <v>0.13164965072541646</v>
      </c>
      <c r="Q34" s="472">
        <f t="shared" si="30"/>
        <v>0.86835034927458354</v>
      </c>
    </row>
    <row r="35" spans="1:17" x14ac:dyDescent="0.3">
      <c r="A35" s="5" t="str">
        <f t="shared" si="16"/>
        <v>2018-19</v>
      </c>
      <c r="B35" s="102">
        <f t="shared" si="17"/>
        <v>5.3890569150398679E-2</v>
      </c>
      <c r="C35" s="102">
        <f t="shared" si="18"/>
        <v>0.94610943084960131</v>
      </c>
      <c r="D35" s="102">
        <f t="shared" si="19"/>
        <v>6.8483816013628615E-2</v>
      </c>
      <c r="E35" s="102">
        <f t="shared" si="20"/>
        <v>0.93151618398637137</v>
      </c>
      <c r="F35" s="102"/>
      <c r="G35" s="102"/>
      <c r="H35" s="102">
        <f t="shared" si="21"/>
        <v>0.83091787439613529</v>
      </c>
      <c r="I35" s="102">
        <f t="shared" si="22"/>
        <v>0.16908212560386474</v>
      </c>
      <c r="J35" s="102">
        <f t="shared" si="23"/>
        <v>0.53914141414141414</v>
      </c>
      <c r="K35" s="102">
        <f t="shared" si="24"/>
        <v>0.46085858585858586</v>
      </c>
      <c r="L35" s="102">
        <f t="shared" si="25"/>
        <v>0.17034700315457413</v>
      </c>
      <c r="M35" s="102">
        <f t="shared" si="26"/>
        <v>0.82965299684542582</v>
      </c>
      <c r="N35" s="469">
        <f t="shared" si="27"/>
        <v>0.1329370098659246</v>
      </c>
      <c r="O35" s="102">
        <f t="shared" si="28"/>
        <v>0.8670629901340754</v>
      </c>
      <c r="P35" s="469">
        <f t="shared" si="29"/>
        <v>0.13137435762287522</v>
      </c>
      <c r="Q35" s="472">
        <f t="shared" si="30"/>
        <v>0.86862564237712481</v>
      </c>
    </row>
    <row r="36" spans="1:17" x14ac:dyDescent="0.3">
      <c r="A36" s="5" t="str">
        <f t="shared" si="16"/>
        <v>2019-20</v>
      </c>
      <c r="B36" s="102">
        <f t="shared" si="17"/>
        <v>6.1056105610561059E-2</v>
      </c>
      <c r="C36" s="102">
        <f t="shared" si="18"/>
        <v>0.93894389438943893</v>
      </c>
      <c r="D36" s="102">
        <f t="shared" si="19"/>
        <v>7.0820565202587671E-2</v>
      </c>
      <c r="E36" s="102">
        <f t="shared" si="20"/>
        <v>0.92917943479741227</v>
      </c>
      <c r="F36" s="102"/>
      <c r="G36" s="102"/>
      <c r="H36" s="102">
        <f t="shared" si="21"/>
        <v>0.82978723404255317</v>
      </c>
      <c r="I36" s="102">
        <f t="shared" si="22"/>
        <v>0.1702127659574468</v>
      </c>
      <c r="J36" s="102">
        <f t="shared" si="23"/>
        <v>0.54712362301101591</v>
      </c>
      <c r="K36" s="102">
        <f t="shared" si="24"/>
        <v>0.45287637698898409</v>
      </c>
      <c r="L36" s="102">
        <f t="shared" si="25"/>
        <v>0.17142857142857143</v>
      </c>
      <c r="M36" s="102">
        <f t="shared" si="26"/>
        <v>0.82857142857142863</v>
      </c>
      <c r="N36" s="469">
        <f t="shared" si="27"/>
        <v>0.13797452389960904</v>
      </c>
      <c r="O36" s="102">
        <f t="shared" si="28"/>
        <v>0.86202547610039093</v>
      </c>
      <c r="P36" s="469">
        <f t="shared" si="29"/>
        <v>0.13659049120042027</v>
      </c>
      <c r="Q36" s="472">
        <f t="shared" si="30"/>
        <v>0.86340950879957967</v>
      </c>
    </row>
    <row r="37" spans="1:17" x14ac:dyDescent="0.3">
      <c r="A37" s="5" t="str">
        <f t="shared" si="16"/>
        <v>2020-21</v>
      </c>
      <c r="B37" s="102">
        <f t="shared" si="17"/>
        <v>6.1156101647584477E-2</v>
      </c>
      <c r="C37" s="102">
        <f t="shared" si="18"/>
        <v>0.93884389835241555</v>
      </c>
      <c r="D37" s="102">
        <f t="shared" si="19"/>
        <v>6.8593314763231203E-2</v>
      </c>
      <c r="E37" s="102">
        <f t="shared" si="20"/>
        <v>0.93140668523676884</v>
      </c>
      <c r="F37" s="102">
        <f t="shared" ref="F37:F42" si="31">F20/(F20+G20)</f>
        <v>0.20370370370370369</v>
      </c>
      <c r="G37" s="102">
        <f t="shared" ref="G37:G42" si="32">G20/(F20+G20)</f>
        <v>0.79629629629629628</v>
      </c>
      <c r="H37" s="102">
        <f t="shared" si="21"/>
        <v>0.82967032967032972</v>
      </c>
      <c r="I37" s="102">
        <f t="shared" si="22"/>
        <v>0.17032967032967034</v>
      </c>
      <c r="J37" s="102">
        <f t="shared" si="23"/>
        <v>0.55209580838323358</v>
      </c>
      <c r="K37" s="102">
        <f t="shared" si="24"/>
        <v>0.44790419161676648</v>
      </c>
      <c r="L37" s="102">
        <f t="shared" si="25"/>
        <v>0.17161716171617161</v>
      </c>
      <c r="M37" s="102">
        <f t="shared" si="26"/>
        <v>0.82838283828382842</v>
      </c>
      <c r="N37" s="469">
        <f t="shared" si="27"/>
        <v>0.13938929347131723</v>
      </c>
      <c r="O37" s="102">
        <f t="shared" si="28"/>
        <v>0.86061070652868277</v>
      </c>
      <c r="P37" s="469">
        <f t="shared" si="29"/>
        <v>0.13809144072301968</v>
      </c>
      <c r="Q37" s="472">
        <f t="shared" si="30"/>
        <v>0.86190855927698029</v>
      </c>
    </row>
    <row r="38" spans="1:17" x14ac:dyDescent="0.3">
      <c r="A38" s="5" t="str">
        <f t="shared" si="16"/>
        <v>2021-22</v>
      </c>
      <c r="B38" s="102">
        <f t="shared" si="17"/>
        <v>6.3739376770538245E-2</v>
      </c>
      <c r="C38" s="102">
        <f t="shared" si="18"/>
        <v>0.9362606232294618</v>
      </c>
      <c r="D38" s="102">
        <f t="shared" si="19"/>
        <v>6.9253081943437267E-2</v>
      </c>
      <c r="E38" s="102">
        <f t="shared" si="20"/>
        <v>0.93074691805656273</v>
      </c>
      <c r="F38" s="102">
        <f t="shared" si="31"/>
        <v>0.18867924528301888</v>
      </c>
      <c r="G38" s="102">
        <f t="shared" si="32"/>
        <v>0.81132075471698117</v>
      </c>
      <c r="H38" s="102">
        <f t="shared" si="21"/>
        <v>0.83908045977011492</v>
      </c>
      <c r="I38" s="102">
        <f t="shared" si="22"/>
        <v>0.16091954022988506</v>
      </c>
      <c r="J38" s="102">
        <f t="shared" si="23"/>
        <v>0.54456521739130437</v>
      </c>
      <c r="K38" s="102">
        <f t="shared" si="24"/>
        <v>0.45543478260869563</v>
      </c>
      <c r="L38" s="102">
        <f t="shared" si="25"/>
        <v>0.16606498194945848</v>
      </c>
      <c r="M38" s="472">
        <f t="shared" si="26"/>
        <v>0.83393501805054149</v>
      </c>
      <c r="N38" s="102">
        <f t="shared" si="27"/>
        <v>0.14509854771784234</v>
      </c>
      <c r="O38" s="472">
        <f t="shared" si="28"/>
        <v>0.85490145228215764</v>
      </c>
      <c r="P38" s="102">
        <f t="shared" si="29"/>
        <v>0.14431741761936787</v>
      </c>
      <c r="Q38" s="472">
        <f t="shared" si="30"/>
        <v>0.85568258238063211</v>
      </c>
    </row>
    <row r="39" spans="1:17" x14ac:dyDescent="0.3">
      <c r="A39" s="5" t="str">
        <f t="shared" si="16"/>
        <v>2022-23</v>
      </c>
      <c r="B39" s="102">
        <f t="shared" ref="B39" si="33">B22/(B22+C22)</f>
        <v>6.504297994269341E-2</v>
      </c>
      <c r="C39" s="102">
        <f t="shared" ref="C39" si="34">C22/(B22+C22)</f>
        <v>0.93495702005730663</v>
      </c>
      <c r="D39" s="102">
        <f t="shared" ref="D39" si="35">D22/(D22+E22)</f>
        <v>6.7641681901279713E-2</v>
      </c>
      <c r="E39" s="102">
        <f t="shared" ref="E39" si="36">E22/(D22+E22)</f>
        <v>0.93235831809872027</v>
      </c>
      <c r="F39" s="102">
        <f t="shared" si="31"/>
        <v>0.16363636363636364</v>
      </c>
      <c r="G39" s="102">
        <f t="shared" si="32"/>
        <v>0.83636363636363631</v>
      </c>
      <c r="H39" s="102">
        <f t="shared" ref="H39" si="37">H22/(H22+I22)</f>
        <v>0.83720930232558144</v>
      </c>
      <c r="I39" s="102">
        <f t="shared" ref="I39" si="38">I22/(H22+I22)</f>
        <v>0.16279069767441862</v>
      </c>
      <c r="J39" s="102">
        <f t="shared" ref="J39" si="39">J22/(J22+K22)</f>
        <v>0.537180910099889</v>
      </c>
      <c r="K39" s="102">
        <f t="shared" ref="K39" si="40">K22/(J22+K22)</f>
        <v>0.462819089900111</v>
      </c>
      <c r="L39" s="102">
        <f t="shared" ref="L39" si="41">L22/(L22+M22)</f>
        <v>0.15037593984962405</v>
      </c>
      <c r="M39" s="472">
        <f t="shared" ref="M39" si="42">M22/(L22+M22)</f>
        <v>0.84962406015037595</v>
      </c>
      <c r="N39" s="102">
        <f t="shared" si="27"/>
        <v>0.14293214332589579</v>
      </c>
      <c r="O39" s="472">
        <f t="shared" si="28"/>
        <v>0.85706785667410423</v>
      </c>
      <c r="P39" s="102">
        <f t="shared" si="29"/>
        <v>0.14266285869713041</v>
      </c>
      <c r="Q39" s="472">
        <f t="shared" si="30"/>
        <v>0.85733714130286953</v>
      </c>
    </row>
    <row r="40" spans="1:17" x14ac:dyDescent="0.3">
      <c r="A40" s="5" t="str">
        <f t="shared" si="16"/>
        <v>2023-24</v>
      </c>
      <c r="B40" s="102">
        <f t="shared" ref="B40" si="43">B23/(B23+C23)</f>
        <v>6.4289888953828173E-2</v>
      </c>
      <c r="C40" s="102">
        <f t="shared" ref="C40" si="44">C23/(B23+C23)</f>
        <v>0.93571011104617186</v>
      </c>
      <c r="D40" s="102">
        <f t="shared" ref="D40" si="45">D23/(D23+E23)</f>
        <v>7.0531757754800598E-2</v>
      </c>
      <c r="E40" s="102">
        <f t="shared" ref="E40" si="46">E23/(D23+E23)</f>
        <v>0.92946824224519942</v>
      </c>
      <c r="F40" s="102">
        <f t="shared" si="31"/>
        <v>0.14545454545454545</v>
      </c>
      <c r="G40" s="102">
        <f t="shared" si="32"/>
        <v>0.8545454545454545</v>
      </c>
      <c r="H40" s="102">
        <f t="shared" ref="H40" si="47">H23/(H23+I23)</f>
        <v>0.83040935672514615</v>
      </c>
      <c r="I40" s="102">
        <f t="shared" ref="I40" si="48">I23/(H23+I23)</f>
        <v>0.16959064327485379</v>
      </c>
      <c r="J40" s="102">
        <f t="shared" ref="J40" si="49">J23/(J23+K23)</f>
        <v>0.54340473506200682</v>
      </c>
      <c r="K40" s="102">
        <f t="shared" ref="K40" si="50">K23/(J23+K23)</f>
        <v>0.45659526493799324</v>
      </c>
      <c r="L40" s="102">
        <f t="shared" ref="L40" si="51">L23/(L23+M23)</f>
        <v>0.15613382899628253</v>
      </c>
      <c r="M40" s="472">
        <f t="shared" ref="M40" si="52">M23/(L23+M23)</f>
        <v>0.84386617100371752</v>
      </c>
      <c r="N40" s="102">
        <f t="shared" ref="N40" si="53">N23/(N23+O23)</f>
        <v>0.14443556975505858</v>
      </c>
      <c r="O40" s="472">
        <f t="shared" ref="O40" si="54">O23/(N23+O23)</f>
        <v>0.85556443024494144</v>
      </c>
      <c r="P40" s="102">
        <f t="shared" ref="P40" si="55">P23/(P23+Q23)</f>
        <v>0.14400110451470385</v>
      </c>
      <c r="Q40" s="472">
        <f t="shared" ref="Q40" si="56">Q23/(P23+Q23)</f>
        <v>0.85599889548529617</v>
      </c>
    </row>
    <row r="41" spans="1:17" x14ac:dyDescent="0.3">
      <c r="A41" s="5" t="str">
        <f t="shared" si="16"/>
        <v>2024-25</v>
      </c>
      <c r="B41" s="102">
        <f t="shared" ref="B41" si="57">B24/(B24+C24)</f>
        <v>6.4139941690962099E-2</v>
      </c>
      <c r="C41" s="102">
        <f t="shared" ref="C41" si="58">C24/(B24+C24)</f>
        <v>0.93586005830903785</v>
      </c>
      <c r="D41" s="102">
        <f t="shared" ref="D41" si="59">D24/(D24+E24)</f>
        <v>7.5046210720887241E-2</v>
      </c>
      <c r="E41" s="102">
        <f t="shared" ref="E41" si="60">E24/(D24+E24)</f>
        <v>0.92495378927911276</v>
      </c>
      <c r="F41" s="102">
        <f t="shared" si="31"/>
        <v>0.11666666666666667</v>
      </c>
      <c r="G41" s="102">
        <f t="shared" si="32"/>
        <v>0.8833333333333333</v>
      </c>
      <c r="H41" s="102">
        <f t="shared" ref="H41" si="61">H24/(H24+I24)</f>
        <v>0.8128654970760234</v>
      </c>
      <c r="I41" s="102">
        <f t="shared" ref="I41" si="62">I24/(H24+I24)</f>
        <v>0.1871345029239766</v>
      </c>
      <c r="J41" s="102">
        <f t="shared" ref="J41" si="63">J24/(J24+K24)</f>
        <v>0.53653217011995635</v>
      </c>
      <c r="K41" s="102">
        <f t="shared" ref="K41" si="64">K24/(J24+K24)</f>
        <v>0.46346782988004365</v>
      </c>
      <c r="L41" s="102">
        <f t="shared" ref="L41" si="65">L24/(L24+M24)</f>
        <v>0.15384615384615385</v>
      </c>
      <c r="M41" s="472">
        <f t="shared" ref="M41" si="66">M24/(L24+M24)</f>
        <v>0.84615384615384615</v>
      </c>
      <c r="N41" s="102">
        <f t="shared" ref="N41" si="67">N24/(N24+O24)</f>
        <v>0.14597670725251455</v>
      </c>
      <c r="O41" s="472">
        <f t="shared" ref="O41" si="68">O24/(N24+O24)</f>
        <v>0.85402329274748545</v>
      </c>
      <c r="P41" s="102">
        <f t="shared" ref="P41" si="69">P24/(P24+Q24)</f>
        <v>0.14568172456405326</v>
      </c>
      <c r="Q41" s="472">
        <f t="shared" ref="Q41" si="70">Q24/(P24+Q24)</f>
        <v>0.85431827543594674</v>
      </c>
    </row>
    <row r="42" spans="1:17" x14ac:dyDescent="0.3">
      <c r="A42" s="16" t="str">
        <f t="shared" si="16"/>
        <v>2025-26</v>
      </c>
      <c r="B42" s="103">
        <f t="shared" ref="B42" si="71">B25/(B25+C25)</f>
        <v>6.6744389390848147E-2</v>
      </c>
      <c r="C42" s="103">
        <f t="shared" ref="C42" si="72">C25/(B25+C25)</f>
        <v>0.93325561060915185</v>
      </c>
      <c r="D42" s="103">
        <f t="shared" ref="D42" si="73">D25/(D25+E25)</f>
        <v>7.5718966144885325E-2</v>
      </c>
      <c r="E42" s="103">
        <f t="shared" ref="E42" si="74">E25/(D25+E25)</f>
        <v>0.92428103385511462</v>
      </c>
      <c r="F42" s="103">
        <f t="shared" si="31"/>
        <v>0.13333333333333333</v>
      </c>
      <c r="G42" s="103">
        <f t="shared" si="32"/>
        <v>0.8666666666666667</v>
      </c>
      <c r="H42" s="103">
        <f t="shared" ref="H42" si="75">H25/(H25+I25)</f>
        <v>0.76836158192090398</v>
      </c>
      <c r="I42" s="103">
        <f t="shared" ref="I42" si="76">I25/(H25+I25)</f>
        <v>0.23163841807909605</v>
      </c>
      <c r="J42" s="103">
        <f t="shared" ref="J42" si="77">J25/(J25+K25)</f>
        <v>0.53145336225596529</v>
      </c>
      <c r="K42" s="103">
        <f t="shared" ref="K42" si="78">K25/(J25+K25)</f>
        <v>0.46854663774403471</v>
      </c>
      <c r="L42" s="103">
        <f t="shared" ref="L42" si="79">L25/(L25+M25)</f>
        <v>0.15079365079365079</v>
      </c>
      <c r="M42" s="473">
        <f t="shared" ref="M42" si="80">M25/(L25+M25)</f>
        <v>0.84920634920634919</v>
      </c>
      <c r="N42" s="103">
        <f t="shared" ref="N42" si="81">N25/(N25+O25)</f>
        <v>0.14613256028462249</v>
      </c>
      <c r="O42" s="473">
        <f t="shared" ref="O42" si="82">O25/(N25+O25)</f>
        <v>0.85386743971537749</v>
      </c>
      <c r="P42" s="103">
        <f t="shared" ref="P42" si="83">P25/(P25+Q25)</f>
        <v>0.1459724683112989</v>
      </c>
      <c r="Q42" s="473">
        <f t="shared" ref="Q42" si="84">Q25/(P25+Q25)</f>
        <v>0.85402753168870116</v>
      </c>
    </row>
    <row r="43" spans="1:17" ht="36.6" customHeight="1" x14ac:dyDescent="0.3">
      <c r="A43" s="1050" t="str">
        <f>"OneYear Change " &amp;A24 &amp; " to " &amp;A25</f>
        <v>OneYear Change 2024-25 to 2025-26</v>
      </c>
      <c r="B43" s="1050"/>
      <c r="C43" s="1050"/>
      <c r="D43" s="12"/>
      <c r="E43" s="12"/>
      <c r="F43" s="12"/>
      <c r="G43" s="12"/>
      <c r="H43" s="12"/>
      <c r="I43" s="12"/>
      <c r="J43" s="12"/>
      <c r="K43" s="12"/>
      <c r="L43" s="15"/>
      <c r="M43" s="99"/>
      <c r="N43" s="15"/>
      <c r="O43" s="15"/>
      <c r="P43" s="15"/>
      <c r="Q43" s="15"/>
    </row>
    <row r="44" spans="1:17" ht="15.6" customHeight="1" x14ac:dyDescent="0.3">
      <c r="A44" s="831" t="s">
        <v>346</v>
      </c>
      <c r="B44" s="104">
        <f>B25-B24</f>
        <v>9</v>
      </c>
      <c r="C44" s="104">
        <f t="shared" ref="C44:Q44" si="85">C25-C24</f>
        <v>-8</v>
      </c>
      <c r="D44" s="104">
        <f t="shared" si="85"/>
        <v>5</v>
      </c>
      <c r="E44" s="104">
        <f t="shared" si="85"/>
        <v>37</v>
      </c>
      <c r="F44" s="104">
        <f t="shared" si="85"/>
        <v>1</v>
      </c>
      <c r="G44" s="104">
        <f t="shared" si="85"/>
        <v>-1</v>
      </c>
      <c r="H44" s="104">
        <f t="shared" si="85"/>
        <v>-3</v>
      </c>
      <c r="I44" s="104">
        <f t="shared" si="85"/>
        <v>9</v>
      </c>
      <c r="J44" s="104">
        <f t="shared" si="85"/>
        <v>-2</v>
      </c>
      <c r="K44" s="104">
        <f t="shared" si="85"/>
        <v>7</v>
      </c>
      <c r="L44" s="104">
        <f t="shared" si="85"/>
        <v>-4</v>
      </c>
      <c r="M44" s="104">
        <f t="shared" si="85"/>
        <v>-17</v>
      </c>
      <c r="N44" s="104">
        <f t="shared" si="85"/>
        <v>6</v>
      </c>
      <c r="O44" s="104">
        <f t="shared" si="85"/>
        <v>27</v>
      </c>
      <c r="P44" s="104">
        <f t="shared" si="85"/>
        <v>10</v>
      </c>
      <c r="Q44" s="104">
        <f t="shared" si="85"/>
        <v>44</v>
      </c>
    </row>
    <row r="45" spans="1:17" ht="15" thickBot="1" x14ac:dyDescent="0.35">
      <c r="A45" s="10" t="s">
        <v>94</v>
      </c>
      <c r="B45" s="11">
        <f>B44/B25</f>
        <v>3.9301310043668124E-2</v>
      </c>
      <c r="C45" s="11">
        <f t="shared" ref="C45:Q45" si="86">C44/C25</f>
        <v>-2.4984384759525295E-3</v>
      </c>
      <c r="D45" s="11">
        <f t="shared" si="86"/>
        <v>2.403846153846154E-2</v>
      </c>
      <c r="E45" s="11">
        <f t="shared" si="86"/>
        <v>1.45726664040961E-2</v>
      </c>
      <c r="F45" s="11">
        <f t="shared" si="86"/>
        <v>0.125</v>
      </c>
      <c r="G45" s="11">
        <f t="shared" si="86"/>
        <v>-1.9230769230769232E-2</v>
      </c>
      <c r="H45" s="11">
        <f t="shared" si="86"/>
        <v>-2.2058823529411766E-2</v>
      </c>
      <c r="I45" s="11">
        <f t="shared" si="86"/>
        <v>0.21951219512195122</v>
      </c>
      <c r="J45" s="11">
        <f t="shared" si="86"/>
        <v>-4.0816326530612249E-3</v>
      </c>
      <c r="K45" s="11">
        <f t="shared" si="86"/>
        <v>1.6203703703703703E-2</v>
      </c>
      <c r="L45" s="11">
        <f t="shared" si="86"/>
        <v>-0.10526315789473684</v>
      </c>
      <c r="M45" s="11">
        <f t="shared" si="86"/>
        <v>-7.9439252336448593E-2</v>
      </c>
      <c r="N45" s="11">
        <f t="shared" si="86"/>
        <v>5.4102795311091077E-3</v>
      </c>
      <c r="O45" s="11">
        <f t="shared" si="86"/>
        <v>4.1666666666666666E-3</v>
      </c>
      <c r="P45" s="11">
        <f t="shared" si="86"/>
        <v>9.3370681605975722E-3</v>
      </c>
      <c r="Q45" s="11">
        <f t="shared" si="86"/>
        <v>7.0220236195339932E-3</v>
      </c>
    </row>
    <row r="46" spans="1:17" x14ac:dyDescent="0.3">
      <c r="A46" s="12"/>
      <c r="B46" s="13"/>
      <c r="C46" s="13"/>
      <c r="D46" s="13"/>
      <c r="E46" s="13"/>
      <c r="F46" s="13"/>
      <c r="G46" s="13"/>
      <c r="H46" s="13"/>
      <c r="I46" s="13"/>
      <c r="J46" s="13"/>
      <c r="K46" s="12"/>
      <c r="L46" s="15"/>
      <c r="M46" s="99"/>
      <c r="N46" s="12"/>
      <c r="O46" s="12"/>
      <c r="P46" s="97"/>
      <c r="Q46" s="97"/>
    </row>
    <row r="47" spans="1:17" x14ac:dyDescent="0.3">
      <c r="A47" s="1049" t="str">
        <f>"Five Year Change " &amp;A20 &amp; " to " &amp;A25</f>
        <v>Five Year Change 2020-21 to 2025-26</v>
      </c>
      <c r="B47" s="1049"/>
      <c r="C47" s="1049"/>
      <c r="D47" s="12"/>
      <c r="E47" s="12"/>
      <c r="F47" s="12"/>
      <c r="G47" s="12"/>
      <c r="H47" s="12"/>
      <c r="I47" s="12"/>
      <c r="J47" s="12"/>
      <c r="K47" s="12"/>
      <c r="L47" s="15"/>
      <c r="M47" s="99"/>
      <c r="N47" s="15"/>
      <c r="O47" s="15"/>
      <c r="P47" s="15"/>
      <c r="Q47" s="15"/>
    </row>
    <row r="48" spans="1:17" x14ac:dyDescent="0.3">
      <c r="A48" s="21" t="s">
        <v>346</v>
      </c>
      <c r="B48" s="104">
        <f>B25-B20</f>
        <v>10</v>
      </c>
      <c r="C48" s="104">
        <f t="shared" ref="C48:Q48" si="87">C25-C20</f>
        <v>-160</v>
      </c>
      <c r="D48" s="104">
        <f t="shared" si="87"/>
        <v>11</v>
      </c>
      <c r="E48" s="104">
        <f t="shared" si="87"/>
        <v>-136</v>
      </c>
      <c r="F48" s="104">
        <f t="shared" si="87"/>
        <v>-3</v>
      </c>
      <c r="G48" s="104">
        <f t="shared" si="87"/>
        <v>9</v>
      </c>
      <c r="H48" s="104">
        <f t="shared" si="87"/>
        <v>-15</v>
      </c>
      <c r="I48" s="104">
        <f t="shared" si="87"/>
        <v>10</v>
      </c>
      <c r="J48" s="104">
        <f t="shared" si="87"/>
        <v>29</v>
      </c>
      <c r="K48" s="104">
        <f t="shared" si="87"/>
        <v>58</v>
      </c>
      <c r="L48" s="104">
        <f t="shared" si="87"/>
        <v>-14</v>
      </c>
      <c r="M48" s="104">
        <f t="shared" si="87"/>
        <v>-37</v>
      </c>
      <c r="N48" s="104">
        <f t="shared" si="87"/>
        <v>18</v>
      </c>
      <c r="O48" s="104">
        <f t="shared" si="87"/>
        <v>-256</v>
      </c>
      <c r="P48" s="104">
        <f t="shared" si="87"/>
        <v>32</v>
      </c>
      <c r="Q48" s="104">
        <f t="shared" si="87"/>
        <v>-219</v>
      </c>
    </row>
    <row r="49" spans="1:17" ht="15" thickBot="1" x14ac:dyDescent="0.35">
      <c r="A49" s="10" t="s">
        <v>94</v>
      </c>
      <c r="B49" s="11">
        <f>B48/B20</f>
        <v>4.5662100456621002E-2</v>
      </c>
      <c r="C49" s="11">
        <f t="shared" ref="C49:Q49" si="88">C48/C20</f>
        <v>-4.7590719809637118E-2</v>
      </c>
      <c r="D49" s="11">
        <f t="shared" si="88"/>
        <v>5.5837563451776651E-2</v>
      </c>
      <c r="E49" s="11">
        <f t="shared" si="88"/>
        <v>-5.0841121495327102E-2</v>
      </c>
      <c r="F49" s="11">
        <f t="shared" si="88"/>
        <v>-0.27272727272727271</v>
      </c>
      <c r="G49" s="11">
        <f t="shared" si="88"/>
        <v>0.20930232558139536</v>
      </c>
      <c r="H49" s="11">
        <f t="shared" si="88"/>
        <v>-9.9337748344370855E-2</v>
      </c>
      <c r="I49" s="11">
        <f t="shared" si="88"/>
        <v>0.32258064516129031</v>
      </c>
      <c r="J49" s="11">
        <f t="shared" si="88"/>
        <v>6.2906724511930592E-2</v>
      </c>
      <c r="K49" s="11">
        <f t="shared" si="88"/>
        <v>0.15508021390374332</v>
      </c>
      <c r="L49" s="11">
        <f t="shared" si="88"/>
        <v>-0.26923076923076922</v>
      </c>
      <c r="M49" s="11">
        <f t="shared" si="88"/>
        <v>-0.14741035856573706</v>
      </c>
      <c r="N49" s="11">
        <f t="shared" si="88"/>
        <v>1.6498625114573784E-2</v>
      </c>
      <c r="O49" s="11">
        <f t="shared" si="88"/>
        <v>-3.800475059382423E-2</v>
      </c>
      <c r="P49" s="11">
        <f t="shared" si="88"/>
        <v>3.0798845043310877E-2</v>
      </c>
      <c r="Q49" s="11">
        <f t="shared" si="88"/>
        <v>-3.3770239013107169E-2</v>
      </c>
    </row>
    <row r="51" spans="1:17" x14ac:dyDescent="0.3">
      <c r="A51" s="312" t="s">
        <v>736</v>
      </c>
    </row>
    <row r="52" spans="1:17" x14ac:dyDescent="0.3">
      <c r="A52" t="s">
        <v>737</v>
      </c>
    </row>
    <row r="57" spans="1:17" ht="15" customHeight="1" x14ac:dyDescent="0.3"/>
    <row r="66" ht="15" customHeight="1" x14ac:dyDescent="0.3"/>
  </sheetData>
  <sheetProtection algorithmName="SHA-512" hashValue="zRxMxABBJKHZUjru85y5j1xFf02zX3z6ZRgXpNNPW7kLIMHzT7jK7Xi/3j3CAIuuU7Nhho6xAHfh9dCQH0cOug==" saltValue="2Y+xpM5JYLhqDNGs+kUEIA==" spinCount="100000" sheet="1" formatCells="0" sort="0" autoFilter="0" pivotTables="0"/>
  <mergeCells count="20">
    <mergeCell ref="N9:O9"/>
    <mergeCell ref="P9:Q9"/>
    <mergeCell ref="A1:E1"/>
    <mergeCell ref="L28:M28"/>
    <mergeCell ref="N28:O28"/>
    <mergeCell ref="P28:Q28"/>
    <mergeCell ref="J28:K28"/>
    <mergeCell ref="A4:Q4"/>
    <mergeCell ref="B9:C9"/>
    <mergeCell ref="D9:E9"/>
    <mergeCell ref="H9:I9"/>
    <mergeCell ref="J9:K9"/>
    <mergeCell ref="L9:M9"/>
    <mergeCell ref="F9:G9"/>
    <mergeCell ref="F28:G28"/>
    <mergeCell ref="A47:C47"/>
    <mergeCell ref="A43:C43"/>
    <mergeCell ref="B28:C28"/>
    <mergeCell ref="D28:E28"/>
    <mergeCell ref="H28:I28"/>
  </mergeCells>
  <phoneticPr fontId="53" type="noConversion"/>
  <hyperlinks>
    <hyperlink ref="A2" location="'Table of Contents'!A1" display="Back to Table of Contents" xr:uid="{00000000-0004-0000-5000-000000000000}"/>
  </hyperlinks>
  <pageMargins left="0.70866141732283472" right="0.70866141732283472" top="0.74803149606299213" bottom="0.74803149606299213" header="0.31496062992125984" footer="0.31496062992125984"/>
  <pageSetup paperSize="9" scale="83" orientation="landscape" r:id="rId1"/>
</worksheet>
</file>

<file path=xl/worksheets/sheet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tabColor theme="9" tint="0.39997558519241921"/>
  </sheetPr>
  <dimension ref="A1:D10"/>
  <sheetViews>
    <sheetView workbookViewId="0">
      <selection activeCell="D8" sqref="D8"/>
    </sheetView>
  </sheetViews>
  <sheetFormatPr defaultRowHeight="14.4" x14ac:dyDescent="0.3"/>
  <cols>
    <col min="1" max="1" width="12.5546875" bestFit="1" customWidth="1"/>
    <col min="2" max="2" width="13.5546875" bestFit="1" customWidth="1"/>
    <col min="3" max="4" width="11.6640625" bestFit="1" customWidth="1"/>
  </cols>
  <sheetData>
    <row r="1" spans="1:4" x14ac:dyDescent="0.3">
      <c r="A1" s="386" t="s">
        <v>208</v>
      </c>
      <c r="B1" t="s">
        <v>412</v>
      </c>
    </row>
    <row r="3" spans="1:4" x14ac:dyDescent="0.3">
      <c r="A3" s="386" t="s">
        <v>350</v>
      </c>
      <c r="B3" t="s">
        <v>738</v>
      </c>
      <c r="C3" t="s">
        <v>739</v>
      </c>
      <c r="D3" t="s">
        <v>356</v>
      </c>
    </row>
    <row r="4" spans="1:4" x14ac:dyDescent="0.3">
      <c r="A4" s="387" t="s">
        <v>513</v>
      </c>
      <c r="B4">
        <v>136</v>
      </c>
      <c r="C4">
        <v>41</v>
      </c>
      <c r="D4">
        <v>177</v>
      </c>
    </row>
    <row r="5" spans="1:4" x14ac:dyDescent="0.3">
      <c r="A5" s="387" t="s">
        <v>606</v>
      </c>
      <c r="B5">
        <v>208</v>
      </c>
      <c r="C5">
        <v>2539</v>
      </c>
      <c r="D5">
        <v>2747</v>
      </c>
    </row>
    <row r="6" spans="1:4" x14ac:dyDescent="0.3">
      <c r="A6" s="387" t="s">
        <v>512</v>
      </c>
      <c r="B6">
        <v>8</v>
      </c>
      <c r="C6">
        <v>52</v>
      </c>
      <c r="D6">
        <v>60</v>
      </c>
    </row>
    <row r="7" spans="1:4" x14ac:dyDescent="0.3">
      <c r="A7" s="387" t="s">
        <v>514</v>
      </c>
      <c r="B7">
        <v>490</v>
      </c>
      <c r="C7">
        <v>432</v>
      </c>
      <c r="D7">
        <v>922</v>
      </c>
    </row>
    <row r="8" spans="1:4" x14ac:dyDescent="0.3">
      <c r="A8" s="387" t="s">
        <v>628</v>
      </c>
      <c r="B8">
        <v>38</v>
      </c>
      <c r="C8">
        <v>214</v>
      </c>
      <c r="D8">
        <v>252</v>
      </c>
    </row>
    <row r="9" spans="1:4" x14ac:dyDescent="0.3">
      <c r="A9" s="387" t="s">
        <v>629</v>
      </c>
      <c r="B9">
        <v>229</v>
      </c>
      <c r="C9">
        <v>3202</v>
      </c>
      <c r="D9">
        <v>3431</v>
      </c>
    </row>
    <row r="10" spans="1:4" x14ac:dyDescent="0.3">
      <c r="A10" s="387" t="s">
        <v>357</v>
      </c>
      <c r="B10">
        <v>1109</v>
      </c>
      <c r="C10">
        <v>6480</v>
      </c>
      <c r="D10">
        <v>7589</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tabColor theme="9" tint="0.39997558519241921"/>
  </sheetPr>
  <dimension ref="A1:E74"/>
  <sheetViews>
    <sheetView topLeftCell="A52" workbookViewId="0">
      <selection activeCell="C24" sqref="C24"/>
    </sheetView>
  </sheetViews>
  <sheetFormatPr defaultRowHeight="14.4" x14ac:dyDescent="0.3"/>
  <cols>
    <col min="1" max="1" width="7.6640625" bestFit="1" customWidth="1"/>
    <col min="2" max="2" width="11.88671875" bestFit="1" customWidth="1"/>
    <col min="3" max="3" width="7.44140625" bestFit="1" customWidth="1"/>
    <col min="4" max="4" width="9.5546875" bestFit="1" customWidth="1"/>
    <col min="5" max="5" width="7.6640625" bestFit="1" customWidth="1"/>
  </cols>
  <sheetData>
    <row r="1" spans="1:5" x14ac:dyDescent="0.3">
      <c r="A1" t="s">
        <v>208</v>
      </c>
      <c r="B1" t="s">
        <v>620</v>
      </c>
      <c r="C1" t="s">
        <v>340</v>
      </c>
      <c r="D1" t="s">
        <v>733</v>
      </c>
      <c r="E1" t="s">
        <v>734</v>
      </c>
    </row>
    <row r="2" spans="1:5" x14ac:dyDescent="0.3">
      <c r="A2" t="s">
        <v>364</v>
      </c>
      <c r="B2" t="s">
        <v>628</v>
      </c>
      <c r="C2">
        <v>359</v>
      </c>
      <c r="D2">
        <v>52</v>
      </c>
      <c r="E2">
        <v>307</v>
      </c>
    </row>
    <row r="3" spans="1:5" x14ac:dyDescent="0.3">
      <c r="A3" t="s">
        <v>365</v>
      </c>
      <c r="B3" t="s">
        <v>629</v>
      </c>
      <c r="C3">
        <v>3856</v>
      </c>
      <c r="D3">
        <v>164</v>
      </c>
      <c r="E3">
        <v>3692</v>
      </c>
    </row>
    <row r="4" spans="1:5" x14ac:dyDescent="0.3">
      <c r="A4" t="s">
        <v>341</v>
      </c>
      <c r="B4" t="s">
        <v>606</v>
      </c>
      <c r="C4">
        <v>2870</v>
      </c>
      <c r="D4">
        <v>158</v>
      </c>
      <c r="E4">
        <v>2712</v>
      </c>
    </row>
    <row r="5" spans="1:5" x14ac:dyDescent="0.3">
      <c r="A5" t="s">
        <v>341</v>
      </c>
      <c r="B5" t="s">
        <v>514</v>
      </c>
      <c r="C5">
        <v>838</v>
      </c>
      <c r="D5">
        <v>466</v>
      </c>
      <c r="E5">
        <v>372</v>
      </c>
    </row>
    <row r="6" spans="1:5" x14ac:dyDescent="0.3">
      <c r="A6" t="s">
        <v>213</v>
      </c>
      <c r="B6" t="s">
        <v>629</v>
      </c>
      <c r="C6">
        <v>3637</v>
      </c>
      <c r="D6">
        <v>196</v>
      </c>
      <c r="E6">
        <v>3441</v>
      </c>
    </row>
    <row r="7" spans="1:5" x14ac:dyDescent="0.3">
      <c r="A7" t="s">
        <v>320</v>
      </c>
      <c r="B7" t="s">
        <v>629</v>
      </c>
      <c r="C7">
        <v>3530</v>
      </c>
      <c r="D7">
        <v>225</v>
      </c>
      <c r="E7">
        <v>3305</v>
      </c>
    </row>
    <row r="8" spans="1:5" x14ac:dyDescent="0.3">
      <c r="A8" t="s">
        <v>325</v>
      </c>
      <c r="B8" t="s">
        <v>629</v>
      </c>
      <c r="C8">
        <v>3490</v>
      </c>
      <c r="D8">
        <v>227</v>
      </c>
      <c r="E8">
        <v>3263</v>
      </c>
    </row>
    <row r="9" spans="1:5" x14ac:dyDescent="0.3">
      <c r="A9" t="s">
        <v>328</v>
      </c>
      <c r="B9" t="s">
        <v>514</v>
      </c>
      <c r="C9">
        <v>917</v>
      </c>
      <c r="D9">
        <v>492</v>
      </c>
      <c r="E9">
        <v>425</v>
      </c>
    </row>
    <row r="10" spans="1:5" x14ac:dyDescent="0.3">
      <c r="A10" t="s">
        <v>412</v>
      </c>
      <c r="B10" t="s">
        <v>628</v>
      </c>
      <c r="C10">
        <v>252</v>
      </c>
      <c r="D10">
        <v>38</v>
      </c>
      <c r="E10">
        <v>214</v>
      </c>
    </row>
    <row r="11" spans="1:5" x14ac:dyDescent="0.3">
      <c r="A11" t="s">
        <v>364</v>
      </c>
      <c r="B11" t="s">
        <v>629</v>
      </c>
      <c r="C11">
        <v>4001</v>
      </c>
      <c r="D11">
        <v>159</v>
      </c>
      <c r="E11">
        <v>3842</v>
      </c>
    </row>
    <row r="12" spans="1:5" x14ac:dyDescent="0.3">
      <c r="A12" t="s">
        <v>366</v>
      </c>
      <c r="B12" t="s">
        <v>606</v>
      </c>
      <c r="C12">
        <v>2870</v>
      </c>
      <c r="D12">
        <v>163</v>
      </c>
      <c r="E12">
        <v>2707</v>
      </c>
    </row>
    <row r="13" spans="1:5" x14ac:dyDescent="0.3">
      <c r="A13" t="s">
        <v>341</v>
      </c>
      <c r="B13" t="s">
        <v>629</v>
      </c>
      <c r="C13">
        <v>3645</v>
      </c>
      <c r="D13">
        <v>178</v>
      </c>
      <c r="E13">
        <v>3467</v>
      </c>
    </row>
    <row r="14" spans="1:5" x14ac:dyDescent="0.3">
      <c r="A14" t="s">
        <v>213</v>
      </c>
      <c r="B14" t="s">
        <v>606</v>
      </c>
      <c r="C14">
        <v>2935</v>
      </c>
      <c r="D14">
        <v>201</v>
      </c>
      <c r="E14">
        <v>2734</v>
      </c>
    </row>
    <row r="15" spans="1:5" x14ac:dyDescent="0.3">
      <c r="A15" t="s">
        <v>213</v>
      </c>
      <c r="B15" t="s">
        <v>628</v>
      </c>
      <c r="C15">
        <v>317</v>
      </c>
      <c r="D15">
        <v>54</v>
      </c>
      <c r="E15">
        <v>263</v>
      </c>
    </row>
    <row r="16" spans="1:5" x14ac:dyDescent="0.3">
      <c r="A16" t="s">
        <v>318</v>
      </c>
      <c r="B16" t="s">
        <v>514</v>
      </c>
      <c r="C16">
        <v>835</v>
      </c>
      <c r="D16">
        <v>461</v>
      </c>
      <c r="E16">
        <v>374</v>
      </c>
    </row>
    <row r="17" spans="1:5" x14ac:dyDescent="0.3">
      <c r="A17" t="s">
        <v>320</v>
      </c>
      <c r="B17" t="s">
        <v>513</v>
      </c>
      <c r="C17">
        <v>174</v>
      </c>
      <c r="D17">
        <v>146</v>
      </c>
      <c r="E17">
        <v>28</v>
      </c>
    </row>
    <row r="18" spans="1:5" x14ac:dyDescent="0.3">
      <c r="A18" t="s">
        <v>320</v>
      </c>
      <c r="B18" t="s">
        <v>512</v>
      </c>
      <c r="C18">
        <v>53</v>
      </c>
      <c r="D18">
        <v>10</v>
      </c>
      <c r="E18">
        <v>43</v>
      </c>
    </row>
    <row r="19" spans="1:5" x14ac:dyDescent="0.3">
      <c r="A19" t="s">
        <v>320</v>
      </c>
      <c r="B19" t="s">
        <v>514</v>
      </c>
      <c r="C19">
        <v>920</v>
      </c>
      <c r="D19">
        <v>501</v>
      </c>
      <c r="E19">
        <v>419</v>
      </c>
    </row>
    <row r="20" spans="1:5" x14ac:dyDescent="0.3">
      <c r="A20" t="s">
        <v>325</v>
      </c>
      <c r="B20" t="s">
        <v>513</v>
      </c>
      <c r="C20">
        <v>172</v>
      </c>
      <c r="D20">
        <v>144</v>
      </c>
      <c r="E20">
        <v>28</v>
      </c>
    </row>
    <row r="21" spans="1:5" x14ac:dyDescent="0.3">
      <c r="A21" t="s">
        <v>328</v>
      </c>
      <c r="B21" t="s">
        <v>512</v>
      </c>
      <c r="C21">
        <v>60</v>
      </c>
      <c r="D21">
        <v>7</v>
      </c>
      <c r="E21">
        <v>53</v>
      </c>
    </row>
    <row r="22" spans="1:5" x14ac:dyDescent="0.3">
      <c r="A22" t="s">
        <v>328</v>
      </c>
      <c r="B22" t="s">
        <v>629</v>
      </c>
      <c r="C22">
        <v>3430</v>
      </c>
      <c r="D22">
        <v>220</v>
      </c>
      <c r="E22">
        <v>3210</v>
      </c>
    </row>
    <row r="23" spans="1:5" x14ac:dyDescent="0.3">
      <c r="A23" t="s">
        <v>412</v>
      </c>
      <c r="B23" t="s">
        <v>513</v>
      </c>
      <c r="C23">
        <v>177</v>
      </c>
      <c r="D23">
        <v>136</v>
      </c>
      <c r="E23">
        <v>41</v>
      </c>
    </row>
    <row r="24" spans="1:5" x14ac:dyDescent="0.3">
      <c r="A24" t="s">
        <v>364</v>
      </c>
      <c r="B24" t="s">
        <v>514</v>
      </c>
      <c r="C24">
        <v>961</v>
      </c>
      <c r="D24">
        <v>545</v>
      </c>
      <c r="E24">
        <v>416</v>
      </c>
    </row>
    <row r="25" spans="1:5" x14ac:dyDescent="0.3">
      <c r="A25" t="s">
        <v>365</v>
      </c>
      <c r="B25" t="s">
        <v>513</v>
      </c>
      <c r="C25">
        <v>230</v>
      </c>
      <c r="D25">
        <v>192</v>
      </c>
      <c r="E25">
        <v>38</v>
      </c>
    </row>
    <row r="26" spans="1:5" x14ac:dyDescent="0.3">
      <c r="A26" t="s">
        <v>366</v>
      </c>
      <c r="B26" t="s">
        <v>514</v>
      </c>
      <c r="C26">
        <v>828</v>
      </c>
      <c r="D26">
        <v>463</v>
      </c>
      <c r="E26">
        <v>365</v>
      </c>
    </row>
    <row r="27" spans="1:5" x14ac:dyDescent="0.3">
      <c r="A27" t="s">
        <v>213</v>
      </c>
      <c r="B27" t="s">
        <v>513</v>
      </c>
      <c r="C27">
        <v>207</v>
      </c>
      <c r="D27">
        <v>172</v>
      </c>
      <c r="E27">
        <v>35</v>
      </c>
    </row>
    <row r="28" spans="1:5" x14ac:dyDescent="0.3">
      <c r="A28" t="s">
        <v>312</v>
      </c>
      <c r="B28" t="s">
        <v>628</v>
      </c>
      <c r="C28">
        <v>315</v>
      </c>
      <c r="D28">
        <v>54</v>
      </c>
      <c r="E28">
        <v>261</v>
      </c>
    </row>
    <row r="29" spans="1:5" x14ac:dyDescent="0.3">
      <c r="A29" t="s">
        <v>312</v>
      </c>
      <c r="B29" t="s">
        <v>629</v>
      </c>
      <c r="C29">
        <v>3636</v>
      </c>
      <c r="D29">
        <v>222</v>
      </c>
      <c r="E29">
        <v>3414</v>
      </c>
    </row>
    <row r="30" spans="1:5" x14ac:dyDescent="0.3">
      <c r="A30" t="s">
        <v>318</v>
      </c>
      <c r="B30" t="s">
        <v>512</v>
      </c>
      <c r="C30">
        <v>54</v>
      </c>
      <c r="D30">
        <v>11</v>
      </c>
      <c r="E30">
        <v>43</v>
      </c>
    </row>
    <row r="31" spans="1:5" x14ac:dyDescent="0.3">
      <c r="A31" t="s">
        <v>325</v>
      </c>
      <c r="B31" t="s">
        <v>606</v>
      </c>
      <c r="C31">
        <v>2735</v>
      </c>
      <c r="D31">
        <v>185</v>
      </c>
      <c r="E31">
        <v>2550</v>
      </c>
    </row>
    <row r="32" spans="1:5" x14ac:dyDescent="0.3">
      <c r="A32" t="s">
        <v>326</v>
      </c>
      <c r="B32" t="s">
        <v>513</v>
      </c>
      <c r="C32">
        <v>171</v>
      </c>
      <c r="D32">
        <v>142</v>
      </c>
      <c r="E32">
        <v>29</v>
      </c>
    </row>
    <row r="33" spans="1:5" x14ac:dyDescent="0.3">
      <c r="A33" t="s">
        <v>326</v>
      </c>
      <c r="B33" t="s">
        <v>628</v>
      </c>
      <c r="C33">
        <v>269</v>
      </c>
      <c r="D33">
        <v>42</v>
      </c>
      <c r="E33">
        <v>227</v>
      </c>
    </row>
    <row r="34" spans="1:5" x14ac:dyDescent="0.3">
      <c r="A34" t="s">
        <v>328</v>
      </c>
      <c r="B34" t="s">
        <v>513</v>
      </c>
      <c r="C34">
        <v>171</v>
      </c>
      <c r="D34">
        <v>139</v>
      </c>
      <c r="E34">
        <v>32</v>
      </c>
    </row>
    <row r="35" spans="1:5" x14ac:dyDescent="0.3">
      <c r="A35" t="s">
        <v>364</v>
      </c>
      <c r="B35" t="s">
        <v>606</v>
      </c>
      <c r="C35">
        <v>2940</v>
      </c>
      <c r="D35">
        <v>178</v>
      </c>
      <c r="E35">
        <v>2762</v>
      </c>
    </row>
    <row r="36" spans="1:5" x14ac:dyDescent="0.3">
      <c r="A36" t="s">
        <v>341</v>
      </c>
      <c r="B36" t="s">
        <v>628</v>
      </c>
      <c r="C36">
        <v>316</v>
      </c>
      <c r="D36">
        <v>48</v>
      </c>
      <c r="E36">
        <v>268</v>
      </c>
    </row>
    <row r="37" spans="1:5" x14ac:dyDescent="0.3">
      <c r="A37" t="s">
        <v>342</v>
      </c>
      <c r="B37" t="s">
        <v>513</v>
      </c>
      <c r="C37">
        <v>189</v>
      </c>
      <c r="D37">
        <v>158</v>
      </c>
      <c r="E37">
        <v>31</v>
      </c>
    </row>
    <row r="38" spans="1:5" x14ac:dyDescent="0.3">
      <c r="A38" t="s">
        <v>342</v>
      </c>
      <c r="B38" t="s">
        <v>606</v>
      </c>
      <c r="C38">
        <v>2863</v>
      </c>
      <c r="D38">
        <v>171</v>
      </c>
      <c r="E38">
        <v>2692</v>
      </c>
    </row>
    <row r="39" spans="1:5" x14ac:dyDescent="0.3">
      <c r="A39" t="s">
        <v>342</v>
      </c>
      <c r="B39" t="s">
        <v>628</v>
      </c>
      <c r="C39">
        <v>332</v>
      </c>
      <c r="D39">
        <v>55</v>
      </c>
      <c r="E39">
        <v>277</v>
      </c>
    </row>
    <row r="40" spans="1:5" x14ac:dyDescent="0.3">
      <c r="A40" t="s">
        <v>213</v>
      </c>
      <c r="B40" t="s">
        <v>512</v>
      </c>
      <c r="C40">
        <v>18</v>
      </c>
      <c r="D40">
        <v>1</v>
      </c>
      <c r="E40">
        <v>17</v>
      </c>
    </row>
    <row r="41" spans="1:5" x14ac:dyDescent="0.3">
      <c r="A41" t="s">
        <v>320</v>
      </c>
      <c r="B41" t="s">
        <v>606</v>
      </c>
      <c r="C41">
        <v>2758</v>
      </c>
      <c r="D41">
        <v>191</v>
      </c>
      <c r="E41">
        <v>2567</v>
      </c>
    </row>
    <row r="42" spans="1:5" x14ac:dyDescent="0.3">
      <c r="A42" t="s">
        <v>326</v>
      </c>
      <c r="B42" t="s">
        <v>512</v>
      </c>
      <c r="C42">
        <v>55</v>
      </c>
      <c r="D42">
        <v>8</v>
      </c>
      <c r="E42">
        <v>47</v>
      </c>
    </row>
    <row r="43" spans="1:5" x14ac:dyDescent="0.3">
      <c r="A43" t="s">
        <v>328</v>
      </c>
      <c r="B43" t="s">
        <v>606</v>
      </c>
      <c r="C43">
        <v>2705</v>
      </c>
      <c r="D43">
        <v>203</v>
      </c>
      <c r="E43">
        <v>2502</v>
      </c>
    </row>
    <row r="44" spans="1:5" x14ac:dyDescent="0.3">
      <c r="A44" t="s">
        <v>328</v>
      </c>
      <c r="B44" t="s">
        <v>628</v>
      </c>
      <c r="C44">
        <v>273</v>
      </c>
      <c r="D44">
        <v>42</v>
      </c>
      <c r="E44">
        <v>231</v>
      </c>
    </row>
    <row r="45" spans="1:5" x14ac:dyDescent="0.3">
      <c r="A45" t="s">
        <v>412</v>
      </c>
      <c r="B45" t="s">
        <v>514</v>
      </c>
      <c r="C45">
        <v>922</v>
      </c>
      <c r="D45">
        <v>490</v>
      </c>
      <c r="E45">
        <v>432</v>
      </c>
    </row>
    <row r="46" spans="1:5" x14ac:dyDescent="0.3">
      <c r="A46" t="s">
        <v>365</v>
      </c>
      <c r="B46" t="s">
        <v>628</v>
      </c>
      <c r="C46">
        <v>378</v>
      </c>
      <c r="D46">
        <v>56</v>
      </c>
      <c r="E46">
        <v>322</v>
      </c>
    </row>
    <row r="47" spans="1:5" x14ac:dyDescent="0.3">
      <c r="A47" t="s">
        <v>312</v>
      </c>
      <c r="B47" t="s">
        <v>606</v>
      </c>
      <c r="C47">
        <v>2937</v>
      </c>
      <c r="D47">
        <v>208</v>
      </c>
      <c r="E47">
        <v>2729</v>
      </c>
    </row>
    <row r="48" spans="1:5" x14ac:dyDescent="0.3">
      <c r="A48" t="s">
        <v>325</v>
      </c>
      <c r="B48" t="s">
        <v>512</v>
      </c>
      <c r="C48">
        <v>55</v>
      </c>
      <c r="D48">
        <v>9</v>
      </c>
      <c r="E48">
        <v>46</v>
      </c>
    </row>
    <row r="49" spans="1:5" x14ac:dyDescent="0.3">
      <c r="A49" t="s">
        <v>326</v>
      </c>
      <c r="B49" t="s">
        <v>606</v>
      </c>
      <c r="C49">
        <v>2708</v>
      </c>
      <c r="D49">
        <v>191</v>
      </c>
      <c r="E49">
        <v>2517</v>
      </c>
    </row>
    <row r="50" spans="1:5" x14ac:dyDescent="0.3">
      <c r="A50" t="s">
        <v>326</v>
      </c>
      <c r="B50" t="s">
        <v>514</v>
      </c>
      <c r="C50">
        <v>887</v>
      </c>
      <c r="D50">
        <v>482</v>
      </c>
      <c r="E50">
        <v>405</v>
      </c>
    </row>
    <row r="51" spans="1:5" x14ac:dyDescent="0.3">
      <c r="A51" t="s">
        <v>366</v>
      </c>
      <c r="B51" t="s">
        <v>628</v>
      </c>
      <c r="C51">
        <v>342</v>
      </c>
      <c r="D51">
        <v>56</v>
      </c>
      <c r="E51">
        <v>286</v>
      </c>
    </row>
    <row r="52" spans="1:5" x14ac:dyDescent="0.3">
      <c r="A52" t="s">
        <v>342</v>
      </c>
      <c r="B52" t="s">
        <v>514</v>
      </c>
      <c r="C52">
        <v>846</v>
      </c>
      <c r="D52">
        <v>476</v>
      </c>
      <c r="E52">
        <v>370</v>
      </c>
    </row>
    <row r="53" spans="1:5" x14ac:dyDescent="0.3">
      <c r="A53" t="s">
        <v>213</v>
      </c>
      <c r="B53" t="s">
        <v>514</v>
      </c>
      <c r="C53">
        <v>792</v>
      </c>
      <c r="D53">
        <v>427</v>
      </c>
      <c r="E53">
        <v>365</v>
      </c>
    </row>
    <row r="54" spans="1:5" x14ac:dyDescent="0.3">
      <c r="A54" t="s">
        <v>312</v>
      </c>
      <c r="B54" t="s">
        <v>514</v>
      </c>
      <c r="C54">
        <v>817</v>
      </c>
      <c r="D54">
        <v>447</v>
      </c>
      <c r="E54">
        <v>370</v>
      </c>
    </row>
    <row r="55" spans="1:5" x14ac:dyDescent="0.3">
      <c r="A55" t="s">
        <v>318</v>
      </c>
      <c r="B55" t="s">
        <v>606</v>
      </c>
      <c r="C55">
        <v>2872</v>
      </c>
      <c r="D55">
        <v>197</v>
      </c>
      <c r="E55">
        <v>2675</v>
      </c>
    </row>
    <row r="56" spans="1:5" x14ac:dyDescent="0.3">
      <c r="A56" t="s">
        <v>318</v>
      </c>
      <c r="B56" t="s">
        <v>628</v>
      </c>
      <c r="C56">
        <v>303</v>
      </c>
      <c r="D56">
        <v>52</v>
      </c>
      <c r="E56">
        <v>251</v>
      </c>
    </row>
    <row r="57" spans="1:5" x14ac:dyDescent="0.3">
      <c r="A57" t="s">
        <v>320</v>
      </c>
      <c r="B57" t="s">
        <v>628</v>
      </c>
      <c r="C57">
        <v>277</v>
      </c>
      <c r="D57">
        <v>46</v>
      </c>
      <c r="E57">
        <v>231</v>
      </c>
    </row>
    <row r="58" spans="1:5" x14ac:dyDescent="0.3">
      <c r="A58" t="s">
        <v>326</v>
      </c>
      <c r="B58" t="s">
        <v>629</v>
      </c>
      <c r="C58">
        <v>3422</v>
      </c>
      <c r="D58">
        <v>220</v>
      </c>
      <c r="E58">
        <v>3202</v>
      </c>
    </row>
    <row r="59" spans="1:5" x14ac:dyDescent="0.3">
      <c r="A59" t="s">
        <v>412</v>
      </c>
      <c r="B59" t="s">
        <v>606</v>
      </c>
      <c r="C59">
        <v>2747</v>
      </c>
      <c r="D59">
        <v>208</v>
      </c>
      <c r="E59">
        <v>2539</v>
      </c>
    </row>
    <row r="60" spans="1:5" x14ac:dyDescent="0.3">
      <c r="A60" t="s">
        <v>412</v>
      </c>
      <c r="B60" t="s">
        <v>512</v>
      </c>
      <c r="C60">
        <v>60</v>
      </c>
      <c r="D60">
        <v>8</v>
      </c>
      <c r="E60">
        <v>52</v>
      </c>
    </row>
    <row r="61" spans="1:5" x14ac:dyDescent="0.3">
      <c r="A61" t="s">
        <v>364</v>
      </c>
      <c r="B61" t="s">
        <v>513</v>
      </c>
      <c r="C61">
        <v>223</v>
      </c>
      <c r="D61">
        <v>199</v>
      </c>
      <c r="E61">
        <v>24</v>
      </c>
    </row>
    <row r="62" spans="1:5" x14ac:dyDescent="0.3">
      <c r="A62" t="s">
        <v>365</v>
      </c>
      <c r="B62" t="s">
        <v>606</v>
      </c>
      <c r="C62">
        <v>2950</v>
      </c>
      <c r="D62">
        <v>172</v>
      </c>
      <c r="E62">
        <v>2778</v>
      </c>
    </row>
    <row r="63" spans="1:5" x14ac:dyDescent="0.3">
      <c r="A63" t="s">
        <v>366</v>
      </c>
      <c r="B63" t="s">
        <v>629</v>
      </c>
      <c r="C63">
        <v>3690</v>
      </c>
      <c r="D63">
        <v>167</v>
      </c>
      <c r="E63">
        <v>3523</v>
      </c>
    </row>
    <row r="64" spans="1:5" x14ac:dyDescent="0.3">
      <c r="A64" t="s">
        <v>312</v>
      </c>
      <c r="B64" t="s">
        <v>513</v>
      </c>
      <c r="C64">
        <v>188</v>
      </c>
      <c r="D64">
        <v>156</v>
      </c>
      <c r="E64">
        <v>32</v>
      </c>
    </row>
    <row r="65" spans="1:5" x14ac:dyDescent="0.3">
      <c r="A65" t="s">
        <v>312</v>
      </c>
      <c r="B65" t="s">
        <v>512</v>
      </c>
      <c r="C65">
        <v>36</v>
      </c>
      <c r="D65">
        <v>7</v>
      </c>
      <c r="E65">
        <v>29</v>
      </c>
    </row>
    <row r="66" spans="1:5" x14ac:dyDescent="0.3">
      <c r="A66" t="s">
        <v>412</v>
      </c>
      <c r="B66" t="s">
        <v>629</v>
      </c>
      <c r="C66">
        <v>3431</v>
      </c>
      <c r="D66">
        <v>229</v>
      </c>
      <c r="E66">
        <v>3202</v>
      </c>
    </row>
    <row r="67" spans="1:5" x14ac:dyDescent="0.3">
      <c r="A67" t="s">
        <v>365</v>
      </c>
      <c r="B67" t="s">
        <v>514</v>
      </c>
      <c r="C67">
        <v>867</v>
      </c>
      <c r="D67">
        <v>480</v>
      </c>
      <c r="E67">
        <v>387</v>
      </c>
    </row>
    <row r="68" spans="1:5" x14ac:dyDescent="0.3">
      <c r="A68" t="s">
        <v>366</v>
      </c>
      <c r="B68" t="s">
        <v>513</v>
      </c>
      <c r="C68">
        <v>203</v>
      </c>
      <c r="D68">
        <v>171</v>
      </c>
      <c r="E68">
        <v>32</v>
      </c>
    </row>
    <row r="69" spans="1:5" x14ac:dyDescent="0.3">
      <c r="A69" t="s">
        <v>341</v>
      </c>
      <c r="B69" t="s">
        <v>513</v>
      </c>
      <c r="C69">
        <v>165</v>
      </c>
      <c r="D69">
        <v>139</v>
      </c>
      <c r="E69">
        <v>26</v>
      </c>
    </row>
    <row r="70" spans="1:5" x14ac:dyDescent="0.3">
      <c r="A70" t="s">
        <v>342</v>
      </c>
      <c r="B70" t="s">
        <v>629</v>
      </c>
      <c r="C70">
        <v>3546</v>
      </c>
      <c r="D70">
        <v>175</v>
      </c>
      <c r="E70">
        <v>3371</v>
      </c>
    </row>
    <row r="71" spans="1:5" x14ac:dyDescent="0.3">
      <c r="A71" t="s">
        <v>318</v>
      </c>
      <c r="B71" t="s">
        <v>513</v>
      </c>
      <c r="C71">
        <v>182</v>
      </c>
      <c r="D71">
        <v>151</v>
      </c>
      <c r="E71">
        <v>31</v>
      </c>
    </row>
    <row r="72" spans="1:5" x14ac:dyDescent="0.3">
      <c r="A72" t="s">
        <v>318</v>
      </c>
      <c r="B72" t="s">
        <v>629</v>
      </c>
      <c r="C72">
        <v>3581</v>
      </c>
      <c r="D72">
        <v>219</v>
      </c>
      <c r="E72">
        <v>3362</v>
      </c>
    </row>
    <row r="73" spans="1:5" x14ac:dyDescent="0.3">
      <c r="A73" t="s">
        <v>325</v>
      </c>
      <c r="B73" t="s">
        <v>514</v>
      </c>
      <c r="C73">
        <v>901</v>
      </c>
      <c r="D73">
        <v>484</v>
      </c>
      <c r="E73">
        <v>417</v>
      </c>
    </row>
    <row r="74" spans="1:5" x14ac:dyDescent="0.3">
      <c r="A74" t="s">
        <v>325</v>
      </c>
      <c r="B74" t="s">
        <v>628</v>
      </c>
      <c r="C74">
        <v>266</v>
      </c>
      <c r="D74">
        <v>40</v>
      </c>
      <c r="E74">
        <v>226</v>
      </c>
    </row>
  </sheetData>
  <pageMargins left="0.7" right="0.7" top="0.75" bottom="0.75" header="0.3" footer="0.3"/>
  <tableParts count="1">
    <tablePart r:id="rId1"/>
  </tableParts>
</worksheet>
</file>

<file path=xl/worksheets/sheet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Sheet16">
    <tabColor theme="9" tint="0.39997558519241921"/>
    <pageSetUpPr fitToPage="1"/>
  </sheetPr>
  <dimension ref="A1:G19"/>
  <sheetViews>
    <sheetView showGridLines="0" workbookViewId="0">
      <pane ySplit="2" topLeftCell="A3" activePane="bottomLeft" state="frozen"/>
      <selection pane="bottomLeft" sqref="A1:C1"/>
    </sheetView>
  </sheetViews>
  <sheetFormatPr defaultRowHeight="14.4" x14ac:dyDescent="0.3"/>
  <cols>
    <col min="1" max="1" width="25" customWidth="1"/>
    <col min="2" max="3" width="7.6640625" customWidth="1"/>
    <col min="4" max="4" width="11.44140625" customWidth="1"/>
    <col min="5" max="6" width="7.6640625" customWidth="1"/>
    <col min="7" max="7" width="11.5546875" customWidth="1"/>
  </cols>
  <sheetData>
    <row r="1" spans="1:7" ht="29.4" customHeight="1" x14ac:dyDescent="0.3">
      <c r="A1" s="1030" t="s">
        <v>515</v>
      </c>
      <c r="B1" s="1030"/>
      <c r="C1" s="1030"/>
    </row>
    <row r="2" spans="1:7" x14ac:dyDescent="0.3">
      <c r="A2" s="498" t="s">
        <v>202</v>
      </c>
    </row>
    <row r="3" spans="1:7" x14ac:dyDescent="0.3">
      <c r="A3" s="25"/>
      <c r="B3" s="25"/>
      <c r="C3" s="25"/>
      <c r="D3" s="25"/>
      <c r="E3" s="25"/>
      <c r="F3" s="25"/>
      <c r="G3" s="25"/>
    </row>
    <row r="4" spans="1:7" ht="22.5" customHeight="1" x14ac:dyDescent="0.3">
      <c r="A4" s="1062" t="s">
        <v>740</v>
      </c>
      <c r="B4" s="1062"/>
      <c r="C4" s="1062"/>
      <c r="D4" s="1062"/>
      <c r="E4" s="1062"/>
      <c r="F4" s="1062"/>
      <c r="G4" s="1062"/>
    </row>
    <row r="5" spans="1:7" ht="15" customHeight="1" x14ac:dyDescent="0.3">
      <c r="A5" t="s">
        <v>203</v>
      </c>
      <c r="B5" t="s">
        <v>89</v>
      </c>
      <c r="C5" s="420"/>
      <c r="D5" s="297"/>
      <c r="E5" s="297"/>
      <c r="F5" s="297"/>
      <c r="G5" s="297"/>
    </row>
    <row r="6" spans="1:7" ht="15" customHeight="1" x14ac:dyDescent="0.3">
      <c r="A6" t="s">
        <v>204</v>
      </c>
      <c r="B6" t="s">
        <v>205</v>
      </c>
      <c r="C6" s="420"/>
      <c r="D6" s="297"/>
      <c r="E6" s="297"/>
      <c r="F6" s="297"/>
      <c r="G6" s="297"/>
    </row>
    <row r="7" spans="1:7" ht="15" customHeight="1" x14ac:dyDescent="0.3">
      <c r="A7" t="s">
        <v>206</v>
      </c>
      <c r="B7" t="s">
        <v>207</v>
      </c>
      <c r="C7" s="420"/>
      <c r="D7" s="297"/>
      <c r="E7" s="297"/>
      <c r="F7" s="297"/>
      <c r="G7" s="297"/>
    </row>
    <row r="8" spans="1:7" x14ac:dyDescent="0.3">
      <c r="A8" s="131"/>
      <c r="B8" s="131"/>
      <c r="C8" s="131"/>
      <c r="D8" s="107" t="s">
        <v>346</v>
      </c>
      <c r="E8" s="25"/>
      <c r="F8" s="25"/>
      <c r="G8" s="144" t="s">
        <v>94</v>
      </c>
    </row>
    <row r="9" spans="1:7" x14ac:dyDescent="0.3">
      <c r="A9" s="145" t="s">
        <v>54</v>
      </c>
      <c r="B9" s="146" t="s">
        <v>733</v>
      </c>
      <c r="C9" s="146" t="s">
        <v>734</v>
      </c>
      <c r="D9" s="146" t="s">
        <v>340</v>
      </c>
      <c r="E9" s="482" t="s">
        <v>733</v>
      </c>
      <c r="F9" s="146" t="s">
        <v>734</v>
      </c>
      <c r="G9" s="146" t="s">
        <v>340</v>
      </c>
    </row>
    <row r="10" spans="1:7" x14ac:dyDescent="0.3">
      <c r="A10" s="118" t="s">
        <v>517</v>
      </c>
      <c r="B10" s="148">
        <f>GETPIVOTDATA("Sum of Female",SexPivot!$A$3,"Type","WT")</f>
        <v>229</v>
      </c>
      <c r="C10" s="148">
        <f>GETPIVOTDATA("Sum of Male",SexPivot!$A$3,"Type","WT")</f>
        <v>3202</v>
      </c>
      <c r="D10" s="149">
        <f t="shared" ref="D10:D15" si="0">B10+C10</f>
        <v>3431</v>
      </c>
      <c r="E10" s="483">
        <f t="shared" ref="E10:E16" si="1">B10/D10</f>
        <v>6.6744389390848147E-2</v>
      </c>
      <c r="F10" s="150">
        <f t="shared" ref="F10:F15" si="2">C10/D10</f>
        <v>0.93325561060915185</v>
      </c>
      <c r="G10" s="150">
        <f>D10/$D$16</f>
        <v>0.45210172618263278</v>
      </c>
    </row>
    <row r="11" spans="1:7" x14ac:dyDescent="0.3">
      <c r="A11" s="313" t="s">
        <v>361</v>
      </c>
      <c r="B11" s="148">
        <f>GETPIVOTDATA("Sum of Female",SexPivot!$A$3,"Type","RDS")</f>
        <v>208</v>
      </c>
      <c r="C11" s="148">
        <f>GETPIVOTDATA("Sum of Male",SexPivot!$A$3,"Type","RDS")</f>
        <v>2539</v>
      </c>
      <c r="D11" s="149">
        <f t="shared" si="0"/>
        <v>2747</v>
      </c>
      <c r="E11" s="483">
        <f t="shared" si="1"/>
        <v>7.5718966144885325E-2</v>
      </c>
      <c r="F11" s="150">
        <f t="shared" si="2"/>
        <v>0.92428103385511462</v>
      </c>
      <c r="G11" s="150">
        <f>D11/$D$16</f>
        <v>0.36197127421267622</v>
      </c>
    </row>
    <row r="12" spans="1:7" x14ac:dyDescent="0.3">
      <c r="A12" s="313" t="s">
        <v>518</v>
      </c>
      <c r="B12" s="148">
        <f>IFERROR(GETPIVOTDATA("Sum of Female",SexPivot!$A$3,"Type","RDS Fulltime"), 0)</f>
        <v>8</v>
      </c>
      <c r="C12" s="148">
        <f>IFERROR(GETPIVOTDATA("Sum of Male",SexPivot!$A$3,"Type","RDS Fulltime"), 0)</f>
        <v>52</v>
      </c>
      <c r="D12" s="149">
        <f t="shared" si="0"/>
        <v>60</v>
      </c>
      <c r="E12" s="483">
        <f>IFERROR(B12/D12,"")</f>
        <v>0.13333333333333333</v>
      </c>
      <c r="F12" s="150">
        <f>IFERROR(C12/D12,"")</f>
        <v>0.8666666666666667</v>
      </c>
      <c r="G12" s="150">
        <f t="shared" ref="G12:G15" si="3">D12/$D$16</f>
        <v>7.9061799973646069E-3</v>
      </c>
    </row>
    <row r="13" spans="1:7" x14ac:dyDescent="0.3">
      <c r="A13" s="313" t="s">
        <v>513</v>
      </c>
      <c r="B13" s="148">
        <f>GETPIVOTDATA("Sum of Female",SexPivot!$A$3,"Type","Control")</f>
        <v>136</v>
      </c>
      <c r="C13" s="148">
        <f>GETPIVOTDATA("Sum of Male",SexPivot!$A$3,"Type","Control")</f>
        <v>41</v>
      </c>
      <c r="D13" s="149">
        <f t="shared" si="0"/>
        <v>177</v>
      </c>
      <c r="E13" s="483">
        <f t="shared" si="1"/>
        <v>0.76836158192090398</v>
      </c>
      <c r="F13" s="150">
        <f t="shared" si="2"/>
        <v>0.23163841807909605</v>
      </c>
      <c r="G13" s="150">
        <f t="shared" si="3"/>
        <v>2.332323099222559E-2</v>
      </c>
    </row>
    <row r="14" spans="1:7" x14ac:dyDescent="0.3">
      <c r="A14" s="313" t="s">
        <v>514</v>
      </c>
      <c r="B14" s="148">
        <f>GETPIVOTDATA("Sum of Female",SexPivot!$A$3,"Type","Support")</f>
        <v>490</v>
      </c>
      <c r="C14" s="148">
        <f>GETPIVOTDATA("Sum of Male",SexPivot!$A$3,"Type","Support")</f>
        <v>432</v>
      </c>
      <c r="D14" s="149">
        <f t="shared" si="0"/>
        <v>922</v>
      </c>
      <c r="E14" s="483">
        <f t="shared" si="1"/>
        <v>0.53145336225596529</v>
      </c>
      <c r="F14" s="150">
        <f t="shared" si="2"/>
        <v>0.46854663774403471</v>
      </c>
      <c r="G14" s="150">
        <f t="shared" si="3"/>
        <v>0.12149163262616945</v>
      </c>
    </row>
    <row r="15" spans="1:7" x14ac:dyDescent="0.3">
      <c r="A15" s="313" t="s">
        <v>339</v>
      </c>
      <c r="B15" s="148">
        <f>GETPIVOTDATA("Sum of Female",SexPivot!$A$3,"Type","Vol")</f>
        <v>38</v>
      </c>
      <c r="C15" s="148">
        <f>GETPIVOTDATA("Sum of Male",SexPivot!$A$3,"Type","Vol")</f>
        <v>214</v>
      </c>
      <c r="D15" s="149">
        <f t="shared" si="0"/>
        <v>252</v>
      </c>
      <c r="E15" s="483">
        <f t="shared" si="1"/>
        <v>0.15079365079365079</v>
      </c>
      <c r="F15" s="150">
        <f t="shared" si="2"/>
        <v>0.84920634920634919</v>
      </c>
      <c r="G15" s="150">
        <f t="shared" si="3"/>
        <v>3.3205955988931349E-2</v>
      </c>
    </row>
    <row r="16" spans="1:7" ht="15" thickBot="1" x14ac:dyDescent="0.35">
      <c r="A16" s="151" t="s">
        <v>741</v>
      </c>
      <c r="B16" s="152">
        <f>SUM(B10:B15)</f>
        <v>1109</v>
      </c>
      <c r="C16" s="152">
        <f>SUM(C10:C15)</f>
        <v>6480</v>
      </c>
      <c r="D16" s="152">
        <f>C16+B16</f>
        <v>7589</v>
      </c>
      <c r="E16" s="717">
        <f t="shared" si="1"/>
        <v>0.14613256028462249</v>
      </c>
      <c r="F16" s="153">
        <f>C16/D16</f>
        <v>0.85386743971537749</v>
      </c>
      <c r="G16" s="153">
        <f t="shared" ref="G16" si="4">D16/$D$16</f>
        <v>1</v>
      </c>
    </row>
    <row r="17" spans="1:7" x14ac:dyDescent="0.3">
      <c r="A17" s="25"/>
      <c r="B17" s="25"/>
      <c r="C17" s="25"/>
      <c r="D17" s="25"/>
      <c r="E17" s="25"/>
      <c r="F17" s="25"/>
      <c r="G17" s="25"/>
    </row>
    <row r="18" spans="1:7" x14ac:dyDescent="0.3">
      <c r="A18" s="313" t="s">
        <v>736</v>
      </c>
      <c r="B18" s="25"/>
      <c r="C18" s="25"/>
      <c r="D18" s="25"/>
      <c r="E18" s="25"/>
      <c r="F18" s="25"/>
      <c r="G18" s="25"/>
    </row>
    <row r="19" spans="1:7" ht="27" customHeight="1" x14ac:dyDescent="0.3">
      <c r="A19" s="1029" t="s">
        <v>737</v>
      </c>
      <c r="B19" s="1029"/>
      <c r="C19" s="1029"/>
      <c r="D19" s="1029"/>
      <c r="E19" s="1029"/>
      <c r="F19" s="1029"/>
      <c r="G19" s="1029"/>
    </row>
  </sheetData>
  <sheetProtection algorithmName="SHA-512" hashValue="vXXRyBvARzGr0HuuNtmNl4+YdmmS5V0Tg6XFYbPGNGoQNKnD7JfnAnLNmQxfk80JXJVlYOJ5AsIrIledvQXL4Q==" saltValue="ysmr+zZpoyeA9jTkvOI72A==" spinCount="100000" sheet="1" scenarios="1" formatCells="0" sort="0" autoFilter="0" pivotTables="0"/>
  <mergeCells count="3">
    <mergeCell ref="A4:G4"/>
    <mergeCell ref="A1:C1"/>
    <mergeCell ref="A19:G19"/>
  </mergeCells>
  <hyperlinks>
    <hyperlink ref="A2" location="'Table of Contents'!A1" display="Back to Table of Contents" xr:uid="{00000000-0004-0000-5300-000000000000}"/>
  </hyperlinks>
  <pageMargins left="0.70866141732283472" right="0.70866141732283472" top="0.74803149606299213" bottom="0.74803149606299213" header="0.31496062992125984" footer="0.31496062992125984"/>
  <pageSetup paperSize="9" scale="90" orientation="portrait" r:id="rId1"/>
  <drawing r:id="rId2"/>
  <extLst>
    <ext xmlns:x14="http://schemas.microsoft.com/office/spreadsheetml/2009/9/main" uri="{A8765BA9-456A-4dab-B4F3-ACF838C121DE}">
      <x14:slicerList>
        <x14:slicer r:id="rId3"/>
      </x14:slicerList>
    </ext>
  </extLst>
</worksheet>
</file>

<file path=xl/worksheets/sheet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tabColor theme="9" tint="0.39997558519241921"/>
  </sheetPr>
  <dimension ref="A1:D45"/>
  <sheetViews>
    <sheetView workbookViewId="0">
      <selection activeCell="C14" sqref="C14"/>
    </sheetView>
  </sheetViews>
  <sheetFormatPr defaultRowHeight="14.4" x14ac:dyDescent="0.3"/>
  <cols>
    <col min="1" max="1" width="22" bestFit="1" customWidth="1"/>
    <col min="2" max="2" width="13.88671875" bestFit="1" customWidth="1"/>
    <col min="3" max="3" width="11.77734375" bestFit="1" customWidth="1"/>
    <col min="4" max="4" width="11.6640625" bestFit="1" customWidth="1"/>
  </cols>
  <sheetData>
    <row r="1" spans="1:4" x14ac:dyDescent="0.3">
      <c r="A1" s="386" t="s">
        <v>208</v>
      </c>
      <c r="B1" t="s">
        <v>412</v>
      </c>
    </row>
    <row r="3" spans="1:4" x14ac:dyDescent="0.3">
      <c r="A3" s="386" t="s">
        <v>350</v>
      </c>
      <c r="B3" t="s">
        <v>738</v>
      </c>
      <c r="C3" t="s">
        <v>739</v>
      </c>
      <c r="D3" t="s">
        <v>356</v>
      </c>
    </row>
    <row r="4" spans="1:4" x14ac:dyDescent="0.3">
      <c r="A4" s="387" t="s">
        <v>513</v>
      </c>
    </row>
    <row r="5" spans="1:4" x14ac:dyDescent="0.3">
      <c r="A5" s="388" t="s">
        <v>415</v>
      </c>
      <c r="B5">
        <v>2</v>
      </c>
      <c r="C5">
        <v>0</v>
      </c>
      <c r="D5">
        <v>2</v>
      </c>
    </row>
    <row r="6" spans="1:4" x14ac:dyDescent="0.3">
      <c r="A6" s="388" t="s">
        <v>623</v>
      </c>
      <c r="B6">
        <v>3</v>
      </c>
      <c r="C6">
        <v>0</v>
      </c>
      <c r="D6">
        <v>3</v>
      </c>
    </row>
    <row r="7" spans="1:4" x14ac:dyDescent="0.3">
      <c r="A7" s="388" t="s">
        <v>624</v>
      </c>
      <c r="B7">
        <v>5</v>
      </c>
      <c r="C7">
        <v>1</v>
      </c>
      <c r="D7">
        <v>6</v>
      </c>
    </row>
    <row r="8" spans="1:4" x14ac:dyDescent="0.3">
      <c r="A8" s="388" t="s">
        <v>625</v>
      </c>
      <c r="B8">
        <v>21</v>
      </c>
      <c r="C8">
        <v>3</v>
      </c>
      <c r="D8">
        <v>24</v>
      </c>
    </row>
    <row r="9" spans="1:4" x14ac:dyDescent="0.3">
      <c r="A9" s="388" t="s">
        <v>626</v>
      </c>
      <c r="B9">
        <v>33</v>
      </c>
      <c r="C9">
        <v>9</v>
      </c>
      <c r="D9">
        <v>42</v>
      </c>
    </row>
    <row r="10" spans="1:4" x14ac:dyDescent="0.3">
      <c r="A10" s="388" t="s">
        <v>627</v>
      </c>
      <c r="B10">
        <v>72</v>
      </c>
      <c r="C10">
        <v>28</v>
      </c>
      <c r="D10">
        <v>100</v>
      </c>
    </row>
    <row r="11" spans="1:4" x14ac:dyDescent="0.3">
      <c r="A11" s="387" t="s">
        <v>742</v>
      </c>
      <c r="B11">
        <v>136</v>
      </c>
      <c r="C11">
        <v>41</v>
      </c>
      <c r="D11">
        <v>177</v>
      </c>
    </row>
    <row r="12" spans="1:4" x14ac:dyDescent="0.3">
      <c r="A12" s="387" t="s">
        <v>606</v>
      </c>
    </row>
    <row r="13" spans="1:4" x14ac:dyDescent="0.3">
      <c r="A13" s="388" t="s">
        <v>625</v>
      </c>
      <c r="B13">
        <v>13</v>
      </c>
      <c r="C13">
        <v>244</v>
      </c>
      <c r="D13">
        <v>257</v>
      </c>
    </row>
    <row r="14" spans="1:4" x14ac:dyDescent="0.3">
      <c r="A14" s="388" t="s">
        <v>626</v>
      </c>
      <c r="B14">
        <v>33</v>
      </c>
      <c r="C14">
        <v>493</v>
      </c>
      <c r="D14">
        <v>526</v>
      </c>
    </row>
    <row r="15" spans="1:4" x14ac:dyDescent="0.3">
      <c r="A15" s="388" t="s">
        <v>627</v>
      </c>
      <c r="B15">
        <v>162</v>
      </c>
      <c r="C15">
        <v>1802</v>
      </c>
      <c r="D15">
        <v>1964</v>
      </c>
    </row>
    <row r="16" spans="1:4" x14ac:dyDescent="0.3">
      <c r="A16" s="387" t="s">
        <v>743</v>
      </c>
      <c r="B16">
        <v>208</v>
      </c>
      <c r="C16">
        <v>2539</v>
      </c>
      <c r="D16">
        <v>2747</v>
      </c>
    </row>
    <row r="17" spans="1:4" x14ac:dyDescent="0.3">
      <c r="A17" s="387" t="s">
        <v>512</v>
      </c>
    </row>
    <row r="18" spans="1:4" x14ac:dyDescent="0.3">
      <c r="A18" s="388" t="s">
        <v>626</v>
      </c>
      <c r="B18">
        <v>0</v>
      </c>
      <c r="C18">
        <v>3</v>
      </c>
      <c r="D18">
        <v>3</v>
      </c>
    </row>
    <row r="19" spans="1:4" x14ac:dyDescent="0.3">
      <c r="A19" s="388" t="s">
        <v>625</v>
      </c>
      <c r="B19">
        <v>8</v>
      </c>
      <c r="C19">
        <v>49</v>
      </c>
      <c r="D19">
        <v>57</v>
      </c>
    </row>
    <row r="20" spans="1:4" x14ac:dyDescent="0.3">
      <c r="A20" s="387" t="s">
        <v>744</v>
      </c>
      <c r="B20">
        <v>8</v>
      </c>
      <c r="C20">
        <v>52</v>
      </c>
      <c r="D20">
        <v>60</v>
      </c>
    </row>
    <row r="21" spans="1:4" x14ac:dyDescent="0.3">
      <c r="A21" s="387" t="s">
        <v>514</v>
      </c>
    </row>
    <row r="22" spans="1:4" x14ac:dyDescent="0.3">
      <c r="A22" s="388" t="s">
        <v>678</v>
      </c>
      <c r="B22">
        <v>2</v>
      </c>
      <c r="C22">
        <v>1</v>
      </c>
      <c r="D22">
        <v>3</v>
      </c>
    </row>
    <row r="23" spans="1:4" x14ac:dyDescent="0.3">
      <c r="A23" s="388" t="s">
        <v>683</v>
      </c>
      <c r="B23">
        <v>18</v>
      </c>
      <c r="C23">
        <v>45</v>
      </c>
      <c r="D23">
        <v>63</v>
      </c>
    </row>
    <row r="24" spans="1:4" x14ac:dyDescent="0.3">
      <c r="A24" s="388" t="s">
        <v>680</v>
      </c>
      <c r="B24">
        <v>30</v>
      </c>
      <c r="C24">
        <v>15</v>
      </c>
      <c r="D24">
        <v>45</v>
      </c>
    </row>
    <row r="25" spans="1:4" x14ac:dyDescent="0.3">
      <c r="A25" s="388" t="s">
        <v>679</v>
      </c>
      <c r="B25">
        <v>47</v>
      </c>
      <c r="C25">
        <v>54</v>
      </c>
      <c r="D25">
        <v>101</v>
      </c>
    </row>
    <row r="26" spans="1:4" x14ac:dyDescent="0.3">
      <c r="A26" s="388" t="s">
        <v>681</v>
      </c>
      <c r="B26">
        <v>52</v>
      </c>
      <c r="C26">
        <v>35</v>
      </c>
      <c r="D26">
        <v>87</v>
      </c>
    </row>
    <row r="27" spans="1:4" x14ac:dyDescent="0.3">
      <c r="A27" s="388" t="s">
        <v>684</v>
      </c>
      <c r="B27">
        <v>127</v>
      </c>
      <c r="C27">
        <v>12</v>
      </c>
      <c r="D27">
        <v>139</v>
      </c>
    </row>
    <row r="28" spans="1:4" x14ac:dyDescent="0.3">
      <c r="A28" s="388" t="s">
        <v>682</v>
      </c>
      <c r="B28">
        <v>214</v>
      </c>
      <c r="C28">
        <v>270</v>
      </c>
      <c r="D28">
        <v>484</v>
      </c>
    </row>
    <row r="29" spans="1:4" x14ac:dyDescent="0.3">
      <c r="A29" s="387" t="s">
        <v>745</v>
      </c>
      <c r="B29">
        <v>490</v>
      </c>
      <c r="C29">
        <v>432</v>
      </c>
      <c r="D29">
        <v>922</v>
      </c>
    </row>
    <row r="30" spans="1:4" x14ac:dyDescent="0.3">
      <c r="A30" s="387" t="s">
        <v>628</v>
      </c>
    </row>
    <row r="31" spans="1:4" x14ac:dyDescent="0.3">
      <c r="A31" s="388" t="s">
        <v>625</v>
      </c>
      <c r="B31">
        <v>6</v>
      </c>
      <c r="C31">
        <v>29</v>
      </c>
      <c r="D31">
        <v>35</v>
      </c>
    </row>
    <row r="32" spans="1:4" x14ac:dyDescent="0.3">
      <c r="A32" s="388" t="s">
        <v>626</v>
      </c>
      <c r="B32">
        <v>7</v>
      </c>
      <c r="C32">
        <v>32</v>
      </c>
      <c r="D32">
        <v>39</v>
      </c>
    </row>
    <row r="33" spans="1:4" x14ac:dyDescent="0.3">
      <c r="A33" s="388" t="s">
        <v>627</v>
      </c>
      <c r="B33">
        <v>25</v>
      </c>
      <c r="C33">
        <v>153</v>
      </c>
      <c r="D33">
        <v>178</v>
      </c>
    </row>
    <row r="34" spans="1:4" x14ac:dyDescent="0.3">
      <c r="A34" s="387" t="s">
        <v>746</v>
      </c>
      <c r="B34">
        <v>38</v>
      </c>
      <c r="C34">
        <v>214</v>
      </c>
      <c r="D34">
        <v>252</v>
      </c>
    </row>
    <row r="35" spans="1:4" x14ac:dyDescent="0.3">
      <c r="A35" s="387" t="s">
        <v>629</v>
      </c>
    </row>
    <row r="36" spans="1:4" x14ac:dyDescent="0.3">
      <c r="A36" s="388" t="s">
        <v>415</v>
      </c>
      <c r="B36">
        <v>0</v>
      </c>
      <c r="C36">
        <v>2</v>
      </c>
      <c r="D36">
        <v>2</v>
      </c>
    </row>
    <row r="37" spans="1:4" x14ac:dyDescent="0.3">
      <c r="A37" s="388" t="s">
        <v>621</v>
      </c>
      <c r="B37">
        <v>0</v>
      </c>
      <c r="C37">
        <v>5</v>
      </c>
      <c r="D37">
        <v>5</v>
      </c>
    </row>
    <row r="38" spans="1:4" x14ac:dyDescent="0.3">
      <c r="A38" s="388" t="s">
        <v>622</v>
      </c>
      <c r="B38">
        <v>1</v>
      </c>
      <c r="C38">
        <v>26</v>
      </c>
      <c r="D38">
        <v>27</v>
      </c>
    </row>
    <row r="39" spans="1:4" x14ac:dyDescent="0.3">
      <c r="A39" s="388" t="s">
        <v>624</v>
      </c>
      <c r="B39">
        <v>6</v>
      </c>
      <c r="C39">
        <v>154</v>
      </c>
      <c r="D39">
        <v>160</v>
      </c>
    </row>
    <row r="40" spans="1:4" x14ac:dyDescent="0.3">
      <c r="A40" s="388" t="s">
        <v>623</v>
      </c>
      <c r="B40">
        <v>8</v>
      </c>
      <c r="C40">
        <v>64</v>
      </c>
      <c r="D40">
        <v>72</v>
      </c>
    </row>
    <row r="41" spans="1:4" x14ac:dyDescent="0.3">
      <c r="A41" s="388" t="s">
        <v>626</v>
      </c>
      <c r="B41">
        <v>35</v>
      </c>
      <c r="C41">
        <v>606</v>
      </c>
      <c r="D41">
        <v>641</v>
      </c>
    </row>
    <row r="42" spans="1:4" x14ac:dyDescent="0.3">
      <c r="A42" s="388" t="s">
        <v>625</v>
      </c>
      <c r="B42">
        <v>35</v>
      </c>
      <c r="C42">
        <v>590</v>
      </c>
      <c r="D42">
        <v>625</v>
      </c>
    </row>
    <row r="43" spans="1:4" x14ac:dyDescent="0.3">
      <c r="A43" s="388" t="s">
        <v>627</v>
      </c>
      <c r="B43">
        <v>144</v>
      </c>
      <c r="C43">
        <v>1755</v>
      </c>
      <c r="D43">
        <v>1899</v>
      </c>
    </row>
    <row r="44" spans="1:4" x14ac:dyDescent="0.3">
      <c r="A44" s="387" t="s">
        <v>747</v>
      </c>
      <c r="B44">
        <v>229</v>
      </c>
      <c r="C44">
        <v>3202</v>
      </c>
      <c r="D44">
        <v>3431</v>
      </c>
    </row>
    <row r="45" spans="1:4" x14ac:dyDescent="0.3">
      <c r="A45" s="387" t="s">
        <v>357</v>
      </c>
      <c r="B45">
        <v>1109</v>
      </c>
      <c r="C45">
        <v>6480</v>
      </c>
      <c r="D45">
        <v>7589</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tabColor theme="9" tint="0.39997558519241921"/>
  </sheetPr>
  <dimension ref="A1:F347"/>
  <sheetViews>
    <sheetView workbookViewId="0">
      <selection activeCell="D16" sqref="D16"/>
    </sheetView>
  </sheetViews>
  <sheetFormatPr defaultRowHeight="14.4" x14ac:dyDescent="0.3"/>
  <cols>
    <col min="1" max="1" width="7.6640625" bestFit="1" customWidth="1"/>
    <col min="2" max="2" width="11.88671875" bestFit="1" customWidth="1"/>
    <col min="3" max="3" width="17.88671875" bestFit="1" customWidth="1"/>
    <col min="4" max="4" width="7.44140625" bestFit="1" customWidth="1"/>
    <col min="5" max="5" width="9.5546875" bestFit="1" customWidth="1"/>
    <col min="6" max="6" width="7.6640625" bestFit="1" customWidth="1"/>
  </cols>
  <sheetData>
    <row r="1" spans="1:6" x14ac:dyDescent="0.3">
      <c r="A1" t="s">
        <v>208</v>
      </c>
      <c r="B1" t="s">
        <v>620</v>
      </c>
      <c r="C1" t="s">
        <v>748</v>
      </c>
      <c r="D1" t="s">
        <v>340</v>
      </c>
      <c r="E1" t="s">
        <v>733</v>
      </c>
      <c r="F1" t="s">
        <v>734</v>
      </c>
    </row>
    <row r="2" spans="1:6" x14ac:dyDescent="0.3">
      <c r="A2" t="s">
        <v>364</v>
      </c>
      <c r="B2" t="s">
        <v>514</v>
      </c>
      <c r="C2" t="s">
        <v>684</v>
      </c>
      <c r="D2">
        <v>278</v>
      </c>
      <c r="E2">
        <v>248</v>
      </c>
      <c r="F2">
        <v>30</v>
      </c>
    </row>
    <row r="3" spans="1:6" x14ac:dyDescent="0.3">
      <c r="A3" t="s">
        <v>364</v>
      </c>
      <c r="B3" t="s">
        <v>628</v>
      </c>
      <c r="C3" t="s">
        <v>627</v>
      </c>
      <c r="D3">
        <v>277</v>
      </c>
      <c r="E3">
        <v>44</v>
      </c>
      <c r="F3">
        <v>233</v>
      </c>
    </row>
    <row r="4" spans="1:6" x14ac:dyDescent="0.3">
      <c r="A4" t="s">
        <v>364</v>
      </c>
      <c r="B4" t="s">
        <v>629</v>
      </c>
      <c r="C4" t="s">
        <v>622</v>
      </c>
      <c r="D4">
        <v>28</v>
      </c>
      <c r="E4">
        <v>0</v>
      </c>
      <c r="F4">
        <v>28</v>
      </c>
    </row>
    <row r="5" spans="1:6" x14ac:dyDescent="0.3">
      <c r="A5" t="s">
        <v>365</v>
      </c>
      <c r="B5" t="s">
        <v>629</v>
      </c>
      <c r="C5" t="s">
        <v>626</v>
      </c>
      <c r="D5">
        <v>634</v>
      </c>
      <c r="E5">
        <v>24</v>
      </c>
      <c r="F5">
        <v>610</v>
      </c>
    </row>
    <row r="6" spans="1:6" x14ac:dyDescent="0.3">
      <c r="A6" t="s">
        <v>366</v>
      </c>
      <c r="B6" t="s">
        <v>514</v>
      </c>
      <c r="C6" t="s">
        <v>684</v>
      </c>
      <c r="D6">
        <v>194</v>
      </c>
      <c r="E6">
        <v>176</v>
      </c>
      <c r="F6">
        <v>18</v>
      </c>
    </row>
    <row r="7" spans="1:6" x14ac:dyDescent="0.3">
      <c r="A7" t="s">
        <v>366</v>
      </c>
      <c r="B7" t="s">
        <v>514</v>
      </c>
      <c r="C7" t="s">
        <v>678</v>
      </c>
      <c r="D7">
        <v>3</v>
      </c>
      <c r="E7">
        <v>2</v>
      </c>
      <c r="F7">
        <v>1</v>
      </c>
    </row>
    <row r="8" spans="1:6" x14ac:dyDescent="0.3">
      <c r="A8" t="s">
        <v>366</v>
      </c>
      <c r="B8" t="s">
        <v>514</v>
      </c>
      <c r="C8" t="s">
        <v>680</v>
      </c>
      <c r="D8">
        <v>34</v>
      </c>
      <c r="E8">
        <v>18</v>
      </c>
      <c r="F8">
        <v>16</v>
      </c>
    </row>
    <row r="9" spans="1:6" x14ac:dyDescent="0.3">
      <c r="A9" t="s">
        <v>341</v>
      </c>
      <c r="B9" t="s">
        <v>513</v>
      </c>
      <c r="C9" t="s">
        <v>625</v>
      </c>
      <c r="D9">
        <v>41</v>
      </c>
      <c r="E9">
        <v>35</v>
      </c>
      <c r="F9">
        <v>6</v>
      </c>
    </row>
    <row r="10" spans="1:6" x14ac:dyDescent="0.3">
      <c r="A10" t="s">
        <v>341</v>
      </c>
      <c r="B10" t="s">
        <v>514</v>
      </c>
      <c r="C10" t="s">
        <v>683</v>
      </c>
      <c r="D10">
        <v>165</v>
      </c>
      <c r="E10">
        <v>98</v>
      </c>
      <c r="F10">
        <v>67</v>
      </c>
    </row>
    <row r="11" spans="1:6" x14ac:dyDescent="0.3">
      <c r="A11" t="s">
        <v>341</v>
      </c>
      <c r="B11" t="s">
        <v>628</v>
      </c>
      <c r="C11" t="s">
        <v>626</v>
      </c>
      <c r="D11">
        <v>46</v>
      </c>
      <c r="E11">
        <v>4</v>
      </c>
      <c r="F11">
        <v>38</v>
      </c>
    </row>
    <row r="12" spans="1:6" x14ac:dyDescent="0.3">
      <c r="A12" t="s">
        <v>341</v>
      </c>
      <c r="B12" t="s">
        <v>628</v>
      </c>
      <c r="C12" t="s">
        <v>627</v>
      </c>
      <c r="D12">
        <v>260</v>
      </c>
      <c r="E12">
        <v>40</v>
      </c>
      <c r="F12">
        <v>198</v>
      </c>
    </row>
    <row r="13" spans="1:6" x14ac:dyDescent="0.3">
      <c r="A13" t="s">
        <v>342</v>
      </c>
      <c r="B13" t="s">
        <v>513</v>
      </c>
      <c r="C13" t="s">
        <v>626</v>
      </c>
      <c r="D13">
        <v>27</v>
      </c>
      <c r="E13">
        <v>23</v>
      </c>
      <c r="F13">
        <v>4</v>
      </c>
    </row>
    <row r="14" spans="1:6" x14ac:dyDescent="0.3">
      <c r="A14" t="s">
        <v>342</v>
      </c>
      <c r="B14" t="s">
        <v>514</v>
      </c>
      <c r="C14" t="s">
        <v>678</v>
      </c>
      <c r="D14">
        <v>2</v>
      </c>
      <c r="E14">
        <v>1</v>
      </c>
      <c r="F14">
        <v>1</v>
      </c>
    </row>
    <row r="15" spans="1:6" x14ac:dyDescent="0.3">
      <c r="A15" t="s">
        <v>342</v>
      </c>
      <c r="B15" t="s">
        <v>514</v>
      </c>
      <c r="C15" t="s">
        <v>679</v>
      </c>
      <c r="D15">
        <v>50</v>
      </c>
      <c r="E15">
        <v>17</v>
      </c>
      <c r="F15">
        <v>33</v>
      </c>
    </row>
    <row r="16" spans="1:6" x14ac:dyDescent="0.3">
      <c r="A16" t="s">
        <v>342</v>
      </c>
      <c r="B16" t="s">
        <v>628</v>
      </c>
      <c r="C16" t="s">
        <v>626</v>
      </c>
      <c r="D16">
        <v>39</v>
      </c>
      <c r="E16">
        <v>3</v>
      </c>
      <c r="F16">
        <v>36</v>
      </c>
    </row>
    <row r="17" spans="1:6" x14ac:dyDescent="0.3">
      <c r="A17" t="s">
        <v>213</v>
      </c>
      <c r="B17" t="s">
        <v>606</v>
      </c>
      <c r="C17" t="s">
        <v>625</v>
      </c>
      <c r="D17">
        <v>261</v>
      </c>
      <c r="E17">
        <v>13</v>
      </c>
      <c r="F17">
        <v>248</v>
      </c>
    </row>
    <row r="18" spans="1:6" x14ac:dyDescent="0.3">
      <c r="A18" t="s">
        <v>213</v>
      </c>
      <c r="B18" t="s">
        <v>514</v>
      </c>
      <c r="C18" t="s">
        <v>678</v>
      </c>
      <c r="D18">
        <v>3</v>
      </c>
      <c r="E18">
        <v>2</v>
      </c>
      <c r="F18">
        <v>1</v>
      </c>
    </row>
    <row r="19" spans="1:6" x14ac:dyDescent="0.3">
      <c r="A19" t="s">
        <v>213</v>
      </c>
      <c r="B19" t="s">
        <v>629</v>
      </c>
      <c r="C19" t="s">
        <v>625</v>
      </c>
      <c r="D19">
        <v>611</v>
      </c>
      <c r="E19">
        <v>33</v>
      </c>
      <c r="F19">
        <v>578</v>
      </c>
    </row>
    <row r="20" spans="1:6" x14ac:dyDescent="0.3">
      <c r="A20" t="s">
        <v>312</v>
      </c>
      <c r="B20" t="s">
        <v>513</v>
      </c>
      <c r="C20" t="s">
        <v>622</v>
      </c>
      <c r="D20">
        <v>1</v>
      </c>
      <c r="E20">
        <v>1</v>
      </c>
      <c r="F20">
        <v>0</v>
      </c>
    </row>
    <row r="21" spans="1:6" x14ac:dyDescent="0.3">
      <c r="A21" t="s">
        <v>312</v>
      </c>
      <c r="B21" t="s">
        <v>628</v>
      </c>
      <c r="C21" t="s">
        <v>627</v>
      </c>
      <c r="D21">
        <v>237</v>
      </c>
      <c r="E21">
        <v>48</v>
      </c>
      <c r="F21">
        <v>189</v>
      </c>
    </row>
    <row r="22" spans="1:6" x14ac:dyDescent="0.3">
      <c r="A22" t="s">
        <v>318</v>
      </c>
      <c r="B22" t="s">
        <v>513</v>
      </c>
      <c r="C22" t="s">
        <v>624</v>
      </c>
      <c r="D22">
        <v>10</v>
      </c>
      <c r="E22">
        <v>9</v>
      </c>
      <c r="F22">
        <v>1</v>
      </c>
    </row>
    <row r="23" spans="1:6" x14ac:dyDescent="0.3">
      <c r="A23" t="s">
        <v>318</v>
      </c>
      <c r="B23" t="s">
        <v>513</v>
      </c>
      <c r="C23" t="s">
        <v>625</v>
      </c>
      <c r="D23">
        <v>41</v>
      </c>
      <c r="E23">
        <v>35</v>
      </c>
      <c r="F23">
        <v>6</v>
      </c>
    </row>
    <row r="24" spans="1:6" x14ac:dyDescent="0.3">
      <c r="A24" t="s">
        <v>318</v>
      </c>
      <c r="B24" t="s">
        <v>514</v>
      </c>
      <c r="C24" t="s">
        <v>683</v>
      </c>
      <c r="D24">
        <v>61</v>
      </c>
      <c r="E24">
        <v>23</v>
      </c>
      <c r="F24">
        <v>38</v>
      </c>
    </row>
    <row r="25" spans="1:6" x14ac:dyDescent="0.3">
      <c r="A25" t="s">
        <v>320</v>
      </c>
      <c r="B25" t="s">
        <v>513</v>
      </c>
      <c r="C25" t="s">
        <v>625</v>
      </c>
      <c r="D25">
        <v>42</v>
      </c>
      <c r="E25">
        <v>37</v>
      </c>
      <c r="F25">
        <v>5</v>
      </c>
    </row>
    <row r="26" spans="1:6" x14ac:dyDescent="0.3">
      <c r="A26" t="s">
        <v>320</v>
      </c>
      <c r="B26" t="s">
        <v>514</v>
      </c>
      <c r="C26" t="s">
        <v>683</v>
      </c>
      <c r="D26">
        <v>60</v>
      </c>
      <c r="E26">
        <v>20</v>
      </c>
      <c r="F26">
        <v>40</v>
      </c>
    </row>
    <row r="27" spans="1:6" x14ac:dyDescent="0.3">
      <c r="A27" t="s">
        <v>320</v>
      </c>
      <c r="B27" t="s">
        <v>628</v>
      </c>
      <c r="C27" t="s">
        <v>626</v>
      </c>
      <c r="D27">
        <v>40</v>
      </c>
      <c r="E27">
        <v>2</v>
      </c>
      <c r="F27">
        <v>38</v>
      </c>
    </row>
    <row r="28" spans="1:6" x14ac:dyDescent="0.3">
      <c r="A28" t="s">
        <v>325</v>
      </c>
      <c r="B28" t="s">
        <v>513</v>
      </c>
      <c r="C28" t="s">
        <v>626</v>
      </c>
      <c r="D28">
        <v>29</v>
      </c>
      <c r="E28">
        <v>25</v>
      </c>
      <c r="F28">
        <v>4</v>
      </c>
    </row>
    <row r="29" spans="1:6" x14ac:dyDescent="0.3">
      <c r="A29" t="s">
        <v>325</v>
      </c>
      <c r="B29" t="s">
        <v>513</v>
      </c>
      <c r="C29" t="s">
        <v>623</v>
      </c>
      <c r="D29">
        <v>4</v>
      </c>
      <c r="E29">
        <v>3</v>
      </c>
      <c r="F29">
        <v>1</v>
      </c>
    </row>
    <row r="30" spans="1:6" x14ac:dyDescent="0.3">
      <c r="A30" t="s">
        <v>325</v>
      </c>
      <c r="B30" t="s">
        <v>514</v>
      </c>
      <c r="C30" t="s">
        <v>684</v>
      </c>
      <c r="D30">
        <v>159</v>
      </c>
      <c r="E30">
        <v>143</v>
      </c>
      <c r="F30">
        <v>16</v>
      </c>
    </row>
    <row r="31" spans="1:6" x14ac:dyDescent="0.3">
      <c r="A31" t="s">
        <v>325</v>
      </c>
      <c r="B31" t="s">
        <v>514</v>
      </c>
      <c r="C31" t="s">
        <v>679</v>
      </c>
      <c r="D31">
        <v>81</v>
      </c>
      <c r="E31">
        <v>37</v>
      </c>
      <c r="F31">
        <v>44</v>
      </c>
    </row>
    <row r="32" spans="1:6" x14ac:dyDescent="0.3">
      <c r="A32" t="s">
        <v>326</v>
      </c>
      <c r="B32" t="s">
        <v>513</v>
      </c>
      <c r="C32" t="s">
        <v>626</v>
      </c>
      <c r="D32">
        <v>26</v>
      </c>
      <c r="E32">
        <v>21</v>
      </c>
      <c r="F32">
        <v>5</v>
      </c>
    </row>
    <row r="33" spans="1:6" x14ac:dyDescent="0.3">
      <c r="A33" t="s">
        <v>326</v>
      </c>
      <c r="B33" t="s">
        <v>513</v>
      </c>
      <c r="C33" t="s">
        <v>624</v>
      </c>
      <c r="D33">
        <v>9</v>
      </c>
      <c r="E33">
        <v>8</v>
      </c>
      <c r="F33">
        <v>1</v>
      </c>
    </row>
    <row r="34" spans="1:6" x14ac:dyDescent="0.3">
      <c r="A34" t="s">
        <v>326</v>
      </c>
      <c r="B34" t="s">
        <v>606</v>
      </c>
      <c r="C34" t="s">
        <v>626</v>
      </c>
      <c r="D34">
        <v>525</v>
      </c>
      <c r="E34">
        <v>28</v>
      </c>
      <c r="F34">
        <v>497</v>
      </c>
    </row>
    <row r="35" spans="1:6" x14ac:dyDescent="0.3">
      <c r="A35" t="s">
        <v>328</v>
      </c>
      <c r="B35" t="s">
        <v>514</v>
      </c>
      <c r="C35" t="s">
        <v>679</v>
      </c>
      <c r="D35">
        <v>95</v>
      </c>
      <c r="E35">
        <v>44</v>
      </c>
      <c r="F35">
        <v>51</v>
      </c>
    </row>
    <row r="36" spans="1:6" x14ac:dyDescent="0.3">
      <c r="A36" t="s">
        <v>328</v>
      </c>
      <c r="B36" t="s">
        <v>628</v>
      </c>
      <c r="C36" t="s">
        <v>627</v>
      </c>
      <c r="D36">
        <v>196</v>
      </c>
      <c r="E36">
        <v>30</v>
      </c>
      <c r="F36">
        <v>166</v>
      </c>
    </row>
    <row r="37" spans="1:6" x14ac:dyDescent="0.3">
      <c r="A37" t="s">
        <v>328</v>
      </c>
      <c r="B37" t="s">
        <v>629</v>
      </c>
      <c r="C37" t="s">
        <v>627</v>
      </c>
      <c r="D37">
        <v>1936</v>
      </c>
      <c r="E37">
        <v>139</v>
      </c>
      <c r="F37">
        <v>1797</v>
      </c>
    </row>
    <row r="38" spans="1:6" x14ac:dyDescent="0.3">
      <c r="A38" t="s">
        <v>412</v>
      </c>
      <c r="B38" t="s">
        <v>513</v>
      </c>
      <c r="C38" t="s">
        <v>625</v>
      </c>
      <c r="D38">
        <v>24</v>
      </c>
      <c r="E38">
        <v>21</v>
      </c>
      <c r="F38">
        <v>3</v>
      </c>
    </row>
    <row r="39" spans="1:6" x14ac:dyDescent="0.3">
      <c r="A39" t="s">
        <v>412</v>
      </c>
      <c r="B39" t="s">
        <v>629</v>
      </c>
      <c r="C39" t="s">
        <v>623</v>
      </c>
      <c r="D39">
        <v>72</v>
      </c>
      <c r="E39">
        <v>8</v>
      </c>
      <c r="F39">
        <v>64</v>
      </c>
    </row>
    <row r="40" spans="1:6" x14ac:dyDescent="0.3">
      <c r="A40" t="s">
        <v>364</v>
      </c>
      <c r="B40" t="s">
        <v>513</v>
      </c>
      <c r="C40" t="s">
        <v>626</v>
      </c>
      <c r="D40">
        <v>52</v>
      </c>
      <c r="E40">
        <v>46</v>
      </c>
      <c r="F40">
        <v>6</v>
      </c>
    </row>
    <row r="41" spans="1:6" x14ac:dyDescent="0.3">
      <c r="A41" t="s">
        <v>364</v>
      </c>
      <c r="B41" t="s">
        <v>514</v>
      </c>
      <c r="C41" t="s">
        <v>682</v>
      </c>
      <c r="D41">
        <v>314</v>
      </c>
      <c r="E41">
        <v>91</v>
      </c>
      <c r="F41">
        <v>223</v>
      </c>
    </row>
    <row r="42" spans="1:6" x14ac:dyDescent="0.3">
      <c r="A42" t="s">
        <v>364</v>
      </c>
      <c r="B42" t="s">
        <v>514</v>
      </c>
      <c r="C42" t="s">
        <v>683</v>
      </c>
      <c r="D42">
        <v>234</v>
      </c>
      <c r="E42">
        <v>139</v>
      </c>
      <c r="F42">
        <v>95</v>
      </c>
    </row>
    <row r="43" spans="1:6" x14ac:dyDescent="0.3">
      <c r="A43" t="s">
        <v>364</v>
      </c>
      <c r="B43" t="s">
        <v>629</v>
      </c>
      <c r="C43" t="s">
        <v>626</v>
      </c>
      <c r="D43">
        <v>660</v>
      </c>
      <c r="E43">
        <v>26</v>
      </c>
      <c r="F43">
        <v>634</v>
      </c>
    </row>
    <row r="44" spans="1:6" x14ac:dyDescent="0.3">
      <c r="A44" t="s">
        <v>365</v>
      </c>
      <c r="B44" t="s">
        <v>513</v>
      </c>
      <c r="C44" t="s">
        <v>624</v>
      </c>
      <c r="D44">
        <v>13</v>
      </c>
      <c r="E44">
        <v>11</v>
      </c>
      <c r="F44">
        <v>2</v>
      </c>
    </row>
    <row r="45" spans="1:6" x14ac:dyDescent="0.3">
      <c r="A45" t="s">
        <v>365</v>
      </c>
      <c r="B45" t="s">
        <v>513</v>
      </c>
      <c r="C45" t="s">
        <v>625</v>
      </c>
      <c r="D45">
        <v>50</v>
      </c>
      <c r="E45">
        <v>44</v>
      </c>
      <c r="F45">
        <v>6</v>
      </c>
    </row>
    <row r="46" spans="1:6" x14ac:dyDescent="0.3">
      <c r="A46" t="s">
        <v>365</v>
      </c>
      <c r="B46" t="s">
        <v>606</v>
      </c>
      <c r="C46" t="s">
        <v>625</v>
      </c>
      <c r="D46">
        <v>280</v>
      </c>
      <c r="E46">
        <v>12</v>
      </c>
      <c r="F46">
        <v>268</v>
      </c>
    </row>
    <row r="47" spans="1:6" x14ac:dyDescent="0.3">
      <c r="A47" t="s">
        <v>365</v>
      </c>
      <c r="B47" t="s">
        <v>514</v>
      </c>
      <c r="C47" t="s">
        <v>683</v>
      </c>
      <c r="D47">
        <v>195</v>
      </c>
      <c r="E47">
        <v>122</v>
      </c>
      <c r="F47">
        <v>73</v>
      </c>
    </row>
    <row r="48" spans="1:6" x14ac:dyDescent="0.3">
      <c r="A48" t="s">
        <v>365</v>
      </c>
      <c r="B48" t="s">
        <v>628</v>
      </c>
      <c r="C48" t="s">
        <v>627</v>
      </c>
      <c r="D48">
        <v>296</v>
      </c>
      <c r="E48">
        <v>48</v>
      </c>
      <c r="F48">
        <v>248</v>
      </c>
    </row>
    <row r="49" spans="1:6" x14ac:dyDescent="0.3">
      <c r="A49" t="s">
        <v>366</v>
      </c>
      <c r="B49" t="s">
        <v>513</v>
      </c>
      <c r="C49" t="s">
        <v>623</v>
      </c>
      <c r="D49">
        <v>6</v>
      </c>
      <c r="E49">
        <v>4</v>
      </c>
      <c r="F49">
        <v>2</v>
      </c>
    </row>
    <row r="50" spans="1:6" x14ac:dyDescent="0.3">
      <c r="A50" t="s">
        <v>366</v>
      </c>
      <c r="B50" t="s">
        <v>606</v>
      </c>
      <c r="C50" t="s">
        <v>627</v>
      </c>
      <c r="D50">
        <v>2065</v>
      </c>
      <c r="E50">
        <v>132</v>
      </c>
      <c r="F50">
        <v>1933</v>
      </c>
    </row>
    <row r="51" spans="1:6" x14ac:dyDescent="0.3">
      <c r="A51" t="s">
        <v>366</v>
      </c>
      <c r="B51" t="s">
        <v>514</v>
      </c>
      <c r="C51" t="s">
        <v>681</v>
      </c>
      <c r="D51">
        <v>74</v>
      </c>
      <c r="E51">
        <v>57</v>
      </c>
      <c r="F51">
        <v>17</v>
      </c>
    </row>
    <row r="52" spans="1:6" x14ac:dyDescent="0.3">
      <c r="A52" t="s">
        <v>366</v>
      </c>
      <c r="B52" t="s">
        <v>629</v>
      </c>
      <c r="C52" t="s">
        <v>625</v>
      </c>
      <c r="D52">
        <v>577</v>
      </c>
      <c r="E52">
        <v>22</v>
      </c>
      <c r="F52">
        <v>555</v>
      </c>
    </row>
    <row r="53" spans="1:6" x14ac:dyDescent="0.3">
      <c r="A53" t="s">
        <v>341</v>
      </c>
      <c r="B53" t="s">
        <v>513</v>
      </c>
      <c r="C53" t="s">
        <v>624</v>
      </c>
      <c r="D53">
        <v>8</v>
      </c>
      <c r="E53">
        <v>7</v>
      </c>
      <c r="F53">
        <v>1</v>
      </c>
    </row>
    <row r="54" spans="1:6" x14ac:dyDescent="0.3">
      <c r="A54" t="s">
        <v>341</v>
      </c>
      <c r="B54" t="s">
        <v>514</v>
      </c>
      <c r="C54" t="s">
        <v>681</v>
      </c>
      <c r="D54">
        <v>78</v>
      </c>
      <c r="E54">
        <v>58</v>
      </c>
      <c r="F54">
        <v>20</v>
      </c>
    </row>
    <row r="55" spans="1:6" x14ac:dyDescent="0.3">
      <c r="A55" t="s">
        <v>341</v>
      </c>
      <c r="B55" t="s">
        <v>628</v>
      </c>
      <c r="C55" t="s">
        <v>750</v>
      </c>
      <c r="D55">
        <v>36</v>
      </c>
      <c r="E55">
        <v>4</v>
      </c>
      <c r="F55">
        <v>32</v>
      </c>
    </row>
    <row r="56" spans="1:6" x14ac:dyDescent="0.3">
      <c r="A56" t="s">
        <v>342</v>
      </c>
      <c r="B56" t="s">
        <v>513</v>
      </c>
      <c r="C56" t="s">
        <v>623</v>
      </c>
      <c r="D56">
        <v>5</v>
      </c>
      <c r="E56">
        <v>4</v>
      </c>
      <c r="F56">
        <v>1</v>
      </c>
    </row>
    <row r="57" spans="1:6" x14ac:dyDescent="0.3">
      <c r="A57" t="s">
        <v>342</v>
      </c>
      <c r="B57" t="s">
        <v>513</v>
      </c>
      <c r="C57" t="s">
        <v>624</v>
      </c>
      <c r="D57">
        <v>8</v>
      </c>
      <c r="E57">
        <v>7</v>
      </c>
      <c r="F57">
        <v>1</v>
      </c>
    </row>
    <row r="58" spans="1:6" x14ac:dyDescent="0.3">
      <c r="A58" t="s">
        <v>342</v>
      </c>
      <c r="B58" t="s">
        <v>513</v>
      </c>
      <c r="C58" t="s">
        <v>625</v>
      </c>
      <c r="D58">
        <v>43</v>
      </c>
      <c r="E58">
        <v>36</v>
      </c>
      <c r="F58">
        <v>7</v>
      </c>
    </row>
    <row r="59" spans="1:6" x14ac:dyDescent="0.3">
      <c r="A59" t="s">
        <v>342</v>
      </c>
      <c r="B59" t="s">
        <v>628</v>
      </c>
      <c r="C59" t="s">
        <v>625</v>
      </c>
      <c r="D59">
        <v>37</v>
      </c>
      <c r="E59">
        <v>5</v>
      </c>
      <c r="F59">
        <v>32</v>
      </c>
    </row>
    <row r="60" spans="1:6" x14ac:dyDescent="0.3">
      <c r="A60" t="s">
        <v>342</v>
      </c>
      <c r="B60" t="s">
        <v>629</v>
      </c>
      <c r="C60" t="s">
        <v>621</v>
      </c>
      <c r="D60">
        <v>4</v>
      </c>
      <c r="F60">
        <v>4</v>
      </c>
    </row>
    <row r="61" spans="1:6" x14ac:dyDescent="0.3">
      <c r="A61" t="s">
        <v>342</v>
      </c>
      <c r="B61" t="s">
        <v>629</v>
      </c>
      <c r="C61" t="s">
        <v>623</v>
      </c>
      <c r="D61">
        <v>74</v>
      </c>
      <c r="E61">
        <v>2</v>
      </c>
      <c r="F61">
        <v>72</v>
      </c>
    </row>
    <row r="62" spans="1:6" x14ac:dyDescent="0.3">
      <c r="A62" t="s">
        <v>213</v>
      </c>
      <c r="B62" t="s">
        <v>513</v>
      </c>
      <c r="C62" t="s">
        <v>622</v>
      </c>
      <c r="D62">
        <v>1</v>
      </c>
      <c r="E62">
        <v>1</v>
      </c>
      <c r="F62">
        <v>0</v>
      </c>
    </row>
    <row r="63" spans="1:6" x14ac:dyDescent="0.3">
      <c r="A63" t="s">
        <v>213</v>
      </c>
      <c r="B63" t="s">
        <v>513</v>
      </c>
      <c r="C63" t="s">
        <v>626</v>
      </c>
      <c r="D63">
        <v>27</v>
      </c>
      <c r="E63">
        <v>21</v>
      </c>
      <c r="F63">
        <v>6</v>
      </c>
    </row>
    <row r="64" spans="1:6" x14ac:dyDescent="0.3">
      <c r="A64" t="s">
        <v>213</v>
      </c>
      <c r="B64" t="s">
        <v>513</v>
      </c>
      <c r="C64" t="s">
        <v>625</v>
      </c>
      <c r="D64">
        <v>42</v>
      </c>
      <c r="E64">
        <v>36</v>
      </c>
      <c r="F64">
        <v>6</v>
      </c>
    </row>
    <row r="65" spans="1:6" x14ac:dyDescent="0.3">
      <c r="A65" t="s">
        <v>213</v>
      </c>
      <c r="B65" t="s">
        <v>514</v>
      </c>
      <c r="C65" t="s">
        <v>681</v>
      </c>
      <c r="D65">
        <v>84</v>
      </c>
      <c r="E65">
        <v>58</v>
      </c>
      <c r="F65">
        <v>26</v>
      </c>
    </row>
    <row r="66" spans="1:6" x14ac:dyDescent="0.3">
      <c r="A66" t="s">
        <v>312</v>
      </c>
      <c r="B66" t="s">
        <v>606</v>
      </c>
      <c r="C66" t="s">
        <v>626</v>
      </c>
      <c r="D66">
        <v>520</v>
      </c>
      <c r="E66">
        <v>20</v>
      </c>
      <c r="F66">
        <v>500</v>
      </c>
    </row>
    <row r="67" spans="1:6" x14ac:dyDescent="0.3">
      <c r="A67" t="s">
        <v>312</v>
      </c>
      <c r="B67" t="s">
        <v>514</v>
      </c>
      <c r="C67" t="s">
        <v>679</v>
      </c>
      <c r="D67">
        <v>47</v>
      </c>
      <c r="E67">
        <v>14</v>
      </c>
      <c r="F67">
        <v>33</v>
      </c>
    </row>
    <row r="68" spans="1:6" x14ac:dyDescent="0.3">
      <c r="A68" t="s">
        <v>312</v>
      </c>
      <c r="B68" t="s">
        <v>514</v>
      </c>
      <c r="C68" t="s">
        <v>680</v>
      </c>
      <c r="D68">
        <v>32</v>
      </c>
      <c r="E68">
        <v>20</v>
      </c>
      <c r="F68">
        <v>12</v>
      </c>
    </row>
    <row r="69" spans="1:6" x14ac:dyDescent="0.3">
      <c r="A69" t="s">
        <v>312</v>
      </c>
      <c r="B69" t="s">
        <v>514</v>
      </c>
      <c r="C69" t="s">
        <v>683</v>
      </c>
      <c r="D69">
        <v>63</v>
      </c>
      <c r="E69">
        <v>26</v>
      </c>
      <c r="F69">
        <v>37</v>
      </c>
    </row>
    <row r="70" spans="1:6" x14ac:dyDescent="0.3">
      <c r="A70" t="s">
        <v>312</v>
      </c>
      <c r="B70" t="s">
        <v>628</v>
      </c>
      <c r="C70" t="s">
        <v>625</v>
      </c>
      <c r="D70">
        <v>37</v>
      </c>
      <c r="E70">
        <v>5</v>
      </c>
      <c r="F70">
        <v>32</v>
      </c>
    </row>
    <row r="71" spans="1:6" x14ac:dyDescent="0.3">
      <c r="A71" t="s">
        <v>318</v>
      </c>
      <c r="B71" t="s">
        <v>513</v>
      </c>
      <c r="C71" t="s">
        <v>626</v>
      </c>
      <c r="D71">
        <v>31</v>
      </c>
      <c r="E71">
        <v>24</v>
      </c>
      <c r="F71">
        <v>7</v>
      </c>
    </row>
    <row r="72" spans="1:6" x14ac:dyDescent="0.3">
      <c r="A72" t="s">
        <v>318</v>
      </c>
      <c r="B72" t="s">
        <v>512</v>
      </c>
      <c r="C72" t="s">
        <v>625</v>
      </c>
      <c r="D72">
        <v>54</v>
      </c>
      <c r="E72">
        <v>11</v>
      </c>
      <c r="F72">
        <v>43</v>
      </c>
    </row>
    <row r="73" spans="1:6" x14ac:dyDescent="0.3">
      <c r="A73" t="s">
        <v>318</v>
      </c>
      <c r="B73" t="s">
        <v>514</v>
      </c>
      <c r="C73" t="s">
        <v>679</v>
      </c>
      <c r="D73">
        <v>50</v>
      </c>
      <c r="E73">
        <v>17</v>
      </c>
      <c r="F73">
        <v>33</v>
      </c>
    </row>
    <row r="74" spans="1:6" x14ac:dyDescent="0.3">
      <c r="A74" t="s">
        <v>318</v>
      </c>
      <c r="B74" t="s">
        <v>514</v>
      </c>
      <c r="C74" t="s">
        <v>680</v>
      </c>
      <c r="D74">
        <v>30</v>
      </c>
      <c r="E74">
        <v>19</v>
      </c>
      <c r="F74">
        <v>11</v>
      </c>
    </row>
    <row r="75" spans="1:6" x14ac:dyDescent="0.3">
      <c r="A75" t="s">
        <v>318</v>
      </c>
      <c r="B75" t="s">
        <v>629</v>
      </c>
      <c r="C75" t="s">
        <v>627</v>
      </c>
      <c r="D75">
        <v>2020</v>
      </c>
      <c r="E75">
        <v>150</v>
      </c>
      <c r="F75">
        <v>1870</v>
      </c>
    </row>
    <row r="76" spans="1:6" x14ac:dyDescent="0.3">
      <c r="A76" t="s">
        <v>318</v>
      </c>
      <c r="B76" t="s">
        <v>629</v>
      </c>
      <c r="C76" t="s">
        <v>624</v>
      </c>
      <c r="D76">
        <v>152</v>
      </c>
      <c r="E76">
        <v>7</v>
      </c>
      <c r="F76">
        <v>145</v>
      </c>
    </row>
    <row r="77" spans="1:6" x14ac:dyDescent="0.3">
      <c r="A77" t="s">
        <v>320</v>
      </c>
      <c r="B77" t="s">
        <v>606</v>
      </c>
      <c r="C77" t="s">
        <v>627</v>
      </c>
      <c r="D77">
        <v>1967</v>
      </c>
      <c r="E77">
        <v>158</v>
      </c>
      <c r="F77">
        <v>1809</v>
      </c>
    </row>
    <row r="78" spans="1:6" x14ac:dyDescent="0.3">
      <c r="A78" t="s">
        <v>320</v>
      </c>
      <c r="B78" t="s">
        <v>514</v>
      </c>
      <c r="C78" t="s">
        <v>682</v>
      </c>
      <c r="D78">
        <v>469</v>
      </c>
      <c r="E78">
        <v>180</v>
      </c>
      <c r="F78">
        <v>289</v>
      </c>
    </row>
    <row r="79" spans="1:6" x14ac:dyDescent="0.3">
      <c r="A79" t="s">
        <v>325</v>
      </c>
      <c r="B79" t="s">
        <v>628</v>
      </c>
      <c r="C79" t="s">
        <v>627</v>
      </c>
      <c r="D79">
        <v>189</v>
      </c>
      <c r="E79">
        <v>31</v>
      </c>
      <c r="F79">
        <v>158</v>
      </c>
    </row>
    <row r="80" spans="1:6" x14ac:dyDescent="0.3">
      <c r="A80" t="s">
        <v>325</v>
      </c>
      <c r="B80" t="s">
        <v>629</v>
      </c>
      <c r="C80" t="s">
        <v>622</v>
      </c>
      <c r="D80">
        <v>31</v>
      </c>
      <c r="E80">
        <v>1</v>
      </c>
      <c r="F80">
        <v>30</v>
      </c>
    </row>
    <row r="81" spans="1:6" x14ac:dyDescent="0.3">
      <c r="A81" t="s">
        <v>326</v>
      </c>
      <c r="B81" t="s">
        <v>629</v>
      </c>
      <c r="C81" t="s">
        <v>627</v>
      </c>
      <c r="D81">
        <v>1912</v>
      </c>
      <c r="E81">
        <v>138</v>
      </c>
      <c r="F81">
        <v>1774</v>
      </c>
    </row>
    <row r="82" spans="1:6" x14ac:dyDescent="0.3">
      <c r="A82" t="s">
        <v>328</v>
      </c>
      <c r="B82" t="s">
        <v>606</v>
      </c>
      <c r="C82" t="s">
        <v>625</v>
      </c>
      <c r="D82">
        <v>248</v>
      </c>
      <c r="E82">
        <v>11</v>
      </c>
      <c r="F82">
        <v>237</v>
      </c>
    </row>
    <row r="83" spans="1:6" x14ac:dyDescent="0.3">
      <c r="A83" t="s">
        <v>328</v>
      </c>
      <c r="B83" t="s">
        <v>512</v>
      </c>
      <c r="C83" t="s">
        <v>625</v>
      </c>
      <c r="D83">
        <v>56</v>
      </c>
      <c r="E83">
        <v>7</v>
      </c>
      <c r="F83">
        <v>49</v>
      </c>
    </row>
    <row r="84" spans="1:6" x14ac:dyDescent="0.3">
      <c r="A84" t="s">
        <v>328</v>
      </c>
      <c r="B84" t="s">
        <v>514</v>
      </c>
      <c r="C84" t="s">
        <v>683</v>
      </c>
      <c r="D84">
        <v>58</v>
      </c>
      <c r="E84">
        <v>19</v>
      </c>
      <c r="F84">
        <v>39</v>
      </c>
    </row>
    <row r="85" spans="1:6" x14ac:dyDescent="0.3">
      <c r="A85" t="s">
        <v>328</v>
      </c>
      <c r="B85" t="s">
        <v>629</v>
      </c>
      <c r="C85" t="s">
        <v>624</v>
      </c>
      <c r="D85">
        <v>160</v>
      </c>
      <c r="E85">
        <v>5</v>
      </c>
      <c r="F85">
        <v>155</v>
      </c>
    </row>
    <row r="86" spans="1:6" x14ac:dyDescent="0.3">
      <c r="A86" t="s">
        <v>328</v>
      </c>
      <c r="B86" t="s">
        <v>629</v>
      </c>
      <c r="C86" t="s">
        <v>625</v>
      </c>
      <c r="D86">
        <v>605</v>
      </c>
      <c r="E86">
        <v>32</v>
      </c>
      <c r="F86">
        <v>573</v>
      </c>
    </row>
    <row r="87" spans="1:6" x14ac:dyDescent="0.3">
      <c r="A87" t="s">
        <v>412</v>
      </c>
      <c r="B87" t="s">
        <v>513</v>
      </c>
      <c r="D87">
        <v>2</v>
      </c>
      <c r="E87">
        <v>2</v>
      </c>
      <c r="F87">
        <v>0</v>
      </c>
    </row>
    <row r="88" spans="1:6" x14ac:dyDescent="0.3">
      <c r="A88" t="s">
        <v>412</v>
      </c>
      <c r="B88" t="s">
        <v>606</v>
      </c>
      <c r="C88" t="s">
        <v>627</v>
      </c>
      <c r="D88">
        <v>1964</v>
      </c>
      <c r="E88">
        <v>162</v>
      </c>
      <c r="F88">
        <v>1802</v>
      </c>
    </row>
    <row r="89" spans="1:6" x14ac:dyDescent="0.3">
      <c r="A89" t="s">
        <v>412</v>
      </c>
      <c r="B89" t="s">
        <v>606</v>
      </c>
      <c r="C89" t="s">
        <v>625</v>
      </c>
      <c r="D89">
        <v>257</v>
      </c>
      <c r="E89">
        <v>13</v>
      </c>
      <c r="F89">
        <v>244</v>
      </c>
    </row>
    <row r="90" spans="1:6" x14ac:dyDescent="0.3">
      <c r="A90" t="s">
        <v>412</v>
      </c>
      <c r="B90" t="s">
        <v>628</v>
      </c>
      <c r="C90" t="s">
        <v>626</v>
      </c>
      <c r="D90">
        <v>39</v>
      </c>
      <c r="E90">
        <v>7</v>
      </c>
      <c r="F90">
        <v>32</v>
      </c>
    </row>
    <row r="91" spans="1:6" x14ac:dyDescent="0.3">
      <c r="A91" t="s">
        <v>412</v>
      </c>
      <c r="B91" t="s">
        <v>629</v>
      </c>
      <c r="D91">
        <v>2</v>
      </c>
      <c r="E91">
        <v>0</v>
      </c>
      <c r="F91">
        <v>2</v>
      </c>
    </row>
    <row r="92" spans="1:6" x14ac:dyDescent="0.3">
      <c r="A92" t="s">
        <v>412</v>
      </c>
      <c r="B92" t="s">
        <v>629</v>
      </c>
      <c r="C92" t="s">
        <v>625</v>
      </c>
      <c r="D92">
        <v>625</v>
      </c>
      <c r="E92">
        <v>35</v>
      </c>
      <c r="F92">
        <v>590</v>
      </c>
    </row>
    <row r="93" spans="1:6" x14ac:dyDescent="0.3">
      <c r="A93" t="s">
        <v>364</v>
      </c>
      <c r="B93" t="s">
        <v>513</v>
      </c>
      <c r="C93" t="s">
        <v>627</v>
      </c>
      <c r="D93">
        <v>103</v>
      </c>
      <c r="E93">
        <v>94</v>
      </c>
      <c r="F93">
        <v>9</v>
      </c>
    </row>
    <row r="94" spans="1:6" x14ac:dyDescent="0.3">
      <c r="A94" t="s">
        <v>364</v>
      </c>
      <c r="B94" t="s">
        <v>514</v>
      </c>
      <c r="C94" t="s">
        <v>678</v>
      </c>
      <c r="D94">
        <v>0</v>
      </c>
      <c r="E94">
        <v>0</v>
      </c>
      <c r="F94">
        <v>0</v>
      </c>
    </row>
    <row r="95" spans="1:6" x14ac:dyDescent="0.3">
      <c r="A95" t="s">
        <v>364</v>
      </c>
      <c r="B95" t="s">
        <v>629</v>
      </c>
      <c r="C95" t="s">
        <v>624</v>
      </c>
      <c r="D95">
        <v>136</v>
      </c>
      <c r="E95">
        <v>2</v>
      </c>
      <c r="F95">
        <v>134</v>
      </c>
    </row>
    <row r="96" spans="1:6" x14ac:dyDescent="0.3">
      <c r="A96" t="s">
        <v>365</v>
      </c>
      <c r="B96" t="s">
        <v>606</v>
      </c>
      <c r="C96" t="s">
        <v>626</v>
      </c>
      <c r="D96">
        <v>546</v>
      </c>
      <c r="E96">
        <v>17</v>
      </c>
      <c r="F96">
        <v>529</v>
      </c>
    </row>
    <row r="97" spans="1:6" x14ac:dyDescent="0.3">
      <c r="A97" t="s">
        <v>341</v>
      </c>
      <c r="B97" t="s">
        <v>513</v>
      </c>
      <c r="C97" t="s">
        <v>627</v>
      </c>
      <c r="D97">
        <v>80</v>
      </c>
      <c r="E97">
        <v>67</v>
      </c>
      <c r="F97">
        <v>13</v>
      </c>
    </row>
    <row r="98" spans="1:6" x14ac:dyDescent="0.3">
      <c r="A98" t="s">
        <v>341</v>
      </c>
      <c r="B98" t="s">
        <v>514</v>
      </c>
      <c r="C98" t="s">
        <v>678</v>
      </c>
      <c r="D98">
        <v>3</v>
      </c>
      <c r="E98">
        <v>2</v>
      </c>
      <c r="F98">
        <v>1</v>
      </c>
    </row>
    <row r="99" spans="1:6" x14ac:dyDescent="0.3">
      <c r="A99" t="s">
        <v>341</v>
      </c>
      <c r="B99" t="s">
        <v>514</v>
      </c>
      <c r="C99" t="s">
        <v>680</v>
      </c>
      <c r="D99">
        <v>34</v>
      </c>
      <c r="E99">
        <v>19</v>
      </c>
      <c r="F99">
        <v>15</v>
      </c>
    </row>
    <row r="100" spans="1:6" x14ac:dyDescent="0.3">
      <c r="A100" t="s">
        <v>341</v>
      </c>
      <c r="B100" t="s">
        <v>629</v>
      </c>
      <c r="C100" t="s">
        <v>621</v>
      </c>
      <c r="D100">
        <v>4</v>
      </c>
      <c r="E100">
        <v>0</v>
      </c>
      <c r="F100">
        <v>4</v>
      </c>
    </row>
    <row r="101" spans="1:6" x14ac:dyDescent="0.3">
      <c r="A101" t="s">
        <v>342</v>
      </c>
      <c r="B101" t="s">
        <v>513</v>
      </c>
      <c r="C101" t="s">
        <v>627</v>
      </c>
      <c r="D101">
        <v>106</v>
      </c>
      <c r="E101">
        <v>88</v>
      </c>
      <c r="F101">
        <v>18</v>
      </c>
    </row>
    <row r="102" spans="1:6" x14ac:dyDescent="0.3">
      <c r="A102" t="s">
        <v>342</v>
      </c>
      <c r="B102" t="s">
        <v>629</v>
      </c>
      <c r="C102" t="s">
        <v>622</v>
      </c>
      <c r="D102">
        <v>34</v>
      </c>
      <c r="F102">
        <v>34</v>
      </c>
    </row>
    <row r="103" spans="1:6" x14ac:dyDescent="0.3">
      <c r="A103" t="s">
        <v>213</v>
      </c>
      <c r="B103" t="s">
        <v>514</v>
      </c>
      <c r="C103" t="s">
        <v>680</v>
      </c>
      <c r="D103">
        <v>34</v>
      </c>
      <c r="E103">
        <v>21</v>
      </c>
      <c r="F103">
        <v>13</v>
      </c>
    </row>
    <row r="104" spans="1:6" x14ac:dyDescent="0.3">
      <c r="A104" t="s">
        <v>213</v>
      </c>
      <c r="B104" t="s">
        <v>629</v>
      </c>
      <c r="C104" t="s">
        <v>622</v>
      </c>
      <c r="D104">
        <v>33</v>
      </c>
      <c r="E104">
        <v>0</v>
      </c>
      <c r="F104">
        <v>33</v>
      </c>
    </row>
    <row r="105" spans="1:6" x14ac:dyDescent="0.3">
      <c r="A105" t="s">
        <v>312</v>
      </c>
      <c r="B105" t="s">
        <v>606</v>
      </c>
      <c r="C105" t="s">
        <v>625</v>
      </c>
      <c r="D105">
        <v>262</v>
      </c>
      <c r="E105">
        <v>13</v>
      </c>
      <c r="F105">
        <v>249</v>
      </c>
    </row>
    <row r="106" spans="1:6" x14ac:dyDescent="0.3">
      <c r="A106" t="s">
        <v>312</v>
      </c>
      <c r="B106" t="s">
        <v>628</v>
      </c>
      <c r="C106" t="s">
        <v>626</v>
      </c>
      <c r="D106">
        <v>41</v>
      </c>
      <c r="E106">
        <v>1</v>
      </c>
      <c r="F106">
        <v>40</v>
      </c>
    </row>
    <row r="107" spans="1:6" x14ac:dyDescent="0.3">
      <c r="A107" t="s">
        <v>312</v>
      </c>
      <c r="B107" t="s">
        <v>629</v>
      </c>
      <c r="C107" t="s">
        <v>623</v>
      </c>
      <c r="D107">
        <v>80</v>
      </c>
      <c r="E107">
        <v>2</v>
      </c>
      <c r="F107">
        <v>78</v>
      </c>
    </row>
    <row r="108" spans="1:6" x14ac:dyDescent="0.3">
      <c r="A108" t="s">
        <v>312</v>
      </c>
      <c r="B108" t="s">
        <v>629</v>
      </c>
      <c r="C108" t="s">
        <v>624</v>
      </c>
      <c r="D108">
        <v>153</v>
      </c>
      <c r="E108">
        <v>5</v>
      </c>
      <c r="F108">
        <v>148</v>
      </c>
    </row>
    <row r="109" spans="1:6" x14ac:dyDescent="0.3">
      <c r="A109" t="s">
        <v>318</v>
      </c>
      <c r="B109" t="s">
        <v>629</v>
      </c>
      <c r="C109" t="s">
        <v>625</v>
      </c>
      <c r="D109">
        <v>603</v>
      </c>
      <c r="E109">
        <v>31</v>
      </c>
      <c r="F109">
        <v>572</v>
      </c>
    </row>
    <row r="110" spans="1:6" x14ac:dyDescent="0.3">
      <c r="A110" t="s">
        <v>320</v>
      </c>
      <c r="B110" t="s">
        <v>513</v>
      </c>
      <c r="C110" t="s">
        <v>627</v>
      </c>
      <c r="D110">
        <v>90</v>
      </c>
      <c r="E110">
        <v>76</v>
      </c>
      <c r="F110">
        <v>14</v>
      </c>
    </row>
    <row r="111" spans="1:6" x14ac:dyDescent="0.3">
      <c r="A111" t="s">
        <v>320</v>
      </c>
      <c r="B111" t="s">
        <v>629</v>
      </c>
      <c r="C111" t="s">
        <v>627</v>
      </c>
      <c r="D111">
        <v>1990</v>
      </c>
      <c r="E111">
        <v>148</v>
      </c>
      <c r="F111">
        <v>1842</v>
      </c>
    </row>
    <row r="112" spans="1:6" x14ac:dyDescent="0.3">
      <c r="A112" t="s">
        <v>320</v>
      </c>
      <c r="B112" t="s">
        <v>629</v>
      </c>
      <c r="C112" t="s">
        <v>625</v>
      </c>
      <c r="D112">
        <v>607</v>
      </c>
      <c r="E112">
        <v>30</v>
      </c>
      <c r="F112">
        <v>577</v>
      </c>
    </row>
    <row r="113" spans="1:6" x14ac:dyDescent="0.3">
      <c r="A113" t="s">
        <v>325</v>
      </c>
      <c r="B113" t="s">
        <v>514</v>
      </c>
      <c r="C113" t="s">
        <v>678</v>
      </c>
      <c r="D113">
        <v>4</v>
      </c>
      <c r="E113">
        <v>1</v>
      </c>
      <c r="F113">
        <v>3</v>
      </c>
    </row>
    <row r="114" spans="1:6" x14ac:dyDescent="0.3">
      <c r="A114" t="s">
        <v>325</v>
      </c>
      <c r="B114" t="s">
        <v>629</v>
      </c>
      <c r="C114" t="s">
        <v>621</v>
      </c>
      <c r="D114">
        <v>5</v>
      </c>
      <c r="E114">
        <v>0</v>
      </c>
      <c r="F114">
        <v>5</v>
      </c>
    </row>
    <row r="115" spans="1:6" x14ac:dyDescent="0.3">
      <c r="A115" t="s">
        <v>326</v>
      </c>
      <c r="B115" t="s">
        <v>513</v>
      </c>
      <c r="C115" t="s">
        <v>623</v>
      </c>
      <c r="D115">
        <v>4</v>
      </c>
      <c r="E115">
        <v>4</v>
      </c>
      <c r="F115">
        <v>0</v>
      </c>
    </row>
    <row r="116" spans="1:6" x14ac:dyDescent="0.3">
      <c r="A116" t="s">
        <v>326</v>
      </c>
      <c r="B116" t="s">
        <v>606</v>
      </c>
      <c r="C116" t="s">
        <v>627</v>
      </c>
      <c r="D116">
        <v>1932</v>
      </c>
      <c r="E116">
        <v>151</v>
      </c>
      <c r="F116">
        <v>1781</v>
      </c>
    </row>
    <row r="117" spans="1:6" x14ac:dyDescent="0.3">
      <c r="A117" t="s">
        <v>326</v>
      </c>
      <c r="B117" t="s">
        <v>512</v>
      </c>
      <c r="C117" t="s">
        <v>626</v>
      </c>
      <c r="D117">
        <v>2</v>
      </c>
      <c r="E117">
        <v>0</v>
      </c>
      <c r="F117">
        <v>2</v>
      </c>
    </row>
    <row r="118" spans="1:6" x14ac:dyDescent="0.3">
      <c r="A118" t="s">
        <v>326</v>
      </c>
      <c r="B118" t="s">
        <v>514</v>
      </c>
      <c r="C118" t="s">
        <v>680</v>
      </c>
      <c r="D118">
        <v>35</v>
      </c>
      <c r="E118">
        <v>24</v>
      </c>
      <c r="F118">
        <v>11</v>
      </c>
    </row>
    <row r="119" spans="1:6" x14ac:dyDescent="0.3">
      <c r="A119" t="s">
        <v>326</v>
      </c>
      <c r="B119" t="s">
        <v>629</v>
      </c>
      <c r="C119" t="s">
        <v>623</v>
      </c>
      <c r="D119">
        <v>71</v>
      </c>
      <c r="E119">
        <v>2</v>
      </c>
      <c r="F119">
        <v>69</v>
      </c>
    </row>
    <row r="120" spans="1:6" x14ac:dyDescent="0.3">
      <c r="A120" t="s">
        <v>328</v>
      </c>
      <c r="B120" t="s">
        <v>513</v>
      </c>
      <c r="C120" t="s">
        <v>627</v>
      </c>
      <c r="D120">
        <v>95</v>
      </c>
      <c r="E120">
        <v>76</v>
      </c>
      <c r="F120">
        <v>19</v>
      </c>
    </row>
    <row r="121" spans="1:6" x14ac:dyDescent="0.3">
      <c r="A121" t="s">
        <v>328</v>
      </c>
      <c r="B121" t="s">
        <v>513</v>
      </c>
      <c r="C121" t="s">
        <v>625</v>
      </c>
      <c r="D121">
        <v>37</v>
      </c>
      <c r="E121">
        <v>29</v>
      </c>
      <c r="F121">
        <v>8</v>
      </c>
    </row>
    <row r="122" spans="1:6" x14ac:dyDescent="0.3">
      <c r="A122" t="s">
        <v>328</v>
      </c>
      <c r="B122" t="s">
        <v>512</v>
      </c>
      <c r="C122" t="s">
        <v>626</v>
      </c>
      <c r="D122">
        <v>4</v>
      </c>
      <c r="E122">
        <v>0</v>
      </c>
      <c r="F122">
        <v>4</v>
      </c>
    </row>
    <row r="123" spans="1:6" x14ac:dyDescent="0.3">
      <c r="A123" t="s">
        <v>412</v>
      </c>
      <c r="B123" t="s">
        <v>513</v>
      </c>
      <c r="C123" t="s">
        <v>626</v>
      </c>
      <c r="D123">
        <v>42</v>
      </c>
      <c r="E123">
        <v>33</v>
      </c>
      <c r="F123">
        <v>9</v>
      </c>
    </row>
    <row r="124" spans="1:6" x14ac:dyDescent="0.3">
      <c r="A124" t="s">
        <v>412</v>
      </c>
      <c r="B124" t="s">
        <v>513</v>
      </c>
      <c r="C124" t="s">
        <v>623</v>
      </c>
      <c r="D124">
        <v>3</v>
      </c>
      <c r="E124">
        <v>3</v>
      </c>
      <c r="F124">
        <v>0</v>
      </c>
    </row>
    <row r="125" spans="1:6" x14ac:dyDescent="0.3">
      <c r="A125" t="s">
        <v>412</v>
      </c>
      <c r="B125" t="s">
        <v>513</v>
      </c>
      <c r="C125" t="s">
        <v>624</v>
      </c>
      <c r="D125">
        <v>6</v>
      </c>
      <c r="E125">
        <v>5</v>
      </c>
      <c r="F125">
        <v>1</v>
      </c>
    </row>
    <row r="126" spans="1:6" x14ac:dyDescent="0.3">
      <c r="A126" t="s">
        <v>412</v>
      </c>
      <c r="B126" t="s">
        <v>606</v>
      </c>
      <c r="C126" t="s">
        <v>626</v>
      </c>
      <c r="D126">
        <v>526</v>
      </c>
      <c r="E126">
        <v>33</v>
      </c>
      <c r="F126">
        <v>493</v>
      </c>
    </row>
    <row r="127" spans="1:6" x14ac:dyDescent="0.3">
      <c r="A127" t="s">
        <v>412</v>
      </c>
      <c r="B127" t="s">
        <v>512</v>
      </c>
      <c r="C127" t="s">
        <v>626</v>
      </c>
      <c r="D127">
        <v>3</v>
      </c>
      <c r="E127">
        <v>0</v>
      </c>
      <c r="F127">
        <v>3</v>
      </c>
    </row>
    <row r="128" spans="1:6" x14ac:dyDescent="0.3">
      <c r="A128" t="s">
        <v>412</v>
      </c>
      <c r="B128" t="s">
        <v>514</v>
      </c>
      <c r="C128" t="s">
        <v>684</v>
      </c>
      <c r="D128">
        <v>139</v>
      </c>
      <c r="E128">
        <v>127</v>
      </c>
      <c r="F128">
        <v>12</v>
      </c>
    </row>
    <row r="129" spans="1:6" x14ac:dyDescent="0.3">
      <c r="A129" t="s">
        <v>412</v>
      </c>
      <c r="B129" t="s">
        <v>514</v>
      </c>
      <c r="C129" t="s">
        <v>681</v>
      </c>
      <c r="D129">
        <v>87</v>
      </c>
      <c r="E129">
        <v>52</v>
      </c>
      <c r="F129">
        <v>35</v>
      </c>
    </row>
    <row r="130" spans="1:6" x14ac:dyDescent="0.3">
      <c r="A130" t="s">
        <v>412</v>
      </c>
      <c r="B130" t="s">
        <v>514</v>
      </c>
      <c r="C130" t="s">
        <v>682</v>
      </c>
      <c r="D130">
        <v>484</v>
      </c>
      <c r="E130">
        <v>214</v>
      </c>
      <c r="F130">
        <v>270</v>
      </c>
    </row>
    <row r="131" spans="1:6" x14ac:dyDescent="0.3">
      <c r="A131" t="s">
        <v>364</v>
      </c>
      <c r="B131" t="s">
        <v>606</v>
      </c>
      <c r="C131" t="s">
        <v>625</v>
      </c>
      <c r="D131">
        <v>278</v>
      </c>
      <c r="E131">
        <v>10</v>
      </c>
      <c r="F131">
        <v>268</v>
      </c>
    </row>
    <row r="132" spans="1:6" x14ac:dyDescent="0.3">
      <c r="A132" t="s">
        <v>364</v>
      </c>
      <c r="B132" t="s">
        <v>629</v>
      </c>
      <c r="C132" t="s">
        <v>621</v>
      </c>
      <c r="D132">
        <v>9</v>
      </c>
      <c r="E132">
        <v>0</v>
      </c>
      <c r="F132">
        <v>9</v>
      </c>
    </row>
    <row r="133" spans="1:6" x14ac:dyDescent="0.3">
      <c r="A133" t="s">
        <v>364</v>
      </c>
      <c r="B133" t="s">
        <v>629</v>
      </c>
      <c r="C133" t="s">
        <v>627</v>
      </c>
      <c r="D133">
        <v>2374</v>
      </c>
      <c r="E133">
        <v>106</v>
      </c>
      <c r="F133">
        <v>2268</v>
      </c>
    </row>
    <row r="134" spans="1:6" x14ac:dyDescent="0.3">
      <c r="A134" t="s">
        <v>365</v>
      </c>
      <c r="B134" t="s">
        <v>513</v>
      </c>
      <c r="C134" t="s">
        <v>626</v>
      </c>
      <c r="D134">
        <v>52</v>
      </c>
      <c r="E134">
        <v>44</v>
      </c>
      <c r="F134">
        <v>8</v>
      </c>
    </row>
    <row r="135" spans="1:6" x14ac:dyDescent="0.3">
      <c r="A135" t="s">
        <v>365</v>
      </c>
      <c r="B135" t="s">
        <v>606</v>
      </c>
      <c r="C135" t="s">
        <v>627</v>
      </c>
      <c r="D135">
        <v>2124</v>
      </c>
      <c r="E135">
        <v>143</v>
      </c>
      <c r="F135">
        <v>1981</v>
      </c>
    </row>
    <row r="136" spans="1:6" x14ac:dyDescent="0.3">
      <c r="A136" t="s">
        <v>365</v>
      </c>
      <c r="B136" t="s">
        <v>629</v>
      </c>
      <c r="C136" t="s">
        <v>625</v>
      </c>
      <c r="D136">
        <v>664</v>
      </c>
      <c r="E136">
        <v>27</v>
      </c>
      <c r="F136">
        <v>637</v>
      </c>
    </row>
    <row r="137" spans="1:6" x14ac:dyDescent="0.3">
      <c r="A137" t="s">
        <v>366</v>
      </c>
      <c r="B137" t="s">
        <v>513</v>
      </c>
      <c r="C137" t="s">
        <v>626</v>
      </c>
      <c r="D137">
        <v>44</v>
      </c>
      <c r="E137">
        <v>39</v>
      </c>
      <c r="F137">
        <v>5</v>
      </c>
    </row>
    <row r="138" spans="1:6" x14ac:dyDescent="0.3">
      <c r="A138" t="s">
        <v>366</v>
      </c>
      <c r="B138" t="s">
        <v>513</v>
      </c>
      <c r="C138" t="s">
        <v>627</v>
      </c>
      <c r="D138">
        <v>95</v>
      </c>
      <c r="E138">
        <v>77</v>
      </c>
      <c r="F138">
        <v>18</v>
      </c>
    </row>
    <row r="139" spans="1:6" x14ac:dyDescent="0.3">
      <c r="A139" t="s">
        <v>366</v>
      </c>
      <c r="B139" t="s">
        <v>513</v>
      </c>
      <c r="C139" t="s">
        <v>624</v>
      </c>
      <c r="D139">
        <v>7</v>
      </c>
      <c r="E139">
        <v>7</v>
      </c>
      <c r="F139">
        <v>0</v>
      </c>
    </row>
    <row r="140" spans="1:6" x14ac:dyDescent="0.3">
      <c r="A140" t="s">
        <v>366</v>
      </c>
      <c r="B140" t="s">
        <v>513</v>
      </c>
      <c r="C140" t="s">
        <v>625</v>
      </c>
      <c r="D140">
        <v>51</v>
      </c>
      <c r="E140">
        <v>44</v>
      </c>
      <c r="F140">
        <v>7</v>
      </c>
    </row>
    <row r="141" spans="1:6" x14ac:dyDescent="0.3">
      <c r="A141" t="s">
        <v>366</v>
      </c>
      <c r="B141" t="s">
        <v>606</v>
      </c>
      <c r="C141" t="s">
        <v>625</v>
      </c>
      <c r="D141">
        <v>262</v>
      </c>
      <c r="E141">
        <v>14</v>
      </c>
      <c r="F141">
        <v>248</v>
      </c>
    </row>
    <row r="142" spans="1:6" x14ac:dyDescent="0.3">
      <c r="A142" t="s">
        <v>366</v>
      </c>
      <c r="B142" t="s">
        <v>628</v>
      </c>
      <c r="C142" t="s">
        <v>750</v>
      </c>
      <c r="D142">
        <v>36</v>
      </c>
      <c r="E142">
        <v>2</v>
      </c>
      <c r="F142">
        <v>34</v>
      </c>
    </row>
    <row r="143" spans="1:6" x14ac:dyDescent="0.3">
      <c r="A143" t="s">
        <v>366</v>
      </c>
      <c r="B143" t="s">
        <v>629</v>
      </c>
      <c r="C143" t="s">
        <v>624</v>
      </c>
      <c r="D143">
        <v>126</v>
      </c>
      <c r="E143">
        <v>2</v>
      </c>
      <c r="F143">
        <v>124</v>
      </c>
    </row>
    <row r="144" spans="1:6" x14ac:dyDescent="0.3">
      <c r="A144" t="s">
        <v>341</v>
      </c>
      <c r="B144" t="s">
        <v>606</v>
      </c>
      <c r="C144" t="s">
        <v>626</v>
      </c>
      <c r="D144">
        <v>549</v>
      </c>
      <c r="E144">
        <v>15</v>
      </c>
      <c r="F144">
        <v>534</v>
      </c>
    </row>
    <row r="145" spans="1:6" x14ac:dyDescent="0.3">
      <c r="A145" t="s">
        <v>341</v>
      </c>
      <c r="B145" t="s">
        <v>629</v>
      </c>
      <c r="C145" t="s">
        <v>623</v>
      </c>
      <c r="D145">
        <v>70</v>
      </c>
      <c r="E145">
        <v>2</v>
      </c>
      <c r="F145">
        <v>68</v>
      </c>
    </row>
    <row r="146" spans="1:6" x14ac:dyDescent="0.3">
      <c r="A146" t="s">
        <v>341</v>
      </c>
      <c r="B146" t="s">
        <v>629</v>
      </c>
      <c r="C146" t="s">
        <v>624</v>
      </c>
      <c r="D146">
        <v>151</v>
      </c>
      <c r="E146">
        <v>2</v>
      </c>
      <c r="F146">
        <v>149</v>
      </c>
    </row>
    <row r="147" spans="1:6" x14ac:dyDescent="0.3">
      <c r="A147" t="s">
        <v>342</v>
      </c>
      <c r="B147" t="s">
        <v>606</v>
      </c>
      <c r="C147" t="s">
        <v>627</v>
      </c>
      <c r="D147">
        <v>2077</v>
      </c>
      <c r="E147">
        <v>138</v>
      </c>
      <c r="F147">
        <v>1939</v>
      </c>
    </row>
    <row r="148" spans="1:6" x14ac:dyDescent="0.3">
      <c r="A148" t="s">
        <v>213</v>
      </c>
      <c r="B148" t="s">
        <v>606</v>
      </c>
      <c r="C148" t="s">
        <v>626</v>
      </c>
      <c r="D148">
        <v>533</v>
      </c>
      <c r="E148">
        <v>20</v>
      </c>
      <c r="F148">
        <v>513</v>
      </c>
    </row>
    <row r="149" spans="1:6" x14ac:dyDescent="0.3">
      <c r="A149" t="s">
        <v>213</v>
      </c>
      <c r="B149" t="s">
        <v>606</v>
      </c>
      <c r="C149" t="s">
        <v>627</v>
      </c>
      <c r="D149">
        <v>2141</v>
      </c>
      <c r="E149">
        <v>168</v>
      </c>
      <c r="F149">
        <v>1973</v>
      </c>
    </row>
    <row r="150" spans="1:6" x14ac:dyDescent="0.3">
      <c r="A150" t="s">
        <v>213</v>
      </c>
      <c r="B150" t="s">
        <v>514</v>
      </c>
      <c r="C150" t="s">
        <v>679</v>
      </c>
      <c r="D150">
        <v>49</v>
      </c>
      <c r="E150">
        <v>15</v>
      </c>
      <c r="F150">
        <v>34</v>
      </c>
    </row>
    <row r="151" spans="1:6" x14ac:dyDescent="0.3">
      <c r="A151" t="s">
        <v>213</v>
      </c>
      <c r="B151" t="s">
        <v>514</v>
      </c>
      <c r="C151" t="s">
        <v>683</v>
      </c>
      <c r="D151">
        <v>64</v>
      </c>
      <c r="E151">
        <v>26</v>
      </c>
      <c r="F151">
        <v>38</v>
      </c>
    </row>
    <row r="152" spans="1:6" x14ac:dyDescent="0.3">
      <c r="A152" t="s">
        <v>213</v>
      </c>
      <c r="B152" t="s">
        <v>629</v>
      </c>
      <c r="C152" t="s">
        <v>626</v>
      </c>
      <c r="D152">
        <v>687</v>
      </c>
      <c r="E152">
        <v>27</v>
      </c>
      <c r="F152">
        <v>660</v>
      </c>
    </row>
    <row r="153" spans="1:6" x14ac:dyDescent="0.3">
      <c r="A153" t="s">
        <v>213</v>
      </c>
      <c r="B153" t="s">
        <v>629</v>
      </c>
      <c r="C153" t="s">
        <v>627</v>
      </c>
      <c r="D153">
        <v>2075</v>
      </c>
      <c r="E153">
        <v>132</v>
      </c>
      <c r="F153">
        <v>1943</v>
      </c>
    </row>
    <row r="154" spans="1:6" x14ac:dyDescent="0.3">
      <c r="A154" t="s">
        <v>312</v>
      </c>
      <c r="B154" t="s">
        <v>513</v>
      </c>
      <c r="C154" t="s">
        <v>626</v>
      </c>
      <c r="D154">
        <v>26</v>
      </c>
      <c r="E154">
        <v>21</v>
      </c>
      <c r="F154">
        <v>5</v>
      </c>
    </row>
    <row r="155" spans="1:6" x14ac:dyDescent="0.3">
      <c r="A155" t="s">
        <v>312</v>
      </c>
      <c r="B155" t="s">
        <v>513</v>
      </c>
      <c r="C155" t="s">
        <v>623</v>
      </c>
      <c r="D155">
        <v>4</v>
      </c>
      <c r="E155">
        <v>3</v>
      </c>
      <c r="F155">
        <v>1</v>
      </c>
    </row>
    <row r="156" spans="1:6" x14ac:dyDescent="0.3">
      <c r="A156" t="s">
        <v>312</v>
      </c>
      <c r="B156" t="s">
        <v>606</v>
      </c>
      <c r="C156" t="s">
        <v>627</v>
      </c>
      <c r="D156">
        <v>2155</v>
      </c>
      <c r="E156">
        <v>175</v>
      </c>
      <c r="F156">
        <v>1980</v>
      </c>
    </row>
    <row r="157" spans="1:6" x14ac:dyDescent="0.3">
      <c r="A157" t="s">
        <v>312</v>
      </c>
      <c r="B157" t="s">
        <v>514</v>
      </c>
      <c r="C157" t="s">
        <v>684</v>
      </c>
      <c r="D157">
        <v>182</v>
      </c>
      <c r="E157">
        <v>172</v>
      </c>
      <c r="F157">
        <v>10</v>
      </c>
    </row>
    <row r="158" spans="1:6" x14ac:dyDescent="0.3">
      <c r="A158" t="s">
        <v>318</v>
      </c>
      <c r="B158" t="s">
        <v>628</v>
      </c>
      <c r="C158" t="s">
        <v>625</v>
      </c>
      <c r="D158">
        <v>37</v>
      </c>
      <c r="E158">
        <v>5</v>
      </c>
      <c r="F158">
        <v>32</v>
      </c>
    </row>
    <row r="159" spans="1:6" x14ac:dyDescent="0.3">
      <c r="A159" t="s">
        <v>320</v>
      </c>
      <c r="B159" t="s">
        <v>606</v>
      </c>
      <c r="C159" t="s">
        <v>625</v>
      </c>
      <c r="D159">
        <v>265</v>
      </c>
      <c r="E159">
        <v>15</v>
      </c>
      <c r="F159">
        <v>250</v>
      </c>
    </row>
    <row r="160" spans="1:6" x14ac:dyDescent="0.3">
      <c r="A160" t="s">
        <v>320</v>
      </c>
      <c r="B160" t="s">
        <v>514</v>
      </c>
      <c r="C160" t="s">
        <v>684</v>
      </c>
      <c r="D160">
        <v>193</v>
      </c>
      <c r="E160">
        <v>179</v>
      </c>
      <c r="F160">
        <v>14</v>
      </c>
    </row>
    <row r="161" spans="1:6" x14ac:dyDescent="0.3">
      <c r="A161" t="s">
        <v>320</v>
      </c>
      <c r="B161" t="s">
        <v>514</v>
      </c>
      <c r="C161" t="s">
        <v>678</v>
      </c>
      <c r="D161">
        <v>4</v>
      </c>
      <c r="E161">
        <v>1</v>
      </c>
      <c r="F161">
        <v>3</v>
      </c>
    </row>
    <row r="162" spans="1:6" x14ac:dyDescent="0.3">
      <c r="A162" t="s">
        <v>320</v>
      </c>
      <c r="B162" t="s">
        <v>514</v>
      </c>
      <c r="C162" t="s">
        <v>681</v>
      </c>
      <c r="D162">
        <v>104</v>
      </c>
      <c r="E162">
        <v>76</v>
      </c>
      <c r="F162">
        <v>28</v>
      </c>
    </row>
    <row r="163" spans="1:6" x14ac:dyDescent="0.3">
      <c r="A163" t="s">
        <v>320</v>
      </c>
      <c r="B163" t="s">
        <v>629</v>
      </c>
      <c r="C163" t="s">
        <v>626</v>
      </c>
      <c r="D163">
        <v>660</v>
      </c>
      <c r="E163">
        <v>39</v>
      </c>
      <c r="F163">
        <v>621</v>
      </c>
    </row>
    <row r="164" spans="1:6" x14ac:dyDescent="0.3">
      <c r="A164" t="s">
        <v>325</v>
      </c>
      <c r="B164" t="s">
        <v>513</v>
      </c>
      <c r="C164" t="s">
        <v>622</v>
      </c>
      <c r="D164">
        <v>1</v>
      </c>
      <c r="E164">
        <v>1</v>
      </c>
      <c r="F164">
        <v>0</v>
      </c>
    </row>
    <row r="165" spans="1:6" x14ac:dyDescent="0.3">
      <c r="A165" t="s">
        <v>325</v>
      </c>
      <c r="B165" t="s">
        <v>629</v>
      </c>
      <c r="C165" t="s">
        <v>627</v>
      </c>
      <c r="D165">
        <v>1972</v>
      </c>
      <c r="E165">
        <v>145</v>
      </c>
      <c r="F165">
        <v>1827</v>
      </c>
    </row>
    <row r="166" spans="1:6" x14ac:dyDescent="0.3">
      <c r="A166" t="s">
        <v>325</v>
      </c>
      <c r="B166" t="s">
        <v>629</v>
      </c>
      <c r="C166" t="s">
        <v>625</v>
      </c>
      <c r="D166">
        <v>601</v>
      </c>
      <c r="E166">
        <v>31</v>
      </c>
      <c r="F166">
        <v>570</v>
      </c>
    </row>
    <row r="167" spans="1:6" x14ac:dyDescent="0.3">
      <c r="A167" t="s">
        <v>326</v>
      </c>
      <c r="B167" t="s">
        <v>514</v>
      </c>
      <c r="C167" t="s">
        <v>681</v>
      </c>
      <c r="D167">
        <v>90</v>
      </c>
      <c r="E167">
        <v>49</v>
      </c>
      <c r="F167">
        <v>41</v>
      </c>
    </row>
    <row r="168" spans="1:6" x14ac:dyDescent="0.3">
      <c r="A168" t="s">
        <v>326</v>
      </c>
      <c r="B168" t="s">
        <v>629</v>
      </c>
      <c r="C168" t="s">
        <v>625</v>
      </c>
      <c r="D168">
        <v>607</v>
      </c>
      <c r="E168">
        <v>31</v>
      </c>
      <c r="F168">
        <v>576</v>
      </c>
    </row>
    <row r="169" spans="1:6" x14ac:dyDescent="0.3">
      <c r="A169" t="s">
        <v>328</v>
      </c>
      <c r="B169" t="s">
        <v>606</v>
      </c>
      <c r="C169" t="s">
        <v>627</v>
      </c>
      <c r="D169">
        <v>1943</v>
      </c>
      <c r="E169">
        <v>162</v>
      </c>
      <c r="F169">
        <v>1781</v>
      </c>
    </row>
    <row r="170" spans="1:6" x14ac:dyDescent="0.3">
      <c r="A170" t="s">
        <v>328</v>
      </c>
      <c r="B170" t="s">
        <v>514</v>
      </c>
      <c r="C170" t="s">
        <v>680</v>
      </c>
      <c r="D170">
        <v>35</v>
      </c>
      <c r="E170">
        <v>24</v>
      </c>
      <c r="F170">
        <v>11</v>
      </c>
    </row>
    <row r="171" spans="1:6" x14ac:dyDescent="0.3">
      <c r="A171" t="s">
        <v>328</v>
      </c>
      <c r="B171" t="s">
        <v>629</v>
      </c>
      <c r="C171" t="s">
        <v>626</v>
      </c>
      <c r="D171">
        <v>622</v>
      </c>
      <c r="E171">
        <v>35</v>
      </c>
      <c r="F171">
        <v>587</v>
      </c>
    </row>
    <row r="172" spans="1:6" x14ac:dyDescent="0.3">
      <c r="A172" t="s">
        <v>328</v>
      </c>
      <c r="B172" t="s">
        <v>629</v>
      </c>
      <c r="C172" t="s">
        <v>623</v>
      </c>
      <c r="D172">
        <v>72</v>
      </c>
      <c r="E172">
        <v>9</v>
      </c>
      <c r="F172">
        <v>63</v>
      </c>
    </row>
    <row r="173" spans="1:6" x14ac:dyDescent="0.3">
      <c r="A173" t="s">
        <v>412</v>
      </c>
      <c r="B173" t="s">
        <v>629</v>
      </c>
      <c r="C173" t="s">
        <v>626</v>
      </c>
      <c r="D173">
        <v>641</v>
      </c>
      <c r="E173">
        <v>35</v>
      </c>
      <c r="F173">
        <v>606</v>
      </c>
    </row>
    <row r="174" spans="1:6" x14ac:dyDescent="0.3">
      <c r="A174" t="s">
        <v>412</v>
      </c>
      <c r="B174" t="s">
        <v>629</v>
      </c>
      <c r="C174" t="s">
        <v>627</v>
      </c>
      <c r="D174">
        <v>1899</v>
      </c>
      <c r="E174">
        <v>144</v>
      </c>
      <c r="F174">
        <v>1755</v>
      </c>
    </row>
    <row r="175" spans="1:6" x14ac:dyDescent="0.3">
      <c r="A175" t="s">
        <v>364</v>
      </c>
      <c r="B175" t="s">
        <v>513</v>
      </c>
      <c r="C175" t="s">
        <v>623</v>
      </c>
      <c r="D175">
        <v>5</v>
      </c>
      <c r="E175">
        <v>4</v>
      </c>
      <c r="F175">
        <v>1</v>
      </c>
    </row>
    <row r="176" spans="1:6" x14ac:dyDescent="0.3">
      <c r="A176" t="s">
        <v>365</v>
      </c>
      <c r="B176" t="s">
        <v>514</v>
      </c>
      <c r="C176" t="s">
        <v>682</v>
      </c>
      <c r="D176">
        <v>335</v>
      </c>
      <c r="E176">
        <v>99</v>
      </c>
      <c r="F176">
        <v>236</v>
      </c>
    </row>
    <row r="177" spans="1:6" x14ac:dyDescent="0.3">
      <c r="A177" t="s">
        <v>365</v>
      </c>
      <c r="B177" t="s">
        <v>628</v>
      </c>
      <c r="C177" t="s">
        <v>626</v>
      </c>
      <c r="D177">
        <v>44</v>
      </c>
      <c r="E177">
        <v>4</v>
      </c>
      <c r="F177">
        <v>40</v>
      </c>
    </row>
    <row r="178" spans="1:6" x14ac:dyDescent="0.3">
      <c r="A178" t="s">
        <v>366</v>
      </c>
      <c r="B178" t="s">
        <v>514</v>
      </c>
      <c r="C178" t="s">
        <v>682</v>
      </c>
      <c r="D178">
        <v>316</v>
      </c>
      <c r="E178">
        <v>101</v>
      </c>
      <c r="F178">
        <v>215</v>
      </c>
    </row>
    <row r="179" spans="1:6" x14ac:dyDescent="0.3">
      <c r="A179" t="s">
        <v>366</v>
      </c>
      <c r="B179" t="s">
        <v>514</v>
      </c>
      <c r="C179" t="s">
        <v>683</v>
      </c>
      <c r="D179">
        <v>167</v>
      </c>
      <c r="E179">
        <v>94</v>
      </c>
      <c r="F179">
        <v>73</v>
      </c>
    </row>
    <row r="180" spans="1:6" x14ac:dyDescent="0.3">
      <c r="A180" t="s">
        <v>366</v>
      </c>
      <c r="B180" t="s">
        <v>629</v>
      </c>
      <c r="C180" t="s">
        <v>622</v>
      </c>
      <c r="D180">
        <v>35</v>
      </c>
      <c r="E180">
        <v>0</v>
      </c>
      <c r="F180">
        <v>35</v>
      </c>
    </row>
    <row r="181" spans="1:6" x14ac:dyDescent="0.3">
      <c r="A181" t="s">
        <v>341</v>
      </c>
      <c r="B181" t="s">
        <v>514</v>
      </c>
      <c r="C181" t="s">
        <v>684</v>
      </c>
      <c r="D181">
        <v>170</v>
      </c>
      <c r="E181">
        <v>159</v>
      </c>
      <c r="F181">
        <v>11</v>
      </c>
    </row>
    <row r="182" spans="1:6" x14ac:dyDescent="0.3">
      <c r="A182" t="s">
        <v>341</v>
      </c>
      <c r="B182" t="s">
        <v>514</v>
      </c>
      <c r="C182" t="s">
        <v>682</v>
      </c>
      <c r="D182">
        <v>346</v>
      </c>
      <c r="E182">
        <v>113</v>
      </c>
      <c r="F182">
        <v>233</v>
      </c>
    </row>
    <row r="183" spans="1:6" x14ac:dyDescent="0.3">
      <c r="A183" t="s">
        <v>342</v>
      </c>
      <c r="B183" t="s">
        <v>606</v>
      </c>
      <c r="C183" t="s">
        <v>626</v>
      </c>
      <c r="D183">
        <v>525</v>
      </c>
      <c r="E183">
        <v>19</v>
      </c>
      <c r="F183">
        <v>506</v>
      </c>
    </row>
    <row r="184" spans="1:6" x14ac:dyDescent="0.3">
      <c r="A184" t="s">
        <v>342</v>
      </c>
      <c r="B184" t="s">
        <v>629</v>
      </c>
      <c r="C184" t="s">
        <v>627</v>
      </c>
      <c r="D184">
        <v>1989</v>
      </c>
      <c r="E184">
        <v>114</v>
      </c>
      <c r="F184">
        <v>1875</v>
      </c>
    </row>
    <row r="185" spans="1:6" x14ac:dyDescent="0.3">
      <c r="A185" t="s">
        <v>312</v>
      </c>
      <c r="B185" t="s">
        <v>513</v>
      </c>
      <c r="C185" t="s">
        <v>627</v>
      </c>
      <c r="D185">
        <v>104</v>
      </c>
      <c r="E185">
        <v>86</v>
      </c>
      <c r="F185">
        <v>18</v>
      </c>
    </row>
    <row r="186" spans="1:6" x14ac:dyDescent="0.3">
      <c r="A186" t="s">
        <v>312</v>
      </c>
      <c r="B186" t="s">
        <v>512</v>
      </c>
      <c r="C186" t="s">
        <v>625</v>
      </c>
      <c r="D186">
        <v>36</v>
      </c>
      <c r="E186">
        <v>7</v>
      </c>
      <c r="F186">
        <v>29</v>
      </c>
    </row>
    <row r="187" spans="1:6" x14ac:dyDescent="0.3">
      <c r="A187" t="s">
        <v>312</v>
      </c>
      <c r="B187" t="s">
        <v>514</v>
      </c>
      <c r="C187" t="s">
        <v>678</v>
      </c>
      <c r="D187">
        <v>3</v>
      </c>
      <c r="E187">
        <v>2</v>
      </c>
      <c r="F187">
        <v>1</v>
      </c>
    </row>
    <row r="188" spans="1:6" x14ac:dyDescent="0.3">
      <c r="A188" t="s">
        <v>318</v>
      </c>
      <c r="B188" t="s">
        <v>606</v>
      </c>
      <c r="C188" t="s">
        <v>626</v>
      </c>
      <c r="D188">
        <v>522</v>
      </c>
      <c r="E188">
        <v>16</v>
      </c>
      <c r="F188">
        <v>506</v>
      </c>
    </row>
    <row r="189" spans="1:6" x14ac:dyDescent="0.3">
      <c r="A189" t="s">
        <v>318</v>
      </c>
      <c r="B189" t="s">
        <v>628</v>
      </c>
      <c r="C189" t="s">
        <v>626</v>
      </c>
      <c r="D189">
        <v>43</v>
      </c>
      <c r="E189">
        <v>3</v>
      </c>
      <c r="F189">
        <v>40</v>
      </c>
    </row>
    <row r="190" spans="1:6" x14ac:dyDescent="0.3">
      <c r="A190" t="s">
        <v>318</v>
      </c>
      <c r="B190" t="s">
        <v>629</v>
      </c>
      <c r="C190" t="s">
        <v>622</v>
      </c>
      <c r="D190">
        <v>35</v>
      </c>
      <c r="E190">
        <v>0</v>
      </c>
      <c r="F190">
        <v>35</v>
      </c>
    </row>
    <row r="191" spans="1:6" x14ac:dyDescent="0.3">
      <c r="A191" t="s">
        <v>318</v>
      </c>
      <c r="B191" t="s">
        <v>629</v>
      </c>
      <c r="C191" t="s">
        <v>621</v>
      </c>
      <c r="D191">
        <v>5</v>
      </c>
      <c r="E191">
        <v>0</v>
      </c>
      <c r="F191">
        <v>5</v>
      </c>
    </row>
    <row r="192" spans="1:6" x14ac:dyDescent="0.3">
      <c r="A192" t="s">
        <v>320</v>
      </c>
      <c r="B192" t="s">
        <v>629</v>
      </c>
      <c r="C192" t="s">
        <v>623</v>
      </c>
      <c r="D192">
        <v>76</v>
      </c>
      <c r="E192">
        <v>2</v>
      </c>
      <c r="F192">
        <v>74</v>
      </c>
    </row>
    <row r="193" spans="1:6" x14ac:dyDescent="0.3">
      <c r="A193" t="s">
        <v>325</v>
      </c>
      <c r="B193" t="s">
        <v>513</v>
      </c>
      <c r="C193" t="s">
        <v>624</v>
      </c>
      <c r="D193">
        <v>10</v>
      </c>
      <c r="E193">
        <v>9</v>
      </c>
      <c r="F193">
        <v>1</v>
      </c>
    </row>
    <row r="194" spans="1:6" x14ac:dyDescent="0.3">
      <c r="A194" t="s">
        <v>325</v>
      </c>
      <c r="B194" t="s">
        <v>606</v>
      </c>
      <c r="C194" t="s">
        <v>627</v>
      </c>
      <c r="D194">
        <v>1952</v>
      </c>
      <c r="E194">
        <v>147</v>
      </c>
      <c r="F194">
        <v>1805</v>
      </c>
    </row>
    <row r="195" spans="1:6" x14ac:dyDescent="0.3">
      <c r="A195" t="s">
        <v>325</v>
      </c>
      <c r="B195" t="s">
        <v>606</v>
      </c>
      <c r="C195" t="s">
        <v>625</v>
      </c>
      <c r="D195">
        <v>262</v>
      </c>
      <c r="E195">
        <v>16</v>
      </c>
      <c r="F195">
        <v>246</v>
      </c>
    </row>
    <row r="196" spans="1:6" x14ac:dyDescent="0.3">
      <c r="A196" t="s">
        <v>325</v>
      </c>
      <c r="B196" t="s">
        <v>512</v>
      </c>
      <c r="C196" t="s">
        <v>626</v>
      </c>
      <c r="D196">
        <v>1</v>
      </c>
      <c r="E196">
        <v>0</v>
      </c>
      <c r="F196">
        <v>1</v>
      </c>
    </row>
    <row r="197" spans="1:6" x14ac:dyDescent="0.3">
      <c r="A197" t="s">
        <v>325</v>
      </c>
      <c r="B197" t="s">
        <v>628</v>
      </c>
      <c r="C197" t="s">
        <v>626</v>
      </c>
      <c r="D197">
        <v>40</v>
      </c>
      <c r="E197">
        <v>3</v>
      </c>
      <c r="F197">
        <v>37</v>
      </c>
    </row>
    <row r="198" spans="1:6" x14ac:dyDescent="0.3">
      <c r="A198" t="s">
        <v>325</v>
      </c>
      <c r="B198" t="s">
        <v>629</v>
      </c>
      <c r="C198" t="s">
        <v>626</v>
      </c>
      <c r="D198">
        <v>655</v>
      </c>
      <c r="E198">
        <v>39</v>
      </c>
      <c r="F198">
        <v>616</v>
      </c>
    </row>
    <row r="199" spans="1:6" x14ac:dyDescent="0.3">
      <c r="A199" t="s">
        <v>325</v>
      </c>
      <c r="B199" t="s">
        <v>629</v>
      </c>
      <c r="C199" t="s">
        <v>623</v>
      </c>
      <c r="D199">
        <v>78</v>
      </c>
      <c r="E199">
        <v>2</v>
      </c>
      <c r="F199">
        <v>76</v>
      </c>
    </row>
    <row r="200" spans="1:6" x14ac:dyDescent="0.3">
      <c r="A200" t="s">
        <v>325</v>
      </c>
      <c r="B200" t="s">
        <v>629</v>
      </c>
      <c r="C200" t="s">
        <v>624</v>
      </c>
      <c r="D200">
        <v>148</v>
      </c>
      <c r="E200">
        <v>9</v>
      </c>
      <c r="F200">
        <v>139</v>
      </c>
    </row>
    <row r="201" spans="1:6" x14ac:dyDescent="0.3">
      <c r="A201" t="s">
        <v>326</v>
      </c>
      <c r="B201" t="s">
        <v>513</v>
      </c>
      <c r="C201" t="s">
        <v>627</v>
      </c>
      <c r="D201">
        <v>91</v>
      </c>
      <c r="E201">
        <v>73</v>
      </c>
      <c r="F201">
        <v>18</v>
      </c>
    </row>
    <row r="202" spans="1:6" x14ac:dyDescent="0.3">
      <c r="A202" t="s">
        <v>326</v>
      </c>
      <c r="B202" t="s">
        <v>606</v>
      </c>
      <c r="C202" t="s">
        <v>625</v>
      </c>
      <c r="D202">
        <v>251</v>
      </c>
      <c r="E202">
        <v>12</v>
      </c>
      <c r="F202">
        <v>239</v>
      </c>
    </row>
    <row r="203" spans="1:6" x14ac:dyDescent="0.3">
      <c r="A203" t="s">
        <v>326</v>
      </c>
      <c r="B203" t="s">
        <v>514</v>
      </c>
      <c r="C203" t="s">
        <v>682</v>
      </c>
      <c r="D203">
        <v>470</v>
      </c>
      <c r="E203">
        <v>218</v>
      </c>
      <c r="F203">
        <v>252</v>
      </c>
    </row>
    <row r="204" spans="1:6" x14ac:dyDescent="0.3">
      <c r="A204" t="s">
        <v>326</v>
      </c>
      <c r="B204" t="s">
        <v>514</v>
      </c>
      <c r="C204" t="s">
        <v>683</v>
      </c>
      <c r="D204">
        <v>60</v>
      </c>
      <c r="E204">
        <v>19</v>
      </c>
      <c r="F204">
        <v>41</v>
      </c>
    </row>
    <row r="205" spans="1:6" x14ac:dyDescent="0.3">
      <c r="A205" t="s">
        <v>326</v>
      </c>
      <c r="B205" t="s">
        <v>628</v>
      </c>
      <c r="C205" t="s">
        <v>627</v>
      </c>
      <c r="D205">
        <v>193</v>
      </c>
      <c r="E205">
        <v>31</v>
      </c>
      <c r="F205">
        <v>162</v>
      </c>
    </row>
    <row r="206" spans="1:6" x14ac:dyDescent="0.3">
      <c r="A206" t="s">
        <v>326</v>
      </c>
      <c r="B206" t="s">
        <v>628</v>
      </c>
      <c r="C206" t="s">
        <v>625</v>
      </c>
      <c r="D206">
        <v>35</v>
      </c>
      <c r="E206">
        <v>5</v>
      </c>
      <c r="F206">
        <v>30</v>
      </c>
    </row>
    <row r="207" spans="1:6" x14ac:dyDescent="0.3">
      <c r="A207" t="s">
        <v>326</v>
      </c>
      <c r="B207" t="s">
        <v>629</v>
      </c>
      <c r="C207" t="s">
        <v>621</v>
      </c>
      <c r="D207">
        <v>5</v>
      </c>
      <c r="E207">
        <v>0</v>
      </c>
      <c r="F207">
        <v>5</v>
      </c>
    </row>
    <row r="208" spans="1:6" x14ac:dyDescent="0.3">
      <c r="A208" t="s">
        <v>328</v>
      </c>
      <c r="B208" t="s">
        <v>606</v>
      </c>
      <c r="C208" t="s">
        <v>626</v>
      </c>
      <c r="D208">
        <v>514</v>
      </c>
      <c r="E208">
        <v>30</v>
      </c>
      <c r="F208">
        <v>484</v>
      </c>
    </row>
    <row r="209" spans="1:6" x14ac:dyDescent="0.3">
      <c r="A209" t="s">
        <v>328</v>
      </c>
      <c r="B209" t="s">
        <v>629</v>
      </c>
      <c r="C209" t="s">
        <v>621</v>
      </c>
      <c r="D209">
        <v>5</v>
      </c>
      <c r="E209">
        <v>0</v>
      </c>
      <c r="F209">
        <v>5</v>
      </c>
    </row>
    <row r="210" spans="1:6" x14ac:dyDescent="0.3">
      <c r="A210" t="s">
        <v>412</v>
      </c>
      <c r="B210" t="s">
        <v>513</v>
      </c>
      <c r="C210" t="s">
        <v>627</v>
      </c>
      <c r="D210">
        <v>100</v>
      </c>
      <c r="E210">
        <v>72</v>
      </c>
      <c r="F210">
        <v>28</v>
      </c>
    </row>
    <row r="211" spans="1:6" x14ac:dyDescent="0.3">
      <c r="A211" t="s">
        <v>412</v>
      </c>
      <c r="B211" t="s">
        <v>514</v>
      </c>
      <c r="C211" t="s">
        <v>680</v>
      </c>
      <c r="D211">
        <v>45</v>
      </c>
      <c r="E211">
        <v>30</v>
      </c>
      <c r="F211">
        <v>15</v>
      </c>
    </row>
    <row r="212" spans="1:6" x14ac:dyDescent="0.3">
      <c r="A212" t="s">
        <v>412</v>
      </c>
      <c r="B212" t="s">
        <v>514</v>
      </c>
      <c r="C212" t="s">
        <v>683</v>
      </c>
      <c r="D212">
        <v>63</v>
      </c>
      <c r="E212">
        <v>18</v>
      </c>
      <c r="F212">
        <v>45</v>
      </c>
    </row>
    <row r="213" spans="1:6" x14ac:dyDescent="0.3">
      <c r="A213" t="s">
        <v>412</v>
      </c>
      <c r="B213" t="s">
        <v>628</v>
      </c>
      <c r="C213" t="s">
        <v>625</v>
      </c>
      <c r="D213">
        <v>35</v>
      </c>
      <c r="E213">
        <v>6</v>
      </c>
      <c r="F213">
        <v>29</v>
      </c>
    </row>
    <row r="214" spans="1:6" x14ac:dyDescent="0.3">
      <c r="A214" t="s">
        <v>364</v>
      </c>
      <c r="B214" t="s">
        <v>628</v>
      </c>
      <c r="C214" t="s">
        <v>626</v>
      </c>
      <c r="D214">
        <v>73</v>
      </c>
      <c r="E214">
        <v>8</v>
      </c>
      <c r="F214">
        <v>65</v>
      </c>
    </row>
    <row r="215" spans="1:6" x14ac:dyDescent="0.3">
      <c r="A215" t="s">
        <v>364</v>
      </c>
      <c r="B215" t="s">
        <v>629</v>
      </c>
      <c r="C215" t="s">
        <v>623</v>
      </c>
      <c r="D215">
        <v>115</v>
      </c>
      <c r="E215">
        <v>3</v>
      </c>
      <c r="F215">
        <v>112</v>
      </c>
    </row>
    <row r="216" spans="1:6" x14ac:dyDescent="0.3">
      <c r="A216" t="s">
        <v>364</v>
      </c>
      <c r="B216" t="s">
        <v>629</v>
      </c>
      <c r="C216" t="s">
        <v>625</v>
      </c>
      <c r="D216">
        <v>679</v>
      </c>
      <c r="E216">
        <v>22</v>
      </c>
      <c r="F216">
        <v>657</v>
      </c>
    </row>
    <row r="217" spans="1:6" x14ac:dyDescent="0.3">
      <c r="A217" t="s">
        <v>365</v>
      </c>
      <c r="B217" t="s">
        <v>513</v>
      </c>
      <c r="C217" t="s">
        <v>627</v>
      </c>
      <c r="D217">
        <v>110</v>
      </c>
      <c r="E217">
        <v>89</v>
      </c>
      <c r="F217">
        <v>21</v>
      </c>
    </row>
    <row r="218" spans="1:6" x14ac:dyDescent="0.3">
      <c r="A218" t="s">
        <v>365</v>
      </c>
      <c r="B218" t="s">
        <v>514</v>
      </c>
      <c r="C218" t="s">
        <v>684</v>
      </c>
      <c r="D218">
        <v>195</v>
      </c>
      <c r="E218">
        <v>176</v>
      </c>
      <c r="F218">
        <v>19</v>
      </c>
    </row>
    <row r="219" spans="1:6" x14ac:dyDescent="0.3">
      <c r="A219" t="s">
        <v>365</v>
      </c>
      <c r="B219" t="s">
        <v>514</v>
      </c>
      <c r="C219" t="s">
        <v>678</v>
      </c>
      <c r="D219">
        <v>2</v>
      </c>
      <c r="E219">
        <v>2</v>
      </c>
      <c r="F219">
        <v>0</v>
      </c>
    </row>
    <row r="220" spans="1:6" x14ac:dyDescent="0.3">
      <c r="A220" t="s">
        <v>365</v>
      </c>
      <c r="B220" t="s">
        <v>514</v>
      </c>
      <c r="C220" t="s">
        <v>681</v>
      </c>
      <c r="D220">
        <v>59</v>
      </c>
      <c r="E220">
        <v>40</v>
      </c>
      <c r="F220">
        <v>19</v>
      </c>
    </row>
    <row r="221" spans="1:6" x14ac:dyDescent="0.3">
      <c r="A221" t="s">
        <v>365</v>
      </c>
      <c r="B221" t="s">
        <v>514</v>
      </c>
      <c r="C221" t="s">
        <v>679</v>
      </c>
      <c r="D221">
        <v>44</v>
      </c>
      <c r="E221">
        <v>21</v>
      </c>
      <c r="F221">
        <v>23</v>
      </c>
    </row>
    <row r="222" spans="1:6" x14ac:dyDescent="0.3">
      <c r="A222" t="s">
        <v>365</v>
      </c>
      <c r="B222" t="s">
        <v>629</v>
      </c>
      <c r="C222" t="s">
        <v>621</v>
      </c>
      <c r="D222">
        <v>7</v>
      </c>
      <c r="E222">
        <v>0</v>
      </c>
      <c r="F222">
        <v>7</v>
      </c>
    </row>
    <row r="223" spans="1:6" x14ac:dyDescent="0.3">
      <c r="A223" t="s">
        <v>365</v>
      </c>
      <c r="B223" t="s">
        <v>629</v>
      </c>
      <c r="C223" t="s">
        <v>627</v>
      </c>
      <c r="D223">
        <v>2285</v>
      </c>
      <c r="E223">
        <v>109</v>
      </c>
      <c r="F223">
        <v>2176</v>
      </c>
    </row>
    <row r="224" spans="1:6" x14ac:dyDescent="0.3">
      <c r="A224" t="s">
        <v>365</v>
      </c>
      <c r="B224" t="s">
        <v>629</v>
      </c>
      <c r="C224" t="s">
        <v>624</v>
      </c>
      <c r="D224">
        <v>130</v>
      </c>
      <c r="E224">
        <v>1</v>
      </c>
      <c r="F224">
        <v>129</v>
      </c>
    </row>
    <row r="225" spans="1:6" x14ac:dyDescent="0.3">
      <c r="A225" t="s">
        <v>366</v>
      </c>
      <c r="B225" t="s">
        <v>606</v>
      </c>
      <c r="C225" t="s">
        <v>626</v>
      </c>
      <c r="D225">
        <v>543</v>
      </c>
      <c r="E225">
        <v>17</v>
      </c>
      <c r="F225">
        <v>526</v>
      </c>
    </row>
    <row r="226" spans="1:6" x14ac:dyDescent="0.3">
      <c r="A226" t="s">
        <v>366</v>
      </c>
      <c r="B226" t="s">
        <v>514</v>
      </c>
      <c r="C226" t="s">
        <v>679</v>
      </c>
      <c r="D226">
        <v>40</v>
      </c>
      <c r="E226">
        <v>15</v>
      </c>
      <c r="F226">
        <v>25</v>
      </c>
    </row>
    <row r="227" spans="1:6" x14ac:dyDescent="0.3">
      <c r="A227" t="s">
        <v>366</v>
      </c>
      <c r="B227" t="s">
        <v>629</v>
      </c>
      <c r="C227" t="s">
        <v>621</v>
      </c>
      <c r="D227">
        <v>4</v>
      </c>
      <c r="E227">
        <v>0</v>
      </c>
      <c r="F227">
        <v>4</v>
      </c>
    </row>
    <row r="228" spans="1:6" x14ac:dyDescent="0.3">
      <c r="A228" t="s">
        <v>366</v>
      </c>
      <c r="B228" t="s">
        <v>629</v>
      </c>
      <c r="C228" t="s">
        <v>626</v>
      </c>
      <c r="D228">
        <v>600</v>
      </c>
      <c r="E228">
        <v>27</v>
      </c>
      <c r="F228">
        <v>573</v>
      </c>
    </row>
    <row r="229" spans="1:6" x14ac:dyDescent="0.3">
      <c r="A229" t="s">
        <v>341</v>
      </c>
      <c r="B229" t="s">
        <v>513</v>
      </c>
      <c r="C229" t="s">
        <v>623</v>
      </c>
      <c r="D229">
        <v>5</v>
      </c>
      <c r="E229">
        <v>4</v>
      </c>
      <c r="F229">
        <v>1</v>
      </c>
    </row>
    <row r="230" spans="1:6" x14ac:dyDescent="0.3">
      <c r="A230" t="s">
        <v>341</v>
      </c>
      <c r="B230" t="s">
        <v>606</v>
      </c>
      <c r="C230" t="s">
        <v>625</v>
      </c>
      <c r="D230">
        <v>260</v>
      </c>
      <c r="E230">
        <v>16</v>
      </c>
      <c r="F230">
        <v>244</v>
      </c>
    </row>
    <row r="231" spans="1:6" x14ac:dyDescent="0.3">
      <c r="A231" t="s">
        <v>342</v>
      </c>
      <c r="B231" t="s">
        <v>514</v>
      </c>
      <c r="C231" t="s">
        <v>680</v>
      </c>
      <c r="D231">
        <v>32</v>
      </c>
      <c r="E231">
        <v>19</v>
      </c>
      <c r="F231">
        <v>13</v>
      </c>
    </row>
    <row r="232" spans="1:6" x14ac:dyDescent="0.3">
      <c r="A232" t="s">
        <v>342</v>
      </c>
      <c r="B232" t="s">
        <v>629</v>
      </c>
      <c r="C232" t="s">
        <v>626</v>
      </c>
      <c r="D232">
        <v>689</v>
      </c>
      <c r="E232">
        <v>26</v>
      </c>
      <c r="F232">
        <v>663</v>
      </c>
    </row>
    <row r="233" spans="1:6" x14ac:dyDescent="0.3">
      <c r="A233" t="s">
        <v>342</v>
      </c>
      <c r="B233" t="s">
        <v>629</v>
      </c>
      <c r="C233" t="s">
        <v>624</v>
      </c>
      <c r="D233">
        <v>153</v>
      </c>
      <c r="E233">
        <v>2</v>
      </c>
      <c r="F233">
        <v>151</v>
      </c>
    </row>
    <row r="234" spans="1:6" x14ac:dyDescent="0.3">
      <c r="A234" t="s">
        <v>342</v>
      </c>
      <c r="B234" t="s">
        <v>629</v>
      </c>
      <c r="C234" t="s">
        <v>625</v>
      </c>
      <c r="D234">
        <v>603</v>
      </c>
      <c r="E234">
        <v>31</v>
      </c>
      <c r="F234">
        <v>572</v>
      </c>
    </row>
    <row r="235" spans="1:6" x14ac:dyDescent="0.3">
      <c r="A235" t="s">
        <v>213</v>
      </c>
      <c r="B235" t="s">
        <v>513</v>
      </c>
      <c r="C235" t="s">
        <v>627</v>
      </c>
      <c r="D235">
        <v>124</v>
      </c>
      <c r="E235">
        <v>103</v>
      </c>
      <c r="F235">
        <v>21</v>
      </c>
    </row>
    <row r="236" spans="1:6" x14ac:dyDescent="0.3">
      <c r="A236" t="s">
        <v>213</v>
      </c>
      <c r="B236" t="s">
        <v>513</v>
      </c>
      <c r="C236" t="s">
        <v>624</v>
      </c>
      <c r="D236">
        <v>9</v>
      </c>
      <c r="E236">
        <v>8</v>
      </c>
      <c r="F236">
        <v>1</v>
      </c>
    </row>
    <row r="237" spans="1:6" x14ac:dyDescent="0.3">
      <c r="A237" t="s">
        <v>213</v>
      </c>
      <c r="B237" t="s">
        <v>512</v>
      </c>
      <c r="C237" t="s">
        <v>749</v>
      </c>
      <c r="D237">
        <v>18</v>
      </c>
      <c r="E237">
        <v>1</v>
      </c>
      <c r="F237">
        <v>17</v>
      </c>
    </row>
    <row r="238" spans="1:6" x14ac:dyDescent="0.3">
      <c r="A238" t="s">
        <v>213</v>
      </c>
      <c r="B238" t="s">
        <v>628</v>
      </c>
      <c r="C238" t="s">
        <v>626</v>
      </c>
      <c r="D238">
        <v>40</v>
      </c>
      <c r="E238">
        <v>3</v>
      </c>
      <c r="F238">
        <v>37</v>
      </c>
    </row>
    <row r="239" spans="1:6" x14ac:dyDescent="0.3">
      <c r="A239" t="s">
        <v>213</v>
      </c>
      <c r="B239" t="s">
        <v>629</v>
      </c>
      <c r="C239" t="s">
        <v>621</v>
      </c>
      <c r="D239">
        <v>4</v>
      </c>
      <c r="E239">
        <v>0</v>
      </c>
      <c r="F239">
        <v>4</v>
      </c>
    </row>
    <row r="240" spans="1:6" x14ac:dyDescent="0.3">
      <c r="A240" t="s">
        <v>312</v>
      </c>
      <c r="B240" t="s">
        <v>514</v>
      </c>
      <c r="C240" t="s">
        <v>682</v>
      </c>
      <c r="D240">
        <v>400</v>
      </c>
      <c r="E240">
        <v>152</v>
      </c>
      <c r="F240">
        <v>248</v>
      </c>
    </row>
    <row r="241" spans="1:6" x14ac:dyDescent="0.3">
      <c r="A241" t="s">
        <v>312</v>
      </c>
      <c r="B241" t="s">
        <v>629</v>
      </c>
      <c r="C241" t="s">
        <v>622</v>
      </c>
      <c r="D241">
        <v>31</v>
      </c>
      <c r="E241">
        <v>0</v>
      </c>
      <c r="F241">
        <v>31</v>
      </c>
    </row>
    <row r="242" spans="1:6" x14ac:dyDescent="0.3">
      <c r="A242" t="s">
        <v>312</v>
      </c>
      <c r="B242" t="s">
        <v>629</v>
      </c>
      <c r="C242" t="s">
        <v>626</v>
      </c>
      <c r="D242">
        <v>688</v>
      </c>
      <c r="E242">
        <v>31</v>
      </c>
      <c r="F242">
        <v>657</v>
      </c>
    </row>
    <row r="243" spans="1:6" x14ac:dyDescent="0.3">
      <c r="A243" t="s">
        <v>318</v>
      </c>
      <c r="B243" t="s">
        <v>513</v>
      </c>
      <c r="C243" t="s">
        <v>627</v>
      </c>
      <c r="D243">
        <v>95</v>
      </c>
      <c r="E243">
        <v>79</v>
      </c>
      <c r="F243">
        <v>16</v>
      </c>
    </row>
    <row r="244" spans="1:6" x14ac:dyDescent="0.3">
      <c r="A244" t="s">
        <v>318</v>
      </c>
      <c r="B244" t="s">
        <v>606</v>
      </c>
      <c r="C244" t="s">
        <v>625</v>
      </c>
      <c r="D244">
        <v>267</v>
      </c>
      <c r="E244">
        <v>14</v>
      </c>
      <c r="F244">
        <v>253</v>
      </c>
    </row>
    <row r="245" spans="1:6" x14ac:dyDescent="0.3">
      <c r="A245" t="s">
        <v>318</v>
      </c>
      <c r="B245" t="s">
        <v>514</v>
      </c>
      <c r="C245" t="s">
        <v>684</v>
      </c>
      <c r="D245">
        <v>187</v>
      </c>
      <c r="E245">
        <v>178</v>
      </c>
      <c r="F245">
        <v>9</v>
      </c>
    </row>
    <row r="246" spans="1:6" x14ac:dyDescent="0.3">
      <c r="A246" t="s">
        <v>318</v>
      </c>
      <c r="B246" t="s">
        <v>514</v>
      </c>
      <c r="C246" t="s">
        <v>678</v>
      </c>
      <c r="D246">
        <v>3</v>
      </c>
      <c r="E246">
        <v>2</v>
      </c>
      <c r="F246">
        <v>1</v>
      </c>
    </row>
    <row r="247" spans="1:6" x14ac:dyDescent="0.3">
      <c r="A247" t="s">
        <v>318</v>
      </c>
      <c r="B247" t="s">
        <v>514</v>
      </c>
      <c r="C247" t="s">
        <v>682</v>
      </c>
      <c r="D247">
        <v>413</v>
      </c>
      <c r="E247">
        <v>161</v>
      </c>
      <c r="F247">
        <v>252</v>
      </c>
    </row>
    <row r="248" spans="1:6" x14ac:dyDescent="0.3">
      <c r="A248" t="s">
        <v>318</v>
      </c>
      <c r="B248" t="s">
        <v>628</v>
      </c>
      <c r="C248" t="s">
        <v>627</v>
      </c>
      <c r="D248">
        <v>223</v>
      </c>
      <c r="E248">
        <v>44</v>
      </c>
      <c r="F248">
        <v>179</v>
      </c>
    </row>
    <row r="249" spans="1:6" x14ac:dyDescent="0.3">
      <c r="A249" t="s">
        <v>318</v>
      </c>
      <c r="B249" t="s">
        <v>629</v>
      </c>
      <c r="C249" t="s">
        <v>623</v>
      </c>
      <c r="D249">
        <v>79</v>
      </c>
      <c r="E249">
        <v>2</v>
      </c>
      <c r="F249">
        <v>77</v>
      </c>
    </row>
    <row r="250" spans="1:6" x14ac:dyDescent="0.3">
      <c r="A250" t="s">
        <v>320</v>
      </c>
      <c r="B250" t="s">
        <v>513</v>
      </c>
      <c r="C250" t="s">
        <v>622</v>
      </c>
      <c r="D250">
        <v>1</v>
      </c>
      <c r="E250">
        <v>1</v>
      </c>
      <c r="F250">
        <v>0</v>
      </c>
    </row>
    <row r="251" spans="1:6" x14ac:dyDescent="0.3">
      <c r="A251" t="s">
        <v>320</v>
      </c>
      <c r="B251" t="s">
        <v>606</v>
      </c>
      <c r="C251" t="s">
        <v>626</v>
      </c>
      <c r="D251">
        <v>526</v>
      </c>
      <c r="E251">
        <v>18</v>
      </c>
      <c r="F251">
        <v>508</v>
      </c>
    </row>
    <row r="252" spans="1:6" x14ac:dyDescent="0.3">
      <c r="A252" t="s">
        <v>320</v>
      </c>
      <c r="B252" t="s">
        <v>514</v>
      </c>
      <c r="C252" t="s">
        <v>679</v>
      </c>
      <c r="D252">
        <v>57</v>
      </c>
      <c r="E252">
        <v>25</v>
      </c>
      <c r="F252">
        <v>32</v>
      </c>
    </row>
    <row r="253" spans="1:6" x14ac:dyDescent="0.3">
      <c r="A253" t="s">
        <v>320</v>
      </c>
      <c r="B253" t="s">
        <v>514</v>
      </c>
      <c r="C253" t="s">
        <v>680</v>
      </c>
      <c r="D253">
        <v>33</v>
      </c>
      <c r="E253">
        <v>20</v>
      </c>
      <c r="F253">
        <v>13</v>
      </c>
    </row>
    <row r="254" spans="1:6" x14ac:dyDescent="0.3">
      <c r="A254" t="s">
        <v>320</v>
      </c>
      <c r="B254" t="s">
        <v>628</v>
      </c>
      <c r="C254" t="s">
        <v>625</v>
      </c>
      <c r="D254">
        <v>36</v>
      </c>
      <c r="E254">
        <v>6</v>
      </c>
      <c r="F254">
        <v>30</v>
      </c>
    </row>
    <row r="255" spans="1:6" x14ac:dyDescent="0.3">
      <c r="A255" t="s">
        <v>325</v>
      </c>
      <c r="B255" t="s">
        <v>514</v>
      </c>
      <c r="C255" t="s">
        <v>683</v>
      </c>
      <c r="D255">
        <v>58</v>
      </c>
      <c r="E255">
        <v>18</v>
      </c>
      <c r="F255">
        <v>40</v>
      </c>
    </row>
    <row r="256" spans="1:6" x14ac:dyDescent="0.3">
      <c r="A256" t="s">
        <v>326</v>
      </c>
      <c r="B256" t="s">
        <v>513</v>
      </c>
      <c r="C256" t="s">
        <v>625</v>
      </c>
      <c r="D256">
        <v>40</v>
      </c>
      <c r="E256">
        <v>35</v>
      </c>
      <c r="F256">
        <v>5</v>
      </c>
    </row>
    <row r="257" spans="1:6" x14ac:dyDescent="0.3">
      <c r="A257" t="s">
        <v>326</v>
      </c>
      <c r="B257" t="s">
        <v>512</v>
      </c>
      <c r="C257" t="s">
        <v>625</v>
      </c>
      <c r="D257">
        <v>53</v>
      </c>
      <c r="E257">
        <v>8</v>
      </c>
      <c r="F257">
        <v>45</v>
      </c>
    </row>
    <row r="258" spans="1:6" x14ac:dyDescent="0.3">
      <c r="A258" t="s">
        <v>326</v>
      </c>
      <c r="B258" t="s">
        <v>514</v>
      </c>
      <c r="C258" t="s">
        <v>678</v>
      </c>
      <c r="D258">
        <v>3</v>
      </c>
      <c r="E258">
        <v>2</v>
      </c>
      <c r="F258">
        <v>1</v>
      </c>
    </row>
    <row r="259" spans="1:6" x14ac:dyDescent="0.3">
      <c r="A259" t="s">
        <v>326</v>
      </c>
      <c r="B259" t="s">
        <v>628</v>
      </c>
      <c r="C259" t="s">
        <v>626</v>
      </c>
      <c r="D259">
        <v>41</v>
      </c>
      <c r="E259">
        <v>6</v>
      </c>
      <c r="F259">
        <v>35</v>
      </c>
    </row>
    <row r="260" spans="1:6" x14ac:dyDescent="0.3">
      <c r="A260" t="s">
        <v>328</v>
      </c>
      <c r="B260" t="s">
        <v>514</v>
      </c>
      <c r="C260" t="s">
        <v>681</v>
      </c>
      <c r="D260">
        <v>94</v>
      </c>
      <c r="E260">
        <v>48</v>
      </c>
      <c r="F260">
        <v>46</v>
      </c>
    </row>
    <row r="261" spans="1:6" x14ac:dyDescent="0.3">
      <c r="A261" t="s">
        <v>328</v>
      </c>
      <c r="B261" t="s">
        <v>514</v>
      </c>
      <c r="C261" t="s">
        <v>682</v>
      </c>
      <c r="D261">
        <v>479</v>
      </c>
      <c r="E261">
        <v>216</v>
      </c>
      <c r="F261">
        <v>263</v>
      </c>
    </row>
    <row r="262" spans="1:6" x14ac:dyDescent="0.3">
      <c r="A262" t="s">
        <v>328</v>
      </c>
      <c r="B262" t="s">
        <v>628</v>
      </c>
      <c r="C262" t="s">
        <v>626</v>
      </c>
      <c r="D262">
        <v>41</v>
      </c>
      <c r="E262">
        <v>6</v>
      </c>
      <c r="F262">
        <v>35</v>
      </c>
    </row>
    <row r="263" spans="1:6" x14ac:dyDescent="0.3">
      <c r="A263" t="s">
        <v>412</v>
      </c>
      <c r="B263" t="s">
        <v>514</v>
      </c>
      <c r="C263" t="s">
        <v>679</v>
      </c>
      <c r="D263">
        <v>101</v>
      </c>
      <c r="E263">
        <v>47</v>
      </c>
      <c r="F263">
        <v>54</v>
      </c>
    </row>
    <row r="264" spans="1:6" x14ac:dyDescent="0.3">
      <c r="A264" t="s">
        <v>412</v>
      </c>
      <c r="B264" t="s">
        <v>629</v>
      </c>
      <c r="C264" t="s">
        <v>621</v>
      </c>
      <c r="D264">
        <v>5</v>
      </c>
      <c r="E264">
        <v>0</v>
      </c>
      <c r="F264">
        <v>5</v>
      </c>
    </row>
    <row r="265" spans="1:6" x14ac:dyDescent="0.3">
      <c r="A265" t="s">
        <v>412</v>
      </c>
      <c r="B265" t="s">
        <v>629</v>
      </c>
      <c r="C265" t="s">
        <v>624</v>
      </c>
      <c r="D265">
        <v>160</v>
      </c>
      <c r="E265">
        <v>6</v>
      </c>
      <c r="F265">
        <v>154</v>
      </c>
    </row>
    <row r="266" spans="1:6" x14ac:dyDescent="0.3">
      <c r="A266" t="s">
        <v>364</v>
      </c>
      <c r="B266" t="s">
        <v>606</v>
      </c>
      <c r="C266" t="s">
        <v>626</v>
      </c>
      <c r="D266">
        <v>535</v>
      </c>
      <c r="E266">
        <v>19</v>
      </c>
      <c r="F266">
        <v>516</v>
      </c>
    </row>
    <row r="267" spans="1:6" x14ac:dyDescent="0.3">
      <c r="A267" t="s">
        <v>364</v>
      </c>
      <c r="B267" t="s">
        <v>606</v>
      </c>
      <c r="C267" t="s">
        <v>627</v>
      </c>
      <c r="D267">
        <v>2127</v>
      </c>
      <c r="E267">
        <v>149</v>
      </c>
      <c r="F267">
        <v>1978</v>
      </c>
    </row>
    <row r="268" spans="1:6" x14ac:dyDescent="0.3">
      <c r="A268" t="s">
        <v>364</v>
      </c>
      <c r="B268" t="s">
        <v>514</v>
      </c>
      <c r="C268" t="s">
        <v>681</v>
      </c>
      <c r="D268">
        <v>45</v>
      </c>
      <c r="E268">
        <v>28</v>
      </c>
      <c r="F268">
        <v>17</v>
      </c>
    </row>
    <row r="269" spans="1:6" x14ac:dyDescent="0.3">
      <c r="A269" t="s">
        <v>364</v>
      </c>
      <c r="B269" t="s">
        <v>514</v>
      </c>
      <c r="C269" t="s">
        <v>680</v>
      </c>
      <c r="D269">
        <v>20</v>
      </c>
      <c r="E269">
        <v>7</v>
      </c>
      <c r="F269">
        <v>13</v>
      </c>
    </row>
    <row r="270" spans="1:6" x14ac:dyDescent="0.3">
      <c r="A270" t="s">
        <v>364</v>
      </c>
      <c r="B270" t="s">
        <v>628</v>
      </c>
      <c r="C270" t="s">
        <v>750</v>
      </c>
      <c r="D270">
        <v>9</v>
      </c>
      <c r="E270">
        <v>0</v>
      </c>
      <c r="F270">
        <v>9</v>
      </c>
    </row>
    <row r="271" spans="1:6" x14ac:dyDescent="0.3">
      <c r="A271" t="s">
        <v>365</v>
      </c>
      <c r="B271" t="s">
        <v>513</v>
      </c>
      <c r="C271" t="s">
        <v>623</v>
      </c>
      <c r="D271">
        <v>5</v>
      </c>
      <c r="E271">
        <v>4</v>
      </c>
      <c r="F271">
        <v>1</v>
      </c>
    </row>
    <row r="272" spans="1:6" x14ac:dyDescent="0.3">
      <c r="A272" t="s">
        <v>365</v>
      </c>
      <c r="B272" t="s">
        <v>629</v>
      </c>
      <c r="C272" t="s">
        <v>622</v>
      </c>
      <c r="D272">
        <v>33</v>
      </c>
      <c r="E272">
        <v>0</v>
      </c>
      <c r="F272">
        <v>33</v>
      </c>
    </row>
    <row r="273" spans="1:6" x14ac:dyDescent="0.3">
      <c r="A273" t="s">
        <v>366</v>
      </c>
      <c r="B273" t="s">
        <v>628</v>
      </c>
      <c r="C273" t="s">
        <v>626</v>
      </c>
      <c r="D273">
        <v>46</v>
      </c>
      <c r="E273">
        <v>6</v>
      </c>
      <c r="F273">
        <v>40</v>
      </c>
    </row>
    <row r="274" spans="1:6" x14ac:dyDescent="0.3">
      <c r="A274" t="s">
        <v>366</v>
      </c>
      <c r="B274" t="s">
        <v>628</v>
      </c>
      <c r="C274" t="s">
        <v>627</v>
      </c>
      <c r="D274">
        <v>260</v>
      </c>
      <c r="E274">
        <v>48</v>
      </c>
      <c r="F274">
        <v>212</v>
      </c>
    </row>
    <row r="275" spans="1:6" x14ac:dyDescent="0.3">
      <c r="A275" t="s">
        <v>366</v>
      </c>
      <c r="B275" t="s">
        <v>629</v>
      </c>
      <c r="C275" t="s">
        <v>627</v>
      </c>
      <c r="D275">
        <v>2258</v>
      </c>
      <c r="E275">
        <v>113</v>
      </c>
      <c r="F275">
        <v>2145</v>
      </c>
    </row>
    <row r="276" spans="1:6" x14ac:dyDescent="0.3">
      <c r="A276" t="s">
        <v>366</v>
      </c>
      <c r="B276" t="s">
        <v>629</v>
      </c>
      <c r="C276" t="s">
        <v>623</v>
      </c>
      <c r="D276">
        <v>90</v>
      </c>
      <c r="E276">
        <v>3</v>
      </c>
      <c r="F276">
        <v>87</v>
      </c>
    </row>
    <row r="277" spans="1:6" x14ac:dyDescent="0.3">
      <c r="A277" t="s">
        <v>341</v>
      </c>
      <c r="B277" t="s">
        <v>629</v>
      </c>
      <c r="C277" t="s">
        <v>622</v>
      </c>
      <c r="D277">
        <v>34</v>
      </c>
      <c r="E277">
        <v>0</v>
      </c>
      <c r="F277">
        <v>34</v>
      </c>
    </row>
    <row r="278" spans="1:6" x14ac:dyDescent="0.3">
      <c r="A278" t="s">
        <v>341</v>
      </c>
      <c r="B278" t="s">
        <v>629</v>
      </c>
      <c r="C278" t="s">
        <v>626</v>
      </c>
      <c r="D278">
        <v>635</v>
      </c>
      <c r="E278">
        <v>29</v>
      </c>
      <c r="F278">
        <v>606</v>
      </c>
    </row>
    <row r="279" spans="1:6" x14ac:dyDescent="0.3">
      <c r="A279" t="s">
        <v>341</v>
      </c>
      <c r="B279" t="s">
        <v>629</v>
      </c>
      <c r="C279" t="s">
        <v>627</v>
      </c>
      <c r="D279">
        <v>2161</v>
      </c>
      <c r="E279">
        <v>122</v>
      </c>
      <c r="F279">
        <v>2039</v>
      </c>
    </row>
    <row r="280" spans="1:6" x14ac:dyDescent="0.3">
      <c r="A280" t="s">
        <v>341</v>
      </c>
      <c r="B280" t="s">
        <v>629</v>
      </c>
      <c r="C280" t="s">
        <v>625</v>
      </c>
      <c r="D280">
        <v>590</v>
      </c>
      <c r="E280">
        <v>23</v>
      </c>
      <c r="F280">
        <v>567</v>
      </c>
    </row>
    <row r="281" spans="1:6" x14ac:dyDescent="0.3">
      <c r="A281" t="s">
        <v>342</v>
      </c>
      <c r="B281" t="s">
        <v>514</v>
      </c>
      <c r="C281" t="s">
        <v>682</v>
      </c>
      <c r="D281">
        <v>366</v>
      </c>
      <c r="E281">
        <v>139</v>
      </c>
      <c r="F281">
        <v>227</v>
      </c>
    </row>
    <row r="282" spans="1:6" x14ac:dyDescent="0.3">
      <c r="A282" t="s">
        <v>342</v>
      </c>
      <c r="B282" t="s">
        <v>514</v>
      </c>
      <c r="C282" t="s">
        <v>683</v>
      </c>
      <c r="D282">
        <v>153</v>
      </c>
      <c r="E282">
        <v>88</v>
      </c>
      <c r="F282">
        <v>65</v>
      </c>
    </row>
    <row r="283" spans="1:6" x14ac:dyDescent="0.3">
      <c r="A283" t="s">
        <v>213</v>
      </c>
      <c r="B283" t="s">
        <v>513</v>
      </c>
      <c r="C283" t="s">
        <v>623</v>
      </c>
      <c r="D283">
        <v>4</v>
      </c>
      <c r="E283">
        <v>3</v>
      </c>
      <c r="F283">
        <v>1</v>
      </c>
    </row>
    <row r="284" spans="1:6" x14ac:dyDescent="0.3">
      <c r="A284" t="s">
        <v>318</v>
      </c>
      <c r="B284" t="s">
        <v>606</v>
      </c>
      <c r="C284" t="s">
        <v>627</v>
      </c>
      <c r="D284">
        <v>2083</v>
      </c>
      <c r="E284">
        <v>167</v>
      </c>
      <c r="F284">
        <v>1916</v>
      </c>
    </row>
    <row r="285" spans="1:6" x14ac:dyDescent="0.3">
      <c r="A285" t="s">
        <v>320</v>
      </c>
      <c r="B285" t="s">
        <v>513</v>
      </c>
      <c r="C285" t="s">
        <v>624</v>
      </c>
      <c r="D285">
        <v>10</v>
      </c>
      <c r="E285">
        <v>9</v>
      </c>
      <c r="F285">
        <v>1</v>
      </c>
    </row>
    <row r="286" spans="1:6" x14ac:dyDescent="0.3">
      <c r="A286" t="s">
        <v>320</v>
      </c>
      <c r="B286" t="s">
        <v>512</v>
      </c>
      <c r="C286" t="s">
        <v>625</v>
      </c>
      <c r="D286">
        <v>53</v>
      </c>
      <c r="E286">
        <v>10</v>
      </c>
      <c r="F286">
        <v>43</v>
      </c>
    </row>
    <row r="287" spans="1:6" x14ac:dyDescent="0.3">
      <c r="A287" t="s">
        <v>320</v>
      </c>
      <c r="B287" t="s">
        <v>628</v>
      </c>
      <c r="C287" t="s">
        <v>627</v>
      </c>
      <c r="D287">
        <v>201</v>
      </c>
      <c r="E287">
        <v>38</v>
      </c>
      <c r="F287">
        <v>163</v>
      </c>
    </row>
    <row r="288" spans="1:6" x14ac:dyDescent="0.3">
      <c r="A288" t="s">
        <v>320</v>
      </c>
      <c r="B288" t="s">
        <v>629</v>
      </c>
      <c r="C288" t="s">
        <v>621</v>
      </c>
      <c r="D288">
        <v>5</v>
      </c>
      <c r="E288">
        <v>0</v>
      </c>
      <c r="F288">
        <v>5</v>
      </c>
    </row>
    <row r="289" spans="1:6" x14ac:dyDescent="0.3">
      <c r="A289" t="s">
        <v>325</v>
      </c>
      <c r="B289" t="s">
        <v>514</v>
      </c>
      <c r="C289" t="s">
        <v>680</v>
      </c>
      <c r="D289">
        <v>36</v>
      </c>
      <c r="E289">
        <v>24</v>
      </c>
      <c r="F289">
        <v>12</v>
      </c>
    </row>
    <row r="290" spans="1:6" x14ac:dyDescent="0.3">
      <c r="A290" t="s">
        <v>326</v>
      </c>
      <c r="B290" t="s">
        <v>514</v>
      </c>
      <c r="C290" t="s">
        <v>684</v>
      </c>
      <c r="D290">
        <v>142</v>
      </c>
      <c r="E290">
        <v>129</v>
      </c>
      <c r="F290">
        <v>13</v>
      </c>
    </row>
    <row r="291" spans="1:6" x14ac:dyDescent="0.3">
      <c r="A291" t="s">
        <v>326</v>
      </c>
      <c r="B291" t="s">
        <v>514</v>
      </c>
      <c r="C291" t="s">
        <v>679</v>
      </c>
      <c r="D291">
        <v>87</v>
      </c>
      <c r="E291">
        <v>41</v>
      </c>
      <c r="F291">
        <v>46</v>
      </c>
    </row>
    <row r="292" spans="1:6" x14ac:dyDescent="0.3">
      <c r="A292" t="s">
        <v>326</v>
      </c>
      <c r="B292" t="s">
        <v>629</v>
      </c>
      <c r="C292" t="s">
        <v>622</v>
      </c>
      <c r="D292">
        <v>31</v>
      </c>
      <c r="E292">
        <v>1</v>
      </c>
      <c r="F292">
        <v>30</v>
      </c>
    </row>
    <row r="293" spans="1:6" x14ac:dyDescent="0.3">
      <c r="A293" t="s">
        <v>326</v>
      </c>
      <c r="B293" t="s">
        <v>629</v>
      </c>
      <c r="C293" t="s">
        <v>626</v>
      </c>
      <c r="D293">
        <v>640</v>
      </c>
      <c r="E293">
        <v>39</v>
      </c>
      <c r="F293">
        <v>601</v>
      </c>
    </row>
    <row r="294" spans="1:6" x14ac:dyDescent="0.3">
      <c r="A294" t="s">
        <v>326</v>
      </c>
      <c r="B294" t="s">
        <v>629</v>
      </c>
      <c r="C294" t="s">
        <v>624</v>
      </c>
      <c r="D294">
        <v>156</v>
      </c>
      <c r="E294">
        <v>9</v>
      </c>
      <c r="F294">
        <v>147</v>
      </c>
    </row>
    <row r="295" spans="1:6" x14ac:dyDescent="0.3">
      <c r="A295" t="s">
        <v>328</v>
      </c>
      <c r="B295" t="s">
        <v>513</v>
      </c>
      <c r="C295" t="s">
        <v>626</v>
      </c>
      <c r="D295">
        <v>28</v>
      </c>
      <c r="E295">
        <v>24</v>
      </c>
      <c r="F295">
        <v>4</v>
      </c>
    </row>
    <row r="296" spans="1:6" x14ac:dyDescent="0.3">
      <c r="A296" t="s">
        <v>328</v>
      </c>
      <c r="B296" t="s">
        <v>513</v>
      </c>
      <c r="C296" t="s">
        <v>624</v>
      </c>
      <c r="D296">
        <v>8</v>
      </c>
      <c r="E296">
        <v>7</v>
      </c>
      <c r="F296">
        <v>1</v>
      </c>
    </row>
    <row r="297" spans="1:6" x14ac:dyDescent="0.3">
      <c r="A297" t="s">
        <v>328</v>
      </c>
      <c r="B297" t="s">
        <v>514</v>
      </c>
      <c r="C297" t="s">
        <v>678</v>
      </c>
      <c r="D297">
        <v>4</v>
      </c>
      <c r="E297">
        <v>3</v>
      </c>
      <c r="F297">
        <v>1</v>
      </c>
    </row>
    <row r="298" spans="1:6" x14ac:dyDescent="0.3">
      <c r="A298" t="s">
        <v>328</v>
      </c>
      <c r="B298" t="s">
        <v>629</v>
      </c>
      <c r="C298" t="s">
        <v>622</v>
      </c>
      <c r="D298">
        <v>30</v>
      </c>
      <c r="E298">
        <v>0</v>
      </c>
      <c r="F298">
        <v>30</v>
      </c>
    </row>
    <row r="299" spans="1:6" x14ac:dyDescent="0.3">
      <c r="A299" t="s">
        <v>412</v>
      </c>
      <c r="B299" t="s">
        <v>512</v>
      </c>
      <c r="C299" t="s">
        <v>625</v>
      </c>
      <c r="D299">
        <v>57</v>
      </c>
      <c r="E299">
        <v>8</v>
      </c>
      <c r="F299">
        <v>49</v>
      </c>
    </row>
    <row r="300" spans="1:6" x14ac:dyDescent="0.3">
      <c r="A300" t="s">
        <v>412</v>
      </c>
      <c r="B300" t="s">
        <v>514</v>
      </c>
      <c r="C300" t="s">
        <v>678</v>
      </c>
      <c r="D300">
        <v>3</v>
      </c>
      <c r="E300">
        <v>2</v>
      </c>
      <c r="F300">
        <v>1</v>
      </c>
    </row>
    <row r="301" spans="1:6" x14ac:dyDescent="0.3">
      <c r="A301" t="s">
        <v>412</v>
      </c>
      <c r="B301" t="s">
        <v>628</v>
      </c>
      <c r="C301" t="s">
        <v>627</v>
      </c>
      <c r="D301">
        <v>178</v>
      </c>
      <c r="E301">
        <v>25</v>
      </c>
      <c r="F301">
        <v>153</v>
      </c>
    </row>
    <row r="302" spans="1:6" x14ac:dyDescent="0.3">
      <c r="A302" t="s">
        <v>412</v>
      </c>
      <c r="B302" t="s">
        <v>629</v>
      </c>
      <c r="C302" t="s">
        <v>622</v>
      </c>
      <c r="D302">
        <v>27</v>
      </c>
      <c r="E302">
        <v>1</v>
      </c>
      <c r="F302">
        <v>26</v>
      </c>
    </row>
    <row r="303" spans="1:6" x14ac:dyDescent="0.3">
      <c r="A303" t="s">
        <v>364</v>
      </c>
      <c r="B303" t="s">
        <v>513</v>
      </c>
      <c r="C303" t="s">
        <v>624</v>
      </c>
      <c r="D303">
        <v>11</v>
      </c>
      <c r="E303">
        <v>9</v>
      </c>
      <c r="F303">
        <v>2</v>
      </c>
    </row>
    <row r="304" spans="1:6" x14ac:dyDescent="0.3">
      <c r="A304" t="s">
        <v>364</v>
      </c>
      <c r="B304" t="s">
        <v>513</v>
      </c>
      <c r="C304" t="s">
        <v>625</v>
      </c>
      <c r="D304">
        <v>52</v>
      </c>
      <c r="E304">
        <v>46</v>
      </c>
      <c r="F304">
        <v>6</v>
      </c>
    </row>
    <row r="305" spans="1:6" x14ac:dyDescent="0.3">
      <c r="A305" t="s">
        <v>364</v>
      </c>
      <c r="B305" t="s">
        <v>514</v>
      </c>
      <c r="C305" t="s">
        <v>679</v>
      </c>
      <c r="D305">
        <v>70</v>
      </c>
      <c r="E305">
        <v>32</v>
      </c>
      <c r="F305">
        <v>38</v>
      </c>
    </row>
    <row r="306" spans="1:6" x14ac:dyDescent="0.3">
      <c r="A306" t="s">
        <v>365</v>
      </c>
      <c r="B306" t="s">
        <v>514</v>
      </c>
      <c r="C306" t="s">
        <v>680</v>
      </c>
      <c r="D306">
        <v>37</v>
      </c>
      <c r="E306">
        <v>20</v>
      </c>
      <c r="F306">
        <v>17</v>
      </c>
    </row>
    <row r="307" spans="1:6" x14ac:dyDescent="0.3">
      <c r="A307" t="s">
        <v>365</v>
      </c>
      <c r="B307" t="s">
        <v>628</v>
      </c>
      <c r="C307" t="s">
        <v>750</v>
      </c>
      <c r="D307">
        <v>38</v>
      </c>
      <c r="E307">
        <v>4</v>
      </c>
      <c r="F307">
        <v>34</v>
      </c>
    </row>
    <row r="308" spans="1:6" x14ac:dyDescent="0.3">
      <c r="A308" t="s">
        <v>365</v>
      </c>
      <c r="B308" t="s">
        <v>629</v>
      </c>
      <c r="C308" t="s">
        <v>623</v>
      </c>
      <c r="D308">
        <v>103</v>
      </c>
      <c r="E308">
        <v>3</v>
      </c>
      <c r="F308">
        <v>100</v>
      </c>
    </row>
    <row r="309" spans="1:6" x14ac:dyDescent="0.3">
      <c r="A309" t="s">
        <v>341</v>
      </c>
      <c r="B309" t="s">
        <v>513</v>
      </c>
      <c r="C309" t="s">
        <v>626</v>
      </c>
      <c r="D309">
        <v>31</v>
      </c>
      <c r="E309">
        <v>26</v>
      </c>
      <c r="F309">
        <v>5</v>
      </c>
    </row>
    <row r="310" spans="1:6" x14ac:dyDescent="0.3">
      <c r="A310" t="s">
        <v>341</v>
      </c>
      <c r="B310" t="s">
        <v>606</v>
      </c>
      <c r="C310" t="s">
        <v>627</v>
      </c>
      <c r="D310">
        <v>2061</v>
      </c>
      <c r="E310">
        <v>127</v>
      </c>
      <c r="F310">
        <v>1934</v>
      </c>
    </row>
    <row r="311" spans="1:6" x14ac:dyDescent="0.3">
      <c r="A311" t="s">
        <v>341</v>
      </c>
      <c r="B311" t="s">
        <v>514</v>
      </c>
      <c r="C311" t="s">
        <v>679</v>
      </c>
      <c r="D311">
        <v>42</v>
      </c>
      <c r="E311">
        <v>17</v>
      </c>
      <c r="F311">
        <v>25</v>
      </c>
    </row>
    <row r="312" spans="1:6" x14ac:dyDescent="0.3">
      <c r="A312" t="s">
        <v>342</v>
      </c>
      <c r="B312" t="s">
        <v>606</v>
      </c>
      <c r="C312" t="s">
        <v>625</v>
      </c>
      <c r="D312">
        <v>261</v>
      </c>
      <c r="E312">
        <v>14</v>
      </c>
      <c r="F312">
        <v>247</v>
      </c>
    </row>
    <row r="313" spans="1:6" x14ac:dyDescent="0.3">
      <c r="A313" t="s">
        <v>342</v>
      </c>
      <c r="B313" t="s">
        <v>514</v>
      </c>
      <c r="C313" t="s">
        <v>684</v>
      </c>
      <c r="D313">
        <v>164</v>
      </c>
      <c r="E313">
        <v>155</v>
      </c>
      <c r="F313">
        <v>9</v>
      </c>
    </row>
    <row r="314" spans="1:6" x14ac:dyDescent="0.3">
      <c r="A314" t="s">
        <v>342</v>
      </c>
      <c r="B314" t="s">
        <v>514</v>
      </c>
      <c r="C314" t="s">
        <v>681</v>
      </c>
      <c r="D314">
        <v>79</v>
      </c>
      <c r="E314">
        <v>57</v>
      </c>
      <c r="F314">
        <v>22</v>
      </c>
    </row>
    <row r="315" spans="1:6" x14ac:dyDescent="0.3">
      <c r="A315" t="s">
        <v>342</v>
      </c>
      <c r="B315" t="s">
        <v>628</v>
      </c>
      <c r="C315" t="s">
        <v>627</v>
      </c>
      <c r="D315">
        <v>256</v>
      </c>
      <c r="E315">
        <v>47</v>
      </c>
      <c r="F315">
        <v>209</v>
      </c>
    </row>
    <row r="316" spans="1:6" x14ac:dyDescent="0.3">
      <c r="A316" t="s">
        <v>213</v>
      </c>
      <c r="B316" t="s">
        <v>514</v>
      </c>
      <c r="C316" t="s">
        <v>684</v>
      </c>
      <c r="D316">
        <v>170</v>
      </c>
      <c r="E316">
        <v>159</v>
      </c>
      <c r="F316">
        <v>11</v>
      </c>
    </row>
    <row r="317" spans="1:6" x14ac:dyDescent="0.3">
      <c r="A317" t="s">
        <v>213</v>
      </c>
      <c r="B317" t="s">
        <v>514</v>
      </c>
      <c r="C317" t="s">
        <v>682</v>
      </c>
      <c r="D317">
        <v>388</v>
      </c>
      <c r="E317">
        <v>146</v>
      </c>
      <c r="F317">
        <v>242</v>
      </c>
    </row>
    <row r="318" spans="1:6" x14ac:dyDescent="0.3">
      <c r="A318" t="s">
        <v>213</v>
      </c>
      <c r="B318" t="s">
        <v>628</v>
      </c>
      <c r="C318" t="s">
        <v>627</v>
      </c>
      <c r="D318">
        <v>240</v>
      </c>
      <c r="E318">
        <v>46</v>
      </c>
      <c r="F318">
        <v>194</v>
      </c>
    </row>
    <row r="319" spans="1:6" x14ac:dyDescent="0.3">
      <c r="A319" t="s">
        <v>213</v>
      </c>
      <c r="B319" t="s">
        <v>628</v>
      </c>
      <c r="C319" t="s">
        <v>625</v>
      </c>
      <c r="D319">
        <v>37</v>
      </c>
      <c r="E319">
        <v>5</v>
      </c>
      <c r="F319">
        <v>32</v>
      </c>
    </row>
    <row r="320" spans="1:6" x14ac:dyDescent="0.3">
      <c r="A320" t="s">
        <v>213</v>
      </c>
      <c r="B320" t="s">
        <v>629</v>
      </c>
      <c r="C320" t="s">
        <v>623</v>
      </c>
      <c r="D320">
        <v>80</v>
      </c>
      <c r="E320">
        <v>2</v>
      </c>
      <c r="F320">
        <v>78</v>
      </c>
    </row>
    <row r="321" spans="1:6" x14ac:dyDescent="0.3">
      <c r="A321" t="s">
        <v>213</v>
      </c>
      <c r="B321" t="s">
        <v>629</v>
      </c>
      <c r="C321" t="s">
        <v>624</v>
      </c>
      <c r="D321">
        <v>147</v>
      </c>
      <c r="E321">
        <v>2</v>
      </c>
      <c r="F321">
        <v>145</v>
      </c>
    </row>
    <row r="322" spans="1:6" x14ac:dyDescent="0.3">
      <c r="A322" t="s">
        <v>312</v>
      </c>
      <c r="B322" t="s">
        <v>513</v>
      </c>
      <c r="C322" t="s">
        <v>624</v>
      </c>
      <c r="D322">
        <v>8</v>
      </c>
      <c r="E322">
        <v>7</v>
      </c>
      <c r="F322">
        <v>1</v>
      </c>
    </row>
    <row r="323" spans="1:6" x14ac:dyDescent="0.3">
      <c r="A323" t="s">
        <v>312</v>
      </c>
      <c r="B323" t="s">
        <v>513</v>
      </c>
      <c r="C323" t="s">
        <v>625</v>
      </c>
      <c r="D323">
        <v>45</v>
      </c>
      <c r="E323">
        <v>38</v>
      </c>
      <c r="F323">
        <v>7</v>
      </c>
    </row>
    <row r="324" spans="1:6" x14ac:dyDescent="0.3">
      <c r="A324" t="s">
        <v>312</v>
      </c>
      <c r="B324" t="s">
        <v>514</v>
      </c>
      <c r="C324" t="s">
        <v>681</v>
      </c>
      <c r="D324">
        <v>90</v>
      </c>
      <c r="E324">
        <v>61</v>
      </c>
      <c r="F324">
        <v>29</v>
      </c>
    </row>
    <row r="325" spans="1:6" x14ac:dyDescent="0.3">
      <c r="A325" t="s">
        <v>312</v>
      </c>
      <c r="B325" t="s">
        <v>629</v>
      </c>
      <c r="C325" t="s">
        <v>621</v>
      </c>
      <c r="D325">
        <v>6</v>
      </c>
      <c r="E325">
        <v>0</v>
      </c>
      <c r="F325">
        <v>6</v>
      </c>
    </row>
    <row r="326" spans="1:6" x14ac:dyDescent="0.3">
      <c r="A326" t="s">
        <v>312</v>
      </c>
      <c r="B326" t="s">
        <v>629</v>
      </c>
      <c r="C326" t="s">
        <v>627</v>
      </c>
      <c r="D326">
        <v>2070</v>
      </c>
      <c r="E326">
        <v>154</v>
      </c>
      <c r="F326">
        <v>1916</v>
      </c>
    </row>
    <row r="327" spans="1:6" x14ac:dyDescent="0.3">
      <c r="A327" t="s">
        <v>312</v>
      </c>
      <c r="B327" t="s">
        <v>629</v>
      </c>
      <c r="C327" t="s">
        <v>625</v>
      </c>
      <c r="D327">
        <v>608</v>
      </c>
      <c r="E327">
        <v>30</v>
      </c>
      <c r="F327">
        <v>578</v>
      </c>
    </row>
    <row r="328" spans="1:6" x14ac:dyDescent="0.3">
      <c r="A328" t="s">
        <v>318</v>
      </c>
      <c r="B328" t="s">
        <v>513</v>
      </c>
      <c r="C328" t="s">
        <v>622</v>
      </c>
      <c r="D328">
        <v>1</v>
      </c>
      <c r="E328">
        <v>1</v>
      </c>
      <c r="F328">
        <v>0</v>
      </c>
    </row>
    <row r="329" spans="1:6" x14ac:dyDescent="0.3">
      <c r="A329" t="s">
        <v>318</v>
      </c>
      <c r="B329" t="s">
        <v>513</v>
      </c>
      <c r="C329" t="s">
        <v>623</v>
      </c>
      <c r="D329">
        <v>4</v>
      </c>
      <c r="E329">
        <v>3</v>
      </c>
      <c r="F329">
        <v>1</v>
      </c>
    </row>
    <row r="330" spans="1:6" x14ac:dyDescent="0.3">
      <c r="A330" t="s">
        <v>318</v>
      </c>
      <c r="B330" t="s">
        <v>514</v>
      </c>
      <c r="C330" t="s">
        <v>681</v>
      </c>
      <c r="D330">
        <v>91</v>
      </c>
      <c r="E330">
        <v>61</v>
      </c>
      <c r="F330">
        <v>30</v>
      </c>
    </row>
    <row r="331" spans="1:6" x14ac:dyDescent="0.3">
      <c r="A331" t="s">
        <v>318</v>
      </c>
      <c r="B331" t="s">
        <v>629</v>
      </c>
      <c r="C331" t="s">
        <v>626</v>
      </c>
      <c r="D331">
        <v>687</v>
      </c>
      <c r="E331">
        <v>29</v>
      </c>
      <c r="F331">
        <v>658</v>
      </c>
    </row>
    <row r="332" spans="1:6" x14ac:dyDescent="0.3">
      <c r="A332" t="s">
        <v>320</v>
      </c>
      <c r="B332" t="s">
        <v>513</v>
      </c>
      <c r="C332" t="s">
        <v>626</v>
      </c>
      <c r="D332">
        <v>27</v>
      </c>
      <c r="E332">
        <v>20</v>
      </c>
      <c r="F332">
        <v>7</v>
      </c>
    </row>
    <row r="333" spans="1:6" x14ac:dyDescent="0.3">
      <c r="A333" t="s">
        <v>320</v>
      </c>
      <c r="B333" t="s">
        <v>513</v>
      </c>
      <c r="C333" t="s">
        <v>623</v>
      </c>
      <c r="D333">
        <v>4</v>
      </c>
      <c r="E333">
        <v>3</v>
      </c>
      <c r="F333">
        <v>1</v>
      </c>
    </row>
    <row r="334" spans="1:6" x14ac:dyDescent="0.3">
      <c r="A334" t="s">
        <v>320</v>
      </c>
      <c r="B334" t="s">
        <v>629</v>
      </c>
      <c r="C334" t="s">
        <v>622</v>
      </c>
      <c r="D334">
        <v>35</v>
      </c>
      <c r="E334">
        <v>1</v>
      </c>
      <c r="F334">
        <v>34</v>
      </c>
    </row>
    <row r="335" spans="1:6" x14ac:dyDescent="0.3">
      <c r="A335" t="s">
        <v>320</v>
      </c>
      <c r="B335" t="s">
        <v>629</v>
      </c>
      <c r="C335" t="s">
        <v>624</v>
      </c>
      <c r="D335">
        <v>157</v>
      </c>
      <c r="E335">
        <v>5</v>
      </c>
      <c r="F335">
        <v>152</v>
      </c>
    </row>
    <row r="336" spans="1:6" x14ac:dyDescent="0.3">
      <c r="A336" t="s">
        <v>325</v>
      </c>
      <c r="B336" t="s">
        <v>513</v>
      </c>
      <c r="C336" t="s">
        <v>627</v>
      </c>
      <c r="D336">
        <v>91</v>
      </c>
      <c r="E336">
        <v>74</v>
      </c>
      <c r="F336">
        <v>17</v>
      </c>
    </row>
    <row r="337" spans="1:6" x14ac:dyDescent="0.3">
      <c r="A337" t="s">
        <v>325</v>
      </c>
      <c r="B337" t="s">
        <v>513</v>
      </c>
      <c r="C337" t="s">
        <v>625</v>
      </c>
      <c r="D337">
        <v>37</v>
      </c>
      <c r="E337">
        <v>32</v>
      </c>
      <c r="F337">
        <v>5</v>
      </c>
    </row>
    <row r="338" spans="1:6" x14ac:dyDescent="0.3">
      <c r="A338" t="s">
        <v>325</v>
      </c>
      <c r="B338" t="s">
        <v>606</v>
      </c>
      <c r="C338" t="s">
        <v>626</v>
      </c>
      <c r="D338">
        <v>521</v>
      </c>
      <c r="E338">
        <v>22</v>
      </c>
      <c r="F338">
        <v>499</v>
      </c>
    </row>
    <row r="339" spans="1:6" x14ac:dyDescent="0.3">
      <c r="A339" t="s">
        <v>325</v>
      </c>
      <c r="B339" t="s">
        <v>512</v>
      </c>
      <c r="C339" t="s">
        <v>625</v>
      </c>
      <c r="D339">
        <v>54</v>
      </c>
      <c r="E339">
        <v>9</v>
      </c>
      <c r="F339">
        <v>45</v>
      </c>
    </row>
    <row r="340" spans="1:6" x14ac:dyDescent="0.3">
      <c r="A340" t="s">
        <v>325</v>
      </c>
      <c r="B340" t="s">
        <v>514</v>
      </c>
      <c r="C340" t="s">
        <v>681</v>
      </c>
      <c r="D340">
        <v>98</v>
      </c>
      <c r="E340">
        <v>58</v>
      </c>
      <c r="F340">
        <v>40</v>
      </c>
    </row>
    <row r="341" spans="1:6" x14ac:dyDescent="0.3">
      <c r="A341" t="s">
        <v>325</v>
      </c>
      <c r="B341" t="s">
        <v>514</v>
      </c>
      <c r="C341" t="s">
        <v>682</v>
      </c>
      <c r="D341">
        <v>465</v>
      </c>
      <c r="E341">
        <v>203</v>
      </c>
      <c r="F341">
        <v>262</v>
      </c>
    </row>
    <row r="342" spans="1:6" x14ac:dyDescent="0.3">
      <c r="A342" t="s">
        <v>325</v>
      </c>
      <c r="B342" t="s">
        <v>628</v>
      </c>
      <c r="C342" t="s">
        <v>625</v>
      </c>
      <c r="D342">
        <v>37</v>
      </c>
      <c r="E342">
        <v>6</v>
      </c>
      <c r="F342">
        <v>31</v>
      </c>
    </row>
    <row r="343" spans="1:6" x14ac:dyDescent="0.3">
      <c r="A343" t="s">
        <v>326</v>
      </c>
      <c r="B343" t="s">
        <v>513</v>
      </c>
      <c r="C343" t="s">
        <v>622</v>
      </c>
      <c r="D343">
        <v>1</v>
      </c>
      <c r="E343">
        <v>1</v>
      </c>
      <c r="F343">
        <v>0</v>
      </c>
    </row>
    <row r="344" spans="1:6" x14ac:dyDescent="0.3">
      <c r="A344" t="s">
        <v>328</v>
      </c>
      <c r="B344" t="s">
        <v>513</v>
      </c>
      <c r="C344" t="s">
        <v>622</v>
      </c>
      <c r="D344">
        <v>1</v>
      </c>
      <c r="E344">
        <v>1</v>
      </c>
      <c r="F344">
        <v>0</v>
      </c>
    </row>
    <row r="345" spans="1:6" x14ac:dyDescent="0.3">
      <c r="A345" t="s">
        <v>328</v>
      </c>
      <c r="B345" t="s">
        <v>513</v>
      </c>
      <c r="C345" t="s">
        <v>623</v>
      </c>
      <c r="D345">
        <v>2</v>
      </c>
      <c r="E345">
        <v>2</v>
      </c>
      <c r="F345">
        <v>0</v>
      </c>
    </row>
    <row r="346" spans="1:6" x14ac:dyDescent="0.3">
      <c r="A346" t="s">
        <v>328</v>
      </c>
      <c r="B346" t="s">
        <v>514</v>
      </c>
      <c r="C346" t="s">
        <v>684</v>
      </c>
      <c r="D346">
        <v>152</v>
      </c>
      <c r="E346">
        <v>138</v>
      </c>
      <c r="F346">
        <v>14</v>
      </c>
    </row>
    <row r="347" spans="1:6" x14ac:dyDescent="0.3">
      <c r="A347" t="s">
        <v>328</v>
      </c>
      <c r="B347" t="s">
        <v>628</v>
      </c>
      <c r="C347" t="s">
        <v>625</v>
      </c>
      <c r="D347">
        <v>36</v>
      </c>
      <c r="E347">
        <v>6</v>
      </c>
      <c r="F347">
        <v>30</v>
      </c>
    </row>
  </sheetData>
  <pageMargins left="0.7" right="0.7" top="0.75" bottom="0.75" header="0.3" footer="0.3"/>
  <tableParts count="1">
    <tablePart r:id="rId1"/>
  </tableParts>
</worksheet>
</file>

<file path=xl/worksheets/sheet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Sheet15">
    <tabColor theme="9" tint="0.39997558519241921"/>
    <pageSetUpPr fitToPage="1"/>
  </sheetPr>
  <dimension ref="A1:I65"/>
  <sheetViews>
    <sheetView showGridLines="0" zoomScaleNormal="100" workbookViewId="0">
      <pane ySplit="2" topLeftCell="A3" activePane="bottomLeft" state="frozen"/>
      <selection pane="bottomLeft" sqref="A1:C1"/>
    </sheetView>
  </sheetViews>
  <sheetFormatPr defaultRowHeight="14.4" x14ac:dyDescent="0.3"/>
  <cols>
    <col min="1" max="1" width="36.88671875" customWidth="1"/>
    <col min="2" max="6" width="14" customWidth="1"/>
  </cols>
  <sheetData>
    <row r="1" spans="1:6" ht="27.6" customHeight="1" x14ac:dyDescent="0.3">
      <c r="A1" s="1030" t="s">
        <v>515</v>
      </c>
      <c r="B1" s="1030"/>
      <c r="C1" s="1030"/>
    </row>
    <row r="2" spans="1:6" x14ac:dyDescent="0.3">
      <c r="A2" s="498" t="s">
        <v>202</v>
      </c>
    </row>
    <row r="3" spans="1:6" x14ac:dyDescent="0.3">
      <c r="A3" s="25"/>
      <c r="B3" s="25"/>
      <c r="C3" s="25"/>
      <c r="D3" s="25"/>
      <c r="E3" s="25"/>
      <c r="F3" s="25"/>
    </row>
    <row r="4" spans="1:6" ht="15.75" customHeight="1" x14ac:dyDescent="0.3">
      <c r="A4" s="1063" t="s">
        <v>751</v>
      </c>
      <c r="B4" s="1063"/>
      <c r="C4" s="1063"/>
      <c r="D4" s="1063"/>
      <c r="E4" s="1063"/>
      <c r="F4" s="1063"/>
    </row>
    <row r="5" spans="1:6" ht="15" customHeight="1" x14ac:dyDescent="0.3">
      <c r="A5" t="s">
        <v>203</v>
      </c>
      <c r="B5" t="s">
        <v>90</v>
      </c>
      <c r="C5" s="424"/>
      <c r="E5" s="424"/>
      <c r="F5" s="424"/>
    </row>
    <row r="6" spans="1:6" ht="15" customHeight="1" x14ac:dyDescent="0.3">
      <c r="A6" t="s">
        <v>204</v>
      </c>
      <c r="B6" t="s">
        <v>205</v>
      </c>
      <c r="C6" s="424"/>
      <c r="E6" s="424"/>
      <c r="F6" s="424"/>
    </row>
    <row r="7" spans="1:6" ht="15" customHeight="1" x14ac:dyDescent="0.3">
      <c r="A7" t="s">
        <v>206</v>
      </c>
      <c r="B7" t="s">
        <v>207</v>
      </c>
      <c r="C7" s="424"/>
      <c r="D7" s="424"/>
      <c r="E7" s="424"/>
      <c r="F7" s="424"/>
    </row>
    <row r="8" spans="1:6" ht="15.6" x14ac:dyDescent="0.3">
      <c r="A8" s="25"/>
      <c r="B8" s="105"/>
      <c r="C8" s="105"/>
      <c r="D8" s="374" t="s">
        <v>346</v>
      </c>
      <c r="E8" s="105"/>
      <c r="F8" s="106" t="s">
        <v>94</v>
      </c>
    </row>
    <row r="9" spans="1:6" x14ac:dyDescent="0.3">
      <c r="A9" s="474" t="s">
        <v>517</v>
      </c>
      <c r="B9" s="477" t="s">
        <v>733</v>
      </c>
      <c r="C9" s="477" t="s">
        <v>734</v>
      </c>
      <c r="D9" s="477" t="s">
        <v>340</v>
      </c>
      <c r="E9" s="478" t="s">
        <v>733</v>
      </c>
      <c r="F9" s="477" t="s">
        <v>734</v>
      </c>
    </row>
    <row r="10" spans="1:6" x14ac:dyDescent="0.3">
      <c r="A10" s="112" t="s">
        <v>638</v>
      </c>
      <c r="B10" s="924">
        <f>GETPIVOTDATA("Sum of Female",sexandrolepivot!$A$3,"Type","WT","PostConv","Brigade Manager")</f>
        <v>0</v>
      </c>
      <c r="C10" s="924">
        <f>GETPIVOTDATA("Sum of Male",sexandrolepivot!$A$3,"Type","WT","PostConv","Brigade Manager")</f>
        <v>5</v>
      </c>
      <c r="D10" s="475">
        <f>GETPIVOTDATA("Sum of Total",sexandrolepivot!$A$3,"Type","WT","PostConv","Brigade Manager")</f>
        <v>5</v>
      </c>
      <c r="E10" s="115">
        <f t="shared" ref="E10:E17" si="0">B10/(B10+C10)</f>
        <v>0</v>
      </c>
      <c r="F10" s="115">
        <f t="shared" ref="F10:F17" si="1">C10/(B10+C10)</f>
        <v>1</v>
      </c>
    </row>
    <row r="11" spans="1:6" x14ac:dyDescent="0.3">
      <c r="A11" s="112" t="s">
        <v>639</v>
      </c>
      <c r="B11" s="924">
        <f>GETPIVOTDATA("Sum of Female",sexandrolepivot!$A$3,"Type","WT","PostConv","Area Manager")</f>
        <v>1</v>
      </c>
      <c r="C11" s="924">
        <f>GETPIVOTDATA("Sum of Male",sexandrolepivot!$A$3,"Type","WT","PostConv","Area Manager")</f>
        <v>26</v>
      </c>
      <c r="D11" s="475">
        <f>GETPIVOTDATA("Sum of Total",sexandrolepivot!$A$3,"Type","WT","PostConv","Area Manager")</f>
        <v>27</v>
      </c>
      <c r="E11" s="115">
        <f t="shared" si="0"/>
        <v>3.7037037037037035E-2</v>
      </c>
      <c r="F11" s="115">
        <f t="shared" si="1"/>
        <v>0.96296296296296291</v>
      </c>
    </row>
    <row r="12" spans="1:6" x14ac:dyDescent="0.3">
      <c r="A12" s="112" t="s">
        <v>640</v>
      </c>
      <c r="B12" s="114">
        <f>GETPIVOTDATA("Sum of Female",sexandrolepivot!$A$3,"Type","WT","PostConv","Group Manager")</f>
        <v>8</v>
      </c>
      <c r="C12" s="114">
        <f>GETPIVOTDATA("Sum of Male",sexandrolepivot!$A$3,"Type","WT","PostConv","Group Manager")</f>
        <v>64</v>
      </c>
      <c r="D12" s="475">
        <f>GETPIVOTDATA("Sum of Total",sexandrolepivot!$A$3,"Type","WT","PostConv","Group Manager")</f>
        <v>72</v>
      </c>
      <c r="E12" s="115">
        <f t="shared" si="0"/>
        <v>0.1111111111111111</v>
      </c>
      <c r="F12" s="115">
        <f t="shared" si="1"/>
        <v>0.88888888888888884</v>
      </c>
    </row>
    <row r="13" spans="1:6" x14ac:dyDescent="0.3">
      <c r="A13" s="112" t="s">
        <v>641</v>
      </c>
      <c r="B13" s="114">
        <f>GETPIVOTDATA("Sum of Female",sexandrolepivot!$A$3,"Type","WT","PostConv","Station Manager")</f>
        <v>6</v>
      </c>
      <c r="C13" s="114">
        <f>GETPIVOTDATA("Sum of Male",sexandrolepivot!$A$3,"Type","WT","PostConv","Station Manager")</f>
        <v>154</v>
      </c>
      <c r="D13" s="475">
        <f>GETPIVOTDATA("Sum of Total",sexandrolepivot!$A$3,"Type","WT","PostConv","Station Manager")</f>
        <v>160</v>
      </c>
      <c r="E13" s="115">
        <f t="shared" si="0"/>
        <v>3.7499999999999999E-2</v>
      </c>
      <c r="F13" s="115">
        <f t="shared" si="1"/>
        <v>0.96250000000000002</v>
      </c>
    </row>
    <row r="14" spans="1:6" x14ac:dyDescent="0.3">
      <c r="A14" s="112" t="s">
        <v>642</v>
      </c>
      <c r="B14" s="114">
        <f>GETPIVOTDATA("Sum of Female",sexandrolepivot!$A$3,"Type","WT","PostConv","Watch Manager")</f>
        <v>35</v>
      </c>
      <c r="C14" s="114">
        <f>GETPIVOTDATA("Sum of Male",sexandrolepivot!$A$3,"Type","WT","PostConv","Watch Manager")</f>
        <v>590</v>
      </c>
      <c r="D14" s="475">
        <f>GETPIVOTDATA("Sum of Total",sexandrolepivot!$A$3,"Type","WT","PostConv","Watch Manager")</f>
        <v>625</v>
      </c>
      <c r="E14" s="115">
        <f t="shared" si="0"/>
        <v>5.6000000000000001E-2</v>
      </c>
      <c r="F14" s="115">
        <f t="shared" si="1"/>
        <v>0.94399999999999995</v>
      </c>
    </row>
    <row r="15" spans="1:6" x14ac:dyDescent="0.3">
      <c r="A15" s="112" t="s">
        <v>643</v>
      </c>
      <c r="B15" s="114">
        <f>GETPIVOTDATA("Sum of Female",sexandrolepivot!$A$3,"Type","WT","PostConv","Crew Manager")</f>
        <v>35</v>
      </c>
      <c r="C15" s="114">
        <f>GETPIVOTDATA("Sum of Male",sexandrolepivot!$A$3,"Type","WT","PostConv","Crew Manager")</f>
        <v>606</v>
      </c>
      <c r="D15" s="475">
        <f>GETPIVOTDATA("Sum of Total",sexandrolepivot!$A$3,"Type","WT","PostConv","Crew Manager")</f>
        <v>641</v>
      </c>
      <c r="E15" s="115">
        <f t="shared" si="0"/>
        <v>5.4602184087363496E-2</v>
      </c>
      <c r="F15" s="115">
        <f t="shared" si="1"/>
        <v>0.9453978159126365</v>
      </c>
    </row>
    <row r="16" spans="1:6" x14ac:dyDescent="0.3">
      <c r="A16" s="112" t="s">
        <v>627</v>
      </c>
      <c r="B16" s="114">
        <f>GETPIVOTDATA("Sum of Female",sexandrolepivot!$A$3,"Type","WT","PostConv","Firefighter")</f>
        <v>144</v>
      </c>
      <c r="C16" s="114">
        <f>GETPIVOTDATA("Sum of Male",sexandrolepivot!$A$3,"Type","WT","PostConv","Firefighter")</f>
        <v>1755</v>
      </c>
      <c r="D16" s="475">
        <f>GETPIVOTDATA("Sum of Total",sexandrolepivot!$A$3,"Type","WT","PostConv","Firefighter")</f>
        <v>1899</v>
      </c>
      <c r="E16" s="115">
        <f t="shared" si="0"/>
        <v>7.582938388625593E-2</v>
      </c>
      <c r="F16" s="115">
        <f t="shared" si="1"/>
        <v>0.92417061611374407</v>
      </c>
    </row>
    <row r="17" spans="1:6" ht="15" thickBot="1" x14ac:dyDescent="0.35">
      <c r="A17" s="119" t="s">
        <v>752</v>
      </c>
      <c r="B17" s="631">
        <f>SUM(B10:B16)</f>
        <v>229</v>
      </c>
      <c r="C17" s="631">
        <f>SUM(C10:C16)</f>
        <v>3200</v>
      </c>
      <c r="D17" s="120">
        <f>SUM(D10:D16)</f>
        <v>3429</v>
      </c>
      <c r="E17" s="121">
        <f t="shared" si="0"/>
        <v>6.6783318751822696E-2</v>
      </c>
      <c r="F17" s="121">
        <f t="shared" si="1"/>
        <v>0.93321668124817736</v>
      </c>
    </row>
    <row r="18" spans="1:6" x14ac:dyDescent="0.3">
      <c r="A18" s="113"/>
      <c r="B18" s="122"/>
      <c r="C18" s="122"/>
      <c r="D18" s="117"/>
      <c r="E18" s="124"/>
      <c r="F18" s="124"/>
    </row>
    <row r="19" spans="1:6" x14ac:dyDescent="0.3">
      <c r="A19" s="108" t="s">
        <v>361</v>
      </c>
      <c r="B19" s="125"/>
      <c r="C19" s="132"/>
      <c r="D19" s="117"/>
      <c r="E19" s="303"/>
      <c r="F19" s="303"/>
    </row>
    <row r="20" spans="1:6" x14ac:dyDescent="0.3">
      <c r="A20" s="112" t="s">
        <v>642</v>
      </c>
      <c r="B20" s="25">
        <f>GETPIVOTDATA("Sum of Female",sexandrolepivot!$A$3,"Type","RDS","PostConv","Watch Manager")</f>
        <v>13</v>
      </c>
      <c r="C20" s="301">
        <f>GETPIVOTDATA("Sum of Male",sexandrolepivot!$A$3,"Type","RDS","PostConv","Watch Manager")</f>
        <v>244</v>
      </c>
      <c r="D20" s="476">
        <f>GETPIVOTDATA("Sum of Total",sexandrolepivot!$A$3,"Type","RDS","PostConv","Watch manager")</f>
        <v>257</v>
      </c>
      <c r="E20" s="302">
        <f>B20/(B20+C20)</f>
        <v>5.0583657587548639E-2</v>
      </c>
      <c r="F20" s="302">
        <f>C20/(B20+C20)</f>
        <v>0.94941634241245132</v>
      </c>
    </row>
    <row r="21" spans="1:6" x14ac:dyDescent="0.3">
      <c r="A21" s="112" t="s">
        <v>643</v>
      </c>
      <c r="B21" s="25">
        <f>GETPIVOTDATA("Sum of Female",sexandrolepivot!$A$3,"Type","RDS","PostConv","Crew Manager")</f>
        <v>33</v>
      </c>
      <c r="C21" s="25">
        <f>GETPIVOTDATA("Sum of Male",sexandrolepivot!$A$3,"Type","RDS","PostConv","Crew Manager")</f>
        <v>493</v>
      </c>
      <c r="D21" s="475">
        <f>GETPIVOTDATA("Sum of Total",sexandrolepivot!$A$3,"Type","RDS","PostConv","Crew manager")</f>
        <v>526</v>
      </c>
      <c r="E21" s="115">
        <f>B21/(B21+C21)</f>
        <v>6.2737642585551326E-2</v>
      </c>
      <c r="F21" s="115">
        <f>C21/(B21+C21)</f>
        <v>0.93726235741444863</v>
      </c>
    </row>
    <row r="22" spans="1:6" x14ac:dyDescent="0.3">
      <c r="A22" s="112" t="s">
        <v>627</v>
      </c>
      <c r="B22" s="25">
        <f>GETPIVOTDATA("Sum of Female",sexandrolepivot!$A$3,"Type","RDS","PostConv","Firefighter")</f>
        <v>162</v>
      </c>
      <c r="C22" s="25">
        <f>GETPIVOTDATA("Sum of Male",sexandrolepivot!$A$3,"Type","RDS","PostConv","Firefighter")</f>
        <v>1802</v>
      </c>
      <c r="D22" s="475">
        <f>GETPIVOTDATA("Sum of Total",sexandrolepivot!$A$3,"Type","RDS","PostConv","Firefighter")</f>
        <v>1964</v>
      </c>
      <c r="E22" s="115">
        <f>B22/(B22+C22)</f>
        <v>8.2484725050916502E-2</v>
      </c>
      <c r="F22" s="115">
        <f>C22/(B22+C22)</f>
        <v>0.91751527494908347</v>
      </c>
    </row>
    <row r="23" spans="1:6" ht="15" thickBot="1" x14ac:dyDescent="0.35">
      <c r="A23" s="119" t="s">
        <v>753</v>
      </c>
      <c r="B23" s="120">
        <f>SUM(B20:B22)</f>
        <v>208</v>
      </c>
      <c r="C23" s="120">
        <f>SUM(C20:C22)</f>
        <v>2539</v>
      </c>
      <c r="D23" s="120">
        <f>SUM(D20:D22)</f>
        <v>2747</v>
      </c>
      <c r="E23" s="121">
        <f>B23/(B23+C23)</f>
        <v>7.5718966144885325E-2</v>
      </c>
      <c r="F23" s="121">
        <f>C23/(B23+C23)</f>
        <v>0.92428103385511462</v>
      </c>
    </row>
    <row r="24" spans="1:6" x14ac:dyDescent="0.3">
      <c r="A24" s="611"/>
      <c r="B24" s="134"/>
      <c r="C24" s="134"/>
      <c r="D24" s="134"/>
      <c r="E24" s="612"/>
      <c r="F24" s="612"/>
    </row>
    <row r="25" spans="1:6" x14ac:dyDescent="0.3">
      <c r="A25" s="613" t="s">
        <v>518</v>
      </c>
      <c r="B25" s="614"/>
      <c r="C25" s="614"/>
      <c r="D25" s="614"/>
      <c r="E25" s="615"/>
      <c r="F25" s="615"/>
    </row>
    <row r="26" spans="1:6" x14ac:dyDescent="0.3">
      <c r="A26" s="613" t="s">
        <v>643</v>
      </c>
      <c r="B26" s="922">
        <f>IFERROR(GETPIVOTDATA("Sum of Female",sexandrolepivot!$A$3,"Type","RDS Fulltime","PostConv","Crew Manager"), "-")</f>
        <v>0</v>
      </c>
      <c r="C26" s="923">
        <f>IFERROR(GETPIVOTDATA("Sum of Male",sexandrolepivot!$A$3,"Type","RDS Fulltime","PostConv","Crew Manager"), "-")</f>
        <v>3</v>
      </c>
      <c r="D26" s="851">
        <f>IFERROR(GETPIVOTDATA("Sum of Total",sexandrolepivot!$A$3,"Type","RDS Fulltime","PostConv", "Crew Manager"), "-")</f>
        <v>3</v>
      </c>
      <c r="E26" s="618">
        <f>IFERROR(B26/(B26+C26), "-")</f>
        <v>0</v>
      </c>
      <c r="F26" s="618">
        <f>IFERROR(C26/(B26+C26), "-")</f>
        <v>1</v>
      </c>
    </row>
    <row r="27" spans="1:6" x14ac:dyDescent="0.3">
      <c r="A27" s="616" t="s">
        <v>642</v>
      </c>
      <c r="B27" s="617">
        <f>IFERROR(GETPIVOTDATA("Sum of Female",sexandrolepivot!$A$3,"Type","RDS Fulltime","PostConv","Watch Manager"),"-")</f>
        <v>8</v>
      </c>
      <c r="C27" s="617">
        <f>IFERROR(GETPIVOTDATA("Sum of Male",sexandrolepivot!$A$3,"Type","RDS Fulltime","PostConv","Watch Manager"),"-")</f>
        <v>49</v>
      </c>
      <c r="D27" s="850">
        <f>IFERROR(GETPIVOTDATA("Sum of Total",sexandrolepivot!$A$3,"Type","RDS Fulltime","PostConv","Watch manager"), "-")</f>
        <v>57</v>
      </c>
      <c r="E27" s="618">
        <f>IFERROR(B27/(B27+C27), "-")</f>
        <v>0.14035087719298245</v>
      </c>
      <c r="F27" s="618">
        <f>IFERROR(C27/(B27+C27), "-")</f>
        <v>0.85964912280701755</v>
      </c>
    </row>
    <row r="28" spans="1:6" ht="15" thickBot="1" x14ac:dyDescent="0.35">
      <c r="A28" s="119" t="s">
        <v>754</v>
      </c>
      <c r="B28" s="120">
        <f t="shared" ref="B28:C28" si="2">SUM(B26:B27)</f>
        <v>8</v>
      </c>
      <c r="C28" s="120">
        <f t="shared" si="2"/>
        <v>52</v>
      </c>
      <c r="D28" s="120">
        <f>SUM(D26:D27)</f>
        <v>60</v>
      </c>
      <c r="E28" s="121">
        <f>IFERROR(B28/(B28+C28), "-")</f>
        <v>0.13333333333333333</v>
      </c>
      <c r="F28" s="619">
        <f>IFERROR(C28/(B28+C28), "-")</f>
        <v>0.8666666666666667</v>
      </c>
    </row>
    <row r="29" spans="1:6" x14ac:dyDescent="0.3">
      <c r="A29" s="113"/>
      <c r="B29" s="122"/>
      <c r="C29" s="122"/>
      <c r="D29" s="117"/>
      <c r="E29" s="124"/>
      <c r="F29" s="124"/>
    </row>
    <row r="30" spans="1:6" x14ac:dyDescent="0.3">
      <c r="A30" s="108" t="s">
        <v>755</v>
      </c>
      <c r="B30" s="125"/>
      <c r="C30" s="125"/>
      <c r="D30" s="125"/>
      <c r="E30" s="125"/>
      <c r="F30" s="125"/>
    </row>
    <row r="31" spans="1:6" x14ac:dyDescent="0.3">
      <c r="A31" s="112" t="s">
        <v>639</v>
      </c>
      <c r="B31" s="921" t="str">
        <f>IFERROR(GETPIVOTDATA("Sum of Female",sexandrolepivot!$A$3,"Type","Control","PostConv","Area Manager"), "-")</f>
        <v>-</v>
      </c>
      <c r="C31" s="921" t="str">
        <f>IFERROR("-",GETPIVOTDATA("Sum of Male",sexandrolepivot!$A$3,"Type","Control","PostConv","Area Manager"))</f>
        <v>-</v>
      </c>
      <c r="D31" s="852" t="str">
        <f>IFERROR(GETPIVOTDATA("Sum of Total",sexandrolepivot!$A$3,"Type","Control","PostConv","Area Manager"), "-")</f>
        <v>-</v>
      </c>
      <c r="E31" s="115">
        <f>IFERROR(B31/(B31+C31),0)</f>
        <v>0</v>
      </c>
      <c r="F31" s="115">
        <f>IFERROR(C31/(B31+C31),0)</f>
        <v>0</v>
      </c>
    </row>
    <row r="32" spans="1:6" x14ac:dyDescent="0.3">
      <c r="A32" s="112" t="s">
        <v>640</v>
      </c>
      <c r="B32" s="921">
        <f>GETPIVOTDATA("Sum of Female",sexandrolepivot!$A$3,"Type","Control","PostConv","Group Manager")</f>
        <v>3</v>
      </c>
      <c r="C32" s="921">
        <f>GETPIVOTDATA("Sum of Male",sexandrolepivot!$A$3,"Type","Control","PostConv","Group Manager")</f>
        <v>0</v>
      </c>
      <c r="D32" s="475">
        <f>GETPIVOTDATA("Sum of Total",sexandrolepivot!$A$3,"Type","Control","PostConv","Group Manager")</f>
        <v>3</v>
      </c>
      <c r="E32" s="115">
        <f t="shared" ref="E32:E37" si="3">B32/(B32+C32)</f>
        <v>1</v>
      </c>
      <c r="F32" s="115">
        <f t="shared" ref="F32:F37" si="4">C32/(B32+C32)</f>
        <v>0</v>
      </c>
    </row>
    <row r="33" spans="1:6" x14ac:dyDescent="0.3">
      <c r="A33" s="112" t="s">
        <v>641</v>
      </c>
      <c r="B33" s="921">
        <f>GETPIVOTDATA("Sum of Female",sexandrolepivot!$A$3,"Type","Control","PostConv","Station Manager")</f>
        <v>5</v>
      </c>
      <c r="C33" s="921">
        <f>GETPIVOTDATA("Sum of Male",sexandrolepivot!$A$3,"Type","Control","PostConv","Station Manager")</f>
        <v>1</v>
      </c>
      <c r="D33" s="475">
        <f>GETPIVOTDATA("Sum of Total",sexandrolepivot!$A$3,"Type","Control","PostConv","Station Manager")</f>
        <v>6</v>
      </c>
      <c r="E33" s="115">
        <f t="shared" si="3"/>
        <v>0.83333333333333337</v>
      </c>
      <c r="F33" s="115">
        <f t="shared" si="4"/>
        <v>0.16666666666666666</v>
      </c>
    </row>
    <row r="34" spans="1:6" x14ac:dyDescent="0.3">
      <c r="A34" s="112" t="s">
        <v>643</v>
      </c>
      <c r="B34" s="116">
        <f>GETPIVOTDATA("Sum of Female",sexandrolepivot!$A$3,"Type","Control","PostConv","Crew Manager")</f>
        <v>33</v>
      </c>
      <c r="C34" s="116">
        <f>GETPIVOTDATA("Sum of Male",sexandrolepivot!$A$3,"Type","Control","PostConv","Crew Manager")</f>
        <v>9</v>
      </c>
      <c r="D34" s="475">
        <f>GETPIVOTDATA("Sum of Total",sexandrolepivot!$A$3,"Type","Control","PostConv","Crew Manager")</f>
        <v>42</v>
      </c>
      <c r="E34" s="115">
        <f t="shared" si="3"/>
        <v>0.7857142857142857</v>
      </c>
      <c r="F34" s="115">
        <f t="shared" si="4"/>
        <v>0.21428571428571427</v>
      </c>
    </row>
    <row r="35" spans="1:6" x14ac:dyDescent="0.3">
      <c r="A35" s="112" t="s">
        <v>642</v>
      </c>
      <c r="B35" s="116">
        <f>GETPIVOTDATA("Sum of Female",sexandrolepivot!$A$3,"Type","Control","PostConv","Watch Manager")</f>
        <v>21</v>
      </c>
      <c r="C35" s="116">
        <f>GETPIVOTDATA("Sum of Male",sexandrolepivot!$A$3,"Type","Control","PostConv","Watch Manager")</f>
        <v>3</v>
      </c>
      <c r="D35" s="475">
        <f>GETPIVOTDATA("Sum of Total",sexandrolepivot!$A$3,"Type","Control","PostConv","Watch Manager")</f>
        <v>24</v>
      </c>
      <c r="E35" s="115">
        <f t="shared" si="3"/>
        <v>0.875</v>
      </c>
      <c r="F35" s="115">
        <f t="shared" si="4"/>
        <v>0.125</v>
      </c>
    </row>
    <row r="36" spans="1:6" x14ac:dyDescent="0.3">
      <c r="A36" s="112" t="s">
        <v>670</v>
      </c>
      <c r="B36" s="116">
        <f>GETPIVOTDATA("Sum of Female",sexandrolepivot!$A$3,"Type","Control","PostConv","Firefighter")</f>
        <v>72</v>
      </c>
      <c r="C36" s="116">
        <f>GETPIVOTDATA("Sum of Male",sexandrolepivot!$A$3,"Type","Control","PostConv","Firefighter")</f>
        <v>28</v>
      </c>
      <c r="D36" s="475">
        <f>GETPIVOTDATA("Sum of Total",sexandrolepivot!$A$3,"Type","Control","PostConv","Firefighter")</f>
        <v>100</v>
      </c>
      <c r="E36" s="115">
        <f t="shared" si="3"/>
        <v>0.72</v>
      </c>
      <c r="F36" s="115">
        <f t="shared" si="4"/>
        <v>0.28000000000000003</v>
      </c>
    </row>
    <row r="37" spans="1:6" ht="15" thickBot="1" x14ac:dyDescent="0.35">
      <c r="A37" s="129" t="s">
        <v>756</v>
      </c>
      <c r="B37" s="120">
        <f t="shared" ref="B37:C37" si="5">SUM(B31:B36)</f>
        <v>134</v>
      </c>
      <c r="C37" s="120">
        <f t="shared" si="5"/>
        <v>41</v>
      </c>
      <c r="D37" s="120">
        <f>SUM(D31:D36)</f>
        <v>175</v>
      </c>
      <c r="E37" s="121">
        <f t="shared" si="3"/>
        <v>0.76571428571428568</v>
      </c>
      <c r="F37" s="121">
        <f t="shared" si="4"/>
        <v>0.23428571428571429</v>
      </c>
    </row>
    <row r="38" spans="1:6" x14ac:dyDescent="0.3">
      <c r="A38" s="113"/>
      <c r="B38" s="122"/>
      <c r="C38" s="122"/>
      <c r="D38" s="117"/>
      <c r="E38" s="124"/>
      <c r="F38" s="124"/>
    </row>
    <row r="39" spans="1:6" x14ac:dyDescent="0.3">
      <c r="A39" s="130" t="s">
        <v>731</v>
      </c>
      <c r="B39" s="109"/>
      <c r="C39" s="117"/>
      <c r="D39" s="117"/>
      <c r="E39" s="303"/>
      <c r="F39" s="303"/>
    </row>
    <row r="40" spans="1:6" x14ac:dyDescent="0.3">
      <c r="A40" s="112" t="s">
        <v>678</v>
      </c>
      <c r="B40" s="100">
        <f>GETPIVOTDATA("Sum of Female",sexandrolepivot!$A$3,"Type","Support","PostConv","Director")</f>
        <v>2</v>
      </c>
      <c r="C40" s="925">
        <f>GETPIVOTDATA("Sum of Male",sexandrolepivot!$A$3,"Type","Support","PostConv","Director")</f>
        <v>1</v>
      </c>
      <c r="D40" s="304">
        <f>GETPIVOTDATA("Sum of Total",sexandrolepivot!$A$3,"Type","Support","PostConv","Director")</f>
        <v>3</v>
      </c>
      <c r="E40" s="302">
        <f>IFERROR(B40/(B40+C40), "-")</f>
        <v>0.66666666666666663</v>
      </c>
      <c r="F40" s="302">
        <f>IFERROR(C40/(B40+C40), "-")</f>
        <v>0.33333333333333331</v>
      </c>
    </row>
    <row r="41" spans="1:6" x14ac:dyDescent="0.3">
      <c r="A41" s="112" t="s">
        <v>679</v>
      </c>
      <c r="B41" s="123">
        <f>GETPIVOTDATA("Sum of Female",sexandrolepivot!$A$3,"Type","Support","PostConv","Service Manager")</f>
        <v>47</v>
      </c>
      <c r="C41" s="123">
        <f>GETPIVOTDATA("Sum of Male",sexandrolepivot!$A$3,"Type","Support","PostConv","Service Manager")</f>
        <v>54</v>
      </c>
      <c r="D41" s="117">
        <f>GETPIVOTDATA("Sum of Total",sexandrolepivot!$A$3,"Type","Support","PostConv","Service Manager")</f>
        <v>101</v>
      </c>
      <c r="E41" s="115">
        <f t="shared" ref="E41:E46" si="6">B41/(B41+C41)</f>
        <v>0.46534653465346537</v>
      </c>
      <c r="F41" s="115">
        <f t="shared" ref="F41:F46" si="7">C41/(B41+C41)</f>
        <v>0.53465346534653468</v>
      </c>
    </row>
    <row r="42" spans="1:6" x14ac:dyDescent="0.3">
      <c r="A42" s="112" t="s">
        <v>680</v>
      </c>
      <c r="B42" s="123">
        <f>GETPIVOTDATA("Sum of Female",sexandrolepivot!$A$3,"Type","Support","PostConv","Team Leader")</f>
        <v>30</v>
      </c>
      <c r="C42" s="123">
        <f>GETPIVOTDATA("Sum of Male",sexandrolepivot!$A$3,"Type","Support","PostConv","Team Leader")</f>
        <v>15</v>
      </c>
      <c r="D42" s="117">
        <f>GETPIVOTDATA("Sum of Total",sexandrolepivot!$A$3,"Type","Support","PostConv","Team Leader")</f>
        <v>45</v>
      </c>
      <c r="E42" s="115">
        <f t="shared" si="6"/>
        <v>0.66666666666666663</v>
      </c>
      <c r="F42" s="115">
        <f t="shared" si="7"/>
        <v>0.33333333333333331</v>
      </c>
    </row>
    <row r="43" spans="1:6" x14ac:dyDescent="0.3">
      <c r="A43" s="112" t="s">
        <v>690</v>
      </c>
      <c r="B43" s="123">
        <f>GETPIVOTDATA("Sum of Female",sexandrolepivot!$A$3,"Type","Support","PostConv","Tech Support")</f>
        <v>18</v>
      </c>
      <c r="C43" s="123">
        <f>GETPIVOTDATA("Sum of Male",sexandrolepivot!$A$3,"Type","Support","PostConv","Tech Support")</f>
        <v>45</v>
      </c>
      <c r="D43" s="117">
        <f>GETPIVOTDATA("Sum of Total",sexandrolepivot!$A$3,"Type","Support","PostConv","Tech Support")</f>
        <v>63</v>
      </c>
      <c r="E43" s="115">
        <f t="shared" si="6"/>
        <v>0.2857142857142857</v>
      </c>
      <c r="F43" s="115">
        <f t="shared" si="7"/>
        <v>0.7142857142857143</v>
      </c>
    </row>
    <row r="44" spans="1:6" x14ac:dyDescent="0.3">
      <c r="A44" s="112" t="s">
        <v>681</v>
      </c>
      <c r="B44" s="123">
        <f>GETPIVOTDATA("Sum of Female",sexandrolepivot!$A$3,"Type","Support","PostConv","Professional")</f>
        <v>52</v>
      </c>
      <c r="C44" s="123">
        <f>GETPIVOTDATA("Sum of Male",sexandrolepivot!$A$3,"Type","Support","PostConv","Professional")</f>
        <v>35</v>
      </c>
      <c r="D44" s="117">
        <f>GETPIVOTDATA("Sum of Total",sexandrolepivot!$A$3,"Type","Support","PostConv","Professional")</f>
        <v>87</v>
      </c>
      <c r="E44" s="115">
        <f t="shared" si="6"/>
        <v>0.5977011494252874</v>
      </c>
      <c r="F44" s="115">
        <f t="shared" si="7"/>
        <v>0.40229885057471265</v>
      </c>
    </row>
    <row r="45" spans="1:6" x14ac:dyDescent="0.3">
      <c r="A45" s="112" t="s">
        <v>757</v>
      </c>
      <c r="B45" s="123">
        <f>GETPIVOTDATA("Sum of Female",sexandrolepivot!$A$3,"Type","Support","PostConv","Specialist Technical")</f>
        <v>214</v>
      </c>
      <c r="C45" s="123">
        <f>GETPIVOTDATA("Sum of Male",sexandrolepivot!$A$3,"Type","Support","PostConv","Specialist Technical")</f>
        <v>270</v>
      </c>
      <c r="D45" s="117">
        <f>GETPIVOTDATA("Sum of Total",sexandrolepivot!$A$3,"Type","Support","PostConv","Specialist Technical")</f>
        <v>484</v>
      </c>
      <c r="E45" s="115">
        <f t="shared" si="6"/>
        <v>0.44214876033057854</v>
      </c>
      <c r="F45" s="115">
        <f t="shared" si="7"/>
        <v>0.55785123966942152</v>
      </c>
    </row>
    <row r="46" spans="1:6" x14ac:dyDescent="0.3">
      <c r="A46" s="112" t="s">
        <v>684</v>
      </c>
      <c r="B46" s="123">
        <f>GETPIVOTDATA("Sum of Female",sexandrolepivot!$A$3,"Type","Support","PostConv","Administration")</f>
        <v>127</v>
      </c>
      <c r="C46" s="123">
        <f>GETPIVOTDATA("Sum of Male",sexandrolepivot!$A$3,"Type","Support","PostConv","Administration")</f>
        <v>12</v>
      </c>
      <c r="D46" s="117">
        <f>GETPIVOTDATA("Sum of Total",sexandrolepivot!$A$3,"Type","Support","PostConv","Administration")</f>
        <v>139</v>
      </c>
      <c r="E46" s="115">
        <f t="shared" si="6"/>
        <v>0.91366906474820142</v>
      </c>
      <c r="F46" s="115">
        <f t="shared" si="7"/>
        <v>8.6330935251798566E-2</v>
      </c>
    </row>
    <row r="47" spans="1:6" ht="15" thickBot="1" x14ac:dyDescent="0.35">
      <c r="A47" s="129" t="s">
        <v>758</v>
      </c>
      <c r="B47" s="120">
        <f t="shared" ref="B47:C47" si="8">SUM(B40:B46)</f>
        <v>490</v>
      </c>
      <c r="C47" s="120">
        <f t="shared" si="8"/>
        <v>432</v>
      </c>
      <c r="D47" s="120">
        <f>SUM(D40:D46)</f>
        <v>922</v>
      </c>
      <c r="E47" s="121">
        <f>B47/(B47+C47)</f>
        <v>0.53145336225596529</v>
      </c>
      <c r="F47" s="121">
        <f>C47/(B47+C47)</f>
        <v>0.46854663774403471</v>
      </c>
    </row>
    <row r="48" spans="1:6" x14ac:dyDescent="0.3">
      <c r="A48" s="25"/>
      <c r="B48" s="132"/>
      <c r="C48" s="132"/>
      <c r="D48" s="117"/>
      <c r="E48" s="124"/>
      <c r="F48" s="124"/>
    </row>
    <row r="49" spans="1:9" x14ac:dyDescent="0.3">
      <c r="A49" s="130" t="s">
        <v>339</v>
      </c>
      <c r="B49" s="125"/>
      <c r="C49" s="132"/>
      <c r="D49" s="117"/>
      <c r="E49" s="303"/>
      <c r="F49" s="303"/>
    </row>
    <row r="50" spans="1:9" x14ac:dyDescent="0.3">
      <c r="A50" s="118" t="s">
        <v>759</v>
      </c>
      <c r="B50" s="122">
        <f>GETPIVOTDATA("Sum of Female",sexandrolepivot!$A$3,"Type","Vol","PostConv","Crew Manager")</f>
        <v>7</v>
      </c>
      <c r="C50" s="305">
        <f>GETPIVOTDATA("Sum of Male",sexandrolepivot!$A$3,"Type","Vol","PostConv","Crew Manager")</f>
        <v>32</v>
      </c>
      <c r="D50" s="306">
        <f>GETPIVOTDATA("Sum of Total",sexandrolepivot!$A$3,"Type","Vol","PostConv","Crew Manager")</f>
        <v>39</v>
      </c>
      <c r="E50" s="302">
        <f>B50/(B50+C50)</f>
        <v>0.17948717948717949</v>
      </c>
      <c r="F50" s="302">
        <f>C50/(B50+C50)</f>
        <v>0.82051282051282048</v>
      </c>
    </row>
    <row r="51" spans="1:9" x14ac:dyDescent="0.3">
      <c r="A51" s="118" t="s">
        <v>760</v>
      </c>
      <c r="B51" s="926">
        <f>GETPIVOTDATA("Sum of Female",sexandrolepivot!$A$3,"Type","Vol","PostConv","Watch Manager")</f>
        <v>6</v>
      </c>
      <c r="C51" s="926">
        <f>GETPIVOTDATA("Sum of Male",sexandrolepivot!$A$3,"Type","Vol","PostConv","Watch Manager")</f>
        <v>29</v>
      </c>
      <c r="D51" s="849">
        <f>GETPIVOTDATA("Sum of Total",sexandrolepivot!$A$3,"Type","Vol","PostConv","Watch Manager")</f>
        <v>35</v>
      </c>
      <c r="E51" s="115">
        <f>B51/(B51+C51)</f>
        <v>0.17142857142857143</v>
      </c>
      <c r="F51" s="115">
        <f>C51/(B51+C51)</f>
        <v>0.82857142857142863</v>
      </c>
    </row>
    <row r="52" spans="1:9" x14ac:dyDescent="0.3">
      <c r="A52" s="118" t="s">
        <v>761</v>
      </c>
      <c r="B52" s="122">
        <f>GETPIVOTDATA("Sum of Female",sexandrolepivot!$A$3,"Type","Vol","PostConv","Firefighter")</f>
        <v>25</v>
      </c>
      <c r="C52" s="122">
        <f>GETPIVOTDATA("Sum of Male",sexandrolepivot!$A$3,"Type","Vol","PostConv","Firefighter")</f>
        <v>153</v>
      </c>
      <c r="D52" s="849">
        <f>GETPIVOTDATA("Sum of Total",sexandrolepivot!$A$3,"Type","Vol","PostConv","Firefighter")</f>
        <v>178</v>
      </c>
      <c r="E52" s="115">
        <f>B52/(B52+C52)</f>
        <v>0.1404494382022472</v>
      </c>
      <c r="F52" s="115">
        <f>C52/(B52+C52)</f>
        <v>0.8595505617977528</v>
      </c>
    </row>
    <row r="53" spans="1:9" ht="15" thickBot="1" x14ac:dyDescent="0.35">
      <c r="A53" s="129" t="s">
        <v>762</v>
      </c>
      <c r="B53" s="120">
        <f t="shared" ref="B53:C53" si="9">SUM(B50:B52)</f>
        <v>38</v>
      </c>
      <c r="C53" s="120">
        <f t="shared" si="9"/>
        <v>214</v>
      </c>
      <c r="D53" s="120">
        <f>SUM(D50:D52)</f>
        <v>252</v>
      </c>
      <c r="E53" s="121">
        <f>B53/(B53+C53)</f>
        <v>0.15079365079365079</v>
      </c>
      <c r="F53" s="121">
        <f>C53/(B53+C53)</f>
        <v>0.84920634920634919</v>
      </c>
    </row>
    <row r="54" spans="1:9" x14ac:dyDescent="0.3">
      <c r="A54" s="133"/>
      <c r="B54" s="134"/>
      <c r="C54" s="134"/>
      <c r="D54" s="135"/>
      <c r="E54" s="136"/>
      <c r="F54" s="136"/>
    </row>
    <row r="55" spans="1:9" ht="15" thickBot="1" x14ac:dyDescent="0.35">
      <c r="A55" s="137" t="s">
        <v>741</v>
      </c>
      <c r="B55" s="138">
        <f>B53+B47+B37+B23+B17</f>
        <v>1099</v>
      </c>
      <c r="C55" s="138">
        <f>C53+C47+C37+C23+C17</f>
        <v>6426</v>
      </c>
      <c r="D55" s="138">
        <f>D53+D47+D37+D23+D17+D28</f>
        <v>7585</v>
      </c>
      <c r="E55" s="121">
        <f>B55/(B55+C55)</f>
        <v>0.14604651162790697</v>
      </c>
      <c r="F55" s="121">
        <f>C55/(B55+C55)</f>
        <v>0.85395348837209306</v>
      </c>
    </row>
    <row r="56" spans="1:9" x14ac:dyDescent="0.3">
      <c r="A56" s="139"/>
      <c r="B56" s="140"/>
      <c r="C56" s="140"/>
      <c r="D56" s="140"/>
      <c r="E56" s="136"/>
      <c r="F56" s="136"/>
    </row>
    <row r="57" spans="1:9" ht="15" thickBot="1" x14ac:dyDescent="0.35">
      <c r="A57" s="141" t="s">
        <v>618</v>
      </c>
      <c r="B57" s="138">
        <f>B55-B53</f>
        <v>1061</v>
      </c>
      <c r="C57" s="138">
        <f>C55-C53</f>
        <v>6212</v>
      </c>
      <c r="D57" s="120">
        <f>SUM(B57:C57)</f>
        <v>7273</v>
      </c>
      <c r="E57" s="121">
        <f>B57/(B57+C57)</f>
        <v>0.14588202942389661</v>
      </c>
      <c r="F57" s="121">
        <f>C57/(B57+C57)</f>
        <v>0.85411797057610339</v>
      </c>
    </row>
    <row r="58" spans="1:9" x14ac:dyDescent="0.3">
      <c r="A58" s="25"/>
      <c r="B58" s="25"/>
      <c r="C58" s="25"/>
      <c r="D58" s="142"/>
      <c r="E58" s="143" t="s">
        <v>763</v>
      </c>
      <c r="F58" s="25"/>
    </row>
    <row r="59" spans="1:9" x14ac:dyDescent="0.3">
      <c r="A59" s="334" t="s">
        <v>329</v>
      </c>
      <c r="B59" s="339"/>
      <c r="C59" s="339"/>
      <c r="D59" s="340"/>
      <c r="E59" s="341"/>
      <c r="F59" s="339"/>
      <c r="G59" s="339"/>
    </row>
    <row r="60" spans="1:9" ht="29.25" customHeight="1" x14ac:dyDescent="0.3">
      <c r="A60" s="1029" t="s">
        <v>737</v>
      </c>
      <c r="B60" s="1029"/>
      <c r="C60" s="1029"/>
      <c r="D60" s="1029"/>
      <c r="E60" s="1029"/>
      <c r="F60" s="1029"/>
      <c r="G60" s="1029"/>
    </row>
    <row r="61" spans="1:9" ht="46.5" customHeight="1" x14ac:dyDescent="0.3">
      <c r="A61" s="1040" t="s">
        <v>654</v>
      </c>
      <c r="B61" s="1040"/>
      <c r="C61" s="1040"/>
      <c r="D61" s="1040"/>
      <c r="E61" s="1040"/>
      <c r="F61" s="1040"/>
      <c r="G61" s="1040"/>
      <c r="H61" s="592"/>
      <c r="I61" s="592"/>
    </row>
    <row r="62" spans="1:9" ht="45" customHeight="1" x14ac:dyDescent="0.3">
      <c r="A62" s="1048" t="s">
        <v>697</v>
      </c>
      <c r="B62" s="1048"/>
      <c r="C62" s="1048"/>
      <c r="D62" s="1048"/>
      <c r="E62" s="1048"/>
      <c r="F62" s="1048"/>
      <c r="G62" s="1048"/>
    </row>
    <row r="63" spans="1:9" ht="30" customHeight="1" x14ac:dyDescent="0.3">
      <c r="A63" s="1064" t="s">
        <v>693</v>
      </c>
      <c r="B63" s="1064"/>
      <c r="C63" s="1064"/>
      <c r="D63" s="1064"/>
      <c r="E63" s="1064"/>
      <c r="F63" s="1064"/>
      <c r="G63" s="339"/>
    </row>
    <row r="64" spans="1:9" ht="45" customHeight="1" x14ac:dyDescent="0.3">
      <c r="A64" s="1065" t="s">
        <v>694</v>
      </c>
      <c r="B64" s="1065"/>
      <c r="C64" s="1065"/>
      <c r="D64" s="1065"/>
      <c r="E64" s="1065"/>
      <c r="F64" s="1065"/>
      <c r="G64" s="339"/>
    </row>
    <row r="65" spans="1:1" x14ac:dyDescent="0.3">
      <c r="A65" s="562" t="s">
        <v>691</v>
      </c>
    </row>
  </sheetData>
  <sheetProtection algorithmName="SHA-512" hashValue="NA+Ood0QFxZtAhwJJfRW/M/JR3Dvy7+ETMUVfTg1xpIaRtB8YOiJhggi5mTpMHcwNobzdyxfRJi3ZuC7NH9a6Q==" saltValue="U0VeU5vusIZN/vnNrtzU7g==" spinCount="100000" sheet="1" scenarios="1" formatCells="0" sort="0" autoFilter="0" pivotTables="0"/>
  <mergeCells count="7">
    <mergeCell ref="A1:C1"/>
    <mergeCell ref="A61:G61"/>
    <mergeCell ref="A4:F4"/>
    <mergeCell ref="A63:F63"/>
    <mergeCell ref="A64:F64"/>
    <mergeCell ref="A62:G62"/>
    <mergeCell ref="A60:G60"/>
  </mergeCells>
  <hyperlinks>
    <hyperlink ref="A2" location="'Table of Contents'!A1" display="Back to Table of Contents" xr:uid="{00000000-0004-0000-5A00-000000000000}"/>
  </hyperlinks>
  <pageMargins left="0.70866141732283472" right="0.70866141732283472" top="0.74803149606299213" bottom="0.74803149606299213" header="0.31496062992125984" footer="0.31496062992125984"/>
  <pageSetup paperSize="9" scale="73" orientation="portrait" r:id="rId1"/>
  <drawing r:id="rId2"/>
  <extLst>
    <ext xmlns:x14="http://schemas.microsoft.com/office/spreadsheetml/2009/9/main" uri="{A8765BA9-456A-4dab-B4F3-ACF838C121DE}">
      <x14:slicerList>
        <x14:slicer r:id="rId3"/>
      </x14:slicerList>
    </ext>
  </extLst>
</worksheet>
</file>

<file path=xl/worksheets/sheet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tabColor theme="9" tint="0.39997558519241921"/>
  </sheetPr>
  <dimension ref="A1:D40"/>
  <sheetViews>
    <sheetView topLeftCell="A4" workbookViewId="0">
      <selection activeCell="H20" sqref="H20"/>
    </sheetView>
  </sheetViews>
  <sheetFormatPr defaultRowHeight="14.4" x14ac:dyDescent="0.3"/>
  <cols>
    <col min="1" max="1" width="22" bestFit="1" customWidth="1"/>
    <col min="2" max="2" width="13.88671875" bestFit="1" customWidth="1"/>
    <col min="3" max="3" width="11.77734375" bestFit="1" customWidth="1"/>
    <col min="4" max="4" width="11.6640625" bestFit="1" customWidth="1"/>
  </cols>
  <sheetData>
    <row r="1" spans="1:4" x14ac:dyDescent="0.3">
      <c r="A1" s="386" t="s">
        <v>208</v>
      </c>
      <c r="B1" t="s">
        <v>412</v>
      </c>
    </row>
    <row r="3" spans="1:4" x14ac:dyDescent="0.3">
      <c r="A3" s="386" t="s">
        <v>350</v>
      </c>
      <c r="B3" t="s">
        <v>738</v>
      </c>
      <c r="C3" t="s">
        <v>739</v>
      </c>
      <c r="D3" t="s">
        <v>356</v>
      </c>
    </row>
    <row r="4" spans="1:4" x14ac:dyDescent="0.3">
      <c r="A4" s="387" t="s">
        <v>513</v>
      </c>
    </row>
    <row r="5" spans="1:4" x14ac:dyDescent="0.3">
      <c r="A5" s="388" t="s">
        <v>626</v>
      </c>
      <c r="B5">
        <v>31.92</v>
      </c>
      <c r="C5">
        <v>8.58</v>
      </c>
      <c r="D5">
        <v>40.5</v>
      </c>
    </row>
    <row r="6" spans="1:4" x14ac:dyDescent="0.3">
      <c r="A6" s="388" t="s">
        <v>627</v>
      </c>
      <c r="B6">
        <v>68.78</v>
      </c>
      <c r="C6">
        <v>27.42</v>
      </c>
      <c r="D6">
        <v>96.2</v>
      </c>
    </row>
    <row r="7" spans="1:4" x14ac:dyDescent="0.3">
      <c r="A7" s="388" t="s">
        <v>623</v>
      </c>
      <c r="B7">
        <v>3</v>
      </c>
    </row>
    <row r="8" spans="1:4" x14ac:dyDescent="0.3">
      <c r="A8" s="388" t="s">
        <v>624</v>
      </c>
      <c r="B8">
        <v>5</v>
      </c>
      <c r="C8">
        <v>1</v>
      </c>
      <c r="D8">
        <v>6</v>
      </c>
    </row>
    <row r="9" spans="1:4" x14ac:dyDescent="0.3">
      <c r="A9" s="388" t="s">
        <v>625</v>
      </c>
      <c r="B9">
        <v>21</v>
      </c>
      <c r="C9">
        <v>3</v>
      </c>
      <c r="D9">
        <v>24</v>
      </c>
    </row>
    <row r="10" spans="1:4" x14ac:dyDescent="0.3">
      <c r="A10" s="388" t="s">
        <v>415</v>
      </c>
      <c r="B10">
        <v>2</v>
      </c>
    </row>
    <row r="11" spans="1:4" x14ac:dyDescent="0.3">
      <c r="A11" s="387" t="s">
        <v>742</v>
      </c>
      <c r="B11">
        <v>131.69999999999999</v>
      </c>
      <c r="C11">
        <v>40</v>
      </c>
      <c r="D11">
        <v>166.7</v>
      </c>
    </row>
    <row r="12" spans="1:4" x14ac:dyDescent="0.3">
      <c r="A12" s="387" t="s">
        <v>606</v>
      </c>
    </row>
    <row r="13" spans="1:4" x14ac:dyDescent="0.3">
      <c r="A13" s="388" t="s">
        <v>626</v>
      </c>
      <c r="B13">
        <v>27.53</v>
      </c>
      <c r="C13">
        <v>412.45</v>
      </c>
      <c r="D13">
        <v>439.98</v>
      </c>
    </row>
    <row r="14" spans="1:4" x14ac:dyDescent="0.3">
      <c r="A14" s="388" t="s">
        <v>627</v>
      </c>
      <c r="B14">
        <v>137.84</v>
      </c>
      <c r="C14">
        <v>1492.3999999999996</v>
      </c>
      <c r="D14">
        <v>1630.2399999999996</v>
      </c>
    </row>
    <row r="15" spans="1:4" x14ac:dyDescent="0.3">
      <c r="A15" s="388" t="s">
        <v>625</v>
      </c>
      <c r="B15">
        <v>10.69</v>
      </c>
      <c r="C15">
        <v>206.37000000000003</v>
      </c>
      <c r="D15">
        <v>217.06000000000003</v>
      </c>
    </row>
    <row r="16" spans="1:4" x14ac:dyDescent="0.3">
      <c r="A16" s="387" t="s">
        <v>743</v>
      </c>
      <c r="B16">
        <v>176.06</v>
      </c>
      <c r="C16">
        <v>2111.2199999999998</v>
      </c>
      <c r="D16">
        <v>2287.2799999999993</v>
      </c>
    </row>
    <row r="17" spans="1:4" x14ac:dyDescent="0.3">
      <c r="A17" s="387" t="s">
        <v>512</v>
      </c>
    </row>
    <row r="18" spans="1:4" x14ac:dyDescent="0.3">
      <c r="A18" s="388" t="s">
        <v>626</v>
      </c>
      <c r="C18">
        <v>3</v>
      </c>
    </row>
    <row r="19" spans="1:4" x14ac:dyDescent="0.3">
      <c r="A19" s="388" t="s">
        <v>625</v>
      </c>
      <c r="B19">
        <v>8</v>
      </c>
      <c r="C19">
        <v>47</v>
      </c>
      <c r="D19">
        <v>55</v>
      </c>
    </row>
    <row r="20" spans="1:4" x14ac:dyDescent="0.3">
      <c r="A20" s="387" t="s">
        <v>744</v>
      </c>
      <c r="B20">
        <v>8</v>
      </c>
      <c r="C20">
        <v>50</v>
      </c>
      <c r="D20">
        <v>55</v>
      </c>
    </row>
    <row r="21" spans="1:4" x14ac:dyDescent="0.3">
      <c r="A21" s="387" t="s">
        <v>514</v>
      </c>
    </row>
    <row r="22" spans="1:4" x14ac:dyDescent="0.3">
      <c r="A22" s="388" t="s">
        <v>684</v>
      </c>
      <c r="B22">
        <v>105.58</v>
      </c>
      <c r="C22">
        <v>11.41</v>
      </c>
      <c r="D22">
        <v>116.99</v>
      </c>
    </row>
    <row r="23" spans="1:4" x14ac:dyDescent="0.3">
      <c r="A23" s="388" t="s">
        <v>678</v>
      </c>
      <c r="B23">
        <v>2</v>
      </c>
      <c r="C23">
        <v>1</v>
      </c>
      <c r="D23">
        <v>3</v>
      </c>
    </row>
    <row r="24" spans="1:4" x14ac:dyDescent="0.3">
      <c r="A24" s="388" t="s">
        <v>681</v>
      </c>
      <c r="B24">
        <v>48.32</v>
      </c>
      <c r="C24">
        <v>34</v>
      </c>
      <c r="D24">
        <v>82.32</v>
      </c>
    </row>
    <row r="25" spans="1:4" x14ac:dyDescent="0.3">
      <c r="A25" s="388" t="s">
        <v>679</v>
      </c>
      <c r="B25">
        <v>46.37</v>
      </c>
      <c r="C25">
        <v>53.6</v>
      </c>
      <c r="D25">
        <v>99.97</v>
      </c>
    </row>
    <row r="26" spans="1:4" x14ac:dyDescent="0.3">
      <c r="A26" s="388" t="s">
        <v>682</v>
      </c>
      <c r="B26">
        <v>198.26000000000002</v>
      </c>
      <c r="C26">
        <v>248.56000000000003</v>
      </c>
      <c r="D26">
        <v>446.82000000000005</v>
      </c>
    </row>
    <row r="27" spans="1:4" x14ac:dyDescent="0.3">
      <c r="A27" s="388" t="s">
        <v>680</v>
      </c>
      <c r="B27">
        <v>29.689999999999998</v>
      </c>
      <c r="C27">
        <v>15</v>
      </c>
      <c r="D27">
        <v>44.69</v>
      </c>
    </row>
    <row r="28" spans="1:4" x14ac:dyDescent="0.3">
      <c r="A28" s="388" t="s">
        <v>683</v>
      </c>
      <c r="B28">
        <v>14.419999999999998</v>
      </c>
      <c r="C28">
        <v>43.800000000000004</v>
      </c>
      <c r="D28">
        <v>58.22</v>
      </c>
    </row>
    <row r="29" spans="1:4" x14ac:dyDescent="0.3">
      <c r="A29" s="387" t="s">
        <v>745</v>
      </c>
      <c r="B29">
        <v>444.64000000000004</v>
      </c>
      <c r="C29">
        <v>407.37000000000006</v>
      </c>
      <c r="D29">
        <v>852.01</v>
      </c>
    </row>
    <row r="30" spans="1:4" x14ac:dyDescent="0.3">
      <c r="A30" s="387" t="s">
        <v>629</v>
      </c>
    </row>
    <row r="31" spans="1:4" x14ac:dyDescent="0.3">
      <c r="A31" s="388" t="s">
        <v>622</v>
      </c>
      <c r="B31">
        <v>1</v>
      </c>
      <c r="C31">
        <v>26</v>
      </c>
      <c r="D31">
        <v>27</v>
      </c>
    </row>
    <row r="32" spans="1:4" x14ac:dyDescent="0.3">
      <c r="A32" s="388" t="s">
        <v>621</v>
      </c>
      <c r="C32">
        <v>5</v>
      </c>
    </row>
    <row r="33" spans="1:4" x14ac:dyDescent="0.3">
      <c r="A33" s="388" t="s">
        <v>626</v>
      </c>
      <c r="B33">
        <v>35</v>
      </c>
      <c r="C33">
        <v>605.80999999999995</v>
      </c>
      <c r="D33">
        <v>640.80999999999995</v>
      </c>
    </row>
    <row r="34" spans="1:4" x14ac:dyDescent="0.3">
      <c r="A34" s="388" t="s">
        <v>627</v>
      </c>
      <c r="B34">
        <v>143.32999999999998</v>
      </c>
      <c r="C34">
        <v>1752.48</v>
      </c>
      <c r="D34">
        <v>1895.81</v>
      </c>
    </row>
    <row r="35" spans="1:4" x14ac:dyDescent="0.3">
      <c r="A35" s="388" t="s">
        <v>623</v>
      </c>
      <c r="B35">
        <v>8</v>
      </c>
      <c r="C35">
        <v>64</v>
      </c>
      <c r="D35">
        <v>72</v>
      </c>
    </row>
    <row r="36" spans="1:4" x14ac:dyDescent="0.3">
      <c r="A36" s="388" t="s">
        <v>624</v>
      </c>
      <c r="B36">
        <v>6</v>
      </c>
      <c r="C36">
        <v>154</v>
      </c>
      <c r="D36">
        <v>160</v>
      </c>
    </row>
    <row r="37" spans="1:4" x14ac:dyDescent="0.3">
      <c r="A37" s="388" t="s">
        <v>625</v>
      </c>
      <c r="B37">
        <v>35</v>
      </c>
      <c r="C37">
        <v>589.77</v>
      </c>
      <c r="D37">
        <v>624.77</v>
      </c>
    </row>
    <row r="38" spans="1:4" x14ac:dyDescent="0.3">
      <c r="A38" s="388" t="s">
        <v>415</v>
      </c>
      <c r="C38">
        <v>2</v>
      </c>
    </row>
    <row r="39" spans="1:4" x14ac:dyDescent="0.3">
      <c r="A39" s="387" t="s">
        <v>747</v>
      </c>
      <c r="B39">
        <v>228.32999999999998</v>
      </c>
      <c r="C39">
        <v>3199.06</v>
      </c>
      <c r="D39">
        <v>3420.39</v>
      </c>
    </row>
    <row r="40" spans="1:4" x14ac:dyDescent="0.3">
      <c r="A40" s="387" t="s">
        <v>357</v>
      </c>
      <c r="B40">
        <v>988.73</v>
      </c>
      <c r="C40">
        <v>5807.65</v>
      </c>
      <c r="D40">
        <v>6781.3799999999992</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tabColor theme="9" tint="0.39997558519241921"/>
  </sheetPr>
  <dimension ref="A1:F308"/>
  <sheetViews>
    <sheetView topLeftCell="A259" workbookViewId="0">
      <selection activeCell="C301" sqref="C301"/>
    </sheetView>
  </sheetViews>
  <sheetFormatPr defaultRowHeight="14.4" x14ac:dyDescent="0.3"/>
  <cols>
    <col min="1" max="1" width="7.6640625" bestFit="1" customWidth="1"/>
    <col min="2" max="2" width="11.88671875" bestFit="1" customWidth="1"/>
    <col min="3" max="3" width="17.88671875" bestFit="1" customWidth="1"/>
    <col min="4" max="6" width="12" bestFit="1" customWidth="1"/>
  </cols>
  <sheetData>
    <row r="1" spans="1:6" x14ac:dyDescent="0.3">
      <c r="A1" t="s">
        <v>208</v>
      </c>
      <c r="B1" t="s">
        <v>620</v>
      </c>
      <c r="C1" t="s">
        <v>748</v>
      </c>
      <c r="D1" t="s">
        <v>340</v>
      </c>
      <c r="E1" t="s">
        <v>733</v>
      </c>
      <c r="F1" t="s">
        <v>734</v>
      </c>
    </row>
    <row r="2" spans="1:6" x14ac:dyDescent="0.3">
      <c r="A2" t="s">
        <v>364</v>
      </c>
      <c r="B2" t="s">
        <v>513</v>
      </c>
      <c r="C2" t="s">
        <v>627</v>
      </c>
      <c r="D2">
        <v>94.39</v>
      </c>
      <c r="E2">
        <v>85.39</v>
      </c>
      <c r="F2">
        <v>9</v>
      </c>
    </row>
    <row r="3" spans="1:6" x14ac:dyDescent="0.3">
      <c r="A3" t="s">
        <v>364</v>
      </c>
      <c r="B3" t="s">
        <v>606</v>
      </c>
      <c r="C3" t="s">
        <v>626</v>
      </c>
      <c r="D3">
        <v>489.46</v>
      </c>
      <c r="E3">
        <v>17.760000000000002</v>
      </c>
      <c r="F3">
        <v>471.7</v>
      </c>
    </row>
    <row r="4" spans="1:6" x14ac:dyDescent="0.3">
      <c r="A4" t="s">
        <v>364</v>
      </c>
      <c r="B4" t="s">
        <v>629</v>
      </c>
      <c r="C4" t="s">
        <v>623</v>
      </c>
      <c r="D4">
        <v>115</v>
      </c>
      <c r="E4">
        <v>3</v>
      </c>
      <c r="F4">
        <v>112</v>
      </c>
    </row>
    <row r="5" spans="1:6" x14ac:dyDescent="0.3">
      <c r="A5" t="s">
        <v>364</v>
      </c>
      <c r="B5" t="s">
        <v>629</v>
      </c>
      <c r="C5" t="s">
        <v>625</v>
      </c>
      <c r="D5">
        <v>679</v>
      </c>
      <c r="E5">
        <v>22</v>
      </c>
      <c r="F5">
        <v>657</v>
      </c>
    </row>
    <row r="6" spans="1:6" x14ac:dyDescent="0.3">
      <c r="A6" t="s">
        <v>365</v>
      </c>
      <c r="B6" t="s">
        <v>514</v>
      </c>
      <c r="C6" t="s">
        <v>678</v>
      </c>
      <c r="D6">
        <v>2</v>
      </c>
      <c r="E6">
        <v>2</v>
      </c>
      <c r="F6">
        <v>0</v>
      </c>
    </row>
    <row r="7" spans="1:6" x14ac:dyDescent="0.3">
      <c r="A7" t="s">
        <v>365</v>
      </c>
      <c r="B7" t="s">
        <v>629</v>
      </c>
      <c r="C7" t="s">
        <v>627</v>
      </c>
      <c r="D7">
        <v>2285</v>
      </c>
      <c r="E7">
        <v>109</v>
      </c>
      <c r="F7">
        <v>2176</v>
      </c>
    </row>
    <row r="8" spans="1:6" x14ac:dyDescent="0.3">
      <c r="A8" t="s">
        <v>365</v>
      </c>
      <c r="B8" t="s">
        <v>629</v>
      </c>
      <c r="C8" t="s">
        <v>624</v>
      </c>
      <c r="D8">
        <v>130</v>
      </c>
      <c r="E8">
        <v>1</v>
      </c>
      <c r="F8">
        <v>129</v>
      </c>
    </row>
    <row r="9" spans="1:6" x14ac:dyDescent="0.3">
      <c r="A9" t="s">
        <v>366</v>
      </c>
      <c r="B9" t="s">
        <v>513</v>
      </c>
      <c r="C9" t="s">
        <v>624</v>
      </c>
      <c r="D9">
        <v>6.8333333333333339</v>
      </c>
      <c r="E9">
        <v>6.8333333333333339</v>
      </c>
    </row>
    <row r="10" spans="1:6" x14ac:dyDescent="0.3">
      <c r="A10" t="s">
        <v>366</v>
      </c>
      <c r="B10" t="s">
        <v>606</v>
      </c>
      <c r="C10" t="s">
        <v>627</v>
      </c>
      <c r="D10">
        <v>1792.8328571428574</v>
      </c>
      <c r="E10">
        <v>116.4</v>
      </c>
      <c r="F10">
        <v>1676.4328571428573</v>
      </c>
    </row>
    <row r="11" spans="1:6" x14ac:dyDescent="0.3">
      <c r="A11" t="s">
        <v>366</v>
      </c>
      <c r="B11" t="s">
        <v>514</v>
      </c>
      <c r="C11" t="s">
        <v>679</v>
      </c>
      <c r="D11">
        <v>40</v>
      </c>
      <c r="E11">
        <v>15</v>
      </c>
      <c r="F11">
        <v>25</v>
      </c>
    </row>
    <row r="12" spans="1:6" x14ac:dyDescent="0.3">
      <c r="A12" t="s">
        <v>366</v>
      </c>
      <c r="B12" t="s">
        <v>514</v>
      </c>
      <c r="C12" t="s">
        <v>682</v>
      </c>
      <c r="D12">
        <v>303.60857142857139</v>
      </c>
      <c r="E12">
        <v>95.918571428571425</v>
      </c>
      <c r="F12">
        <v>207.69</v>
      </c>
    </row>
    <row r="13" spans="1:6" x14ac:dyDescent="0.3">
      <c r="A13" t="s">
        <v>366</v>
      </c>
      <c r="B13" t="s">
        <v>514</v>
      </c>
      <c r="C13" t="s">
        <v>683</v>
      </c>
      <c r="D13">
        <v>122.20028571428573</v>
      </c>
      <c r="E13">
        <v>57.195428571428593</v>
      </c>
      <c r="F13">
        <v>65.004857142857134</v>
      </c>
    </row>
    <row r="14" spans="1:6" x14ac:dyDescent="0.3">
      <c r="A14" t="s">
        <v>366</v>
      </c>
      <c r="B14" t="s">
        <v>629</v>
      </c>
      <c r="C14" t="s">
        <v>621</v>
      </c>
      <c r="D14">
        <v>4</v>
      </c>
      <c r="E14">
        <v>0</v>
      </c>
      <c r="F14">
        <v>4</v>
      </c>
    </row>
    <row r="15" spans="1:6" x14ac:dyDescent="0.3">
      <c r="A15" t="s">
        <v>341</v>
      </c>
      <c r="B15" t="s">
        <v>513</v>
      </c>
      <c r="C15" t="s">
        <v>623</v>
      </c>
      <c r="D15">
        <v>5</v>
      </c>
      <c r="E15">
        <v>4</v>
      </c>
      <c r="F15">
        <v>1</v>
      </c>
    </row>
    <row r="16" spans="1:6" x14ac:dyDescent="0.3">
      <c r="A16" t="s">
        <v>341</v>
      </c>
      <c r="B16" t="s">
        <v>513</v>
      </c>
      <c r="C16" t="s">
        <v>625</v>
      </c>
      <c r="D16">
        <v>40.85</v>
      </c>
      <c r="E16">
        <v>34.85</v>
      </c>
      <c r="F16">
        <v>6</v>
      </c>
    </row>
    <row r="17" spans="1:6" x14ac:dyDescent="0.3">
      <c r="A17" t="s">
        <v>341</v>
      </c>
      <c r="B17" t="s">
        <v>606</v>
      </c>
      <c r="C17" t="s">
        <v>626</v>
      </c>
      <c r="D17">
        <v>502.68</v>
      </c>
      <c r="E17">
        <v>15.5</v>
      </c>
      <c r="F17">
        <v>487.18</v>
      </c>
    </row>
    <row r="18" spans="1:6" x14ac:dyDescent="0.3">
      <c r="A18" t="s">
        <v>341</v>
      </c>
      <c r="B18" t="s">
        <v>514</v>
      </c>
      <c r="C18" t="s">
        <v>681</v>
      </c>
      <c r="D18">
        <v>75.62</v>
      </c>
      <c r="E18">
        <v>55</v>
      </c>
      <c r="F18">
        <v>20.62</v>
      </c>
    </row>
    <row r="19" spans="1:6" x14ac:dyDescent="0.3">
      <c r="A19" t="s">
        <v>342</v>
      </c>
      <c r="B19" t="s">
        <v>514</v>
      </c>
      <c r="C19" t="s">
        <v>683</v>
      </c>
      <c r="D19">
        <v>110.41</v>
      </c>
      <c r="E19">
        <v>52.13</v>
      </c>
      <c r="F19">
        <v>58.28</v>
      </c>
    </row>
    <row r="20" spans="1:6" x14ac:dyDescent="0.3">
      <c r="A20" t="s">
        <v>342</v>
      </c>
      <c r="B20" t="s">
        <v>629</v>
      </c>
      <c r="C20" t="s">
        <v>626</v>
      </c>
      <c r="D20">
        <v>689</v>
      </c>
      <c r="E20">
        <v>26</v>
      </c>
      <c r="F20">
        <v>663</v>
      </c>
    </row>
    <row r="21" spans="1:6" x14ac:dyDescent="0.3">
      <c r="A21" t="s">
        <v>342</v>
      </c>
      <c r="B21" t="s">
        <v>629</v>
      </c>
      <c r="C21" t="s">
        <v>624</v>
      </c>
      <c r="D21">
        <v>153</v>
      </c>
      <c r="E21">
        <v>2</v>
      </c>
      <c r="F21">
        <v>151</v>
      </c>
    </row>
    <row r="22" spans="1:6" x14ac:dyDescent="0.3">
      <c r="A22" t="s">
        <v>213</v>
      </c>
      <c r="B22" t="s">
        <v>513</v>
      </c>
      <c r="C22" t="s">
        <v>624</v>
      </c>
      <c r="D22">
        <v>9</v>
      </c>
      <c r="E22">
        <v>8</v>
      </c>
      <c r="F22">
        <v>1</v>
      </c>
    </row>
    <row r="23" spans="1:6" x14ac:dyDescent="0.3">
      <c r="A23" t="s">
        <v>213</v>
      </c>
      <c r="B23" t="s">
        <v>512</v>
      </c>
      <c r="C23" t="s">
        <v>749</v>
      </c>
      <c r="D23">
        <v>18</v>
      </c>
      <c r="E23">
        <v>1</v>
      </c>
      <c r="F23">
        <v>17</v>
      </c>
    </row>
    <row r="24" spans="1:6" x14ac:dyDescent="0.3">
      <c r="A24" t="s">
        <v>312</v>
      </c>
      <c r="B24" t="s">
        <v>629</v>
      </c>
      <c r="C24" t="s">
        <v>626</v>
      </c>
      <c r="D24">
        <v>688</v>
      </c>
      <c r="E24">
        <v>31</v>
      </c>
      <c r="F24">
        <v>657</v>
      </c>
    </row>
    <row r="25" spans="1:6" x14ac:dyDescent="0.3">
      <c r="A25" t="s">
        <v>312</v>
      </c>
      <c r="B25" t="s">
        <v>629</v>
      </c>
      <c r="C25" t="s">
        <v>627</v>
      </c>
      <c r="D25">
        <v>2067.9299999999998</v>
      </c>
      <c r="E25">
        <v>152.93</v>
      </c>
      <c r="F25">
        <v>1915</v>
      </c>
    </row>
    <row r="26" spans="1:6" x14ac:dyDescent="0.3">
      <c r="A26" t="s">
        <v>318</v>
      </c>
      <c r="B26" t="s">
        <v>606</v>
      </c>
      <c r="C26" t="s">
        <v>626</v>
      </c>
      <c r="D26">
        <v>461.93</v>
      </c>
      <c r="E26">
        <v>14</v>
      </c>
      <c r="F26">
        <v>447.93</v>
      </c>
    </row>
    <row r="27" spans="1:6" x14ac:dyDescent="0.3">
      <c r="A27" t="s">
        <v>318</v>
      </c>
      <c r="B27" t="s">
        <v>606</v>
      </c>
      <c r="C27" t="s">
        <v>627</v>
      </c>
      <c r="D27">
        <v>1784.5500000000002</v>
      </c>
      <c r="E27">
        <v>143.4</v>
      </c>
      <c r="F27">
        <v>1641.15</v>
      </c>
    </row>
    <row r="28" spans="1:6" x14ac:dyDescent="0.3">
      <c r="A28" t="s">
        <v>318</v>
      </c>
      <c r="B28" t="s">
        <v>514</v>
      </c>
      <c r="C28" t="s">
        <v>678</v>
      </c>
      <c r="D28">
        <v>3</v>
      </c>
      <c r="E28">
        <v>2</v>
      </c>
      <c r="F28">
        <v>1</v>
      </c>
    </row>
    <row r="29" spans="1:6" x14ac:dyDescent="0.3">
      <c r="A29" t="s">
        <v>318</v>
      </c>
      <c r="B29" t="s">
        <v>629</v>
      </c>
      <c r="C29" t="s">
        <v>623</v>
      </c>
      <c r="D29">
        <v>79</v>
      </c>
      <c r="E29">
        <v>2</v>
      </c>
      <c r="F29">
        <v>77</v>
      </c>
    </row>
    <row r="30" spans="1:6" x14ac:dyDescent="0.3">
      <c r="A30" t="s">
        <v>320</v>
      </c>
      <c r="B30" t="s">
        <v>513</v>
      </c>
      <c r="C30" t="s">
        <v>627</v>
      </c>
      <c r="D30">
        <v>86.460000000000008</v>
      </c>
      <c r="E30">
        <v>72.460000000000008</v>
      </c>
      <c r="F30">
        <v>14</v>
      </c>
    </row>
    <row r="31" spans="1:6" x14ac:dyDescent="0.3">
      <c r="A31" t="s">
        <v>320</v>
      </c>
      <c r="B31" t="s">
        <v>514</v>
      </c>
      <c r="C31" t="s">
        <v>679</v>
      </c>
      <c r="D31">
        <v>57</v>
      </c>
      <c r="E31">
        <v>25</v>
      </c>
      <c r="F31">
        <v>32</v>
      </c>
    </row>
    <row r="32" spans="1:6" x14ac:dyDescent="0.3">
      <c r="A32" t="s">
        <v>325</v>
      </c>
      <c r="B32" t="s">
        <v>629</v>
      </c>
      <c r="C32" t="s">
        <v>627</v>
      </c>
      <c r="D32">
        <v>1969.43</v>
      </c>
      <c r="E32">
        <v>143.93</v>
      </c>
      <c r="F32">
        <v>1825.5</v>
      </c>
    </row>
    <row r="33" spans="1:6" x14ac:dyDescent="0.3">
      <c r="A33" t="s">
        <v>326</v>
      </c>
      <c r="B33" t="s">
        <v>512</v>
      </c>
      <c r="C33" t="s">
        <v>625</v>
      </c>
      <c r="D33">
        <v>53</v>
      </c>
      <c r="E33">
        <v>8</v>
      </c>
      <c r="F33">
        <v>45</v>
      </c>
    </row>
    <row r="34" spans="1:6" x14ac:dyDescent="0.3">
      <c r="A34" t="s">
        <v>326</v>
      </c>
      <c r="B34" t="s">
        <v>514</v>
      </c>
      <c r="C34" t="s">
        <v>678</v>
      </c>
      <c r="D34">
        <v>3</v>
      </c>
      <c r="E34">
        <v>2</v>
      </c>
      <c r="F34">
        <v>1</v>
      </c>
    </row>
    <row r="35" spans="1:6" x14ac:dyDescent="0.3">
      <c r="A35" t="s">
        <v>328</v>
      </c>
      <c r="B35" t="s">
        <v>513</v>
      </c>
      <c r="C35" t="s">
        <v>622</v>
      </c>
      <c r="E35">
        <v>1</v>
      </c>
    </row>
    <row r="36" spans="1:6" x14ac:dyDescent="0.3">
      <c r="A36" t="s">
        <v>328</v>
      </c>
      <c r="B36" t="s">
        <v>514</v>
      </c>
      <c r="C36" t="s">
        <v>684</v>
      </c>
      <c r="D36">
        <v>129.11999999999998</v>
      </c>
      <c r="E36">
        <v>116.24999999999999</v>
      </c>
      <c r="F36">
        <v>12.870000000000001</v>
      </c>
    </row>
    <row r="37" spans="1:6" x14ac:dyDescent="0.3">
      <c r="A37" t="s">
        <v>412</v>
      </c>
      <c r="B37" t="s">
        <v>606</v>
      </c>
      <c r="C37" t="s">
        <v>627</v>
      </c>
      <c r="D37">
        <v>1630.2399999999996</v>
      </c>
      <c r="E37">
        <v>137.84</v>
      </c>
      <c r="F37">
        <v>1492.3999999999996</v>
      </c>
    </row>
    <row r="38" spans="1:6" x14ac:dyDescent="0.3">
      <c r="A38" t="s">
        <v>412</v>
      </c>
      <c r="B38" t="s">
        <v>629</v>
      </c>
      <c r="C38" t="s">
        <v>624</v>
      </c>
      <c r="D38">
        <v>160</v>
      </c>
      <c r="E38">
        <v>6</v>
      </c>
      <c r="F38">
        <v>154</v>
      </c>
    </row>
    <row r="39" spans="1:6" x14ac:dyDescent="0.3">
      <c r="A39" t="s">
        <v>364</v>
      </c>
      <c r="B39" t="s">
        <v>629</v>
      </c>
      <c r="C39" t="s">
        <v>621</v>
      </c>
      <c r="D39">
        <v>9</v>
      </c>
      <c r="F39">
        <v>9</v>
      </c>
    </row>
    <row r="40" spans="1:6" x14ac:dyDescent="0.3">
      <c r="A40" t="s">
        <v>364</v>
      </c>
      <c r="B40" t="s">
        <v>629</v>
      </c>
      <c r="C40" t="s">
        <v>626</v>
      </c>
      <c r="D40">
        <v>660</v>
      </c>
      <c r="E40">
        <v>26</v>
      </c>
      <c r="F40">
        <v>634</v>
      </c>
    </row>
    <row r="41" spans="1:6" x14ac:dyDescent="0.3">
      <c r="A41" t="s">
        <v>365</v>
      </c>
      <c r="B41" t="s">
        <v>513</v>
      </c>
      <c r="C41" t="s">
        <v>626</v>
      </c>
      <c r="D41">
        <v>50.79</v>
      </c>
      <c r="E41">
        <v>42.79</v>
      </c>
      <c r="F41">
        <v>8</v>
      </c>
    </row>
    <row r="42" spans="1:6" x14ac:dyDescent="0.3">
      <c r="A42" t="s">
        <v>365</v>
      </c>
      <c r="B42" t="s">
        <v>514</v>
      </c>
      <c r="C42" t="s">
        <v>682</v>
      </c>
      <c r="D42">
        <v>325.23</v>
      </c>
      <c r="E42">
        <v>94.63</v>
      </c>
      <c r="F42">
        <v>230.60000000000002</v>
      </c>
    </row>
    <row r="43" spans="1:6" x14ac:dyDescent="0.3">
      <c r="A43" t="s">
        <v>366</v>
      </c>
      <c r="B43" t="s">
        <v>513</v>
      </c>
      <c r="C43" t="s">
        <v>626</v>
      </c>
      <c r="D43">
        <v>43</v>
      </c>
      <c r="E43">
        <v>38</v>
      </c>
      <c r="F43">
        <v>5</v>
      </c>
    </row>
    <row r="44" spans="1:6" x14ac:dyDescent="0.3">
      <c r="A44" t="s">
        <v>366</v>
      </c>
      <c r="B44" t="s">
        <v>513</v>
      </c>
      <c r="C44" t="s">
        <v>623</v>
      </c>
      <c r="D44">
        <v>6</v>
      </c>
      <c r="E44">
        <v>4</v>
      </c>
      <c r="F44">
        <v>2</v>
      </c>
    </row>
    <row r="45" spans="1:6" x14ac:dyDescent="0.3">
      <c r="A45" t="s">
        <v>341</v>
      </c>
      <c r="B45" t="s">
        <v>513</v>
      </c>
      <c r="C45" t="s">
        <v>624</v>
      </c>
      <c r="D45">
        <v>8</v>
      </c>
      <c r="E45">
        <v>7</v>
      </c>
      <c r="F45">
        <v>1</v>
      </c>
    </row>
    <row r="46" spans="1:6" x14ac:dyDescent="0.3">
      <c r="A46" t="s">
        <v>341</v>
      </c>
      <c r="B46" t="s">
        <v>606</v>
      </c>
      <c r="C46" t="s">
        <v>625</v>
      </c>
      <c r="D46">
        <v>247.25</v>
      </c>
      <c r="E46">
        <v>15.75</v>
      </c>
      <c r="F46">
        <v>231.5</v>
      </c>
    </row>
    <row r="47" spans="1:6" x14ac:dyDescent="0.3">
      <c r="A47" t="s">
        <v>341</v>
      </c>
      <c r="B47" t="s">
        <v>629</v>
      </c>
      <c r="C47" t="s">
        <v>622</v>
      </c>
      <c r="F47">
        <v>34</v>
      </c>
    </row>
    <row r="48" spans="1:6" x14ac:dyDescent="0.3">
      <c r="A48" t="s">
        <v>342</v>
      </c>
      <c r="B48" t="s">
        <v>513</v>
      </c>
      <c r="C48" t="s">
        <v>623</v>
      </c>
      <c r="D48">
        <v>5</v>
      </c>
      <c r="E48">
        <v>4</v>
      </c>
      <c r="F48">
        <v>1</v>
      </c>
    </row>
    <row r="49" spans="1:6" x14ac:dyDescent="0.3">
      <c r="A49" t="s">
        <v>342</v>
      </c>
      <c r="B49" t="s">
        <v>513</v>
      </c>
      <c r="C49" t="s">
        <v>624</v>
      </c>
      <c r="D49">
        <v>8</v>
      </c>
      <c r="E49">
        <v>7</v>
      </c>
      <c r="F49">
        <v>1</v>
      </c>
    </row>
    <row r="50" spans="1:6" x14ac:dyDescent="0.3">
      <c r="A50" t="s">
        <v>342</v>
      </c>
      <c r="B50" t="s">
        <v>513</v>
      </c>
      <c r="C50" t="s">
        <v>625</v>
      </c>
      <c r="D50">
        <v>43</v>
      </c>
      <c r="E50">
        <v>36</v>
      </c>
      <c r="F50">
        <v>7</v>
      </c>
    </row>
    <row r="51" spans="1:6" x14ac:dyDescent="0.3">
      <c r="A51" t="s">
        <v>342</v>
      </c>
      <c r="B51" t="s">
        <v>606</v>
      </c>
      <c r="C51" t="s">
        <v>626</v>
      </c>
      <c r="D51">
        <v>477.18</v>
      </c>
      <c r="E51">
        <v>18.25</v>
      </c>
      <c r="F51">
        <v>458.93</v>
      </c>
    </row>
    <row r="52" spans="1:6" x14ac:dyDescent="0.3">
      <c r="A52" t="s">
        <v>342</v>
      </c>
      <c r="B52" t="s">
        <v>629</v>
      </c>
      <c r="C52" t="s">
        <v>621</v>
      </c>
      <c r="D52">
        <v>4</v>
      </c>
      <c r="F52">
        <v>4</v>
      </c>
    </row>
    <row r="53" spans="1:6" x14ac:dyDescent="0.3">
      <c r="A53" t="s">
        <v>342</v>
      </c>
      <c r="B53" t="s">
        <v>629</v>
      </c>
      <c r="C53" t="s">
        <v>623</v>
      </c>
      <c r="D53">
        <v>74</v>
      </c>
      <c r="E53">
        <v>2</v>
      </c>
      <c r="F53">
        <v>72</v>
      </c>
    </row>
    <row r="54" spans="1:6" x14ac:dyDescent="0.3">
      <c r="A54" t="s">
        <v>342</v>
      </c>
      <c r="B54" t="s">
        <v>629</v>
      </c>
      <c r="C54" t="s">
        <v>625</v>
      </c>
      <c r="D54">
        <v>602</v>
      </c>
      <c r="E54">
        <v>31</v>
      </c>
      <c r="F54">
        <v>571</v>
      </c>
    </row>
    <row r="55" spans="1:6" x14ac:dyDescent="0.3">
      <c r="A55" t="s">
        <v>213</v>
      </c>
      <c r="B55" t="s">
        <v>513</v>
      </c>
      <c r="C55" t="s">
        <v>626</v>
      </c>
      <c r="D55">
        <v>27</v>
      </c>
      <c r="E55">
        <v>21</v>
      </c>
      <c r="F55">
        <v>6</v>
      </c>
    </row>
    <row r="56" spans="1:6" x14ac:dyDescent="0.3">
      <c r="A56" t="s">
        <v>213</v>
      </c>
      <c r="B56" t="s">
        <v>513</v>
      </c>
      <c r="C56" t="s">
        <v>625</v>
      </c>
      <c r="D56">
        <v>42</v>
      </c>
      <c r="E56">
        <v>36</v>
      </c>
      <c r="F56">
        <v>6</v>
      </c>
    </row>
    <row r="57" spans="1:6" x14ac:dyDescent="0.3">
      <c r="A57" t="s">
        <v>213</v>
      </c>
      <c r="B57" t="s">
        <v>606</v>
      </c>
      <c r="C57" t="s">
        <v>626</v>
      </c>
      <c r="D57">
        <v>478.93</v>
      </c>
      <c r="E57">
        <v>19</v>
      </c>
      <c r="F57">
        <v>459.93</v>
      </c>
    </row>
    <row r="58" spans="1:6" x14ac:dyDescent="0.3">
      <c r="A58" t="s">
        <v>213</v>
      </c>
      <c r="B58" t="s">
        <v>606</v>
      </c>
      <c r="C58" t="s">
        <v>625</v>
      </c>
      <c r="D58">
        <v>241.25</v>
      </c>
      <c r="E58">
        <v>12.5</v>
      </c>
      <c r="F58">
        <v>228.75</v>
      </c>
    </row>
    <row r="59" spans="1:6" x14ac:dyDescent="0.3">
      <c r="A59" t="s">
        <v>213</v>
      </c>
      <c r="B59" t="s">
        <v>629</v>
      </c>
      <c r="C59" t="s">
        <v>627</v>
      </c>
      <c r="D59">
        <v>2073.9299999999998</v>
      </c>
      <c r="E59">
        <v>130.93</v>
      </c>
      <c r="F59">
        <v>1943</v>
      </c>
    </row>
    <row r="60" spans="1:6" x14ac:dyDescent="0.3">
      <c r="A60" t="s">
        <v>312</v>
      </c>
      <c r="B60" t="s">
        <v>514</v>
      </c>
      <c r="C60" t="s">
        <v>679</v>
      </c>
      <c r="D60">
        <v>47</v>
      </c>
      <c r="E60">
        <v>14</v>
      </c>
      <c r="F60">
        <v>33</v>
      </c>
    </row>
    <row r="61" spans="1:6" x14ac:dyDescent="0.3">
      <c r="A61" t="s">
        <v>312</v>
      </c>
      <c r="B61" t="s">
        <v>514</v>
      </c>
      <c r="C61" t="s">
        <v>682</v>
      </c>
      <c r="D61">
        <v>382.5</v>
      </c>
      <c r="E61">
        <v>142.84000000000003</v>
      </c>
      <c r="F61">
        <v>239.65999999999997</v>
      </c>
    </row>
    <row r="62" spans="1:6" x14ac:dyDescent="0.3">
      <c r="A62" t="s">
        <v>312</v>
      </c>
      <c r="B62" t="s">
        <v>514</v>
      </c>
      <c r="C62" t="s">
        <v>680</v>
      </c>
      <c r="D62">
        <v>32</v>
      </c>
      <c r="E62">
        <v>20</v>
      </c>
      <c r="F62">
        <v>12</v>
      </c>
    </row>
    <row r="63" spans="1:6" x14ac:dyDescent="0.3">
      <c r="A63" t="s">
        <v>312</v>
      </c>
      <c r="B63" t="s">
        <v>629</v>
      </c>
      <c r="C63" t="s">
        <v>621</v>
      </c>
      <c r="F63">
        <v>6</v>
      </c>
    </row>
    <row r="64" spans="1:6" x14ac:dyDescent="0.3">
      <c r="A64" t="s">
        <v>318</v>
      </c>
      <c r="B64" t="s">
        <v>512</v>
      </c>
      <c r="C64" t="s">
        <v>625</v>
      </c>
      <c r="D64">
        <v>54</v>
      </c>
      <c r="E64">
        <v>11</v>
      </c>
      <c r="F64">
        <v>43</v>
      </c>
    </row>
    <row r="65" spans="1:6" x14ac:dyDescent="0.3">
      <c r="A65" t="s">
        <v>318</v>
      </c>
      <c r="B65" t="s">
        <v>514</v>
      </c>
      <c r="C65" t="s">
        <v>680</v>
      </c>
      <c r="D65">
        <v>30</v>
      </c>
      <c r="E65">
        <v>19</v>
      </c>
      <c r="F65">
        <v>11</v>
      </c>
    </row>
    <row r="66" spans="1:6" x14ac:dyDescent="0.3">
      <c r="A66" t="s">
        <v>318</v>
      </c>
      <c r="B66" t="s">
        <v>629</v>
      </c>
      <c r="C66" t="s">
        <v>624</v>
      </c>
      <c r="D66">
        <v>152</v>
      </c>
      <c r="E66">
        <v>7</v>
      </c>
      <c r="F66">
        <v>145</v>
      </c>
    </row>
    <row r="67" spans="1:6" x14ac:dyDescent="0.3">
      <c r="A67" t="s">
        <v>320</v>
      </c>
      <c r="B67" t="s">
        <v>606</v>
      </c>
      <c r="C67" t="s">
        <v>626</v>
      </c>
      <c r="D67">
        <v>461.28999999999996</v>
      </c>
      <c r="E67">
        <v>14.5</v>
      </c>
      <c r="F67">
        <v>446.78999999999996</v>
      </c>
    </row>
    <row r="68" spans="1:6" x14ac:dyDescent="0.3">
      <c r="A68" t="s">
        <v>320</v>
      </c>
      <c r="B68" t="s">
        <v>606</v>
      </c>
      <c r="C68" t="s">
        <v>625</v>
      </c>
      <c r="D68">
        <v>235.85</v>
      </c>
      <c r="E68">
        <v>12.25</v>
      </c>
      <c r="F68">
        <v>223.6</v>
      </c>
    </row>
    <row r="69" spans="1:6" x14ac:dyDescent="0.3">
      <c r="A69" t="s">
        <v>320</v>
      </c>
      <c r="B69" t="s">
        <v>514</v>
      </c>
      <c r="C69" t="s">
        <v>683</v>
      </c>
      <c r="D69">
        <v>55.65</v>
      </c>
      <c r="E69">
        <v>16.299999999999997</v>
      </c>
      <c r="F69">
        <v>39.35</v>
      </c>
    </row>
    <row r="70" spans="1:6" x14ac:dyDescent="0.3">
      <c r="A70" t="s">
        <v>325</v>
      </c>
      <c r="B70" t="s">
        <v>629</v>
      </c>
      <c r="C70" t="s">
        <v>622</v>
      </c>
      <c r="D70">
        <v>31</v>
      </c>
      <c r="E70">
        <v>1</v>
      </c>
      <c r="F70">
        <v>30</v>
      </c>
    </row>
    <row r="71" spans="1:6" x14ac:dyDescent="0.3">
      <c r="A71" t="s">
        <v>326</v>
      </c>
      <c r="B71" t="s">
        <v>513</v>
      </c>
      <c r="C71" t="s">
        <v>623</v>
      </c>
      <c r="E71">
        <v>4</v>
      </c>
    </row>
    <row r="72" spans="1:6" x14ac:dyDescent="0.3">
      <c r="A72" t="s">
        <v>326</v>
      </c>
      <c r="B72" t="s">
        <v>606</v>
      </c>
      <c r="C72" t="s">
        <v>626</v>
      </c>
      <c r="D72">
        <v>452.13</v>
      </c>
      <c r="E72">
        <v>23.25</v>
      </c>
      <c r="F72">
        <v>428.88</v>
      </c>
    </row>
    <row r="73" spans="1:6" x14ac:dyDescent="0.3">
      <c r="A73" t="s">
        <v>326</v>
      </c>
      <c r="B73" t="s">
        <v>606</v>
      </c>
      <c r="C73" t="s">
        <v>625</v>
      </c>
      <c r="D73">
        <v>222.29999999999998</v>
      </c>
      <c r="E73">
        <v>9.75</v>
      </c>
      <c r="F73">
        <v>212.54999999999998</v>
      </c>
    </row>
    <row r="74" spans="1:6" x14ac:dyDescent="0.3">
      <c r="A74" t="s">
        <v>326</v>
      </c>
      <c r="B74" t="s">
        <v>514</v>
      </c>
      <c r="C74" t="s">
        <v>682</v>
      </c>
      <c r="D74">
        <v>438.38</v>
      </c>
      <c r="E74">
        <v>204.51</v>
      </c>
      <c r="F74">
        <v>233.87000000000003</v>
      </c>
    </row>
    <row r="75" spans="1:6" x14ac:dyDescent="0.3">
      <c r="A75" t="s">
        <v>328</v>
      </c>
      <c r="B75" t="s">
        <v>606</v>
      </c>
      <c r="C75" t="s">
        <v>626</v>
      </c>
      <c r="D75">
        <v>431.42000000000007</v>
      </c>
      <c r="E75">
        <v>24.700000000000003</v>
      </c>
      <c r="F75">
        <v>406.72000000000008</v>
      </c>
    </row>
    <row r="76" spans="1:6" x14ac:dyDescent="0.3">
      <c r="A76" t="s">
        <v>328</v>
      </c>
      <c r="B76" t="s">
        <v>512</v>
      </c>
      <c r="C76" t="s">
        <v>626</v>
      </c>
      <c r="F76">
        <v>4</v>
      </c>
    </row>
    <row r="77" spans="1:6" x14ac:dyDescent="0.3">
      <c r="A77" t="s">
        <v>328</v>
      </c>
      <c r="B77" t="s">
        <v>512</v>
      </c>
      <c r="C77" t="s">
        <v>625</v>
      </c>
      <c r="D77">
        <v>53</v>
      </c>
      <c r="E77">
        <v>7</v>
      </c>
      <c r="F77">
        <v>46</v>
      </c>
    </row>
    <row r="78" spans="1:6" x14ac:dyDescent="0.3">
      <c r="A78" t="s">
        <v>328</v>
      </c>
      <c r="B78" t="s">
        <v>629</v>
      </c>
      <c r="C78" t="s">
        <v>627</v>
      </c>
      <c r="D78">
        <v>1933.31</v>
      </c>
      <c r="E78">
        <v>138.32999999999998</v>
      </c>
      <c r="F78">
        <v>1794.98</v>
      </c>
    </row>
    <row r="79" spans="1:6" x14ac:dyDescent="0.3">
      <c r="A79" t="s">
        <v>328</v>
      </c>
      <c r="B79" t="s">
        <v>629</v>
      </c>
      <c r="C79" t="s">
        <v>624</v>
      </c>
      <c r="D79">
        <v>160</v>
      </c>
      <c r="E79">
        <v>5</v>
      </c>
      <c r="F79">
        <v>155</v>
      </c>
    </row>
    <row r="80" spans="1:6" x14ac:dyDescent="0.3">
      <c r="A80" t="s">
        <v>412</v>
      </c>
      <c r="B80" t="s">
        <v>513</v>
      </c>
      <c r="E80">
        <v>2</v>
      </c>
    </row>
    <row r="81" spans="1:6" x14ac:dyDescent="0.3">
      <c r="A81" t="s">
        <v>412</v>
      </c>
      <c r="B81" t="s">
        <v>514</v>
      </c>
      <c r="C81" t="s">
        <v>684</v>
      </c>
      <c r="D81">
        <v>116.99</v>
      </c>
      <c r="E81">
        <v>105.58</v>
      </c>
      <c r="F81">
        <v>11.41</v>
      </c>
    </row>
    <row r="82" spans="1:6" x14ac:dyDescent="0.3">
      <c r="A82" t="s">
        <v>412</v>
      </c>
      <c r="B82" t="s">
        <v>629</v>
      </c>
      <c r="F82">
        <v>2</v>
      </c>
    </row>
    <row r="83" spans="1:6" x14ac:dyDescent="0.3">
      <c r="A83" t="s">
        <v>364</v>
      </c>
      <c r="B83" t="s">
        <v>606</v>
      </c>
      <c r="C83" t="s">
        <v>627</v>
      </c>
      <c r="D83">
        <v>1913.5500000000002</v>
      </c>
      <c r="E83">
        <v>132.88999999999999</v>
      </c>
      <c r="F83">
        <v>1780.66</v>
      </c>
    </row>
    <row r="84" spans="1:6" x14ac:dyDescent="0.3">
      <c r="A84" t="s">
        <v>364</v>
      </c>
      <c r="B84" t="s">
        <v>514</v>
      </c>
      <c r="C84" t="s">
        <v>683</v>
      </c>
      <c r="D84">
        <v>199.5</v>
      </c>
      <c r="E84">
        <v>119.8</v>
      </c>
      <c r="F84">
        <v>79.7</v>
      </c>
    </row>
    <row r="85" spans="1:6" x14ac:dyDescent="0.3">
      <c r="A85" t="s">
        <v>365</v>
      </c>
      <c r="B85" t="s">
        <v>513</v>
      </c>
      <c r="C85" t="s">
        <v>627</v>
      </c>
      <c r="D85">
        <v>102.69</v>
      </c>
      <c r="E85">
        <v>81.69</v>
      </c>
      <c r="F85">
        <v>21</v>
      </c>
    </row>
    <row r="86" spans="1:6" x14ac:dyDescent="0.3">
      <c r="A86" t="s">
        <v>365</v>
      </c>
      <c r="B86" t="s">
        <v>606</v>
      </c>
      <c r="C86" t="s">
        <v>626</v>
      </c>
      <c r="D86">
        <v>498</v>
      </c>
      <c r="E86">
        <v>16.5</v>
      </c>
      <c r="F86">
        <v>481.5</v>
      </c>
    </row>
    <row r="87" spans="1:6" x14ac:dyDescent="0.3">
      <c r="A87" t="s">
        <v>365</v>
      </c>
      <c r="B87" t="s">
        <v>514</v>
      </c>
      <c r="C87" t="s">
        <v>684</v>
      </c>
      <c r="D87">
        <v>151.38999999999999</v>
      </c>
      <c r="E87">
        <v>135.17999999999998</v>
      </c>
      <c r="F87">
        <v>16.21</v>
      </c>
    </row>
    <row r="88" spans="1:6" x14ac:dyDescent="0.3">
      <c r="A88" t="s">
        <v>365</v>
      </c>
      <c r="B88" t="s">
        <v>629</v>
      </c>
      <c r="C88" t="s">
        <v>626</v>
      </c>
      <c r="D88">
        <v>634</v>
      </c>
      <c r="E88">
        <v>24</v>
      </c>
      <c r="F88">
        <v>610</v>
      </c>
    </row>
    <row r="89" spans="1:6" x14ac:dyDescent="0.3">
      <c r="A89" t="s">
        <v>366</v>
      </c>
      <c r="B89" t="s">
        <v>514</v>
      </c>
      <c r="C89" t="s">
        <v>678</v>
      </c>
      <c r="D89">
        <v>3</v>
      </c>
      <c r="E89">
        <v>2</v>
      </c>
      <c r="F89">
        <v>1</v>
      </c>
    </row>
    <row r="90" spans="1:6" x14ac:dyDescent="0.3">
      <c r="A90" t="s">
        <v>366</v>
      </c>
      <c r="B90" t="s">
        <v>514</v>
      </c>
      <c r="C90" t="s">
        <v>680</v>
      </c>
      <c r="D90">
        <v>33.309428571428569</v>
      </c>
      <c r="E90">
        <v>17.309428571428572</v>
      </c>
      <c r="F90">
        <v>16</v>
      </c>
    </row>
    <row r="91" spans="1:6" x14ac:dyDescent="0.3">
      <c r="A91" t="s">
        <v>341</v>
      </c>
      <c r="B91" t="s">
        <v>513</v>
      </c>
      <c r="C91" t="s">
        <v>627</v>
      </c>
      <c r="D91">
        <v>76.33</v>
      </c>
      <c r="E91">
        <v>63.83</v>
      </c>
      <c r="F91">
        <v>12.5</v>
      </c>
    </row>
    <row r="92" spans="1:6" x14ac:dyDescent="0.3">
      <c r="A92" t="s">
        <v>341</v>
      </c>
      <c r="B92" t="s">
        <v>606</v>
      </c>
      <c r="C92" t="s">
        <v>627</v>
      </c>
      <c r="D92">
        <v>1807.55</v>
      </c>
      <c r="E92">
        <v>112.65</v>
      </c>
      <c r="F92">
        <v>1694.9</v>
      </c>
    </row>
    <row r="93" spans="1:6" x14ac:dyDescent="0.3">
      <c r="A93" t="s">
        <v>341</v>
      </c>
      <c r="B93" t="s">
        <v>514</v>
      </c>
      <c r="C93" t="s">
        <v>680</v>
      </c>
      <c r="D93">
        <v>33.86</v>
      </c>
      <c r="E93">
        <v>18.86</v>
      </c>
      <c r="F93">
        <v>15</v>
      </c>
    </row>
    <row r="94" spans="1:6" x14ac:dyDescent="0.3">
      <c r="A94" t="s">
        <v>341</v>
      </c>
      <c r="B94" t="s">
        <v>629</v>
      </c>
      <c r="C94" t="s">
        <v>627</v>
      </c>
      <c r="D94">
        <v>2158.58</v>
      </c>
      <c r="E94">
        <v>122.58</v>
      </c>
      <c r="F94">
        <v>2036</v>
      </c>
    </row>
    <row r="95" spans="1:6" x14ac:dyDescent="0.3">
      <c r="A95" t="s">
        <v>342</v>
      </c>
      <c r="B95" t="s">
        <v>514</v>
      </c>
      <c r="C95" t="s">
        <v>684</v>
      </c>
      <c r="D95">
        <v>135.37</v>
      </c>
      <c r="E95">
        <v>126.82</v>
      </c>
      <c r="F95">
        <v>8.5500000000000007</v>
      </c>
    </row>
    <row r="96" spans="1:6" x14ac:dyDescent="0.3">
      <c r="A96" t="s">
        <v>342</v>
      </c>
      <c r="B96" t="s">
        <v>514</v>
      </c>
      <c r="C96" t="s">
        <v>678</v>
      </c>
      <c r="D96">
        <v>2</v>
      </c>
      <c r="E96">
        <v>1</v>
      </c>
      <c r="F96">
        <v>1</v>
      </c>
    </row>
    <row r="97" spans="1:6" x14ac:dyDescent="0.3">
      <c r="A97" t="s">
        <v>213</v>
      </c>
      <c r="B97" t="s">
        <v>514</v>
      </c>
      <c r="C97" t="s">
        <v>678</v>
      </c>
      <c r="D97">
        <v>3</v>
      </c>
      <c r="E97">
        <v>2</v>
      </c>
      <c r="F97">
        <v>1</v>
      </c>
    </row>
    <row r="98" spans="1:6" x14ac:dyDescent="0.3">
      <c r="A98" t="s">
        <v>213</v>
      </c>
      <c r="B98" t="s">
        <v>629</v>
      </c>
      <c r="C98" t="s">
        <v>625</v>
      </c>
      <c r="D98">
        <v>611</v>
      </c>
      <c r="E98">
        <v>33</v>
      </c>
      <c r="F98">
        <v>578</v>
      </c>
    </row>
    <row r="99" spans="1:6" x14ac:dyDescent="0.3">
      <c r="A99" t="s">
        <v>312</v>
      </c>
      <c r="B99" t="s">
        <v>606</v>
      </c>
      <c r="C99" t="s">
        <v>626</v>
      </c>
      <c r="D99">
        <v>459.93</v>
      </c>
      <c r="E99">
        <v>17</v>
      </c>
      <c r="F99">
        <v>442.93</v>
      </c>
    </row>
    <row r="100" spans="1:6" x14ac:dyDescent="0.3">
      <c r="A100" t="s">
        <v>312</v>
      </c>
      <c r="B100" t="s">
        <v>629</v>
      </c>
      <c r="C100" t="s">
        <v>622</v>
      </c>
      <c r="F100">
        <v>31</v>
      </c>
    </row>
    <row r="101" spans="1:6" x14ac:dyDescent="0.3">
      <c r="A101" t="s">
        <v>318</v>
      </c>
      <c r="B101" t="s">
        <v>513</v>
      </c>
      <c r="C101" t="s">
        <v>624</v>
      </c>
      <c r="D101">
        <v>10</v>
      </c>
      <c r="E101">
        <v>9</v>
      </c>
      <c r="F101">
        <v>1</v>
      </c>
    </row>
    <row r="102" spans="1:6" x14ac:dyDescent="0.3">
      <c r="A102" t="s">
        <v>318</v>
      </c>
      <c r="B102" t="s">
        <v>513</v>
      </c>
      <c r="C102" t="s">
        <v>625</v>
      </c>
      <c r="D102">
        <v>41</v>
      </c>
      <c r="E102">
        <v>35</v>
      </c>
      <c r="F102">
        <v>6</v>
      </c>
    </row>
    <row r="103" spans="1:6" x14ac:dyDescent="0.3">
      <c r="A103" t="s">
        <v>318</v>
      </c>
      <c r="B103" t="s">
        <v>606</v>
      </c>
      <c r="C103" t="s">
        <v>625</v>
      </c>
      <c r="D103">
        <v>236</v>
      </c>
      <c r="E103">
        <v>11.25</v>
      </c>
      <c r="F103">
        <v>224.75</v>
      </c>
    </row>
    <row r="104" spans="1:6" x14ac:dyDescent="0.3">
      <c r="A104" t="s">
        <v>318</v>
      </c>
      <c r="B104" t="s">
        <v>629</v>
      </c>
      <c r="C104" t="s">
        <v>621</v>
      </c>
      <c r="F104">
        <v>5</v>
      </c>
    </row>
    <row r="105" spans="1:6" x14ac:dyDescent="0.3">
      <c r="A105" t="s">
        <v>320</v>
      </c>
      <c r="B105" t="s">
        <v>513</v>
      </c>
      <c r="C105" t="s">
        <v>625</v>
      </c>
      <c r="D105">
        <v>42</v>
      </c>
      <c r="E105">
        <v>37</v>
      </c>
      <c r="F105">
        <v>5</v>
      </c>
    </row>
    <row r="106" spans="1:6" x14ac:dyDescent="0.3">
      <c r="A106" t="s">
        <v>320</v>
      </c>
      <c r="B106" t="s">
        <v>514</v>
      </c>
      <c r="C106" t="s">
        <v>681</v>
      </c>
      <c r="D106">
        <v>100.35</v>
      </c>
      <c r="E106">
        <v>72.849999999999994</v>
      </c>
      <c r="F106">
        <v>27.5</v>
      </c>
    </row>
    <row r="107" spans="1:6" x14ac:dyDescent="0.3">
      <c r="A107" t="s">
        <v>320</v>
      </c>
      <c r="B107" t="s">
        <v>629</v>
      </c>
      <c r="C107" t="s">
        <v>621</v>
      </c>
      <c r="F107">
        <v>5</v>
      </c>
    </row>
    <row r="108" spans="1:6" x14ac:dyDescent="0.3">
      <c r="A108" t="s">
        <v>325</v>
      </c>
      <c r="B108" t="s">
        <v>513</v>
      </c>
      <c r="C108" t="s">
        <v>623</v>
      </c>
      <c r="D108">
        <v>4</v>
      </c>
      <c r="E108">
        <v>3</v>
      </c>
      <c r="F108">
        <v>1</v>
      </c>
    </row>
    <row r="109" spans="1:6" x14ac:dyDescent="0.3">
      <c r="A109" t="s">
        <v>325</v>
      </c>
      <c r="B109" t="s">
        <v>514</v>
      </c>
      <c r="C109" t="s">
        <v>684</v>
      </c>
      <c r="D109">
        <v>140.28</v>
      </c>
      <c r="E109">
        <v>124.76</v>
      </c>
      <c r="F109">
        <v>15.52</v>
      </c>
    </row>
    <row r="110" spans="1:6" x14ac:dyDescent="0.3">
      <c r="A110" t="s">
        <v>325</v>
      </c>
      <c r="B110" t="s">
        <v>514</v>
      </c>
      <c r="C110" t="s">
        <v>681</v>
      </c>
      <c r="D110">
        <v>94.669999999999987</v>
      </c>
      <c r="E110">
        <v>54.669999999999995</v>
      </c>
      <c r="F110">
        <v>40</v>
      </c>
    </row>
    <row r="111" spans="1:6" x14ac:dyDescent="0.3">
      <c r="A111" t="s">
        <v>326</v>
      </c>
      <c r="B111" t="s">
        <v>513</v>
      </c>
      <c r="C111" t="s">
        <v>622</v>
      </c>
      <c r="E111">
        <v>1</v>
      </c>
    </row>
    <row r="112" spans="1:6" x14ac:dyDescent="0.3">
      <c r="A112" t="s">
        <v>326</v>
      </c>
      <c r="B112" t="s">
        <v>513</v>
      </c>
      <c r="C112" t="s">
        <v>624</v>
      </c>
      <c r="D112">
        <v>9</v>
      </c>
      <c r="E112">
        <v>8</v>
      </c>
      <c r="F112">
        <v>1</v>
      </c>
    </row>
    <row r="113" spans="1:6" x14ac:dyDescent="0.3">
      <c r="A113" t="s">
        <v>326</v>
      </c>
      <c r="B113" t="s">
        <v>513</v>
      </c>
      <c r="C113" t="s">
        <v>625</v>
      </c>
      <c r="D113">
        <v>39.57</v>
      </c>
      <c r="E113">
        <v>34.57</v>
      </c>
      <c r="F113">
        <v>5</v>
      </c>
    </row>
    <row r="114" spans="1:6" x14ac:dyDescent="0.3">
      <c r="A114" t="s">
        <v>328</v>
      </c>
      <c r="B114" t="s">
        <v>629</v>
      </c>
      <c r="C114" t="s">
        <v>625</v>
      </c>
      <c r="D114">
        <v>604.77</v>
      </c>
      <c r="E114">
        <v>32</v>
      </c>
      <c r="F114">
        <v>572.77</v>
      </c>
    </row>
    <row r="115" spans="1:6" x14ac:dyDescent="0.3">
      <c r="A115" t="s">
        <v>412</v>
      </c>
      <c r="B115" t="s">
        <v>513</v>
      </c>
      <c r="C115" t="s">
        <v>625</v>
      </c>
      <c r="D115">
        <v>24</v>
      </c>
      <c r="E115">
        <v>21</v>
      </c>
      <c r="F115">
        <v>3</v>
      </c>
    </row>
    <row r="116" spans="1:6" x14ac:dyDescent="0.3">
      <c r="A116" t="s">
        <v>412</v>
      </c>
      <c r="B116" t="s">
        <v>606</v>
      </c>
      <c r="C116" t="s">
        <v>625</v>
      </c>
      <c r="D116">
        <v>217.06000000000003</v>
      </c>
      <c r="E116">
        <v>10.69</v>
      </c>
      <c r="F116">
        <v>206.37000000000003</v>
      </c>
    </row>
    <row r="117" spans="1:6" x14ac:dyDescent="0.3">
      <c r="A117" t="s">
        <v>412</v>
      </c>
      <c r="B117" t="s">
        <v>514</v>
      </c>
      <c r="C117" t="s">
        <v>681</v>
      </c>
      <c r="D117">
        <v>82.32</v>
      </c>
      <c r="E117">
        <v>48.32</v>
      </c>
      <c r="F117">
        <v>34</v>
      </c>
    </row>
    <row r="118" spans="1:6" x14ac:dyDescent="0.3">
      <c r="A118" t="s">
        <v>412</v>
      </c>
      <c r="B118" t="s">
        <v>514</v>
      </c>
      <c r="C118" t="s">
        <v>680</v>
      </c>
      <c r="D118">
        <v>44.69</v>
      </c>
      <c r="E118">
        <v>29.689999999999998</v>
      </c>
      <c r="F118">
        <v>15</v>
      </c>
    </row>
    <row r="119" spans="1:6" x14ac:dyDescent="0.3">
      <c r="A119" t="s">
        <v>412</v>
      </c>
      <c r="B119" t="s">
        <v>629</v>
      </c>
      <c r="C119" t="s">
        <v>623</v>
      </c>
      <c r="D119">
        <v>72</v>
      </c>
      <c r="E119">
        <v>8</v>
      </c>
      <c r="F119">
        <v>64</v>
      </c>
    </row>
    <row r="120" spans="1:6" x14ac:dyDescent="0.3">
      <c r="A120" t="s">
        <v>364</v>
      </c>
      <c r="B120" t="s">
        <v>514</v>
      </c>
      <c r="C120" t="s">
        <v>678</v>
      </c>
    </row>
    <row r="121" spans="1:6" x14ac:dyDescent="0.3">
      <c r="A121" t="s">
        <v>364</v>
      </c>
      <c r="B121" t="s">
        <v>514</v>
      </c>
      <c r="C121" t="s">
        <v>679</v>
      </c>
      <c r="D121">
        <v>69.7</v>
      </c>
      <c r="E121">
        <v>31.7</v>
      </c>
      <c r="F121">
        <v>38</v>
      </c>
    </row>
    <row r="122" spans="1:6" x14ac:dyDescent="0.3">
      <c r="A122" t="s">
        <v>364</v>
      </c>
      <c r="B122" t="s">
        <v>514</v>
      </c>
      <c r="C122" t="s">
        <v>680</v>
      </c>
      <c r="D122">
        <v>19.8</v>
      </c>
      <c r="E122">
        <v>6.8</v>
      </c>
      <c r="F122">
        <v>13</v>
      </c>
    </row>
    <row r="123" spans="1:6" x14ac:dyDescent="0.3">
      <c r="A123" t="s">
        <v>364</v>
      </c>
      <c r="B123" t="s">
        <v>629</v>
      </c>
      <c r="C123" t="s">
        <v>627</v>
      </c>
      <c r="D123">
        <v>2373.7600000000002</v>
      </c>
      <c r="E123">
        <v>106</v>
      </c>
      <c r="F123">
        <v>2267.7600000000002</v>
      </c>
    </row>
    <row r="124" spans="1:6" x14ac:dyDescent="0.3">
      <c r="A124" t="s">
        <v>364</v>
      </c>
      <c r="B124" t="s">
        <v>629</v>
      </c>
      <c r="C124" t="s">
        <v>624</v>
      </c>
      <c r="D124">
        <v>136</v>
      </c>
      <c r="E124">
        <v>2</v>
      </c>
      <c r="F124">
        <v>134</v>
      </c>
    </row>
    <row r="125" spans="1:6" x14ac:dyDescent="0.3">
      <c r="A125" t="s">
        <v>365</v>
      </c>
      <c r="B125" t="s">
        <v>606</v>
      </c>
      <c r="C125" t="s">
        <v>627</v>
      </c>
      <c r="D125">
        <v>1906.75</v>
      </c>
      <c r="E125">
        <v>128.25</v>
      </c>
      <c r="F125">
        <v>1778.5</v>
      </c>
    </row>
    <row r="126" spans="1:6" x14ac:dyDescent="0.3">
      <c r="A126" t="s">
        <v>365</v>
      </c>
      <c r="B126" t="s">
        <v>514</v>
      </c>
      <c r="C126" t="s">
        <v>680</v>
      </c>
      <c r="D126">
        <v>36.9</v>
      </c>
      <c r="E126">
        <v>19.899999999999999</v>
      </c>
      <c r="F126">
        <v>17</v>
      </c>
    </row>
    <row r="127" spans="1:6" x14ac:dyDescent="0.3">
      <c r="A127" t="s">
        <v>365</v>
      </c>
      <c r="B127" t="s">
        <v>629</v>
      </c>
      <c r="C127" t="s">
        <v>621</v>
      </c>
      <c r="D127">
        <v>7</v>
      </c>
      <c r="F127">
        <v>7</v>
      </c>
    </row>
    <row r="128" spans="1:6" x14ac:dyDescent="0.3">
      <c r="A128" t="s">
        <v>366</v>
      </c>
      <c r="B128" t="s">
        <v>513</v>
      </c>
      <c r="C128" t="s">
        <v>625</v>
      </c>
      <c r="D128">
        <v>50.314285714285717</v>
      </c>
      <c r="E128">
        <v>43.314285714285717</v>
      </c>
      <c r="F128">
        <v>7</v>
      </c>
    </row>
    <row r="129" spans="1:6" x14ac:dyDescent="0.3">
      <c r="A129" t="s">
        <v>366</v>
      </c>
      <c r="B129" t="s">
        <v>606</v>
      </c>
      <c r="C129" t="s">
        <v>626</v>
      </c>
      <c r="D129">
        <v>486.17999999999995</v>
      </c>
      <c r="E129">
        <v>16.75</v>
      </c>
      <c r="F129">
        <v>469.42999999999995</v>
      </c>
    </row>
    <row r="130" spans="1:6" x14ac:dyDescent="0.3">
      <c r="A130" t="s">
        <v>366</v>
      </c>
      <c r="B130" t="s">
        <v>606</v>
      </c>
      <c r="C130" t="s">
        <v>625</v>
      </c>
      <c r="D130">
        <v>247.75</v>
      </c>
      <c r="E130">
        <v>14</v>
      </c>
      <c r="F130">
        <v>233.75</v>
      </c>
    </row>
    <row r="131" spans="1:6" x14ac:dyDescent="0.3">
      <c r="A131" t="s">
        <v>341</v>
      </c>
      <c r="B131" t="s">
        <v>514</v>
      </c>
      <c r="C131" t="s">
        <v>678</v>
      </c>
      <c r="D131">
        <v>3</v>
      </c>
      <c r="E131">
        <v>2</v>
      </c>
      <c r="F131">
        <v>1</v>
      </c>
    </row>
    <row r="132" spans="1:6" x14ac:dyDescent="0.3">
      <c r="A132" t="s">
        <v>341</v>
      </c>
      <c r="B132" t="s">
        <v>514</v>
      </c>
      <c r="C132" t="s">
        <v>682</v>
      </c>
      <c r="D132">
        <v>332.41</v>
      </c>
      <c r="E132">
        <v>106.79</v>
      </c>
      <c r="F132">
        <v>225.62</v>
      </c>
    </row>
    <row r="133" spans="1:6" x14ac:dyDescent="0.3">
      <c r="A133" t="s">
        <v>341</v>
      </c>
      <c r="B133" t="s">
        <v>514</v>
      </c>
      <c r="C133" t="s">
        <v>683</v>
      </c>
      <c r="D133">
        <v>115.06</v>
      </c>
      <c r="E133">
        <v>56.58</v>
      </c>
      <c r="F133">
        <v>58.48</v>
      </c>
    </row>
    <row r="134" spans="1:6" x14ac:dyDescent="0.3">
      <c r="A134" t="s">
        <v>342</v>
      </c>
      <c r="B134" t="s">
        <v>606</v>
      </c>
      <c r="C134" t="s">
        <v>627</v>
      </c>
      <c r="D134">
        <v>1821.55</v>
      </c>
      <c r="E134">
        <v>121.65</v>
      </c>
      <c r="F134">
        <v>1699.9</v>
      </c>
    </row>
    <row r="135" spans="1:6" x14ac:dyDescent="0.3">
      <c r="A135" t="s">
        <v>342</v>
      </c>
      <c r="B135" t="s">
        <v>629</v>
      </c>
      <c r="C135" t="s">
        <v>622</v>
      </c>
      <c r="D135">
        <v>34</v>
      </c>
      <c r="F135">
        <v>34</v>
      </c>
    </row>
    <row r="136" spans="1:6" x14ac:dyDescent="0.3">
      <c r="A136" t="s">
        <v>342</v>
      </c>
      <c r="B136" t="s">
        <v>629</v>
      </c>
      <c r="C136" t="s">
        <v>627</v>
      </c>
      <c r="D136">
        <v>1988.43</v>
      </c>
      <c r="E136">
        <v>113.43</v>
      </c>
      <c r="F136">
        <v>1875</v>
      </c>
    </row>
    <row r="137" spans="1:6" x14ac:dyDescent="0.3">
      <c r="A137" t="s">
        <v>213</v>
      </c>
      <c r="B137" t="s">
        <v>514</v>
      </c>
      <c r="C137" t="s">
        <v>681</v>
      </c>
      <c r="D137">
        <v>80.400000000000006</v>
      </c>
      <c r="E137">
        <v>55.400000000000006</v>
      </c>
      <c r="F137">
        <v>25</v>
      </c>
    </row>
    <row r="138" spans="1:6" x14ac:dyDescent="0.3">
      <c r="A138" t="s">
        <v>213</v>
      </c>
      <c r="B138" t="s">
        <v>514</v>
      </c>
      <c r="C138" t="s">
        <v>680</v>
      </c>
      <c r="D138">
        <v>34</v>
      </c>
      <c r="E138">
        <v>21</v>
      </c>
      <c r="F138">
        <v>13</v>
      </c>
    </row>
    <row r="139" spans="1:6" x14ac:dyDescent="0.3">
      <c r="A139" t="s">
        <v>213</v>
      </c>
      <c r="B139" t="s">
        <v>629</v>
      </c>
      <c r="C139" t="s">
        <v>622</v>
      </c>
      <c r="F139">
        <v>33</v>
      </c>
    </row>
    <row r="140" spans="1:6" x14ac:dyDescent="0.3">
      <c r="A140" t="s">
        <v>312</v>
      </c>
      <c r="B140" t="s">
        <v>514</v>
      </c>
      <c r="C140" t="s">
        <v>683</v>
      </c>
      <c r="D140">
        <v>56.95</v>
      </c>
      <c r="E140">
        <v>20.6</v>
      </c>
      <c r="F140">
        <v>36.35</v>
      </c>
    </row>
    <row r="141" spans="1:6" x14ac:dyDescent="0.3">
      <c r="A141" t="s">
        <v>312</v>
      </c>
      <c r="B141" t="s">
        <v>629</v>
      </c>
      <c r="C141" t="s">
        <v>623</v>
      </c>
      <c r="D141">
        <v>80</v>
      </c>
      <c r="E141">
        <v>2</v>
      </c>
      <c r="F141">
        <v>78</v>
      </c>
    </row>
    <row r="142" spans="1:6" x14ac:dyDescent="0.3">
      <c r="A142" t="s">
        <v>312</v>
      </c>
      <c r="B142" t="s">
        <v>629</v>
      </c>
      <c r="C142" t="s">
        <v>624</v>
      </c>
      <c r="D142">
        <v>153</v>
      </c>
      <c r="E142">
        <v>5</v>
      </c>
      <c r="F142">
        <v>148</v>
      </c>
    </row>
    <row r="143" spans="1:6" x14ac:dyDescent="0.3">
      <c r="A143" t="s">
        <v>318</v>
      </c>
      <c r="B143" t="s">
        <v>629</v>
      </c>
      <c r="C143" t="s">
        <v>622</v>
      </c>
      <c r="F143">
        <v>35</v>
      </c>
    </row>
    <row r="144" spans="1:6" x14ac:dyDescent="0.3">
      <c r="A144" t="s">
        <v>318</v>
      </c>
      <c r="B144" t="s">
        <v>629</v>
      </c>
      <c r="C144" t="s">
        <v>625</v>
      </c>
      <c r="D144">
        <v>603</v>
      </c>
      <c r="E144">
        <v>31</v>
      </c>
      <c r="F144">
        <v>572</v>
      </c>
    </row>
    <row r="145" spans="1:6" x14ac:dyDescent="0.3">
      <c r="A145" t="s">
        <v>320</v>
      </c>
      <c r="B145" t="s">
        <v>606</v>
      </c>
      <c r="C145" t="s">
        <v>627</v>
      </c>
      <c r="D145">
        <v>1678.3400000000001</v>
      </c>
      <c r="E145">
        <v>135.9</v>
      </c>
      <c r="F145">
        <v>1542.44</v>
      </c>
    </row>
    <row r="146" spans="1:6" x14ac:dyDescent="0.3">
      <c r="A146" t="s">
        <v>320</v>
      </c>
      <c r="B146" t="s">
        <v>514</v>
      </c>
      <c r="C146" t="s">
        <v>680</v>
      </c>
      <c r="D146">
        <v>32</v>
      </c>
      <c r="E146">
        <v>19</v>
      </c>
      <c r="F146">
        <v>13</v>
      </c>
    </row>
    <row r="147" spans="1:6" x14ac:dyDescent="0.3">
      <c r="A147" t="s">
        <v>320</v>
      </c>
      <c r="B147" t="s">
        <v>629</v>
      </c>
      <c r="C147" t="s">
        <v>625</v>
      </c>
      <c r="D147">
        <v>607</v>
      </c>
      <c r="E147">
        <v>30</v>
      </c>
      <c r="F147">
        <v>577</v>
      </c>
    </row>
    <row r="148" spans="1:6" x14ac:dyDescent="0.3">
      <c r="A148" t="s">
        <v>325</v>
      </c>
      <c r="B148" t="s">
        <v>606</v>
      </c>
      <c r="C148" t="s">
        <v>626</v>
      </c>
      <c r="D148">
        <v>453.13</v>
      </c>
      <c r="E148">
        <v>18</v>
      </c>
      <c r="F148">
        <v>435.13</v>
      </c>
    </row>
    <row r="149" spans="1:6" x14ac:dyDescent="0.3">
      <c r="A149" t="s">
        <v>325</v>
      </c>
      <c r="B149" t="s">
        <v>514</v>
      </c>
      <c r="C149" t="s">
        <v>678</v>
      </c>
      <c r="D149">
        <v>4</v>
      </c>
      <c r="E149">
        <v>1</v>
      </c>
      <c r="F149">
        <v>3</v>
      </c>
    </row>
    <row r="150" spans="1:6" x14ac:dyDescent="0.3">
      <c r="A150" t="s">
        <v>326</v>
      </c>
      <c r="B150" t="s">
        <v>512</v>
      </c>
      <c r="C150" t="s">
        <v>626</v>
      </c>
      <c r="F150">
        <v>2</v>
      </c>
    </row>
    <row r="151" spans="1:6" x14ac:dyDescent="0.3">
      <c r="A151" t="s">
        <v>326</v>
      </c>
      <c r="B151" t="s">
        <v>514</v>
      </c>
      <c r="C151" t="s">
        <v>681</v>
      </c>
      <c r="D151">
        <v>88.1</v>
      </c>
      <c r="E151">
        <v>47.099999999999994</v>
      </c>
      <c r="F151">
        <v>41</v>
      </c>
    </row>
    <row r="152" spans="1:6" x14ac:dyDescent="0.3">
      <c r="A152" t="s">
        <v>326</v>
      </c>
      <c r="B152" t="s">
        <v>514</v>
      </c>
      <c r="C152" t="s">
        <v>680</v>
      </c>
      <c r="D152">
        <v>35</v>
      </c>
      <c r="E152">
        <v>24</v>
      </c>
      <c r="F152">
        <v>11</v>
      </c>
    </row>
    <row r="153" spans="1:6" x14ac:dyDescent="0.3">
      <c r="A153" t="s">
        <v>326</v>
      </c>
      <c r="B153" t="s">
        <v>629</v>
      </c>
      <c r="C153" t="s">
        <v>621</v>
      </c>
      <c r="F153">
        <v>5</v>
      </c>
    </row>
    <row r="154" spans="1:6" x14ac:dyDescent="0.3">
      <c r="A154" t="s">
        <v>326</v>
      </c>
      <c r="B154" t="s">
        <v>629</v>
      </c>
      <c r="C154" t="s">
        <v>623</v>
      </c>
      <c r="D154">
        <v>71</v>
      </c>
      <c r="E154">
        <v>2</v>
      </c>
      <c r="F154">
        <v>69</v>
      </c>
    </row>
    <row r="155" spans="1:6" x14ac:dyDescent="0.3">
      <c r="A155" t="s">
        <v>328</v>
      </c>
      <c r="B155" t="s">
        <v>513</v>
      </c>
      <c r="C155" t="s">
        <v>625</v>
      </c>
      <c r="D155">
        <v>37</v>
      </c>
      <c r="E155">
        <v>29</v>
      </c>
      <c r="F155">
        <v>8</v>
      </c>
    </row>
    <row r="156" spans="1:6" x14ac:dyDescent="0.3">
      <c r="A156" t="s">
        <v>328</v>
      </c>
      <c r="B156" t="s">
        <v>514</v>
      </c>
      <c r="C156" t="s">
        <v>683</v>
      </c>
      <c r="D156">
        <v>54.53</v>
      </c>
      <c r="E156">
        <v>15.819999999999997</v>
      </c>
      <c r="F156">
        <v>38.71</v>
      </c>
    </row>
    <row r="157" spans="1:6" x14ac:dyDescent="0.3">
      <c r="A157" t="s">
        <v>328</v>
      </c>
      <c r="B157" t="s">
        <v>629</v>
      </c>
      <c r="C157" t="s">
        <v>622</v>
      </c>
      <c r="F157">
        <v>30</v>
      </c>
    </row>
    <row r="158" spans="1:6" x14ac:dyDescent="0.3">
      <c r="A158" t="s">
        <v>328</v>
      </c>
      <c r="B158" t="s">
        <v>629</v>
      </c>
      <c r="C158" t="s">
        <v>621</v>
      </c>
      <c r="F158">
        <v>5</v>
      </c>
    </row>
    <row r="159" spans="1:6" x14ac:dyDescent="0.3">
      <c r="A159" t="s">
        <v>412</v>
      </c>
      <c r="B159" t="s">
        <v>513</v>
      </c>
      <c r="C159" t="s">
        <v>623</v>
      </c>
      <c r="E159">
        <v>3</v>
      </c>
    </row>
    <row r="160" spans="1:6" x14ac:dyDescent="0.3">
      <c r="A160" t="s">
        <v>412</v>
      </c>
      <c r="B160" t="s">
        <v>513</v>
      </c>
      <c r="C160" t="s">
        <v>624</v>
      </c>
      <c r="D160">
        <v>6</v>
      </c>
      <c r="E160">
        <v>5</v>
      </c>
      <c r="F160">
        <v>1</v>
      </c>
    </row>
    <row r="161" spans="1:6" x14ac:dyDescent="0.3">
      <c r="A161" t="s">
        <v>412</v>
      </c>
      <c r="B161" t="s">
        <v>512</v>
      </c>
      <c r="C161" t="s">
        <v>625</v>
      </c>
      <c r="D161">
        <v>55</v>
      </c>
      <c r="E161">
        <v>8</v>
      </c>
      <c r="F161">
        <v>47</v>
      </c>
    </row>
    <row r="162" spans="1:6" x14ac:dyDescent="0.3">
      <c r="A162" t="s">
        <v>412</v>
      </c>
      <c r="B162" t="s">
        <v>514</v>
      </c>
      <c r="C162" t="s">
        <v>683</v>
      </c>
      <c r="D162">
        <v>58.22</v>
      </c>
      <c r="E162">
        <v>14.419999999999998</v>
      </c>
      <c r="F162">
        <v>43.800000000000004</v>
      </c>
    </row>
    <row r="163" spans="1:6" x14ac:dyDescent="0.3">
      <c r="A163" t="s">
        <v>364</v>
      </c>
      <c r="B163" t="s">
        <v>513</v>
      </c>
      <c r="C163" t="s">
        <v>623</v>
      </c>
      <c r="D163">
        <v>5</v>
      </c>
      <c r="E163">
        <v>4</v>
      </c>
      <c r="F163">
        <v>1</v>
      </c>
    </row>
    <row r="164" spans="1:6" x14ac:dyDescent="0.3">
      <c r="A164" t="s">
        <v>364</v>
      </c>
      <c r="B164" t="s">
        <v>513</v>
      </c>
      <c r="C164" t="s">
        <v>625</v>
      </c>
      <c r="D164">
        <v>51.56</v>
      </c>
      <c r="E164">
        <v>45.56</v>
      </c>
      <c r="F164">
        <v>6</v>
      </c>
    </row>
    <row r="165" spans="1:6" x14ac:dyDescent="0.3">
      <c r="A165" t="s">
        <v>365</v>
      </c>
      <c r="B165" t="s">
        <v>514</v>
      </c>
      <c r="C165" t="s">
        <v>679</v>
      </c>
      <c r="D165">
        <v>45.99</v>
      </c>
      <c r="E165">
        <v>22.990000000000002</v>
      </c>
      <c r="F165">
        <v>23</v>
      </c>
    </row>
    <row r="166" spans="1:6" x14ac:dyDescent="0.3">
      <c r="A166" t="s">
        <v>365</v>
      </c>
      <c r="B166" t="s">
        <v>629</v>
      </c>
      <c r="C166" t="s">
        <v>622</v>
      </c>
      <c r="D166">
        <v>33</v>
      </c>
      <c r="F166">
        <v>33</v>
      </c>
    </row>
    <row r="167" spans="1:6" x14ac:dyDescent="0.3">
      <c r="A167" t="s">
        <v>366</v>
      </c>
      <c r="B167" t="s">
        <v>514</v>
      </c>
      <c r="C167" t="s">
        <v>681</v>
      </c>
      <c r="D167">
        <v>70.714285714285694</v>
      </c>
      <c r="E167">
        <v>53.714285714285701</v>
      </c>
      <c r="F167">
        <v>17</v>
      </c>
    </row>
    <row r="168" spans="1:6" x14ac:dyDescent="0.3">
      <c r="A168" t="s">
        <v>366</v>
      </c>
      <c r="B168" t="s">
        <v>629</v>
      </c>
      <c r="C168" t="s">
        <v>622</v>
      </c>
      <c r="D168">
        <v>35</v>
      </c>
      <c r="E168">
        <v>0</v>
      </c>
      <c r="F168">
        <v>35</v>
      </c>
    </row>
    <row r="169" spans="1:6" x14ac:dyDescent="0.3">
      <c r="A169" t="s">
        <v>366</v>
      </c>
      <c r="B169" t="s">
        <v>629</v>
      </c>
      <c r="C169" t="s">
        <v>627</v>
      </c>
      <c r="D169">
        <v>2250.7857142857101</v>
      </c>
      <c r="E169">
        <v>112.88571428571429</v>
      </c>
      <c r="F169">
        <v>2137.9</v>
      </c>
    </row>
    <row r="170" spans="1:6" x14ac:dyDescent="0.3">
      <c r="A170" t="s">
        <v>341</v>
      </c>
      <c r="B170" t="s">
        <v>513</v>
      </c>
      <c r="C170" t="s">
        <v>626</v>
      </c>
      <c r="D170">
        <v>30.79</v>
      </c>
      <c r="E170">
        <v>26</v>
      </c>
      <c r="F170">
        <v>4.79</v>
      </c>
    </row>
    <row r="171" spans="1:6" x14ac:dyDescent="0.3">
      <c r="A171" t="s">
        <v>341</v>
      </c>
      <c r="B171" t="s">
        <v>629</v>
      </c>
      <c r="C171" t="s">
        <v>626</v>
      </c>
      <c r="D171">
        <v>636</v>
      </c>
      <c r="E171">
        <v>29</v>
      </c>
      <c r="F171">
        <v>607</v>
      </c>
    </row>
    <row r="172" spans="1:6" x14ac:dyDescent="0.3">
      <c r="A172" t="s">
        <v>342</v>
      </c>
      <c r="B172" t="s">
        <v>513</v>
      </c>
      <c r="C172" t="s">
        <v>627</v>
      </c>
      <c r="D172">
        <v>100.83</v>
      </c>
      <c r="E172">
        <v>83.33</v>
      </c>
      <c r="F172">
        <v>17.5</v>
      </c>
    </row>
    <row r="173" spans="1:6" x14ac:dyDescent="0.3">
      <c r="A173" t="s">
        <v>342</v>
      </c>
      <c r="B173" t="s">
        <v>514</v>
      </c>
      <c r="C173" t="s">
        <v>679</v>
      </c>
      <c r="D173">
        <v>49.71</v>
      </c>
      <c r="E173">
        <v>16.71</v>
      </c>
      <c r="F173">
        <v>33</v>
      </c>
    </row>
    <row r="174" spans="1:6" x14ac:dyDescent="0.3">
      <c r="A174" t="s">
        <v>213</v>
      </c>
      <c r="B174" t="s">
        <v>513</v>
      </c>
      <c r="C174" t="s">
        <v>627</v>
      </c>
      <c r="D174">
        <v>119.32999999999998</v>
      </c>
      <c r="E174">
        <v>98.329999999999984</v>
      </c>
      <c r="F174">
        <v>21</v>
      </c>
    </row>
    <row r="175" spans="1:6" x14ac:dyDescent="0.3">
      <c r="A175" t="s">
        <v>213</v>
      </c>
      <c r="B175" t="s">
        <v>514</v>
      </c>
      <c r="C175" t="s">
        <v>682</v>
      </c>
      <c r="D175">
        <v>375.56</v>
      </c>
      <c r="E175">
        <v>139.56</v>
      </c>
      <c r="F175">
        <v>236</v>
      </c>
    </row>
    <row r="176" spans="1:6" x14ac:dyDescent="0.3">
      <c r="A176" t="s">
        <v>213</v>
      </c>
      <c r="B176" t="s">
        <v>629</v>
      </c>
      <c r="C176" t="s">
        <v>621</v>
      </c>
      <c r="F176">
        <v>4</v>
      </c>
    </row>
    <row r="177" spans="1:6" x14ac:dyDescent="0.3">
      <c r="A177" t="s">
        <v>312</v>
      </c>
      <c r="B177" t="s">
        <v>513</v>
      </c>
      <c r="C177" t="s">
        <v>627</v>
      </c>
      <c r="D177">
        <v>99.83</v>
      </c>
      <c r="E177">
        <v>81.83</v>
      </c>
      <c r="F177">
        <v>18</v>
      </c>
    </row>
    <row r="178" spans="1:6" x14ac:dyDescent="0.3">
      <c r="A178" t="s">
        <v>312</v>
      </c>
      <c r="B178" t="s">
        <v>512</v>
      </c>
      <c r="C178" t="s">
        <v>625</v>
      </c>
      <c r="D178">
        <v>36</v>
      </c>
      <c r="E178">
        <v>7</v>
      </c>
      <c r="F178">
        <v>29</v>
      </c>
    </row>
    <row r="179" spans="1:6" x14ac:dyDescent="0.3">
      <c r="A179" t="s">
        <v>312</v>
      </c>
      <c r="B179" t="s">
        <v>514</v>
      </c>
      <c r="C179" t="s">
        <v>678</v>
      </c>
      <c r="D179">
        <v>3</v>
      </c>
      <c r="E179">
        <v>2</v>
      </c>
      <c r="F179">
        <v>1</v>
      </c>
    </row>
    <row r="180" spans="1:6" x14ac:dyDescent="0.3">
      <c r="A180" t="s">
        <v>312</v>
      </c>
      <c r="B180" t="s">
        <v>514</v>
      </c>
      <c r="C180" t="s">
        <v>681</v>
      </c>
      <c r="D180">
        <v>88.61</v>
      </c>
      <c r="E180">
        <v>59.61</v>
      </c>
      <c r="F180">
        <v>29</v>
      </c>
    </row>
    <row r="181" spans="1:6" x14ac:dyDescent="0.3">
      <c r="A181" t="s">
        <v>318</v>
      </c>
      <c r="B181" t="s">
        <v>513</v>
      </c>
      <c r="C181" t="s">
        <v>626</v>
      </c>
      <c r="D181">
        <v>30</v>
      </c>
      <c r="E181">
        <v>23</v>
      </c>
      <c r="F181">
        <v>7</v>
      </c>
    </row>
    <row r="182" spans="1:6" x14ac:dyDescent="0.3">
      <c r="A182" t="s">
        <v>318</v>
      </c>
      <c r="B182" t="s">
        <v>513</v>
      </c>
      <c r="C182" t="s">
        <v>627</v>
      </c>
      <c r="D182">
        <v>90.059999999999988</v>
      </c>
      <c r="E182">
        <v>74.059999999999988</v>
      </c>
      <c r="F182">
        <v>16</v>
      </c>
    </row>
    <row r="183" spans="1:6" x14ac:dyDescent="0.3">
      <c r="A183" t="s">
        <v>318</v>
      </c>
      <c r="B183" t="s">
        <v>514</v>
      </c>
      <c r="C183" t="s">
        <v>682</v>
      </c>
      <c r="D183">
        <v>398.88</v>
      </c>
      <c r="E183">
        <v>154.14000000000001</v>
      </c>
      <c r="F183">
        <v>244.74</v>
      </c>
    </row>
    <row r="184" spans="1:6" x14ac:dyDescent="0.3">
      <c r="A184" t="s">
        <v>320</v>
      </c>
      <c r="B184" t="s">
        <v>629</v>
      </c>
      <c r="C184" t="s">
        <v>623</v>
      </c>
      <c r="D184">
        <v>76</v>
      </c>
      <c r="E184">
        <v>2</v>
      </c>
      <c r="F184">
        <v>74</v>
      </c>
    </row>
    <row r="185" spans="1:6" x14ac:dyDescent="0.3">
      <c r="A185" t="s">
        <v>325</v>
      </c>
      <c r="B185" t="s">
        <v>513</v>
      </c>
      <c r="C185" t="s">
        <v>624</v>
      </c>
      <c r="D185">
        <v>10</v>
      </c>
      <c r="E185">
        <v>9</v>
      </c>
      <c r="F185">
        <v>1</v>
      </c>
    </row>
    <row r="186" spans="1:6" x14ac:dyDescent="0.3">
      <c r="A186" t="s">
        <v>325</v>
      </c>
      <c r="B186" t="s">
        <v>513</v>
      </c>
      <c r="C186" t="s">
        <v>625</v>
      </c>
      <c r="D186">
        <v>36.86</v>
      </c>
      <c r="E186">
        <v>31.86</v>
      </c>
      <c r="F186">
        <v>5</v>
      </c>
    </row>
    <row r="187" spans="1:6" x14ac:dyDescent="0.3">
      <c r="A187" t="s">
        <v>325</v>
      </c>
      <c r="B187" t="s">
        <v>514</v>
      </c>
      <c r="C187" t="s">
        <v>682</v>
      </c>
      <c r="D187">
        <v>441.38</v>
      </c>
      <c r="E187">
        <v>188.98</v>
      </c>
      <c r="F187">
        <v>252.4</v>
      </c>
    </row>
    <row r="188" spans="1:6" x14ac:dyDescent="0.3">
      <c r="A188" t="s">
        <v>325</v>
      </c>
      <c r="B188" t="s">
        <v>514</v>
      </c>
      <c r="C188" t="s">
        <v>683</v>
      </c>
      <c r="D188">
        <v>53.879999999999995</v>
      </c>
      <c r="E188">
        <v>14.529999999999998</v>
      </c>
      <c r="F188">
        <v>39.35</v>
      </c>
    </row>
    <row r="189" spans="1:6" x14ac:dyDescent="0.3">
      <c r="A189" t="s">
        <v>325</v>
      </c>
      <c r="B189" t="s">
        <v>629</v>
      </c>
      <c r="C189" t="s">
        <v>621</v>
      </c>
      <c r="F189">
        <v>5</v>
      </c>
    </row>
    <row r="190" spans="1:6" x14ac:dyDescent="0.3">
      <c r="A190" t="s">
        <v>325</v>
      </c>
      <c r="B190" t="s">
        <v>629</v>
      </c>
      <c r="C190" t="s">
        <v>626</v>
      </c>
      <c r="D190">
        <v>655</v>
      </c>
      <c r="E190">
        <v>39</v>
      </c>
      <c r="F190">
        <v>616</v>
      </c>
    </row>
    <row r="191" spans="1:6" x14ac:dyDescent="0.3">
      <c r="A191" t="s">
        <v>325</v>
      </c>
      <c r="B191" t="s">
        <v>629</v>
      </c>
      <c r="C191" t="s">
        <v>623</v>
      </c>
      <c r="D191">
        <v>78</v>
      </c>
      <c r="E191">
        <v>2</v>
      </c>
      <c r="F191">
        <v>76</v>
      </c>
    </row>
    <row r="192" spans="1:6" x14ac:dyDescent="0.3">
      <c r="A192" t="s">
        <v>325</v>
      </c>
      <c r="B192" t="s">
        <v>629</v>
      </c>
      <c r="C192" t="s">
        <v>624</v>
      </c>
      <c r="D192">
        <v>148</v>
      </c>
      <c r="E192">
        <v>9</v>
      </c>
      <c r="F192">
        <v>139</v>
      </c>
    </row>
    <row r="193" spans="1:6" x14ac:dyDescent="0.3">
      <c r="A193" t="s">
        <v>326</v>
      </c>
      <c r="B193" t="s">
        <v>513</v>
      </c>
      <c r="C193" t="s">
        <v>627</v>
      </c>
      <c r="D193">
        <v>86.85</v>
      </c>
      <c r="E193">
        <v>68.849999999999994</v>
      </c>
      <c r="F193">
        <v>18</v>
      </c>
    </row>
    <row r="194" spans="1:6" x14ac:dyDescent="0.3">
      <c r="A194" t="s">
        <v>326</v>
      </c>
      <c r="B194" t="s">
        <v>629</v>
      </c>
      <c r="C194" t="s">
        <v>625</v>
      </c>
      <c r="D194">
        <v>606.77</v>
      </c>
      <c r="E194">
        <v>31</v>
      </c>
      <c r="F194">
        <v>575.77</v>
      </c>
    </row>
    <row r="195" spans="1:6" x14ac:dyDescent="0.3">
      <c r="A195" t="s">
        <v>328</v>
      </c>
      <c r="B195" t="s">
        <v>606</v>
      </c>
      <c r="C195" t="s">
        <v>627</v>
      </c>
      <c r="D195">
        <v>1650.8000000000006</v>
      </c>
      <c r="E195">
        <v>141.16</v>
      </c>
      <c r="F195">
        <v>1509.6400000000006</v>
      </c>
    </row>
    <row r="196" spans="1:6" x14ac:dyDescent="0.3">
      <c r="A196" t="s">
        <v>328</v>
      </c>
      <c r="B196" t="s">
        <v>606</v>
      </c>
      <c r="C196" t="s">
        <v>625</v>
      </c>
      <c r="D196">
        <v>211.70000000000002</v>
      </c>
      <c r="E196">
        <v>9.35</v>
      </c>
      <c r="F196">
        <v>202.35000000000002</v>
      </c>
    </row>
    <row r="197" spans="1:6" x14ac:dyDescent="0.3">
      <c r="A197" t="s">
        <v>328</v>
      </c>
      <c r="B197" t="s">
        <v>514</v>
      </c>
      <c r="C197" t="s">
        <v>679</v>
      </c>
      <c r="D197">
        <v>94.09</v>
      </c>
      <c r="E197">
        <v>43.489999999999995</v>
      </c>
      <c r="F197">
        <v>50.6</v>
      </c>
    </row>
    <row r="198" spans="1:6" x14ac:dyDescent="0.3">
      <c r="A198" t="s">
        <v>412</v>
      </c>
      <c r="B198" t="s">
        <v>606</v>
      </c>
      <c r="C198" t="s">
        <v>626</v>
      </c>
      <c r="D198">
        <v>439.98</v>
      </c>
      <c r="E198">
        <v>27.53</v>
      </c>
      <c r="F198">
        <v>412.45</v>
      </c>
    </row>
    <row r="199" spans="1:6" x14ac:dyDescent="0.3">
      <c r="A199" t="s">
        <v>412</v>
      </c>
      <c r="B199" t="s">
        <v>514</v>
      </c>
      <c r="C199" t="s">
        <v>679</v>
      </c>
      <c r="D199">
        <v>99.97</v>
      </c>
      <c r="E199">
        <v>46.37</v>
      </c>
      <c r="F199">
        <v>53.6</v>
      </c>
    </row>
    <row r="200" spans="1:6" x14ac:dyDescent="0.3">
      <c r="A200" t="s">
        <v>412</v>
      </c>
      <c r="B200" t="s">
        <v>629</v>
      </c>
      <c r="C200" t="s">
        <v>621</v>
      </c>
      <c r="F200">
        <v>5</v>
      </c>
    </row>
    <row r="201" spans="1:6" x14ac:dyDescent="0.3">
      <c r="A201" t="s">
        <v>364</v>
      </c>
      <c r="B201" t="s">
        <v>514</v>
      </c>
      <c r="C201" t="s">
        <v>684</v>
      </c>
      <c r="D201">
        <v>223.6</v>
      </c>
      <c r="E201">
        <v>197.5</v>
      </c>
      <c r="F201">
        <v>26.1</v>
      </c>
    </row>
    <row r="202" spans="1:6" x14ac:dyDescent="0.3">
      <c r="A202" t="s">
        <v>364</v>
      </c>
      <c r="B202" t="s">
        <v>514</v>
      </c>
      <c r="C202" t="s">
        <v>681</v>
      </c>
      <c r="D202">
        <v>42.3</v>
      </c>
      <c r="E202">
        <v>25.7</v>
      </c>
      <c r="F202">
        <v>16.600000000000001</v>
      </c>
    </row>
    <row r="203" spans="1:6" x14ac:dyDescent="0.3">
      <c r="A203" t="s">
        <v>364</v>
      </c>
      <c r="B203" t="s">
        <v>629</v>
      </c>
      <c r="C203" t="s">
        <v>622</v>
      </c>
      <c r="D203">
        <v>28</v>
      </c>
      <c r="F203">
        <v>28</v>
      </c>
    </row>
    <row r="204" spans="1:6" x14ac:dyDescent="0.3">
      <c r="A204" t="s">
        <v>365</v>
      </c>
      <c r="B204" t="s">
        <v>513</v>
      </c>
      <c r="C204" t="s">
        <v>623</v>
      </c>
      <c r="D204">
        <v>5</v>
      </c>
      <c r="E204">
        <v>4</v>
      </c>
      <c r="F204">
        <v>1</v>
      </c>
    </row>
    <row r="205" spans="1:6" x14ac:dyDescent="0.3">
      <c r="A205" t="s">
        <v>365</v>
      </c>
      <c r="B205" t="s">
        <v>513</v>
      </c>
      <c r="C205" t="s">
        <v>624</v>
      </c>
      <c r="D205">
        <v>12.85</v>
      </c>
      <c r="E205">
        <v>10.85</v>
      </c>
      <c r="F205">
        <v>2</v>
      </c>
    </row>
    <row r="206" spans="1:6" x14ac:dyDescent="0.3">
      <c r="A206" t="s">
        <v>365</v>
      </c>
      <c r="B206" t="s">
        <v>513</v>
      </c>
      <c r="C206" t="s">
        <v>625</v>
      </c>
      <c r="D206">
        <v>49.46</v>
      </c>
      <c r="E206">
        <v>43.46</v>
      </c>
      <c r="F206">
        <v>6</v>
      </c>
    </row>
    <row r="207" spans="1:6" x14ac:dyDescent="0.3">
      <c r="A207" t="s">
        <v>365</v>
      </c>
      <c r="B207" t="s">
        <v>606</v>
      </c>
      <c r="C207" t="s">
        <v>625</v>
      </c>
      <c r="D207">
        <v>263.75</v>
      </c>
      <c r="E207">
        <v>12</v>
      </c>
      <c r="F207">
        <v>251.75</v>
      </c>
    </row>
    <row r="208" spans="1:6" x14ac:dyDescent="0.3">
      <c r="A208" t="s">
        <v>366</v>
      </c>
      <c r="B208" t="s">
        <v>514</v>
      </c>
      <c r="C208" t="s">
        <v>684</v>
      </c>
      <c r="D208">
        <v>145.72971428571435</v>
      </c>
      <c r="E208">
        <v>128.96057142857148</v>
      </c>
      <c r="F208">
        <v>16.769142857142857</v>
      </c>
    </row>
    <row r="209" spans="1:6" x14ac:dyDescent="0.3">
      <c r="A209" t="s">
        <v>366</v>
      </c>
      <c r="B209" t="s">
        <v>629</v>
      </c>
      <c r="C209" t="s">
        <v>623</v>
      </c>
      <c r="D209">
        <v>90</v>
      </c>
      <c r="E209">
        <v>3</v>
      </c>
      <c r="F209">
        <v>87</v>
      </c>
    </row>
    <row r="210" spans="1:6" x14ac:dyDescent="0.3">
      <c r="A210" t="s">
        <v>342</v>
      </c>
      <c r="B210" t="s">
        <v>514</v>
      </c>
      <c r="C210" t="s">
        <v>680</v>
      </c>
      <c r="D210">
        <v>30.86</v>
      </c>
      <c r="E210">
        <v>18.36</v>
      </c>
      <c r="F210">
        <v>12.5</v>
      </c>
    </row>
    <row r="211" spans="1:6" x14ac:dyDescent="0.3">
      <c r="A211" t="s">
        <v>213</v>
      </c>
      <c r="B211" t="s">
        <v>513</v>
      </c>
      <c r="C211" t="s">
        <v>623</v>
      </c>
      <c r="D211">
        <v>4</v>
      </c>
      <c r="E211">
        <v>3</v>
      </c>
      <c r="F211">
        <v>1</v>
      </c>
    </row>
    <row r="212" spans="1:6" x14ac:dyDescent="0.3">
      <c r="A212" t="s">
        <v>213</v>
      </c>
      <c r="B212" t="s">
        <v>606</v>
      </c>
      <c r="C212" t="s">
        <v>627</v>
      </c>
      <c r="D212">
        <v>1863.8000000000002</v>
      </c>
      <c r="E212">
        <v>148.4</v>
      </c>
      <c r="F212">
        <v>1715.4</v>
      </c>
    </row>
    <row r="213" spans="1:6" x14ac:dyDescent="0.3">
      <c r="A213" t="s">
        <v>312</v>
      </c>
      <c r="B213" t="s">
        <v>513</v>
      </c>
      <c r="C213" t="s">
        <v>622</v>
      </c>
      <c r="E213">
        <v>1</v>
      </c>
    </row>
    <row r="214" spans="1:6" x14ac:dyDescent="0.3">
      <c r="A214" t="s">
        <v>318</v>
      </c>
      <c r="B214" t="s">
        <v>514</v>
      </c>
      <c r="C214" t="s">
        <v>684</v>
      </c>
      <c r="D214">
        <v>160.44999999999999</v>
      </c>
      <c r="E214">
        <v>151.59</v>
      </c>
      <c r="F214">
        <v>8.86</v>
      </c>
    </row>
    <row r="215" spans="1:6" x14ac:dyDescent="0.3">
      <c r="A215" t="s">
        <v>318</v>
      </c>
      <c r="B215" t="s">
        <v>514</v>
      </c>
      <c r="C215" t="s">
        <v>679</v>
      </c>
      <c r="D215">
        <v>49.8</v>
      </c>
      <c r="E215">
        <v>16.8</v>
      </c>
      <c r="F215">
        <v>33</v>
      </c>
    </row>
    <row r="216" spans="1:6" x14ac:dyDescent="0.3">
      <c r="A216" t="s">
        <v>318</v>
      </c>
      <c r="B216" t="s">
        <v>514</v>
      </c>
      <c r="C216" t="s">
        <v>683</v>
      </c>
      <c r="D216">
        <v>55.730000000000004</v>
      </c>
      <c r="E216">
        <v>18.38</v>
      </c>
      <c r="F216">
        <v>37.35</v>
      </c>
    </row>
    <row r="217" spans="1:6" x14ac:dyDescent="0.3">
      <c r="A217" t="s">
        <v>318</v>
      </c>
      <c r="B217" t="s">
        <v>629</v>
      </c>
      <c r="C217" t="s">
        <v>627</v>
      </c>
      <c r="D217">
        <v>2017.43</v>
      </c>
      <c r="E217">
        <v>148.43</v>
      </c>
      <c r="F217">
        <v>1869</v>
      </c>
    </row>
    <row r="218" spans="1:6" x14ac:dyDescent="0.3">
      <c r="A218" t="s">
        <v>320</v>
      </c>
      <c r="B218" t="s">
        <v>513</v>
      </c>
      <c r="C218" t="s">
        <v>624</v>
      </c>
      <c r="D218">
        <v>10</v>
      </c>
      <c r="E218">
        <v>9</v>
      </c>
      <c r="F218">
        <v>1</v>
      </c>
    </row>
    <row r="219" spans="1:6" x14ac:dyDescent="0.3">
      <c r="A219" t="s">
        <v>320</v>
      </c>
      <c r="B219" t="s">
        <v>512</v>
      </c>
      <c r="C219" t="s">
        <v>625</v>
      </c>
      <c r="D219">
        <v>53</v>
      </c>
      <c r="E219">
        <v>10</v>
      </c>
      <c r="F219">
        <v>43</v>
      </c>
    </row>
    <row r="220" spans="1:6" x14ac:dyDescent="0.3">
      <c r="A220" t="s">
        <v>320</v>
      </c>
      <c r="B220" t="s">
        <v>514</v>
      </c>
      <c r="C220" t="s">
        <v>682</v>
      </c>
      <c r="D220">
        <v>449.54999999999995</v>
      </c>
      <c r="E220">
        <v>168.88000000000002</v>
      </c>
      <c r="F220">
        <v>280.66999999999996</v>
      </c>
    </row>
    <row r="221" spans="1:6" x14ac:dyDescent="0.3">
      <c r="A221" t="s">
        <v>320</v>
      </c>
      <c r="B221" t="s">
        <v>629</v>
      </c>
      <c r="C221" t="s">
        <v>627</v>
      </c>
      <c r="D221">
        <v>1988.43</v>
      </c>
      <c r="E221">
        <v>146.93</v>
      </c>
      <c r="F221">
        <v>1841.5</v>
      </c>
    </row>
    <row r="222" spans="1:6" x14ac:dyDescent="0.3">
      <c r="A222" t="s">
        <v>325</v>
      </c>
      <c r="B222" t="s">
        <v>513</v>
      </c>
      <c r="C222" t="s">
        <v>626</v>
      </c>
      <c r="D222">
        <v>28.29</v>
      </c>
      <c r="E222">
        <v>24.29</v>
      </c>
      <c r="F222">
        <v>4</v>
      </c>
    </row>
    <row r="223" spans="1:6" x14ac:dyDescent="0.3">
      <c r="A223" t="s">
        <v>325</v>
      </c>
      <c r="B223" t="s">
        <v>513</v>
      </c>
      <c r="C223" t="s">
        <v>627</v>
      </c>
      <c r="D223">
        <v>87.91</v>
      </c>
      <c r="E223">
        <v>70.91</v>
      </c>
      <c r="F223">
        <v>17</v>
      </c>
    </row>
    <row r="224" spans="1:6" x14ac:dyDescent="0.3">
      <c r="A224" t="s">
        <v>325</v>
      </c>
      <c r="B224" t="s">
        <v>514</v>
      </c>
      <c r="C224" t="s">
        <v>680</v>
      </c>
      <c r="D224">
        <v>36</v>
      </c>
      <c r="E224">
        <v>24</v>
      </c>
      <c r="F224">
        <v>12</v>
      </c>
    </row>
    <row r="225" spans="1:6" x14ac:dyDescent="0.3">
      <c r="A225" t="s">
        <v>326</v>
      </c>
      <c r="B225" t="s">
        <v>514</v>
      </c>
      <c r="C225" t="s">
        <v>679</v>
      </c>
      <c r="D225">
        <v>85.68</v>
      </c>
      <c r="E225">
        <v>40.08</v>
      </c>
      <c r="F225">
        <v>45.6</v>
      </c>
    </row>
    <row r="226" spans="1:6" x14ac:dyDescent="0.3">
      <c r="A226" t="s">
        <v>326</v>
      </c>
      <c r="B226" t="s">
        <v>514</v>
      </c>
      <c r="C226" t="s">
        <v>683</v>
      </c>
      <c r="D226">
        <v>55.879999999999995</v>
      </c>
      <c r="E226">
        <v>15.529999999999998</v>
      </c>
      <c r="F226">
        <v>40.35</v>
      </c>
    </row>
    <row r="227" spans="1:6" x14ac:dyDescent="0.3">
      <c r="A227" t="s">
        <v>326</v>
      </c>
      <c r="B227" t="s">
        <v>629</v>
      </c>
      <c r="C227" t="s">
        <v>622</v>
      </c>
      <c r="D227">
        <v>31</v>
      </c>
      <c r="E227">
        <v>1</v>
      </c>
      <c r="F227">
        <v>30</v>
      </c>
    </row>
    <row r="228" spans="1:6" x14ac:dyDescent="0.3">
      <c r="A228" t="s">
        <v>326</v>
      </c>
      <c r="B228" t="s">
        <v>629</v>
      </c>
      <c r="C228" t="s">
        <v>626</v>
      </c>
      <c r="D228">
        <v>640</v>
      </c>
      <c r="E228">
        <v>39</v>
      </c>
      <c r="F228">
        <v>601</v>
      </c>
    </row>
    <row r="229" spans="1:6" x14ac:dyDescent="0.3">
      <c r="A229" t="s">
        <v>326</v>
      </c>
      <c r="B229" t="s">
        <v>629</v>
      </c>
      <c r="C229" t="s">
        <v>624</v>
      </c>
      <c r="D229">
        <v>156</v>
      </c>
      <c r="E229">
        <v>9</v>
      </c>
      <c r="F229">
        <v>147</v>
      </c>
    </row>
    <row r="230" spans="1:6" x14ac:dyDescent="0.3">
      <c r="A230" t="s">
        <v>328</v>
      </c>
      <c r="B230" t="s">
        <v>513</v>
      </c>
      <c r="C230" t="s">
        <v>626</v>
      </c>
      <c r="D230">
        <v>28</v>
      </c>
      <c r="E230">
        <v>24</v>
      </c>
      <c r="F230">
        <v>4</v>
      </c>
    </row>
    <row r="231" spans="1:6" x14ac:dyDescent="0.3">
      <c r="A231" t="s">
        <v>328</v>
      </c>
      <c r="B231" t="s">
        <v>513</v>
      </c>
      <c r="C231" t="s">
        <v>624</v>
      </c>
      <c r="D231">
        <v>8</v>
      </c>
      <c r="E231">
        <v>7</v>
      </c>
      <c r="F231">
        <v>1</v>
      </c>
    </row>
    <row r="232" spans="1:6" x14ac:dyDescent="0.3">
      <c r="A232" t="s">
        <v>328</v>
      </c>
      <c r="B232" t="s">
        <v>514</v>
      </c>
      <c r="C232" t="s">
        <v>678</v>
      </c>
      <c r="D232">
        <v>4</v>
      </c>
      <c r="E232">
        <v>3</v>
      </c>
      <c r="F232">
        <v>1</v>
      </c>
    </row>
    <row r="233" spans="1:6" x14ac:dyDescent="0.3">
      <c r="A233" t="s">
        <v>412</v>
      </c>
      <c r="B233" t="s">
        <v>514</v>
      </c>
      <c r="C233" t="s">
        <v>678</v>
      </c>
      <c r="D233">
        <v>3</v>
      </c>
      <c r="E233">
        <v>2</v>
      </c>
      <c r="F233">
        <v>1</v>
      </c>
    </row>
    <row r="234" spans="1:6" x14ac:dyDescent="0.3">
      <c r="A234" t="s">
        <v>412</v>
      </c>
      <c r="B234" t="s">
        <v>629</v>
      </c>
      <c r="C234" t="s">
        <v>622</v>
      </c>
      <c r="D234">
        <v>27</v>
      </c>
      <c r="E234">
        <v>1</v>
      </c>
      <c r="F234">
        <v>26</v>
      </c>
    </row>
    <row r="235" spans="1:6" x14ac:dyDescent="0.3">
      <c r="A235" t="s">
        <v>412</v>
      </c>
      <c r="B235" t="s">
        <v>629</v>
      </c>
      <c r="C235" t="s">
        <v>625</v>
      </c>
      <c r="D235">
        <v>624.77</v>
      </c>
      <c r="E235">
        <v>35</v>
      </c>
      <c r="F235">
        <v>589.77</v>
      </c>
    </row>
    <row r="236" spans="1:6" x14ac:dyDescent="0.3">
      <c r="A236" t="s">
        <v>364</v>
      </c>
      <c r="B236" t="s">
        <v>513</v>
      </c>
      <c r="C236" t="s">
        <v>626</v>
      </c>
      <c r="D236">
        <v>51.01</v>
      </c>
      <c r="E236">
        <v>45.01</v>
      </c>
      <c r="F236">
        <v>6</v>
      </c>
    </row>
    <row r="237" spans="1:6" x14ac:dyDescent="0.3">
      <c r="A237" t="s">
        <v>364</v>
      </c>
      <c r="B237" t="s">
        <v>606</v>
      </c>
      <c r="C237" t="s">
        <v>625</v>
      </c>
      <c r="D237">
        <v>262.12</v>
      </c>
      <c r="E237">
        <v>10</v>
      </c>
      <c r="F237">
        <v>252.12000000000003</v>
      </c>
    </row>
    <row r="238" spans="1:6" x14ac:dyDescent="0.3">
      <c r="A238" t="s">
        <v>364</v>
      </c>
      <c r="B238" t="s">
        <v>514</v>
      </c>
      <c r="C238" t="s">
        <v>682</v>
      </c>
      <c r="D238">
        <v>256.39999999999998</v>
      </c>
      <c r="E238">
        <v>39.199999999999996</v>
      </c>
      <c r="F238">
        <v>217.2</v>
      </c>
    </row>
    <row r="239" spans="1:6" x14ac:dyDescent="0.3">
      <c r="A239" t="s">
        <v>365</v>
      </c>
      <c r="B239" t="s">
        <v>629</v>
      </c>
      <c r="C239" t="s">
        <v>625</v>
      </c>
      <c r="D239">
        <v>664</v>
      </c>
      <c r="E239">
        <v>27</v>
      </c>
      <c r="F239">
        <v>637</v>
      </c>
    </row>
    <row r="240" spans="1:6" x14ac:dyDescent="0.3">
      <c r="A240" t="s">
        <v>366</v>
      </c>
      <c r="B240" t="s">
        <v>629</v>
      </c>
      <c r="C240" t="s">
        <v>626</v>
      </c>
      <c r="D240">
        <v>598.34523809523807</v>
      </c>
      <c r="E240">
        <v>27</v>
      </c>
      <c r="F240">
        <v>571.34523809523807</v>
      </c>
    </row>
    <row r="241" spans="1:6" x14ac:dyDescent="0.3">
      <c r="A241" t="s">
        <v>366</v>
      </c>
      <c r="B241" t="s">
        <v>629</v>
      </c>
      <c r="C241" t="s">
        <v>624</v>
      </c>
      <c r="D241">
        <v>126</v>
      </c>
      <c r="E241">
        <v>2</v>
      </c>
      <c r="F241">
        <v>124</v>
      </c>
    </row>
    <row r="242" spans="1:6" x14ac:dyDescent="0.3">
      <c r="A242" t="s">
        <v>366</v>
      </c>
      <c r="B242" t="s">
        <v>629</v>
      </c>
      <c r="C242" t="s">
        <v>625</v>
      </c>
      <c r="D242">
        <v>585.31904761904764</v>
      </c>
      <c r="E242">
        <v>22</v>
      </c>
      <c r="F242">
        <v>563.31904761904764</v>
      </c>
    </row>
    <row r="243" spans="1:6" x14ac:dyDescent="0.3">
      <c r="A243" t="s">
        <v>341</v>
      </c>
      <c r="B243" t="s">
        <v>514</v>
      </c>
      <c r="C243" t="s">
        <v>684</v>
      </c>
      <c r="D243">
        <v>140.91</v>
      </c>
      <c r="E243">
        <v>130.36000000000001</v>
      </c>
      <c r="F243">
        <v>10.55</v>
      </c>
    </row>
    <row r="244" spans="1:6" x14ac:dyDescent="0.3">
      <c r="A244" t="s">
        <v>341</v>
      </c>
      <c r="B244" t="s">
        <v>629</v>
      </c>
      <c r="C244" t="s">
        <v>621</v>
      </c>
      <c r="F244">
        <v>4</v>
      </c>
    </row>
    <row r="245" spans="1:6" x14ac:dyDescent="0.3">
      <c r="A245" t="s">
        <v>341</v>
      </c>
      <c r="B245" t="s">
        <v>629</v>
      </c>
      <c r="C245" t="s">
        <v>623</v>
      </c>
      <c r="D245">
        <v>70</v>
      </c>
      <c r="E245">
        <v>2</v>
      </c>
      <c r="F245">
        <v>68</v>
      </c>
    </row>
    <row r="246" spans="1:6" x14ac:dyDescent="0.3">
      <c r="A246" t="s">
        <v>341</v>
      </c>
      <c r="B246" t="s">
        <v>629</v>
      </c>
      <c r="C246" t="s">
        <v>624</v>
      </c>
      <c r="D246">
        <v>151</v>
      </c>
      <c r="E246">
        <v>2</v>
      </c>
      <c r="F246">
        <v>149</v>
      </c>
    </row>
    <row r="247" spans="1:6" x14ac:dyDescent="0.3">
      <c r="A247" t="s">
        <v>342</v>
      </c>
      <c r="B247" t="s">
        <v>513</v>
      </c>
      <c r="C247" t="s">
        <v>626</v>
      </c>
      <c r="D247">
        <v>26.79</v>
      </c>
      <c r="E247">
        <v>22.79</v>
      </c>
      <c r="F247">
        <v>4</v>
      </c>
    </row>
    <row r="248" spans="1:6" x14ac:dyDescent="0.3">
      <c r="A248" t="s">
        <v>342</v>
      </c>
      <c r="B248" t="s">
        <v>606</v>
      </c>
      <c r="C248" t="s">
        <v>625</v>
      </c>
      <c r="D248">
        <v>246.25</v>
      </c>
      <c r="E248">
        <v>13.75</v>
      </c>
      <c r="F248">
        <v>232.5</v>
      </c>
    </row>
    <row r="249" spans="1:6" x14ac:dyDescent="0.3">
      <c r="A249" t="s">
        <v>342</v>
      </c>
      <c r="B249" t="s">
        <v>514</v>
      </c>
      <c r="C249" t="s">
        <v>681</v>
      </c>
      <c r="D249">
        <v>75.81</v>
      </c>
      <c r="E249">
        <v>53.98</v>
      </c>
      <c r="F249">
        <v>21.83</v>
      </c>
    </row>
    <row r="250" spans="1:6" x14ac:dyDescent="0.3">
      <c r="A250" t="s">
        <v>213</v>
      </c>
      <c r="B250" t="s">
        <v>513</v>
      </c>
      <c r="C250" t="s">
        <v>622</v>
      </c>
      <c r="E250">
        <v>1</v>
      </c>
    </row>
    <row r="251" spans="1:6" x14ac:dyDescent="0.3">
      <c r="A251" t="s">
        <v>213</v>
      </c>
      <c r="B251" t="s">
        <v>514</v>
      </c>
      <c r="C251" t="s">
        <v>684</v>
      </c>
      <c r="D251">
        <v>144.99</v>
      </c>
      <c r="E251">
        <v>134.44</v>
      </c>
      <c r="F251">
        <v>10.55</v>
      </c>
    </row>
    <row r="252" spans="1:6" x14ac:dyDescent="0.3">
      <c r="A252" t="s">
        <v>213</v>
      </c>
      <c r="B252" t="s">
        <v>514</v>
      </c>
      <c r="C252" t="s">
        <v>679</v>
      </c>
      <c r="D252">
        <v>49</v>
      </c>
      <c r="E252">
        <v>15</v>
      </c>
      <c r="F252">
        <v>34</v>
      </c>
    </row>
    <row r="253" spans="1:6" x14ac:dyDescent="0.3">
      <c r="A253" t="s">
        <v>213</v>
      </c>
      <c r="B253" t="s">
        <v>629</v>
      </c>
      <c r="C253" t="s">
        <v>626</v>
      </c>
      <c r="D253">
        <v>687</v>
      </c>
      <c r="E253">
        <v>27</v>
      </c>
      <c r="F253">
        <v>660</v>
      </c>
    </row>
    <row r="254" spans="1:6" x14ac:dyDescent="0.3">
      <c r="A254" t="s">
        <v>312</v>
      </c>
      <c r="B254" t="s">
        <v>513</v>
      </c>
      <c r="C254" t="s">
        <v>626</v>
      </c>
      <c r="D254">
        <v>26</v>
      </c>
      <c r="E254">
        <v>21</v>
      </c>
      <c r="F254">
        <v>5</v>
      </c>
    </row>
    <row r="255" spans="1:6" x14ac:dyDescent="0.3">
      <c r="A255" t="s">
        <v>312</v>
      </c>
      <c r="B255" t="s">
        <v>513</v>
      </c>
      <c r="C255" t="s">
        <v>623</v>
      </c>
      <c r="D255">
        <v>4</v>
      </c>
      <c r="E255">
        <v>3</v>
      </c>
      <c r="F255">
        <v>1</v>
      </c>
    </row>
    <row r="256" spans="1:6" x14ac:dyDescent="0.3">
      <c r="A256" t="s">
        <v>312</v>
      </c>
      <c r="B256" t="s">
        <v>606</v>
      </c>
      <c r="C256" t="s">
        <v>627</v>
      </c>
      <c r="D256">
        <v>1855.3000000000002</v>
      </c>
      <c r="E256">
        <v>153.15</v>
      </c>
      <c r="F256">
        <v>1702.15</v>
      </c>
    </row>
    <row r="257" spans="1:6" x14ac:dyDescent="0.3">
      <c r="A257" t="s">
        <v>312</v>
      </c>
      <c r="B257" t="s">
        <v>514</v>
      </c>
      <c r="C257" t="s">
        <v>684</v>
      </c>
      <c r="D257">
        <v>154.34000000000003</v>
      </c>
      <c r="E257">
        <v>144.79000000000002</v>
      </c>
      <c r="F257">
        <v>9.5500000000000007</v>
      </c>
    </row>
    <row r="258" spans="1:6" x14ac:dyDescent="0.3">
      <c r="A258" t="s">
        <v>320</v>
      </c>
      <c r="B258" t="s">
        <v>514</v>
      </c>
      <c r="C258" t="s">
        <v>684</v>
      </c>
      <c r="D258">
        <v>163.91</v>
      </c>
      <c r="E258">
        <v>150.60999999999999</v>
      </c>
      <c r="F258">
        <v>13.299999999999999</v>
      </c>
    </row>
    <row r="259" spans="1:6" x14ac:dyDescent="0.3">
      <c r="A259" t="s">
        <v>320</v>
      </c>
      <c r="B259" t="s">
        <v>514</v>
      </c>
      <c r="C259" t="s">
        <v>678</v>
      </c>
      <c r="D259">
        <v>4</v>
      </c>
      <c r="E259">
        <v>1</v>
      </c>
      <c r="F259">
        <v>3</v>
      </c>
    </row>
    <row r="260" spans="1:6" x14ac:dyDescent="0.3">
      <c r="A260" t="s">
        <v>320</v>
      </c>
      <c r="B260" t="s">
        <v>629</v>
      </c>
      <c r="C260" t="s">
        <v>626</v>
      </c>
      <c r="D260">
        <v>660</v>
      </c>
      <c r="E260">
        <v>39</v>
      </c>
      <c r="F260">
        <v>621</v>
      </c>
    </row>
    <row r="261" spans="1:6" x14ac:dyDescent="0.3">
      <c r="A261" t="s">
        <v>325</v>
      </c>
      <c r="B261" t="s">
        <v>513</v>
      </c>
      <c r="C261" t="s">
        <v>622</v>
      </c>
      <c r="E261">
        <v>1</v>
      </c>
    </row>
    <row r="262" spans="1:6" x14ac:dyDescent="0.3">
      <c r="A262" t="s">
        <v>325</v>
      </c>
      <c r="B262" t="s">
        <v>606</v>
      </c>
      <c r="C262" t="s">
        <v>627</v>
      </c>
      <c r="D262">
        <v>1648.1899999999998</v>
      </c>
      <c r="E262">
        <v>127.25</v>
      </c>
      <c r="F262">
        <v>1520.9399999999998</v>
      </c>
    </row>
    <row r="263" spans="1:6" x14ac:dyDescent="0.3">
      <c r="A263" t="s">
        <v>325</v>
      </c>
      <c r="B263" t="s">
        <v>512</v>
      </c>
      <c r="C263" t="s">
        <v>626</v>
      </c>
      <c r="F263">
        <v>1</v>
      </c>
    </row>
    <row r="264" spans="1:6" x14ac:dyDescent="0.3">
      <c r="A264" t="s">
        <v>325</v>
      </c>
      <c r="B264" t="s">
        <v>629</v>
      </c>
      <c r="C264" t="s">
        <v>625</v>
      </c>
      <c r="D264">
        <v>601</v>
      </c>
      <c r="E264">
        <v>31</v>
      </c>
      <c r="F264">
        <v>570</v>
      </c>
    </row>
    <row r="265" spans="1:6" x14ac:dyDescent="0.3">
      <c r="A265" t="s">
        <v>326</v>
      </c>
      <c r="B265" t="s">
        <v>514</v>
      </c>
      <c r="C265" t="s">
        <v>684</v>
      </c>
      <c r="D265">
        <v>123.35999999999999</v>
      </c>
      <c r="E265">
        <v>110.35999999999999</v>
      </c>
      <c r="F265">
        <v>13</v>
      </c>
    </row>
    <row r="266" spans="1:6" x14ac:dyDescent="0.3">
      <c r="A266" t="s">
        <v>326</v>
      </c>
      <c r="B266" t="s">
        <v>629</v>
      </c>
      <c r="C266" t="s">
        <v>627</v>
      </c>
      <c r="D266">
        <v>1909.31</v>
      </c>
      <c r="E266">
        <v>137.32999999999998</v>
      </c>
      <c r="F266">
        <v>1771.98</v>
      </c>
    </row>
    <row r="267" spans="1:6" x14ac:dyDescent="0.3">
      <c r="A267" t="s">
        <v>328</v>
      </c>
      <c r="B267" t="s">
        <v>513</v>
      </c>
      <c r="C267" t="s">
        <v>627</v>
      </c>
      <c r="D267">
        <v>91.69</v>
      </c>
      <c r="E267">
        <v>72.69</v>
      </c>
      <c r="F267">
        <v>19</v>
      </c>
    </row>
    <row r="268" spans="1:6" x14ac:dyDescent="0.3">
      <c r="A268" t="s">
        <v>328</v>
      </c>
      <c r="B268" t="s">
        <v>514</v>
      </c>
      <c r="C268" t="s">
        <v>680</v>
      </c>
      <c r="D268">
        <v>35</v>
      </c>
      <c r="E268">
        <v>24</v>
      </c>
      <c r="F268">
        <v>11</v>
      </c>
    </row>
    <row r="269" spans="1:6" x14ac:dyDescent="0.3">
      <c r="A269" t="s">
        <v>328</v>
      </c>
      <c r="B269" t="s">
        <v>629</v>
      </c>
      <c r="C269" t="s">
        <v>626</v>
      </c>
      <c r="D269">
        <v>622</v>
      </c>
      <c r="E269">
        <v>35</v>
      </c>
      <c r="F269">
        <v>587</v>
      </c>
    </row>
    <row r="270" spans="1:6" x14ac:dyDescent="0.3">
      <c r="A270" t="s">
        <v>328</v>
      </c>
      <c r="B270" t="s">
        <v>629</v>
      </c>
      <c r="C270" t="s">
        <v>623</v>
      </c>
      <c r="D270">
        <v>72</v>
      </c>
      <c r="E270">
        <v>9</v>
      </c>
      <c r="F270">
        <v>63</v>
      </c>
    </row>
    <row r="271" spans="1:6" x14ac:dyDescent="0.3">
      <c r="A271" t="s">
        <v>412</v>
      </c>
      <c r="B271" t="s">
        <v>512</v>
      </c>
      <c r="C271" t="s">
        <v>626</v>
      </c>
      <c r="F271">
        <v>3</v>
      </c>
    </row>
    <row r="272" spans="1:6" x14ac:dyDescent="0.3">
      <c r="A272" t="s">
        <v>412</v>
      </c>
      <c r="B272" t="s">
        <v>514</v>
      </c>
      <c r="C272" t="s">
        <v>682</v>
      </c>
      <c r="D272">
        <v>446.82000000000005</v>
      </c>
      <c r="E272">
        <v>198.26000000000002</v>
      </c>
      <c r="F272">
        <v>248.56000000000003</v>
      </c>
    </row>
    <row r="273" spans="1:6" x14ac:dyDescent="0.3">
      <c r="A273" t="s">
        <v>412</v>
      </c>
      <c r="B273" t="s">
        <v>629</v>
      </c>
      <c r="C273" t="s">
        <v>627</v>
      </c>
      <c r="D273">
        <v>1895.81</v>
      </c>
      <c r="E273">
        <v>143.32999999999998</v>
      </c>
      <c r="F273">
        <v>1752.48</v>
      </c>
    </row>
    <row r="274" spans="1:6" x14ac:dyDescent="0.3">
      <c r="A274" t="s">
        <v>364</v>
      </c>
      <c r="B274" t="s">
        <v>513</v>
      </c>
      <c r="C274" t="s">
        <v>624</v>
      </c>
      <c r="D274">
        <v>11</v>
      </c>
      <c r="E274">
        <v>9</v>
      </c>
      <c r="F274">
        <v>2</v>
      </c>
    </row>
    <row r="275" spans="1:6" x14ac:dyDescent="0.3">
      <c r="A275" t="s">
        <v>365</v>
      </c>
      <c r="B275" t="s">
        <v>514</v>
      </c>
      <c r="C275" t="s">
        <v>681</v>
      </c>
      <c r="D275">
        <v>55.470000000000006</v>
      </c>
      <c r="E275">
        <v>36.870000000000005</v>
      </c>
      <c r="F275">
        <v>18.600000000000001</v>
      </c>
    </row>
    <row r="276" spans="1:6" x14ac:dyDescent="0.3">
      <c r="A276" t="s">
        <v>365</v>
      </c>
      <c r="B276" t="s">
        <v>514</v>
      </c>
      <c r="C276" t="s">
        <v>683</v>
      </c>
      <c r="D276">
        <v>128.98000000000002</v>
      </c>
      <c r="E276">
        <v>65.05000000000004</v>
      </c>
      <c r="F276">
        <v>63.929999999999993</v>
      </c>
    </row>
    <row r="277" spans="1:6" x14ac:dyDescent="0.3">
      <c r="A277" t="s">
        <v>365</v>
      </c>
      <c r="B277" t="s">
        <v>629</v>
      </c>
      <c r="C277" t="s">
        <v>623</v>
      </c>
      <c r="D277">
        <v>103</v>
      </c>
      <c r="E277">
        <v>3</v>
      </c>
      <c r="F277">
        <v>100</v>
      </c>
    </row>
    <row r="278" spans="1:6" x14ac:dyDescent="0.3">
      <c r="A278" t="s">
        <v>366</v>
      </c>
      <c r="B278" t="s">
        <v>513</v>
      </c>
      <c r="C278" t="s">
        <v>627</v>
      </c>
      <c r="D278">
        <v>89.021904761904764</v>
      </c>
      <c r="E278">
        <v>71.021904761904764</v>
      </c>
      <c r="F278">
        <v>18</v>
      </c>
    </row>
    <row r="279" spans="1:6" x14ac:dyDescent="0.3">
      <c r="A279" t="s">
        <v>341</v>
      </c>
      <c r="B279" t="s">
        <v>514</v>
      </c>
      <c r="C279" t="s">
        <v>679</v>
      </c>
      <c r="D279">
        <v>42</v>
      </c>
      <c r="E279">
        <v>17</v>
      </c>
      <c r="F279">
        <v>25</v>
      </c>
    </row>
    <row r="280" spans="1:6" x14ac:dyDescent="0.3">
      <c r="A280" t="s">
        <v>341</v>
      </c>
      <c r="B280" t="s">
        <v>629</v>
      </c>
      <c r="C280" t="s">
        <v>625</v>
      </c>
      <c r="D280">
        <v>587</v>
      </c>
      <c r="E280">
        <v>21</v>
      </c>
      <c r="F280">
        <v>566</v>
      </c>
    </row>
    <row r="281" spans="1:6" x14ac:dyDescent="0.3">
      <c r="A281" t="s">
        <v>342</v>
      </c>
      <c r="B281" t="s">
        <v>514</v>
      </c>
      <c r="C281" t="s">
        <v>682</v>
      </c>
      <c r="D281">
        <v>354.57</v>
      </c>
      <c r="E281">
        <v>133.04</v>
      </c>
      <c r="F281">
        <v>221.53</v>
      </c>
    </row>
    <row r="282" spans="1:6" x14ac:dyDescent="0.3">
      <c r="A282" t="s">
        <v>213</v>
      </c>
      <c r="B282" t="s">
        <v>514</v>
      </c>
      <c r="C282" t="s">
        <v>683</v>
      </c>
      <c r="D282">
        <v>58.61</v>
      </c>
      <c r="E282">
        <v>21.259999999999998</v>
      </c>
      <c r="F282">
        <v>37.35</v>
      </c>
    </row>
    <row r="283" spans="1:6" x14ac:dyDescent="0.3">
      <c r="A283" t="s">
        <v>213</v>
      </c>
      <c r="B283" t="s">
        <v>629</v>
      </c>
      <c r="C283" t="s">
        <v>623</v>
      </c>
      <c r="D283">
        <v>80</v>
      </c>
      <c r="E283">
        <v>2</v>
      </c>
      <c r="F283">
        <v>78</v>
      </c>
    </row>
    <row r="284" spans="1:6" x14ac:dyDescent="0.3">
      <c r="A284" t="s">
        <v>213</v>
      </c>
      <c r="B284" t="s">
        <v>629</v>
      </c>
      <c r="C284" t="s">
        <v>624</v>
      </c>
      <c r="D284">
        <v>147</v>
      </c>
      <c r="E284">
        <v>2</v>
      </c>
      <c r="F284">
        <v>145</v>
      </c>
    </row>
    <row r="285" spans="1:6" x14ac:dyDescent="0.3">
      <c r="A285" t="s">
        <v>312</v>
      </c>
      <c r="B285" t="s">
        <v>513</v>
      </c>
      <c r="C285" t="s">
        <v>624</v>
      </c>
      <c r="D285">
        <v>8</v>
      </c>
      <c r="E285">
        <v>7</v>
      </c>
      <c r="F285">
        <v>1</v>
      </c>
    </row>
    <row r="286" spans="1:6" x14ac:dyDescent="0.3">
      <c r="A286" t="s">
        <v>312</v>
      </c>
      <c r="B286" t="s">
        <v>513</v>
      </c>
      <c r="C286" t="s">
        <v>625</v>
      </c>
      <c r="D286">
        <v>45</v>
      </c>
      <c r="E286">
        <v>38</v>
      </c>
      <c r="F286">
        <v>7</v>
      </c>
    </row>
    <row r="287" spans="1:6" x14ac:dyDescent="0.3">
      <c r="A287" t="s">
        <v>312</v>
      </c>
      <c r="B287" t="s">
        <v>606</v>
      </c>
      <c r="C287" t="s">
        <v>625</v>
      </c>
      <c r="D287">
        <v>236.5</v>
      </c>
      <c r="E287">
        <v>11.75</v>
      </c>
      <c r="F287">
        <v>224.75</v>
      </c>
    </row>
    <row r="288" spans="1:6" x14ac:dyDescent="0.3">
      <c r="A288" t="s">
        <v>312</v>
      </c>
      <c r="B288" t="s">
        <v>629</v>
      </c>
      <c r="C288" t="s">
        <v>625</v>
      </c>
      <c r="D288">
        <v>608</v>
      </c>
      <c r="E288">
        <v>30</v>
      </c>
      <c r="F288">
        <v>578</v>
      </c>
    </row>
    <row r="289" spans="1:6" x14ac:dyDescent="0.3">
      <c r="A289" t="s">
        <v>318</v>
      </c>
      <c r="B289" t="s">
        <v>513</v>
      </c>
      <c r="C289" t="s">
        <v>622</v>
      </c>
      <c r="E289">
        <v>1</v>
      </c>
    </row>
    <row r="290" spans="1:6" x14ac:dyDescent="0.3">
      <c r="A290" t="s">
        <v>318</v>
      </c>
      <c r="B290" t="s">
        <v>513</v>
      </c>
      <c r="C290" t="s">
        <v>623</v>
      </c>
      <c r="D290">
        <v>4</v>
      </c>
      <c r="E290">
        <v>3</v>
      </c>
      <c r="F290">
        <v>1</v>
      </c>
    </row>
    <row r="291" spans="1:6" x14ac:dyDescent="0.3">
      <c r="A291" t="s">
        <v>318</v>
      </c>
      <c r="B291" t="s">
        <v>514</v>
      </c>
      <c r="C291" t="s">
        <v>681</v>
      </c>
      <c r="D291">
        <v>88.43</v>
      </c>
      <c r="E291">
        <v>59.430000000000007</v>
      </c>
      <c r="F291">
        <v>29</v>
      </c>
    </row>
    <row r="292" spans="1:6" x14ac:dyDescent="0.3">
      <c r="A292" t="s">
        <v>318</v>
      </c>
      <c r="B292" t="s">
        <v>629</v>
      </c>
      <c r="C292" t="s">
        <v>626</v>
      </c>
      <c r="D292">
        <v>687</v>
      </c>
      <c r="E292">
        <v>29</v>
      </c>
      <c r="F292">
        <v>658</v>
      </c>
    </row>
    <row r="293" spans="1:6" x14ac:dyDescent="0.3">
      <c r="A293" t="s">
        <v>320</v>
      </c>
      <c r="B293" t="s">
        <v>513</v>
      </c>
      <c r="C293" t="s">
        <v>622</v>
      </c>
      <c r="E293">
        <v>1</v>
      </c>
    </row>
    <row r="294" spans="1:6" x14ac:dyDescent="0.3">
      <c r="A294" t="s">
        <v>320</v>
      </c>
      <c r="B294" t="s">
        <v>513</v>
      </c>
      <c r="C294" t="s">
        <v>626</v>
      </c>
      <c r="D294">
        <v>27</v>
      </c>
      <c r="E294">
        <v>20</v>
      </c>
      <c r="F294">
        <v>7</v>
      </c>
    </row>
    <row r="295" spans="1:6" x14ac:dyDescent="0.3">
      <c r="A295" t="s">
        <v>320</v>
      </c>
      <c r="B295" t="s">
        <v>513</v>
      </c>
      <c r="C295" t="s">
        <v>623</v>
      </c>
      <c r="D295">
        <v>4</v>
      </c>
      <c r="E295">
        <v>3</v>
      </c>
      <c r="F295">
        <v>1</v>
      </c>
    </row>
    <row r="296" spans="1:6" x14ac:dyDescent="0.3">
      <c r="A296" t="s">
        <v>320</v>
      </c>
      <c r="B296" t="s">
        <v>629</v>
      </c>
      <c r="C296" t="s">
        <v>622</v>
      </c>
      <c r="D296">
        <v>35</v>
      </c>
      <c r="E296">
        <v>1</v>
      </c>
      <c r="F296">
        <v>34</v>
      </c>
    </row>
    <row r="297" spans="1:6" x14ac:dyDescent="0.3">
      <c r="A297" t="s">
        <v>320</v>
      </c>
      <c r="B297" t="s">
        <v>629</v>
      </c>
      <c r="C297" t="s">
        <v>624</v>
      </c>
      <c r="D297">
        <v>157</v>
      </c>
      <c r="E297">
        <v>5</v>
      </c>
      <c r="F297">
        <v>152</v>
      </c>
    </row>
    <row r="298" spans="1:6" x14ac:dyDescent="0.3">
      <c r="A298" t="s">
        <v>325</v>
      </c>
      <c r="B298" t="s">
        <v>606</v>
      </c>
      <c r="C298" t="s">
        <v>625</v>
      </c>
      <c r="D298">
        <v>231.79999999999998</v>
      </c>
      <c r="E298">
        <v>12.75</v>
      </c>
      <c r="F298">
        <v>219.04999999999998</v>
      </c>
    </row>
    <row r="299" spans="1:6" x14ac:dyDescent="0.3">
      <c r="A299" t="s">
        <v>325</v>
      </c>
      <c r="B299" t="s">
        <v>512</v>
      </c>
      <c r="C299" t="s">
        <v>625</v>
      </c>
      <c r="D299">
        <v>54</v>
      </c>
      <c r="E299">
        <v>9</v>
      </c>
      <c r="F299">
        <v>45</v>
      </c>
    </row>
    <row r="300" spans="1:6" x14ac:dyDescent="0.3">
      <c r="A300" t="s">
        <v>325</v>
      </c>
      <c r="B300" t="s">
        <v>514</v>
      </c>
      <c r="C300" t="s">
        <v>679</v>
      </c>
      <c r="D300">
        <v>80.14</v>
      </c>
      <c r="E300">
        <v>36.14</v>
      </c>
      <c r="F300">
        <v>44</v>
      </c>
    </row>
    <row r="301" spans="1:6" x14ac:dyDescent="0.3">
      <c r="A301" t="s">
        <v>326</v>
      </c>
      <c r="B301" t="s">
        <v>513</v>
      </c>
      <c r="C301" t="s">
        <v>626</v>
      </c>
      <c r="D301">
        <v>25.79</v>
      </c>
      <c r="E301">
        <v>20.79</v>
      </c>
      <c r="F301">
        <v>5</v>
      </c>
    </row>
    <row r="302" spans="1:6" x14ac:dyDescent="0.3">
      <c r="A302" t="s">
        <v>326</v>
      </c>
      <c r="B302" t="s">
        <v>606</v>
      </c>
      <c r="C302" t="s">
        <v>627</v>
      </c>
      <c r="D302">
        <v>1615.3400000000001</v>
      </c>
      <c r="E302">
        <v>128.5</v>
      </c>
      <c r="F302">
        <v>1486.8400000000001</v>
      </c>
    </row>
    <row r="303" spans="1:6" x14ac:dyDescent="0.3">
      <c r="A303" t="s">
        <v>328</v>
      </c>
      <c r="B303" t="s">
        <v>513</v>
      </c>
      <c r="C303" t="s">
        <v>623</v>
      </c>
      <c r="E303">
        <v>2</v>
      </c>
    </row>
    <row r="304" spans="1:6" x14ac:dyDescent="0.3">
      <c r="A304" t="s">
        <v>328</v>
      </c>
      <c r="B304" t="s">
        <v>514</v>
      </c>
      <c r="C304" t="s">
        <v>681</v>
      </c>
      <c r="D304">
        <v>89.240000000000009</v>
      </c>
      <c r="E304">
        <v>44.24</v>
      </c>
      <c r="F304">
        <v>45</v>
      </c>
    </row>
    <row r="305" spans="1:6" x14ac:dyDescent="0.3">
      <c r="A305" t="s">
        <v>328</v>
      </c>
      <c r="B305" t="s">
        <v>514</v>
      </c>
      <c r="C305" t="s">
        <v>682</v>
      </c>
      <c r="D305">
        <v>447.60999999999996</v>
      </c>
      <c r="E305">
        <v>203.34999999999997</v>
      </c>
      <c r="F305">
        <v>244.26</v>
      </c>
    </row>
    <row r="306" spans="1:6" x14ac:dyDescent="0.3">
      <c r="A306" t="s">
        <v>412</v>
      </c>
      <c r="B306" t="s">
        <v>513</v>
      </c>
      <c r="C306" t="s">
        <v>626</v>
      </c>
      <c r="D306">
        <v>40.5</v>
      </c>
      <c r="E306">
        <v>31.92</v>
      </c>
      <c r="F306">
        <v>8.58</v>
      </c>
    </row>
    <row r="307" spans="1:6" x14ac:dyDescent="0.3">
      <c r="A307" t="s">
        <v>412</v>
      </c>
      <c r="B307" t="s">
        <v>513</v>
      </c>
      <c r="C307" t="s">
        <v>627</v>
      </c>
      <c r="D307">
        <v>96.2</v>
      </c>
      <c r="E307">
        <v>68.78</v>
      </c>
      <c r="F307">
        <v>27.42</v>
      </c>
    </row>
    <row r="308" spans="1:6" x14ac:dyDescent="0.3">
      <c r="A308" t="s">
        <v>412</v>
      </c>
      <c r="B308" t="s">
        <v>629</v>
      </c>
      <c r="C308" t="s">
        <v>626</v>
      </c>
      <c r="D308">
        <v>640.80999999999995</v>
      </c>
      <c r="E308">
        <v>35</v>
      </c>
      <c r="F308">
        <v>605.80999999999995</v>
      </c>
    </row>
  </sheetData>
  <pageMargins left="0.7" right="0.7" top="0.75" bottom="0.75" header="0.3" footer="0.3"/>
  <tableParts count="1">
    <tablePart r:id="rId1"/>
  </tableParts>
</worksheet>
</file>

<file path=xl/worksheets/sheet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Sheet17">
    <tabColor theme="9" tint="0.39997558519241921"/>
    <pageSetUpPr fitToPage="1"/>
  </sheetPr>
  <dimension ref="A1:Q64"/>
  <sheetViews>
    <sheetView showGridLines="0" zoomScaleNormal="100" workbookViewId="0">
      <pane ySplit="2" topLeftCell="A3" activePane="bottomLeft" state="frozen"/>
      <selection pane="bottomLeft"/>
    </sheetView>
  </sheetViews>
  <sheetFormatPr defaultRowHeight="14.4" x14ac:dyDescent="0.3"/>
  <cols>
    <col min="1" max="1" width="28.44140625" customWidth="1"/>
    <col min="2" max="6" width="13.44140625" customWidth="1"/>
  </cols>
  <sheetData>
    <row r="1" spans="1:6" ht="30" customHeight="1" x14ac:dyDescent="0.3">
      <c r="A1" s="513" t="s">
        <v>515</v>
      </c>
      <c r="B1" s="513"/>
      <c r="C1" s="513"/>
    </row>
    <row r="2" spans="1:6" x14ac:dyDescent="0.3">
      <c r="A2" s="498" t="s">
        <v>202</v>
      </c>
    </row>
    <row r="3" spans="1:6" x14ac:dyDescent="0.3">
      <c r="A3" s="25"/>
      <c r="B3" s="25"/>
      <c r="C3" s="25"/>
    </row>
    <row r="4" spans="1:6" ht="15.75" customHeight="1" x14ac:dyDescent="0.3">
      <c r="A4" s="1062" t="s">
        <v>764</v>
      </c>
      <c r="B4" s="1062"/>
      <c r="C4" s="1062"/>
      <c r="D4" s="1062"/>
      <c r="E4" s="1062"/>
      <c r="F4" s="1062"/>
    </row>
    <row r="5" spans="1:6" ht="15" customHeight="1" x14ac:dyDescent="0.3">
      <c r="A5" t="s">
        <v>203</v>
      </c>
      <c r="B5" t="s">
        <v>91</v>
      </c>
      <c r="C5" s="420"/>
      <c r="D5" s="297"/>
      <c r="E5" s="297"/>
      <c r="F5" s="297"/>
    </row>
    <row r="6" spans="1:6" ht="15" customHeight="1" x14ac:dyDescent="0.3">
      <c r="A6" t="s">
        <v>204</v>
      </c>
      <c r="B6" t="s">
        <v>205</v>
      </c>
      <c r="C6" s="420"/>
      <c r="D6" s="297"/>
      <c r="E6" s="297"/>
      <c r="F6" s="297"/>
    </row>
    <row r="7" spans="1:6" ht="15" customHeight="1" x14ac:dyDescent="0.3">
      <c r="A7" t="s">
        <v>206</v>
      </c>
      <c r="B7" t="s">
        <v>207</v>
      </c>
      <c r="C7" s="420"/>
      <c r="D7" s="297"/>
      <c r="E7" s="297"/>
      <c r="F7" s="297"/>
    </row>
    <row r="8" spans="1:6" ht="15.6" x14ac:dyDescent="0.3">
      <c r="A8" s="171"/>
      <c r="B8" s="169"/>
      <c r="C8" s="169"/>
      <c r="D8" s="175" t="s">
        <v>346</v>
      </c>
      <c r="E8" s="297"/>
      <c r="F8" s="106" t="s">
        <v>94</v>
      </c>
    </row>
    <row r="9" spans="1:6" x14ac:dyDescent="0.3">
      <c r="A9" s="307" t="s">
        <v>517</v>
      </c>
      <c r="B9" s="107" t="s">
        <v>733</v>
      </c>
      <c r="C9" s="107" t="s">
        <v>734</v>
      </c>
      <c r="D9" s="477" t="s">
        <v>340</v>
      </c>
      <c r="E9" s="310" t="s">
        <v>733</v>
      </c>
      <c r="F9" s="107" t="s">
        <v>734</v>
      </c>
    </row>
    <row r="10" spans="1:6" x14ac:dyDescent="0.3">
      <c r="A10" s="308" t="s">
        <v>638</v>
      </c>
      <c r="B10" s="309">
        <f>GETPIVOTDATA("Sum of Female",FTESexRolePivot!$A$3,"Type","WT","PostConv","Brigade Manager")</f>
        <v>0</v>
      </c>
      <c r="C10" s="309">
        <f>GETPIVOTDATA("Sum of Male",FTESexRolePivot!$A$3,"Type","WT","PostConv","Brigade Manager")</f>
        <v>5</v>
      </c>
      <c r="D10" s="731">
        <f>SUM(B10:C10)</f>
        <v>5</v>
      </c>
      <c r="E10" s="302">
        <f t="shared" ref="E10:E17" si="0">B10/(B10+C10)</f>
        <v>0</v>
      </c>
      <c r="F10" s="302">
        <f t="shared" ref="F10:F17" si="1">C10/(B10+C10)</f>
        <v>1</v>
      </c>
    </row>
    <row r="11" spans="1:6" x14ac:dyDescent="0.3">
      <c r="A11" s="112" t="s">
        <v>639</v>
      </c>
      <c r="B11" s="114">
        <f>GETPIVOTDATA("Sum of Female",FTESexRolePivot!$A$3,"Type","WT","PostConv","Area Manager")</f>
        <v>1</v>
      </c>
      <c r="C11" s="114">
        <f>GETPIVOTDATA("Sum of Male",FTESexRolePivot!$A$3,"Type","WT","PostConv","Area Manager")</f>
        <v>26</v>
      </c>
      <c r="D11" s="731">
        <f>SUM(B11:C11)</f>
        <v>27</v>
      </c>
      <c r="E11" s="115">
        <f t="shared" si="0"/>
        <v>3.7037037037037035E-2</v>
      </c>
      <c r="F11" s="115">
        <f t="shared" si="1"/>
        <v>0.96296296296296291</v>
      </c>
    </row>
    <row r="12" spans="1:6" x14ac:dyDescent="0.3">
      <c r="A12" s="112" t="s">
        <v>640</v>
      </c>
      <c r="B12" s="114">
        <f>GETPIVOTDATA("Sum of Female",FTESexRolePivot!$A$3,"Type","WT","PostConv","Group Manager")</f>
        <v>8</v>
      </c>
      <c r="C12" s="114">
        <f>GETPIVOTDATA("Sum of Male",FTESexRolePivot!$A$3,"Type","WT","PostConv","Group Manager")</f>
        <v>64</v>
      </c>
      <c r="D12" s="731">
        <f t="shared" ref="D12:D16" si="2">SUM(B12:C12)</f>
        <v>72</v>
      </c>
      <c r="E12" s="115">
        <f t="shared" si="0"/>
        <v>0.1111111111111111</v>
      </c>
      <c r="F12" s="115">
        <f t="shared" si="1"/>
        <v>0.88888888888888884</v>
      </c>
    </row>
    <row r="13" spans="1:6" x14ac:dyDescent="0.3">
      <c r="A13" s="112" t="s">
        <v>641</v>
      </c>
      <c r="B13" s="114">
        <f>GETPIVOTDATA("Sum of Female",FTESexRolePivot!$A$3,"Type","WT","PostConv","Station Manager")</f>
        <v>6</v>
      </c>
      <c r="C13" s="114">
        <f>GETPIVOTDATA("Sum of Male",FTESexRolePivot!$A$3,"Type","WT","PostConv","Station Manager")</f>
        <v>154</v>
      </c>
      <c r="D13" s="731">
        <f t="shared" si="2"/>
        <v>160</v>
      </c>
      <c r="E13" s="115">
        <f t="shared" si="0"/>
        <v>3.7499999999999999E-2</v>
      </c>
      <c r="F13" s="115">
        <f t="shared" si="1"/>
        <v>0.96250000000000002</v>
      </c>
    </row>
    <row r="14" spans="1:6" x14ac:dyDescent="0.3">
      <c r="A14" s="112" t="s">
        <v>642</v>
      </c>
      <c r="B14" s="114">
        <f>GETPIVOTDATA("Sum of Female",FTESexRolePivot!$A$3,"Type","WT","PostConv","Watch Manager")</f>
        <v>35</v>
      </c>
      <c r="C14" s="114">
        <f>GETPIVOTDATA("Sum of Male",FTESexRolePivot!$A$3,"Type","WT","PostConv","Watch Manager")</f>
        <v>589.77</v>
      </c>
      <c r="D14" s="731">
        <f t="shared" si="2"/>
        <v>624.77</v>
      </c>
      <c r="E14" s="115">
        <f t="shared" si="0"/>
        <v>5.6020615586535843E-2</v>
      </c>
      <c r="F14" s="115">
        <f t="shared" si="1"/>
        <v>0.94397938441346418</v>
      </c>
    </row>
    <row r="15" spans="1:6" x14ac:dyDescent="0.3">
      <c r="A15" s="112" t="s">
        <v>643</v>
      </c>
      <c r="B15" s="114">
        <f>GETPIVOTDATA("Sum of Female",FTESexRolePivot!$A$3,"Type","WT","PostConv","Crew Manager")</f>
        <v>35</v>
      </c>
      <c r="C15" s="114">
        <f>GETPIVOTDATA("Sum of Male",FTESexRolePivot!$A$3,"Type","WT","PostConv","Crew Manager")</f>
        <v>605.80999999999995</v>
      </c>
      <c r="D15" s="731">
        <f t="shared" si="2"/>
        <v>640.80999999999995</v>
      </c>
      <c r="E15" s="115">
        <f t="shared" si="0"/>
        <v>5.461837362088607E-2</v>
      </c>
      <c r="F15" s="115">
        <f t="shared" si="1"/>
        <v>0.94538162637911394</v>
      </c>
    </row>
    <row r="16" spans="1:6" x14ac:dyDescent="0.3">
      <c r="A16" s="112" t="s">
        <v>627</v>
      </c>
      <c r="B16" s="114">
        <f>GETPIVOTDATA("Sum of Female",FTESexRolePivot!$A$3,"Type","WT","PostConv","Firefighter")</f>
        <v>143.32999999999998</v>
      </c>
      <c r="C16" s="114">
        <f>GETPIVOTDATA("Sum of Male",FTESexRolePivot!$A$3,"Type","WT","PostConv","Firefighter")</f>
        <v>1752.48</v>
      </c>
      <c r="D16" s="731">
        <f t="shared" si="2"/>
        <v>1895.81</v>
      </c>
      <c r="E16" s="115">
        <f t="shared" si="0"/>
        <v>7.5603567868088042E-2</v>
      </c>
      <c r="F16" s="115">
        <f t="shared" si="1"/>
        <v>0.92439643213191203</v>
      </c>
    </row>
    <row r="17" spans="1:6" ht="15" thickBot="1" x14ac:dyDescent="0.35">
      <c r="A17" s="119" t="s">
        <v>752</v>
      </c>
      <c r="B17" s="732">
        <f>GETPIVOTDATA("Sum of Female",FTESexRolePivot!$A$3,"Type","WT")</f>
        <v>228.32999999999998</v>
      </c>
      <c r="C17" s="732">
        <f>GETPIVOTDATA("Sum of Male",FTESexRolePivot!$A$3,"Type","WT")</f>
        <v>3199.06</v>
      </c>
      <c r="D17" s="732">
        <f t="shared" ref="D17" si="3">SUM(D10:D16)</f>
        <v>3425.39</v>
      </c>
      <c r="E17" s="121">
        <f t="shared" si="0"/>
        <v>6.6619205868022016E-2</v>
      </c>
      <c r="F17" s="121">
        <f t="shared" si="1"/>
        <v>0.93338079413197794</v>
      </c>
    </row>
    <row r="18" spans="1:6" x14ac:dyDescent="0.3">
      <c r="A18" s="113"/>
      <c r="B18" s="733"/>
      <c r="C18" s="733"/>
      <c r="D18" s="734"/>
      <c r="E18" s="124"/>
      <c r="F18" s="124"/>
    </row>
    <row r="19" spans="1:6" x14ac:dyDescent="0.3">
      <c r="A19" s="307" t="s">
        <v>361</v>
      </c>
      <c r="B19" s="735"/>
      <c r="C19" s="735"/>
      <c r="D19" s="734"/>
      <c r="E19" s="303"/>
      <c r="F19" s="303"/>
    </row>
    <row r="20" spans="1:6" x14ac:dyDescent="0.3">
      <c r="A20" s="308" t="s">
        <v>642</v>
      </c>
      <c r="B20" s="736">
        <f>GETPIVOTDATA("Sum of Female",FTESexRolePivot!$A$3,"Type","RDS","PostConv","Watch Manager")</f>
        <v>10.69</v>
      </c>
      <c r="C20" s="736">
        <f>GETPIVOTDATA("Sum of Male",FTESexRolePivot!$A$3,"Type","RDS","PostConv","Watch Manager")</f>
        <v>206.37000000000003</v>
      </c>
      <c r="D20" s="737">
        <f>SUM(B20:C20)</f>
        <v>217.06000000000003</v>
      </c>
      <c r="E20" s="302">
        <f>B20/(B20+C20)</f>
        <v>4.9249055560674458E-2</v>
      </c>
      <c r="F20" s="302">
        <f>C20/(B20+C20)</f>
        <v>0.95075094443932551</v>
      </c>
    </row>
    <row r="21" spans="1:6" x14ac:dyDescent="0.3">
      <c r="A21" s="112" t="s">
        <v>643</v>
      </c>
      <c r="B21" s="738">
        <f>GETPIVOTDATA("Sum of Female",FTESexRolePivot!$A$3,"Type","RDS","PostConv","Crew Manager")</f>
        <v>27.53</v>
      </c>
      <c r="C21" s="738">
        <f>GETPIVOTDATA("Sum of Male",FTESexRolePivot!$A$3,"Type","RDS","PostConv","Crew Manager")</f>
        <v>412.45</v>
      </c>
      <c r="D21" s="739">
        <f t="shared" ref="D21:D22" si="4">SUM(B21:C21)</f>
        <v>439.98</v>
      </c>
      <c r="E21" s="115">
        <f>B21/(B21+C21)</f>
        <v>6.2571025955725265E-2</v>
      </c>
      <c r="F21" s="115">
        <f>C21/(B21+C21)</f>
        <v>0.93742897404427472</v>
      </c>
    </row>
    <row r="22" spans="1:6" x14ac:dyDescent="0.3">
      <c r="A22" s="112" t="s">
        <v>627</v>
      </c>
      <c r="B22" s="738">
        <f>GETPIVOTDATA("Sum of Female",FTESexRolePivot!$A$3,"Type","RDS","PostConv","Firefighter")</f>
        <v>137.84</v>
      </c>
      <c r="C22" s="738">
        <f>GETPIVOTDATA("Sum of Male",FTESexRolePivot!$A$3,"Type","RDS","PostConv","Firefighter")</f>
        <v>1492.3999999999996</v>
      </c>
      <c r="D22" s="740">
        <f t="shared" si="4"/>
        <v>1630.2399999999996</v>
      </c>
      <c r="E22" s="115">
        <f>B22/(B22+C22)</f>
        <v>8.4551967808420878E-2</v>
      </c>
      <c r="F22" s="115">
        <f>C22/(B22+C22)</f>
        <v>0.91544803219157922</v>
      </c>
    </row>
    <row r="23" spans="1:6" ht="15" thickBot="1" x14ac:dyDescent="0.35">
      <c r="A23" s="119" t="s">
        <v>753</v>
      </c>
      <c r="B23" s="732">
        <f>SUM(B20:B22)</f>
        <v>176.06</v>
      </c>
      <c r="C23" s="732">
        <f t="shared" ref="C23:D23" si="5">SUM(C20:C22)</f>
        <v>2111.2199999999998</v>
      </c>
      <c r="D23" s="732">
        <f t="shared" si="5"/>
        <v>2287.2799999999997</v>
      </c>
      <c r="E23" s="121">
        <f>B23/(B23+C23)</f>
        <v>7.6973523136651401E-2</v>
      </c>
      <c r="F23" s="121">
        <f>C23/(B23+C23)</f>
        <v>0.9230264768633486</v>
      </c>
    </row>
    <row r="24" spans="1:6" x14ac:dyDescent="0.3">
      <c r="A24" s="611"/>
      <c r="B24" s="741"/>
      <c r="C24" s="741"/>
      <c r="D24" s="741"/>
      <c r="E24" s="612"/>
      <c r="F24" s="612"/>
    </row>
    <row r="25" spans="1:6" x14ac:dyDescent="0.3">
      <c r="A25" s="108" t="s">
        <v>518</v>
      </c>
      <c r="B25" s="742"/>
      <c r="C25" s="742"/>
      <c r="D25" s="742"/>
      <c r="E25" s="615"/>
      <c r="F25" s="615"/>
    </row>
    <row r="26" spans="1:6" x14ac:dyDescent="0.3">
      <c r="A26" s="118" t="s">
        <v>643</v>
      </c>
      <c r="B26" s="927">
        <f>IFERROR( GETPIVOTDATA("Sum of Female",FTESexRolePivot!$A$3,"Type","RDS Fulltime","PostConv","Crew Manager"), "-")</f>
        <v>0</v>
      </c>
      <c r="C26" s="928">
        <f>IFERROR(GETPIVOTDATA("Sum of Male",FTESexRolePivot!$A$3,"Type","RDS Fulltime","PostConv","Crew Manager"), "-")</f>
        <v>3</v>
      </c>
      <c r="D26" s="741">
        <f>SUM(B26:C26)</f>
        <v>3</v>
      </c>
      <c r="E26" s="612"/>
      <c r="F26" s="612"/>
    </row>
    <row r="27" spans="1:6" x14ac:dyDescent="0.3">
      <c r="A27" s="112" t="s">
        <v>642</v>
      </c>
      <c r="B27" s="743">
        <f>IFERROR(GETPIVOTDATA("Sum of Female",FTESexRolePivot!$A$3,"Type","RDS Fulltime","PostConv","Watch Manager"), "-")</f>
        <v>8</v>
      </c>
      <c r="C27" s="846">
        <f>IFERROR(GETPIVOTDATA("Sum of Male",FTESexRolePivot!$A$3,"Type","RDS Fulltime","PostConv","Watch Manager"), "-")</f>
        <v>47</v>
      </c>
      <c r="D27" s="741">
        <f>SUM(B27:C27)</f>
        <v>55</v>
      </c>
      <c r="E27" s="115">
        <f>IFERROR(B27/(B27+C27), "-")</f>
        <v>0.14545454545454545</v>
      </c>
      <c r="F27" s="115">
        <f>IFERROR(C27/(C27+B27), "-")</f>
        <v>0.8545454545454545</v>
      </c>
    </row>
    <row r="28" spans="1:6" ht="15" thickBot="1" x14ac:dyDescent="0.35">
      <c r="A28" s="119" t="s">
        <v>765</v>
      </c>
      <c r="B28" s="732">
        <f>B27</f>
        <v>8</v>
      </c>
      <c r="C28" s="732">
        <f t="shared" ref="C28" si="6">C27</f>
        <v>47</v>
      </c>
      <c r="D28" s="732">
        <f>D27+D26</f>
        <v>58</v>
      </c>
      <c r="E28" s="619">
        <f>IFERROR(B28/(B28+C28), "-")</f>
        <v>0.14545454545454545</v>
      </c>
      <c r="F28" s="619">
        <f>IFERROR(C28/(C28+B28), "-")</f>
        <v>0.8545454545454545</v>
      </c>
    </row>
    <row r="29" spans="1:6" x14ac:dyDescent="0.3">
      <c r="A29" s="611"/>
      <c r="B29" s="741"/>
      <c r="C29" s="741"/>
      <c r="D29" s="741"/>
      <c r="E29" s="730"/>
      <c r="F29" s="730"/>
    </row>
    <row r="30" spans="1:6" x14ac:dyDescent="0.3">
      <c r="A30" s="108" t="s">
        <v>755</v>
      </c>
      <c r="B30" s="735"/>
      <c r="C30" s="735"/>
      <c r="D30" s="739"/>
      <c r="E30" s="127"/>
      <c r="F30" s="303"/>
    </row>
    <row r="31" spans="1:6" x14ac:dyDescent="0.3">
      <c r="A31" s="112" t="s">
        <v>639</v>
      </c>
      <c r="B31" s="929" t="str">
        <f>IFERROR(GETPIVOTDATA("Sum of Female",FTESexRolePivot!$A$3,"Type","Control","PostConv","Area Manager"), "-")</f>
        <v>-</v>
      </c>
      <c r="C31" s="929" t="str">
        <f>IFERROR(GETPIVOTDATA("Sum of Male",FTESexRolePivot!$A$3,"Type","Control","PostConv","Area Manager"), "-")</f>
        <v>-</v>
      </c>
      <c r="D31" s="396">
        <f>SUM(B31:C31)</f>
        <v>0</v>
      </c>
      <c r="E31" s="115">
        <f>IFERROR(B31/(B31+C31),0)</f>
        <v>0</v>
      </c>
      <c r="F31" s="302">
        <f>IFERROR(C31/(B31+C31),0)</f>
        <v>0</v>
      </c>
    </row>
    <row r="32" spans="1:6" x14ac:dyDescent="0.3">
      <c r="A32" s="112" t="s">
        <v>640</v>
      </c>
      <c r="B32" s="114">
        <f>GETPIVOTDATA("Sum of Female",FTESexRolePivot!$A$3,"Type","Control","PostConv","Group Manager")</f>
        <v>3</v>
      </c>
      <c r="C32" s="114">
        <f>GETPIVOTDATA("Sum of Male",FTESexRolePivot!$A$3,"Type","Control","PostConv","Group Manager")</f>
        <v>0</v>
      </c>
      <c r="D32" s="632">
        <f t="shared" ref="D32:D36" si="7">SUM(B32:C32)</f>
        <v>3</v>
      </c>
      <c r="E32" s="115">
        <f t="shared" ref="E32:E37" si="8">B32/(B32+C32)</f>
        <v>1</v>
      </c>
      <c r="F32" s="115">
        <f t="shared" ref="F32:F37" si="9">C32/(B32+C32)</f>
        <v>0</v>
      </c>
    </row>
    <row r="33" spans="1:6" x14ac:dyDescent="0.3">
      <c r="A33" s="112" t="s">
        <v>641</v>
      </c>
      <c r="B33" s="114">
        <f>GETPIVOTDATA("Sum of Female",FTESexRolePivot!$A$3,"Type","Control","PostConv","Station Manager")</f>
        <v>5</v>
      </c>
      <c r="C33" s="114">
        <f>GETPIVOTDATA("Sum of Male",FTESexRolePivot!$A$3,"Type","Control","PostConv","Station Manager")</f>
        <v>1</v>
      </c>
      <c r="D33" s="632">
        <f t="shared" si="7"/>
        <v>6</v>
      </c>
      <c r="E33" s="115">
        <f t="shared" si="8"/>
        <v>0.83333333333333337</v>
      </c>
      <c r="F33" s="115">
        <f t="shared" si="9"/>
        <v>0.16666666666666666</v>
      </c>
    </row>
    <row r="34" spans="1:6" x14ac:dyDescent="0.3">
      <c r="A34" s="112" t="s">
        <v>642</v>
      </c>
      <c r="B34" s="114">
        <f>GETPIVOTDATA("Sum of Female",FTESexRolePivot!$A$3,"Type","Control","PostConv","Watch Manager")</f>
        <v>21</v>
      </c>
      <c r="C34" s="114">
        <f>GETPIVOTDATA("Sum of Male",FTESexRolePivot!$A$3,"Type","Control","PostConv","Watch Manager")</f>
        <v>3</v>
      </c>
      <c r="D34" s="632">
        <f t="shared" si="7"/>
        <v>24</v>
      </c>
      <c r="E34" s="115">
        <f t="shared" si="8"/>
        <v>0.875</v>
      </c>
      <c r="F34" s="115">
        <f t="shared" si="9"/>
        <v>0.125</v>
      </c>
    </row>
    <row r="35" spans="1:6" x14ac:dyDescent="0.3">
      <c r="A35" s="112" t="s">
        <v>643</v>
      </c>
      <c r="B35" s="114">
        <f>GETPIVOTDATA("Sum of Female",FTESexRolePivot!$A$3,"Type","Control","PostConv","Crew Manager")</f>
        <v>31.92</v>
      </c>
      <c r="C35" s="114">
        <f>GETPIVOTDATA("Sum of Male",FTESexRolePivot!$A$3,"Type","Control","PostConv","Crew Manager")</f>
        <v>8.58</v>
      </c>
      <c r="D35" s="632">
        <f t="shared" si="7"/>
        <v>40.5</v>
      </c>
      <c r="E35" s="115">
        <f t="shared" si="8"/>
        <v>0.78814814814814815</v>
      </c>
      <c r="F35" s="115">
        <f t="shared" si="9"/>
        <v>0.21185185185185185</v>
      </c>
    </row>
    <row r="36" spans="1:6" x14ac:dyDescent="0.3">
      <c r="A36" s="112" t="s">
        <v>670</v>
      </c>
      <c r="B36" s="114">
        <f>GETPIVOTDATA("Sum of Female",FTESexRolePivot!$A$3,"Type","Control","PostConv","Firefighter")</f>
        <v>68.78</v>
      </c>
      <c r="C36" s="114">
        <f>GETPIVOTDATA("Sum of Male",FTESexRolePivot!$A$3,"Type","Control","PostConv","Firefighter")</f>
        <v>27.42</v>
      </c>
      <c r="D36" s="632">
        <f t="shared" si="7"/>
        <v>96.2</v>
      </c>
      <c r="E36" s="115">
        <f t="shared" si="8"/>
        <v>0.71496881496881493</v>
      </c>
      <c r="F36" s="115">
        <f t="shared" si="9"/>
        <v>0.28503118503118502</v>
      </c>
    </row>
    <row r="37" spans="1:6" ht="15" thickBot="1" x14ac:dyDescent="0.35">
      <c r="A37" s="129" t="s">
        <v>756</v>
      </c>
      <c r="B37" s="732">
        <f>GETPIVOTDATA("Sum of Female",FTESexRolePivot!$A$3,"Type","Control")</f>
        <v>131.69999999999999</v>
      </c>
      <c r="C37" s="732">
        <f>GETPIVOTDATA("Sum of Male",FTESexRolePivot!$A$3,"Type","Control")</f>
        <v>40</v>
      </c>
      <c r="D37" s="631">
        <f>SUM(B37:C37)</f>
        <v>171.7</v>
      </c>
      <c r="E37" s="121">
        <f t="shared" si="8"/>
        <v>0.76703552708211997</v>
      </c>
      <c r="F37" s="121">
        <f t="shared" si="9"/>
        <v>0.23296447291788003</v>
      </c>
    </row>
    <row r="38" spans="1:6" x14ac:dyDescent="0.3">
      <c r="A38" s="113"/>
      <c r="B38" s="733"/>
      <c r="C38" s="738"/>
      <c r="D38" s="739"/>
      <c r="E38" s="124"/>
      <c r="F38" s="124"/>
    </row>
    <row r="39" spans="1:6" x14ac:dyDescent="0.3">
      <c r="A39" s="139" t="s">
        <v>731</v>
      </c>
      <c r="B39" s="744"/>
      <c r="C39" s="738"/>
      <c r="D39" s="739"/>
      <c r="E39" s="124"/>
      <c r="F39" s="124"/>
    </row>
    <row r="40" spans="1:6" x14ac:dyDescent="0.3">
      <c r="A40" s="308" t="s">
        <v>678</v>
      </c>
      <c r="B40" s="736">
        <f>GETPIVOTDATA("Sum of Female",FTESexRolePivot!$A$3,"Type","Support","PostConv","Director")</f>
        <v>2</v>
      </c>
      <c r="C40" s="736">
        <f>GETPIVOTDATA("Sum of Male",FTESexRolePivot!$A$3,"Type","Support","PostConv","Director")</f>
        <v>1</v>
      </c>
      <c r="D40" s="737">
        <f>SUM(B40:C40)</f>
        <v>3</v>
      </c>
      <c r="E40" s="302">
        <f>IFERROR(B40/(B40+C40),0)</f>
        <v>0.66666666666666663</v>
      </c>
      <c r="F40" s="302">
        <f>IFERROR(C40/(B40+C40),0)</f>
        <v>0.33333333333333331</v>
      </c>
    </row>
    <row r="41" spans="1:6" x14ac:dyDescent="0.3">
      <c r="A41" s="112" t="s">
        <v>679</v>
      </c>
      <c r="B41" s="738">
        <f>GETPIVOTDATA("Sum of Female",FTESexRolePivot!$A$3,"Type","Support","PostConv","Service Manager")</f>
        <v>46.37</v>
      </c>
      <c r="C41" s="738">
        <f>GETPIVOTDATA("Sum of Male",FTESexRolePivot!$A$3,"Type","Support","PostConv","Service Manager")</f>
        <v>53.6</v>
      </c>
      <c r="D41" s="739">
        <f t="shared" ref="D41:D46" si="10">SUM(B41:C41)</f>
        <v>99.97</v>
      </c>
      <c r="E41" s="115">
        <f t="shared" ref="E41:E46" si="11">B41/(B41+C41)</f>
        <v>0.46383915174552365</v>
      </c>
      <c r="F41" s="115">
        <f t="shared" ref="F41:F46" si="12">C41/(B41+C41)</f>
        <v>0.53616084825447641</v>
      </c>
    </row>
    <row r="42" spans="1:6" x14ac:dyDescent="0.3">
      <c r="A42" s="112" t="s">
        <v>680</v>
      </c>
      <c r="B42" s="738">
        <f>GETPIVOTDATA("Sum of Female",FTESexRolePivot!$A$3,"Type","Support","PostConv","Team Leader")</f>
        <v>29.689999999999998</v>
      </c>
      <c r="C42" s="738">
        <f>GETPIVOTDATA("Sum of Male",FTESexRolePivot!$A$3,"Type","Support","PostConv","Team Leader")</f>
        <v>15</v>
      </c>
      <c r="D42" s="739">
        <f t="shared" si="10"/>
        <v>44.69</v>
      </c>
      <c r="E42" s="115">
        <f t="shared" si="11"/>
        <v>0.66435444170955471</v>
      </c>
      <c r="F42" s="115">
        <f t="shared" si="12"/>
        <v>0.33564555829044529</v>
      </c>
    </row>
    <row r="43" spans="1:6" x14ac:dyDescent="0.3">
      <c r="A43" s="112" t="s">
        <v>681</v>
      </c>
      <c r="B43" s="738">
        <f>GETPIVOTDATA("Sum of Female",FTESexRolePivot!$A$3,"Type","Support","PostConv","Professional")</f>
        <v>48.32</v>
      </c>
      <c r="C43" s="738">
        <f>GETPIVOTDATA("Sum of Male",FTESexRolePivot!$A$3,"Type","Support","PostConv","Professional")</f>
        <v>34</v>
      </c>
      <c r="D43" s="739">
        <f t="shared" si="10"/>
        <v>82.32</v>
      </c>
      <c r="E43" s="115">
        <f t="shared" si="11"/>
        <v>0.58697764820213805</v>
      </c>
      <c r="F43" s="115">
        <f t="shared" si="12"/>
        <v>0.41302235179786201</v>
      </c>
    </row>
    <row r="44" spans="1:6" x14ac:dyDescent="0.3">
      <c r="A44" s="112" t="s">
        <v>757</v>
      </c>
      <c r="B44" s="738">
        <f>GETPIVOTDATA("Sum of Female",FTESexRolePivot!$A$3,"Type","Support","PostConv","Specialist Technical")</f>
        <v>198.26000000000002</v>
      </c>
      <c r="C44" s="738">
        <f>GETPIVOTDATA("Sum of Male",FTESexRolePivot!$A$3,"Type","Support","PostConv","Specialist Technical")</f>
        <v>248.56000000000003</v>
      </c>
      <c r="D44" s="739">
        <f t="shared" si="10"/>
        <v>446.82000000000005</v>
      </c>
      <c r="E44" s="115">
        <f t="shared" si="11"/>
        <v>0.4437133521328499</v>
      </c>
      <c r="F44" s="115">
        <f t="shared" si="12"/>
        <v>0.5562866478671501</v>
      </c>
    </row>
    <row r="45" spans="1:6" x14ac:dyDescent="0.3">
      <c r="A45" s="112" t="s">
        <v>690</v>
      </c>
      <c r="B45" s="733">
        <f>GETPIVOTDATA("Sum of Female",FTESexRolePivot!$A$3,"Type","Support","PostConv","Tech Support")</f>
        <v>14.419999999999998</v>
      </c>
      <c r="C45" s="733">
        <f>GETPIVOTDATA("Sum of Male",FTESexRolePivot!$A$3,"Type","Support","PostConv","Tech Support")</f>
        <v>43.800000000000004</v>
      </c>
      <c r="D45" s="739">
        <f t="shared" si="10"/>
        <v>58.22</v>
      </c>
      <c r="E45" s="115">
        <f t="shared" si="11"/>
        <v>0.24768120920645822</v>
      </c>
      <c r="F45" s="115">
        <f t="shared" si="12"/>
        <v>0.7523187907935418</v>
      </c>
    </row>
    <row r="46" spans="1:6" x14ac:dyDescent="0.3">
      <c r="A46" s="112" t="s">
        <v>684</v>
      </c>
      <c r="B46" s="733">
        <f>GETPIVOTDATA("Sum of Female",FTESexRolePivot!$A$3,"Type","Support","PostConv","Administration")</f>
        <v>105.58</v>
      </c>
      <c r="C46" s="733">
        <f>GETPIVOTDATA("Sum of Male",FTESexRolePivot!$A$3,"Type","Support","PostConv","Administration")</f>
        <v>11.41</v>
      </c>
      <c r="D46" s="739">
        <f t="shared" si="10"/>
        <v>116.99</v>
      </c>
      <c r="E46" s="115">
        <f t="shared" si="11"/>
        <v>0.90247029660654754</v>
      </c>
      <c r="F46" s="115">
        <f t="shared" si="12"/>
        <v>9.7529703393452433E-2</v>
      </c>
    </row>
    <row r="47" spans="1:6" ht="15" thickBot="1" x14ac:dyDescent="0.35">
      <c r="A47" s="129" t="s">
        <v>758</v>
      </c>
      <c r="B47" s="732">
        <f>GETPIVOTDATA("Sum of Female",FTESexRolePivot!$A$3,"Type","Support")</f>
        <v>444.64000000000004</v>
      </c>
      <c r="C47" s="732">
        <f>GETPIVOTDATA("Sum of Male",FTESexRolePivot!$A$3,"Type","Support")</f>
        <v>407.37000000000006</v>
      </c>
      <c r="D47" s="732">
        <f t="shared" ref="D47" si="13">SUM(D40:D46)</f>
        <v>852.0100000000001</v>
      </c>
      <c r="E47" s="121">
        <f>B47/(B47+C47)</f>
        <v>0.52187180901632613</v>
      </c>
      <c r="F47" s="121">
        <f>C47/(B47+C47)</f>
        <v>0.47812819098367393</v>
      </c>
    </row>
    <row r="48" spans="1:6" ht="15" thickBot="1" x14ac:dyDescent="0.35">
      <c r="A48" s="126"/>
      <c r="B48" s="735"/>
      <c r="C48" s="738"/>
      <c r="D48" s="739"/>
      <c r="E48" s="121"/>
      <c r="F48" s="121"/>
    </row>
    <row r="49" spans="1:17" ht="15" thickBot="1" x14ac:dyDescent="0.35">
      <c r="A49" s="137" t="s">
        <v>741</v>
      </c>
      <c r="B49" s="629">
        <f t="shared" ref="B49:C49" si="14">B47+B37+B23+B17+B28</f>
        <v>988.73</v>
      </c>
      <c r="C49" s="629">
        <f t="shared" si="14"/>
        <v>5804.65</v>
      </c>
      <c r="D49" s="629">
        <f>D47+D37+D23+D17+D28</f>
        <v>6794.3799999999992</v>
      </c>
      <c r="E49" s="121">
        <f t="shared" ref="E49" si="15">B49/(B49+C49)</f>
        <v>0.14554316113628268</v>
      </c>
      <c r="F49" s="121">
        <f t="shared" ref="F49" si="16">C49/(B49+C49)</f>
        <v>0.85445683886371737</v>
      </c>
    </row>
    <row r="50" spans="1:17" x14ac:dyDescent="0.3">
      <c r="A50" s="25"/>
      <c r="B50" s="25"/>
      <c r="C50" s="25"/>
      <c r="D50" s="25"/>
      <c r="E50" s="25"/>
      <c r="F50" s="25"/>
    </row>
    <row r="51" spans="1:17" x14ac:dyDescent="0.3">
      <c r="A51" s="335" t="s">
        <v>329</v>
      </c>
      <c r="B51" s="339"/>
      <c r="C51" s="339"/>
      <c r="D51" s="339"/>
      <c r="E51" s="339"/>
      <c r="F51" s="339"/>
    </row>
    <row r="52" spans="1:17" ht="60" customHeight="1" x14ac:dyDescent="0.3">
      <c r="A52" s="1040" t="s">
        <v>654</v>
      </c>
      <c r="B52" s="1040"/>
      <c r="C52" s="1040"/>
      <c r="D52" s="1040"/>
      <c r="E52" s="1040"/>
      <c r="F52" s="1040"/>
      <c r="G52" s="1040"/>
    </row>
    <row r="53" spans="1:17" ht="45.75" customHeight="1" x14ac:dyDescent="0.3">
      <c r="A53" s="1048" t="s">
        <v>697</v>
      </c>
      <c r="B53" s="1048"/>
      <c r="C53" s="1048"/>
      <c r="D53" s="1048"/>
      <c r="E53" s="1048"/>
      <c r="F53" s="1048"/>
      <c r="G53" s="1048"/>
      <c r="H53" s="1048"/>
      <c r="I53" s="1048"/>
    </row>
    <row r="54" spans="1:17" x14ac:dyDescent="0.3">
      <c r="A54" s="450" t="s">
        <v>693</v>
      </c>
      <c r="H54" s="345"/>
    </row>
    <row r="55" spans="1:17" x14ac:dyDescent="0.3">
      <c r="A55" s="1065" t="s">
        <v>694</v>
      </c>
      <c r="B55" s="1065"/>
      <c r="C55" s="1065"/>
      <c r="D55" s="1065"/>
      <c r="E55" s="1065"/>
      <c r="F55" s="1065"/>
      <c r="H55" s="345"/>
    </row>
    <row r="56" spans="1:17" x14ac:dyDescent="0.3">
      <c r="A56" s="562" t="s">
        <v>691</v>
      </c>
      <c r="H56" s="345"/>
    </row>
    <row r="57" spans="1:17" ht="15" customHeight="1" x14ac:dyDescent="0.3">
      <c r="A57" s="457" t="s">
        <v>524</v>
      </c>
      <c r="H57" s="376"/>
    </row>
    <row r="58" spans="1:17" ht="15" customHeight="1" x14ac:dyDescent="0.3">
      <c r="A58" s="369" t="s">
        <v>699</v>
      </c>
      <c r="H58" s="450"/>
    </row>
    <row r="59" spans="1:17" ht="15.9" customHeight="1" x14ac:dyDescent="0.3">
      <c r="A59" s="1033" t="s">
        <v>525</v>
      </c>
      <c r="B59" s="1033"/>
      <c r="C59" s="484"/>
      <c r="D59" s="484"/>
      <c r="E59" s="484"/>
      <c r="F59" s="484"/>
      <c r="H59" s="457"/>
    </row>
    <row r="60" spans="1:17" x14ac:dyDescent="0.3">
      <c r="H60" s="369"/>
    </row>
    <row r="61" spans="1:17" ht="15" customHeight="1" x14ac:dyDescent="0.3">
      <c r="A61" s="592"/>
      <c r="B61" s="592"/>
      <c r="C61" s="592"/>
      <c r="D61" s="592"/>
      <c r="E61" s="592"/>
      <c r="F61" s="592"/>
      <c r="G61" s="592"/>
      <c r="H61" s="592"/>
      <c r="I61" s="592"/>
      <c r="J61" s="484"/>
      <c r="K61" s="484"/>
      <c r="L61" s="484"/>
      <c r="M61" s="484"/>
      <c r="N61" s="484"/>
      <c r="O61" s="484"/>
      <c r="P61" s="484"/>
      <c r="Q61" s="484"/>
    </row>
    <row r="62" spans="1:17" x14ac:dyDescent="0.3">
      <c r="A62" s="1048"/>
      <c r="B62" s="1048"/>
      <c r="C62" s="1048"/>
      <c r="D62" s="1048"/>
      <c r="E62" s="1048"/>
      <c r="F62" s="1048"/>
      <c r="G62" s="1048"/>
      <c r="H62" s="339"/>
    </row>
    <row r="63" spans="1:17" x14ac:dyDescent="0.3">
      <c r="A63" s="1064"/>
      <c r="B63" s="1064"/>
      <c r="C63" s="1064"/>
      <c r="D63" s="1064"/>
      <c r="E63" s="1064"/>
      <c r="F63" s="1064"/>
      <c r="G63" s="339"/>
    </row>
    <row r="64" spans="1:17" x14ac:dyDescent="0.3">
      <c r="G64" s="339"/>
    </row>
  </sheetData>
  <sheetProtection algorithmName="SHA-512" hashValue="0t0kRQ/ydzWEgocPj9q0+DnaSQ6b51SNB+JUi8hmHkY0p5omtD+pa+/FYZO5rxxA12KtuW1es1y85+w4o/lMbQ==" saltValue="dDWQGYXxMz4lfh8lh52Lyg==" spinCount="100000" sheet="1" formatCells="0" sort="0" autoFilter="0" pivotTables="0"/>
  <mergeCells count="7">
    <mergeCell ref="A4:F4"/>
    <mergeCell ref="A62:G62"/>
    <mergeCell ref="A63:F63"/>
    <mergeCell ref="A55:F55"/>
    <mergeCell ref="A53:I53"/>
    <mergeCell ref="A52:G52"/>
    <mergeCell ref="A59:B59"/>
  </mergeCells>
  <hyperlinks>
    <hyperlink ref="A2" location="'Table of Contents'!A1" display="Back to Table of Contents" xr:uid="{00000000-0004-0000-5D00-000000000000}"/>
  </hyperlinks>
  <pageMargins left="0.70866141732283472" right="0.70866141732283472" top="0.74803149606299213" bottom="0.74803149606299213" header="0.31496062992125984" footer="0.31496062992125984"/>
  <pageSetup paperSize="9" scale="79" orientation="portrait" r:id="rId1"/>
  <drawing r:id="rId2"/>
  <extLst>
    <ext xmlns:x14="http://schemas.microsoft.com/office/spreadsheetml/2009/9/main" uri="{A8765BA9-456A-4dab-B4F3-ACF838C121DE}">
      <x14:slicerList>
        <x14:slicer r:id="rId3"/>
      </x14:slicerList>
    </ext>
  </extLst>
</worksheet>
</file>

<file path=xl/worksheets/sheet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dimension ref="A1:G17"/>
  <sheetViews>
    <sheetView workbookViewId="0">
      <selection activeCell="B11" sqref="B11"/>
    </sheetView>
  </sheetViews>
  <sheetFormatPr defaultRowHeight="14.4" x14ac:dyDescent="0.3"/>
  <cols>
    <col min="1" max="1" width="12.5546875" bestFit="1" customWidth="1"/>
    <col min="2" max="2" width="27.44140625" bestFit="1" customWidth="1"/>
    <col min="3" max="3" width="26.33203125" bestFit="1" customWidth="1"/>
    <col min="4" max="4" width="23" bestFit="1" customWidth="1"/>
    <col min="5" max="5" width="13.77734375" bestFit="1" customWidth="1"/>
    <col min="6" max="6" width="18.88671875" bestFit="1" customWidth="1"/>
    <col min="7" max="7" width="15.88671875" bestFit="1" customWidth="1"/>
    <col min="8" max="8" width="32" bestFit="1" customWidth="1"/>
    <col min="9" max="9" width="30.5546875" bestFit="1" customWidth="1"/>
    <col min="10" max="10" width="27.44140625" bestFit="1" customWidth="1"/>
    <col min="11" max="11" width="18.33203125" bestFit="1" customWidth="1"/>
    <col min="12" max="12" width="23.109375" bestFit="1" customWidth="1"/>
    <col min="13" max="13" width="20.44140625" bestFit="1" customWidth="1"/>
    <col min="14" max="14" width="25.88671875" bestFit="1" customWidth="1"/>
    <col min="15" max="25" width="5.44140625" bestFit="1" customWidth="1"/>
    <col min="26" max="26" width="22.5546875" bestFit="1" customWidth="1"/>
    <col min="27" max="37" width="5.44140625" bestFit="1" customWidth="1"/>
    <col min="38" max="38" width="13.44140625" bestFit="1" customWidth="1"/>
    <col min="39" max="49" width="5.44140625" bestFit="1" customWidth="1"/>
    <col min="50" max="50" width="18.44140625" bestFit="1" customWidth="1"/>
    <col min="51" max="61" width="5.44140625" bestFit="1" customWidth="1"/>
    <col min="62" max="62" width="15.5546875" bestFit="1" customWidth="1"/>
    <col min="63" max="73" width="5.44140625" bestFit="1" customWidth="1"/>
    <col min="74" max="74" width="32" bestFit="1" customWidth="1"/>
    <col min="75" max="75" width="30.5546875" bestFit="1" customWidth="1"/>
    <col min="76" max="76" width="27.44140625" bestFit="1" customWidth="1"/>
    <col min="77" max="77" width="18.33203125" bestFit="1" customWidth="1"/>
    <col min="78" max="78" width="23.109375" bestFit="1" customWidth="1"/>
    <col min="79" max="79" width="20.44140625" bestFit="1" customWidth="1"/>
    <col min="80" max="80" width="14.88671875" bestFit="1" customWidth="1"/>
    <col min="81" max="81" width="19.88671875" bestFit="1" customWidth="1"/>
    <col min="82" max="82" width="17.109375" bestFit="1" customWidth="1"/>
    <col min="83" max="83" width="27.33203125" bestFit="1" customWidth="1"/>
    <col min="84" max="84" width="24.109375" bestFit="1" customWidth="1"/>
    <col min="85" max="85" width="14.88671875" bestFit="1" customWidth="1"/>
    <col min="86" max="86" width="19.88671875" bestFit="1" customWidth="1"/>
    <col min="87" max="87" width="17.109375" bestFit="1" customWidth="1"/>
    <col min="88" max="88" width="27.33203125" bestFit="1" customWidth="1"/>
    <col min="89" max="89" width="24.109375" bestFit="1" customWidth="1"/>
    <col min="90" max="90" width="14.88671875" bestFit="1" customWidth="1"/>
    <col min="91" max="91" width="19.88671875" bestFit="1" customWidth="1"/>
    <col min="92" max="92" width="17.109375" bestFit="1" customWidth="1"/>
    <col min="93" max="93" width="27.33203125" bestFit="1" customWidth="1"/>
    <col min="94" max="94" width="24.109375" bestFit="1" customWidth="1"/>
    <col min="95" max="95" width="14.88671875" bestFit="1" customWidth="1"/>
    <col min="96" max="96" width="19.88671875" bestFit="1" customWidth="1"/>
    <col min="97" max="97" width="17.109375" bestFit="1" customWidth="1"/>
    <col min="98" max="98" width="27.33203125" bestFit="1" customWidth="1"/>
    <col min="99" max="99" width="24.109375" bestFit="1" customWidth="1"/>
    <col min="100" max="100" width="14.88671875" bestFit="1" customWidth="1"/>
    <col min="101" max="101" width="19.88671875" bestFit="1" customWidth="1"/>
    <col min="102" max="102" width="17.109375" bestFit="1" customWidth="1"/>
    <col min="103" max="103" width="27.33203125" bestFit="1" customWidth="1"/>
    <col min="104" max="104" width="24.109375" bestFit="1" customWidth="1"/>
    <col min="105" max="105" width="14.88671875" bestFit="1" customWidth="1"/>
    <col min="106" max="106" width="19.88671875" bestFit="1" customWidth="1"/>
    <col min="107" max="107" width="17.109375" bestFit="1" customWidth="1"/>
    <col min="108" max="108" width="27.33203125" bestFit="1" customWidth="1"/>
    <col min="109" max="109" width="24.109375" bestFit="1" customWidth="1"/>
    <col min="110" max="110" width="14.88671875" bestFit="1" customWidth="1"/>
    <col min="111" max="111" width="19.88671875" bestFit="1" customWidth="1"/>
    <col min="112" max="112" width="17.109375" bestFit="1" customWidth="1"/>
    <col min="113" max="113" width="27.33203125" bestFit="1" customWidth="1"/>
    <col min="114" max="114" width="24.109375" bestFit="1" customWidth="1"/>
    <col min="115" max="115" width="14.88671875" bestFit="1" customWidth="1"/>
    <col min="116" max="116" width="19.88671875" bestFit="1" customWidth="1"/>
    <col min="117" max="117" width="17.109375" bestFit="1" customWidth="1"/>
    <col min="118" max="118" width="27.33203125" bestFit="1" customWidth="1"/>
    <col min="119" max="119" width="24.109375" bestFit="1" customWidth="1"/>
    <col min="120" max="120" width="14.88671875" bestFit="1" customWidth="1"/>
    <col min="121" max="121" width="19.88671875" bestFit="1" customWidth="1"/>
    <col min="122" max="122" width="17.109375" bestFit="1" customWidth="1"/>
    <col min="123" max="123" width="27.33203125" bestFit="1" customWidth="1"/>
    <col min="124" max="124" width="24.109375" bestFit="1" customWidth="1"/>
    <col min="125" max="125" width="14.88671875" bestFit="1" customWidth="1"/>
    <col min="126" max="126" width="19.88671875" bestFit="1" customWidth="1"/>
    <col min="127" max="127" width="17.109375" bestFit="1" customWidth="1"/>
    <col min="128" max="128" width="27.33203125" bestFit="1" customWidth="1"/>
    <col min="129" max="129" width="24.109375" bestFit="1" customWidth="1"/>
    <col min="130" max="130" width="14.88671875" bestFit="1" customWidth="1"/>
    <col min="131" max="131" width="19.88671875" bestFit="1" customWidth="1"/>
    <col min="132" max="132" width="17.109375" bestFit="1" customWidth="1"/>
    <col min="133" max="133" width="27.33203125" bestFit="1" customWidth="1"/>
    <col min="134" max="134" width="24.109375" bestFit="1" customWidth="1"/>
    <col min="135" max="135" width="14.88671875" bestFit="1" customWidth="1"/>
    <col min="136" max="136" width="19.88671875" bestFit="1" customWidth="1"/>
    <col min="137" max="137" width="17.109375" bestFit="1" customWidth="1"/>
    <col min="138" max="138" width="27.33203125" bestFit="1" customWidth="1"/>
    <col min="139" max="139" width="24.109375" bestFit="1" customWidth="1"/>
    <col min="140" max="140" width="14.88671875" bestFit="1" customWidth="1"/>
    <col min="141" max="141" width="19.88671875" bestFit="1" customWidth="1"/>
    <col min="142" max="142" width="17.109375" bestFit="1" customWidth="1"/>
    <col min="143" max="143" width="27.33203125" bestFit="1" customWidth="1"/>
    <col min="144" max="144" width="24.109375" bestFit="1" customWidth="1"/>
    <col min="145" max="145" width="14.88671875" bestFit="1" customWidth="1"/>
    <col min="146" max="146" width="19.88671875" bestFit="1" customWidth="1"/>
    <col min="147" max="147" width="17.109375" bestFit="1" customWidth="1"/>
    <col min="148" max="148" width="27.33203125" bestFit="1" customWidth="1"/>
    <col min="149" max="149" width="24.109375" bestFit="1" customWidth="1"/>
    <col min="150" max="150" width="14.88671875" bestFit="1" customWidth="1"/>
    <col min="151" max="151" width="19.88671875" bestFit="1" customWidth="1"/>
    <col min="152" max="152" width="17.109375" bestFit="1" customWidth="1"/>
    <col min="153" max="153" width="27.33203125" bestFit="1" customWidth="1"/>
    <col min="154" max="154" width="24.109375" bestFit="1" customWidth="1"/>
    <col min="155" max="155" width="14.88671875" bestFit="1" customWidth="1"/>
    <col min="156" max="156" width="19.88671875" bestFit="1" customWidth="1"/>
    <col min="157" max="157" width="17.109375" bestFit="1" customWidth="1"/>
    <col min="158" max="158" width="27.33203125" bestFit="1" customWidth="1"/>
    <col min="159" max="159" width="24.109375" bestFit="1" customWidth="1"/>
    <col min="160" max="160" width="14.88671875" bestFit="1" customWidth="1"/>
    <col min="161" max="161" width="19.88671875" bestFit="1" customWidth="1"/>
    <col min="162" max="162" width="17.109375" bestFit="1" customWidth="1"/>
    <col min="163" max="163" width="27.33203125" bestFit="1" customWidth="1"/>
    <col min="164" max="164" width="24.109375" bestFit="1" customWidth="1"/>
    <col min="165" max="165" width="14.88671875" bestFit="1" customWidth="1"/>
    <col min="166" max="166" width="19.88671875" bestFit="1" customWidth="1"/>
    <col min="167" max="167" width="17.109375" bestFit="1" customWidth="1"/>
    <col min="168" max="168" width="27.33203125" bestFit="1" customWidth="1"/>
    <col min="169" max="169" width="24.109375" bestFit="1" customWidth="1"/>
    <col min="170" max="170" width="14.88671875" bestFit="1" customWidth="1"/>
    <col min="171" max="171" width="19.88671875" bestFit="1" customWidth="1"/>
    <col min="172" max="172" width="17.109375" bestFit="1" customWidth="1"/>
    <col min="173" max="173" width="27.33203125" bestFit="1" customWidth="1"/>
    <col min="174" max="174" width="24.109375" bestFit="1" customWidth="1"/>
    <col min="175" max="175" width="14.88671875" bestFit="1" customWidth="1"/>
    <col min="176" max="176" width="19.88671875" bestFit="1" customWidth="1"/>
    <col min="177" max="177" width="17.109375" bestFit="1" customWidth="1"/>
    <col min="178" max="178" width="27.33203125" bestFit="1" customWidth="1"/>
    <col min="179" max="179" width="24.109375" bestFit="1" customWidth="1"/>
    <col min="180" max="180" width="14.88671875" bestFit="1" customWidth="1"/>
    <col min="181" max="181" width="19.88671875" bestFit="1" customWidth="1"/>
    <col min="182" max="182" width="17.109375" bestFit="1" customWidth="1"/>
    <col min="183" max="183" width="27.33203125" bestFit="1" customWidth="1"/>
    <col min="184" max="184" width="24.109375" bestFit="1" customWidth="1"/>
    <col min="185" max="185" width="14.88671875" bestFit="1" customWidth="1"/>
    <col min="186" max="186" width="19.88671875" bestFit="1" customWidth="1"/>
    <col min="187" max="187" width="17.109375" bestFit="1" customWidth="1"/>
    <col min="188" max="188" width="27.33203125" bestFit="1" customWidth="1"/>
    <col min="189" max="189" width="24.109375" bestFit="1" customWidth="1"/>
    <col min="190" max="190" width="14.88671875" bestFit="1" customWidth="1"/>
    <col min="191" max="191" width="19.88671875" bestFit="1" customWidth="1"/>
    <col min="192" max="192" width="17.109375" bestFit="1" customWidth="1"/>
    <col min="193" max="193" width="27.33203125" bestFit="1" customWidth="1"/>
    <col min="194" max="194" width="24.109375" bestFit="1" customWidth="1"/>
    <col min="195" max="195" width="14.88671875" bestFit="1" customWidth="1"/>
    <col min="196" max="196" width="19.88671875" bestFit="1" customWidth="1"/>
    <col min="197" max="197" width="17.109375" bestFit="1" customWidth="1"/>
    <col min="198" max="198" width="27.33203125" bestFit="1" customWidth="1"/>
    <col min="199" max="199" width="24.109375" bestFit="1" customWidth="1"/>
    <col min="200" max="200" width="14.88671875" bestFit="1" customWidth="1"/>
    <col min="201" max="201" width="19.88671875" bestFit="1" customWidth="1"/>
    <col min="202" max="202" width="17.109375" bestFit="1" customWidth="1"/>
    <col min="203" max="203" width="27.33203125" bestFit="1" customWidth="1"/>
    <col min="204" max="204" width="24.109375" bestFit="1" customWidth="1"/>
    <col min="205" max="205" width="14.88671875" bestFit="1" customWidth="1"/>
    <col min="206" max="206" width="19.88671875" bestFit="1" customWidth="1"/>
    <col min="207" max="207" width="17.109375" bestFit="1" customWidth="1"/>
    <col min="208" max="208" width="27.33203125" bestFit="1" customWidth="1"/>
    <col min="209" max="209" width="24.109375" bestFit="1" customWidth="1"/>
    <col min="210" max="210" width="14.88671875" bestFit="1" customWidth="1"/>
    <col min="211" max="211" width="19.88671875" bestFit="1" customWidth="1"/>
    <col min="212" max="212" width="17.109375" bestFit="1" customWidth="1"/>
    <col min="213" max="213" width="27.33203125" bestFit="1" customWidth="1"/>
    <col min="214" max="214" width="24.109375" bestFit="1" customWidth="1"/>
    <col min="215" max="215" width="14.88671875" bestFit="1" customWidth="1"/>
    <col min="216" max="216" width="19.88671875" bestFit="1" customWidth="1"/>
    <col min="217" max="217" width="17.109375" bestFit="1" customWidth="1"/>
    <col min="218" max="218" width="27.33203125" bestFit="1" customWidth="1"/>
    <col min="219" max="219" width="24.109375" bestFit="1" customWidth="1"/>
    <col min="220" max="220" width="14.88671875" bestFit="1" customWidth="1"/>
    <col min="221" max="221" width="19.88671875" bestFit="1" customWidth="1"/>
    <col min="222" max="222" width="17.109375" bestFit="1" customWidth="1"/>
    <col min="223" max="223" width="27.33203125" bestFit="1" customWidth="1"/>
    <col min="224" max="224" width="24.109375" bestFit="1" customWidth="1"/>
    <col min="225" max="225" width="14.88671875" bestFit="1" customWidth="1"/>
    <col min="226" max="226" width="19.88671875" bestFit="1" customWidth="1"/>
    <col min="227" max="227" width="17.109375" bestFit="1" customWidth="1"/>
    <col min="228" max="228" width="27.33203125" bestFit="1" customWidth="1"/>
    <col min="229" max="229" width="24.109375" bestFit="1" customWidth="1"/>
    <col min="230" max="230" width="14.88671875" bestFit="1" customWidth="1"/>
    <col min="231" max="231" width="19.88671875" bestFit="1" customWidth="1"/>
    <col min="232" max="232" width="17.109375" bestFit="1" customWidth="1"/>
    <col min="233" max="233" width="27.33203125" bestFit="1" customWidth="1"/>
    <col min="234" max="234" width="24.109375" bestFit="1" customWidth="1"/>
    <col min="235" max="235" width="14.88671875" bestFit="1" customWidth="1"/>
    <col min="236" max="236" width="19.88671875" bestFit="1" customWidth="1"/>
    <col min="237" max="237" width="17.109375" bestFit="1" customWidth="1"/>
    <col min="238" max="238" width="27.33203125" bestFit="1" customWidth="1"/>
    <col min="239" max="239" width="24.109375" bestFit="1" customWidth="1"/>
    <col min="240" max="240" width="14.88671875" bestFit="1" customWidth="1"/>
    <col min="241" max="241" width="19.88671875" bestFit="1" customWidth="1"/>
    <col min="242" max="242" width="17.109375" bestFit="1" customWidth="1"/>
    <col min="243" max="243" width="27.33203125" bestFit="1" customWidth="1"/>
    <col min="244" max="244" width="24.109375" bestFit="1" customWidth="1"/>
    <col min="245" max="245" width="14.88671875" bestFit="1" customWidth="1"/>
    <col min="246" max="246" width="19.88671875" bestFit="1" customWidth="1"/>
    <col min="247" max="247" width="17.109375" bestFit="1" customWidth="1"/>
    <col min="248" max="248" width="27.33203125" bestFit="1" customWidth="1"/>
    <col min="249" max="249" width="24.109375" bestFit="1" customWidth="1"/>
    <col min="250" max="250" width="14.88671875" bestFit="1" customWidth="1"/>
    <col min="251" max="251" width="19.88671875" bestFit="1" customWidth="1"/>
    <col min="252" max="252" width="17.109375" bestFit="1" customWidth="1"/>
    <col min="253" max="253" width="27.33203125" bestFit="1" customWidth="1"/>
    <col min="254" max="254" width="24.109375" bestFit="1" customWidth="1"/>
    <col min="255" max="255" width="14.88671875" bestFit="1" customWidth="1"/>
    <col min="256" max="256" width="19.88671875" bestFit="1" customWidth="1"/>
    <col min="257" max="257" width="17.109375" bestFit="1" customWidth="1"/>
    <col min="258" max="258" width="27.33203125" bestFit="1" customWidth="1"/>
    <col min="259" max="259" width="24.109375" bestFit="1" customWidth="1"/>
    <col min="260" max="260" width="14.88671875" bestFit="1" customWidth="1"/>
    <col min="261" max="261" width="19.88671875" bestFit="1" customWidth="1"/>
    <col min="262" max="262" width="17.109375" bestFit="1" customWidth="1"/>
    <col min="263" max="263" width="27.33203125" bestFit="1" customWidth="1"/>
    <col min="264" max="264" width="24.109375" bestFit="1" customWidth="1"/>
    <col min="265" max="265" width="14.88671875" bestFit="1" customWidth="1"/>
    <col min="266" max="266" width="19.88671875" bestFit="1" customWidth="1"/>
    <col min="267" max="267" width="17.109375" bestFit="1" customWidth="1"/>
    <col min="268" max="268" width="27.33203125" bestFit="1" customWidth="1"/>
    <col min="269" max="269" width="24.109375" bestFit="1" customWidth="1"/>
    <col min="270" max="270" width="14.88671875" bestFit="1" customWidth="1"/>
    <col min="271" max="271" width="19.88671875" bestFit="1" customWidth="1"/>
    <col min="272" max="272" width="17.109375" bestFit="1" customWidth="1"/>
    <col min="273" max="273" width="27.33203125" bestFit="1" customWidth="1"/>
    <col min="274" max="274" width="24.109375" bestFit="1" customWidth="1"/>
    <col min="275" max="275" width="14.88671875" bestFit="1" customWidth="1"/>
    <col min="276" max="276" width="19.88671875" bestFit="1" customWidth="1"/>
    <col min="277" max="277" width="17.109375" bestFit="1" customWidth="1"/>
    <col min="278" max="278" width="27.33203125" bestFit="1" customWidth="1"/>
    <col min="279" max="279" width="24.109375" bestFit="1" customWidth="1"/>
    <col min="280" max="280" width="14.88671875" bestFit="1" customWidth="1"/>
    <col min="281" max="281" width="19.88671875" bestFit="1" customWidth="1"/>
    <col min="282" max="282" width="17.109375" bestFit="1" customWidth="1"/>
    <col min="283" max="283" width="27.33203125" bestFit="1" customWidth="1"/>
    <col min="284" max="284" width="24.109375" bestFit="1" customWidth="1"/>
    <col min="285" max="285" width="14.88671875" bestFit="1" customWidth="1"/>
    <col min="286" max="286" width="19.88671875" bestFit="1" customWidth="1"/>
    <col min="287" max="287" width="17.109375" bestFit="1" customWidth="1"/>
    <col min="288" max="288" width="27.33203125" bestFit="1" customWidth="1"/>
    <col min="289" max="289" width="24.109375" bestFit="1" customWidth="1"/>
    <col min="290" max="290" width="14.88671875" bestFit="1" customWidth="1"/>
    <col min="291" max="291" width="19.88671875" bestFit="1" customWidth="1"/>
    <col min="292" max="292" width="17.109375" bestFit="1" customWidth="1"/>
    <col min="293" max="293" width="27.33203125" bestFit="1" customWidth="1"/>
    <col min="294" max="294" width="24.109375" bestFit="1" customWidth="1"/>
    <col min="295" max="295" width="14.88671875" bestFit="1" customWidth="1"/>
    <col min="296" max="296" width="19.88671875" bestFit="1" customWidth="1"/>
    <col min="297" max="297" width="17.109375" bestFit="1" customWidth="1"/>
    <col min="298" max="298" width="27.33203125" bestFit="1" customWidth="1"/>
    <col min="299" max="299" width="24.109375" bestFit="1" customWidth="1"/>
    <col min="300" max="300" width="14.88671875" bestFit="1" customWidth="1"/>
    <col min="301" max="301" width="19.88671875" bestFit="1" customWidth="1"/>
    <col min="302" max="302" width="17.109375" bestFit="1" customWidth="1"/>
    <col min="303" max="303" width="27.33203125" bestFit="1" customWidth="1"/>
    <col min="304" max="304" width="24.109375" bestFit="1" customWidth="1"/>
    <col min="305" max="305" width="14.88671875" bestFit="1" customWidth="1"/>
    <col min="306" max="306" width="19.88671875" bestFit="1" customWidth="1"/>
    <col min="307" max="307" width="17.109375" bestFit="1" customWidth="1"/>
    <col min="308" max="308" width="27.33203125" bestFit="1" customWidth="1"/>
    <col min="309" max="309" width="24.109375" bestFit="1" customWidth="1"/>
    <col min="310" max="310" width="14.88671875" bestFit="1" customWidth="1"/>
    <col min="311" max="311" width="19.88671875" bestFit="1" customWidth="1"/>
    <col min="312" max="312" width="17.109375" bestFit="1" customWidth="1"/>
    <col min="313" max="313" width="27.33203125" bestFit="1" customWidth="1"/>
    <col min="314" max="314" width="24.109375" bestFit="1" customWidth="1"/>
    <col min="315" max="315" width="14.88671875" bestFit="1" customWidth="1"/>
    <col min="316" max="316" width="19.88671875" bestFit="1" customWidth="1"/>
    <col min="317" max="317" width="17.109375" bestFit="1" customWidth="1"/>
    <col min="318" max="318" width="27.33203125" bestFit="1" customWidth="1"/>
    <col min="319" max="319" width="24.109375" bestFit="1" customWidth="1"/>
    <col min="320" max="320" width="14.88671875" bestFit="1" customWidth="1"/>
    <col min="321" max="321" width="19.88671875" bestFit="1" customWidth="1"/>
    <col min="322" max="322" width="21.88671875" bestFit="1" customWidth="1"/>
    <col min="323" max="323" width="32.109375" bestFit="1" customWidth="1"/>
    <col min="324" max="324" width="28.88671875" bestFit="1" customWidth="1"/>
    <col min="325" max="325" width="19.6640625" bestFit="1" customWidth="1"/>
    <col min="326" max="326" width="24.5546875" bestFit="1" customWidth="1"/>
    <col min="327" max="327" width="24.109375" bestFit="1" customWidth="1"/>
    <col min="328" max="328" width="14.88671875" bestFit="1" customWidth="1"/>
    <col min="329" max="329" width="19.88671875" bestFit="1" customWidth="1"/>
    <col min="330" max="330" width="20.5546875" bestFit="1" customWidth="1"/>
    <col min="331" max="331" width="27.5546875" bestFit="1" customWidth="1"/>
    <col min="332" max="332" width="18.44140625" bestFit="1" customWidth="1"/>
    <col min="333" max="333" width="23.44140625" bestFit="1" customWidth="1"/>
    <col min="334" max="334" width="17.109375" bestFit="1" customWidth="1"/>
    <col min="335" max="335" width="24.109375" bestFit="1" customWidth="1"/>
    <col min="336" max="336" width="14.88671875" bestFit="1" customWidth="1"/>
    <col min="337" max="337" width="19.88671875" bestFit="1" customWidth="1"/>
    <col min="338" max="338" width="20.5546875" bestFit="1" customWidth="1"/>
    <col min="339" max="339" width="27.5546875" bestFit="1" customWidth="1"/>
    <col min="340" max="340" width="18.44140625" bestFit="1" customWidth="1"/>
    <col min="341" max="341" width="23.44140625" bestFit="1" customWidth="1"/>
    <col min="342" max="342" width="17.109375" bestFit="1" customWidth="1"/>
    <col min="343" max="343" width="24.109375" bestFit="1" customWidth="1"/>
    <col min="344" max="344" width="14.88671875" bestFit="1" customWidth="1"/>
    <col min="345" max="345" width="19.88671875" bestFit="1" customWidth="1"/>
    <col min="346" max="346" width="20.5546875" bestFit="1" customWidth="1"/>
    <col min="347" max="347" width="27.5546875" bestFit="1" customWidth="1"/>
    <col min="348" max="348" width="18.44140625" bestFit="1" customWidth="1"/>
    <col min="349" max="349" width="23.44140625" bestFit="1" customWidth="1"/>
    <col min="350" max="350" width="17.109375" bestFit="1" customWidth="1"/>
    <col min="351" max="351" width="24.109375" bestFit="1" customWidth="1"/>
    <col min="352" max="352" width="14.88671875" bestFit="1" customWidth="1"/>
    <col min="353" max="353" width="19.88671875" bestFit="1" customWidth="1"/>
    <col min="354" max="354" width="20.5546875" bestFit="1" customWidth="1"/>
    <col min="355" max="355" width="27.5546875" bestFit="1" customWidth="1"/>
    <col min="356" max="356" width="18.44140625" bestFit="1" customWidth="1"/>
    <col min="357" max="357" width="23.44140625" bestFit="1" customWidth="1"/>
    <col min="358" max="358" width="17.109375" bestFit="1" customWidth="1"/>
    <col min="359" max="359" width="24.109375" bestFit="1" customWidth="1"/>
    <col min="360" max="360" width="14.88671875" bestFit="1" customWidth="1"/>
    <col min="361" max="361" width="19.88671875" bestFit="1" customWidth="1"/>
    <col min="362" max="362" width="20.5546875" bestFit="1" customWidth="1"/>
    <col min="363" max="363" width="27.5546875" bestFit="1" customWidth="1"/>
    <col min="364" max="364" width="18.44140625" bestFit="1" customWidth="1"/>
    <col min="365" max="365" width="23.44140625" bestFit="1" customWidth="1"/>
    <col min="366" max="366" width="17.109375" bestFit="1" customWidth="1"/>
    <col min="367" max="367" width="24.109375" bestFit="1" customWidth="1"/>
    <col min="368" max="368" width="14.88671875" bestFit="1" customWidth="1"/>
    <col min="369" max="369" width="19.88671875" bestFit="1" customWidth="1"/>
    <col min="370" max="370" width="17.109375" bestFit="1" customWidth="1"/>
    <col min="371" max="371" width="24.109375" bestFit="1" customWidth="1"/>
    <col min="372" max="372" width="14.88671875" bestFit="1" customWidth="1"/>
    <col min="373" max="373" width="19.88671875" bestFit="1" customWidth="1"/>
    <col min="374" max="374" width="20.5546875" bestFit="1" customWidth="1"/>
    <col min="375" max="375" width="27.5546875" bestFit="1" customWidth="1"/>
    <col min="376" max="376" width="18.44140625" bestFit="1" customWidth="1"/>
    <col min="377" max="377" width="23.44140625" bestFit="1" customWidth="1"/>
    <col min="378" max="378" width="17.109375" bestFit="1" customWidth="1"/>
    <col min="379" max="379" width="24.109375" bestFit="1" customWidth="1"/>
    <col min="380" max="380" width="14.88671875" bestFit="1" customWidth="1"/>
    <col min="381" max="381" width="19.88671875" bestFit="1" customWidth="1"/>
    <col min="382" max="382" width="20.5546875" bestFit="1" customWidth="1"/>
    <col min="383" max="383" width="27.5546875" bestFit="1" customWidth="1"/>
    <col min="384" max="384" width="18.44140625" bestFit="1" customWidth="1"/>
    <col min="385" max="385" width="23.44140625" bestFit="1" customWidth="1"/>
    <col min="386" max="386" width="17.109375" bestFit="1" customWidth="1"/>
    <col min="387" max="387" width="24.109375" bestFit="1" customWidth="1"/>
    <col min="388" max="388" width="14.88671875" bestFit="1" customWidth="1"/>
    <col min="389" max="389" width="19.88671875" bestFit="1" customWidth="1"/>
    <col min="390" max="390" width="20.5546875" bestFit="1" customWidth="1"/>
    <col min="391" max="391" width="27.5546875" bestFit="1" customWidth="1"/>
    <col min="392" max="392" width="18.44140625" bestFit="1" customWidth="1"/>
    <col min="393" max="393" width="23.44140625" bestFit="1" customWidth="1"/>
    <col min="394" max="394" width="17.109375" bestFit="1" customWidth="1"/>
    <col min="395" max="395" width="24.109375" bestFit="1" customWidth="1"/>
    <col min="396" max="396" width="14.88671875" bestFit="1" customWidth="1"/>
    <col min="397" max="397" width="19.88671875" bestFit="1" customWidth="1"/>
    <col min="398" max="398" width="20.5546875" bestFit="1" customWidth="1"/>
    <col min="399" max="399" width="27.5546875" bestFit="1" customWidth="1"/>
    <col min="400" max="400" width="18.44140625" bestFit="1" customWidth="1"/>
    <col min="401" max="401" width="23.44140625" bestFit="1" customWidth="1"/>
    <col min="402" max="402" width="17.109375" bestFit="1" customWidth="1"/>
    <col min="403" max="403" width="24.109375" bestFit="1" customWidth="1"/>
    <col min="404" max="404" width="14.88671875" bestFit="1" customWidth="1"/>
    <col min="405" max="405" width="19.88671875" bestFit="1" customWidth="1"/>
    <col min="406" max="406" width="20.5546875" bestFit="1" customWidth="1"/>
    <col min="407" max="407" width="27.5546875" bestFit="1" customWidth="1"/>
    <col min="408" max="408" width="18.44140625" bestFit="1" customWidth="1"/>
    <col min="409" max="409" width="23.44140625" bestFit="1" customWidth="1"/>
    <col min="410" max="410" width="17.109375" bestFit="1" customWidth="1"/>
    <col min="411" max="411" width="24.109375" bestFit="1" customWidth="1"/>
    <col min="412" max="412" width="14.88671875" bestFit="1" customWidth="1"/>
    <col min="413" max="413" width="19.88671875" bestFit="1" customWidth="1"/>
    <col min="414" max="414" width="20.5546875" bestFit="1" customWidth="1"/>
    <col min="415" max="415" width="27.5546875" bestFit="1" customWidth="1"/>
    <col min="416" max="416" width="18.44140625" bestFit="1" customWidth="1"/>
    <col min="417" max="417" width="23.44140625" bestFit="1" customWidth="1"/>
    <col min="418" max="418" width="17.109375" bestFit="1" customWidth="1"/>
    <col min="419" max="419" width="24.109375" bestFit="1" customWidth="1"/>
    <col min="420" max="420" width="14.88671875" bestFit="1" customWidth="1"/>
    <col min="421" max="421" width="19.88671875" bestFit="1" customWidth="1"/>
    <col min="422" max="422" width="20.5546875" bestFit="1" customWidth="1"/>
    <col min="423" max="423" width="27.5546875" bestFit="1" customWidth="1"/>
    <col min="424" max="424" width="18.44140625" bestFit="1" customWidth="1"/>
    <col min="425" max="425" width="23.44140625" bestFit="1" customWidth="1"/>
    <col min="426" max="426" width="17.109375" bestFit="1" customWidth="1"/>
    <col min="427" max="427" width="24.109375" bestFit="1" customWidth="1"/>
    <col min="428" max="428" width="14.88671875" bestFit="1" customWidth="1"/>
    <col min="429" max="429" width="19.88671875" bestFit="1" customWidth="1"/>
    <col min="430" max="430" width="20.5546875" bestFit="1" customWidth="1"/>
    <col min="431" max="431" width="27.5546875" bestFit="1" customWidth="1"/>
    <col min="432" max="432" width="18.44140625" bestFit="1" customWidth="1"/>
    <col min="433" max="433" width="23.44140625" bestFit="1" customWidth="1"/>
    <col min="434" max="434" width="17.109375" bestFit="1" customWidth="1"/>
    <col min="435" max="435" width="24.109375" bestFit="1" customWidth="1"/>
    <col min="436" max="436" width="14.88671875" bestFit="1" customWidth="1"/>
    <col min="437" max="437" width="19.88671875" bestFit="1" customWidth="1"/>
    <col min="438" max="438" width="20.5546875" bestFit="1" customWidth="1"/>
    <col min="439" max="439" width="27.5546875" bestFit="1" customWidth="1"/>
    <col min="440" max="440" width="18.44140625" bestFit="1" customWidth="1"/>
    <col min="441" max="441" width="23.44140625" bestFit="1" customWidth="1"/>
    <col min="442" max="442" width="17.109375" bestFit="1" customWidth="1"/>
    <col min="443" max="443" width="24.109375" bestFit="1" customWidth="1"/>
    <col min="444" max="444" width="14.88671875" bestFit="1" customWidth="1"/>
    <col min="445" max="445" width="19.88671875" bestFit="1" customWidth="1"/>
    <col min="446" max="446" width="20.5546875" bestFit="1" customWidth="1"/>
    <col min="447" max="447" width="27.5546875" bestFit="1" customWidth="1"/>
    <col min="448" max="448" width="18.44140625" bestFit="1" customWidth="1"/>
    <col min="449" max="449" width="23.44140625" bestFit="1" customWidth="1"/>
    <col min="450" max="450" width="17.109375" bestFit="1" customWidth="1"/>
    <col min="451" max="451" width="24.109375" bestFit="1" customWidth="1"/>
    <col min="452" max="452" width="14.88671875" bestFit="1" customWidth="1"/>
    <col min="453" max="453" width="19.88671875" bestFit="1" customWidth="1"/>
    <col min="454" max="454" width="20.5546875" bestFit="1" customWidth="1"/>
    <col min="455" max="455" width="27.5546875" bestFit="1" customWidth="1"/>
    <col min="456" max="456" width="18.44140625" bestFit="1" customWidth="1"/>
    <col min="457" max="457" width="23.44140625" bestFit="1" customWidth="1"/>
    <col min="458" max="458" width="17.109375" bestFit="1" customWidth="1"/>
    <col min="459" max="459" width="24.109375" bestFit="1" customWidth="1"/>
    <col min="460" max="460" width="14.88671875" bestFit="1" customWidth="1"/>
    <col min="461" max="461" width="19.88671875" bestFit="1" customWidth="1"/>
    <col min="462" max="462" width="20.5546875" bestFit="1" customWidth="1"/>
    <col min="463" max="463" width="27.5546875" bestFit="1" customWidth="1"/>
    <col min="464" max="464" width="18.44140625" bestFit="1" customWidth="1"/>
    <col min="465" max="465" width="23.44140625" bestFit="1" customWidth="1"/>
    <col min="466" max="466" width="17.109375" bestFit="1" customWidth="1"/>
    <col min="467" max="467" width="24.109375" bestFit="1" customWidth="1"/>
    <col min="468" max="468" width="14.88671875" bestFit="1" customWidth="1"/>
    <col min="469" max="469" width="19.88671875" bestFit="1" customWidth="1"/>
    <col min="470" max="470" width="17.109375" bestFit="1" customWidth="1"/>
    <col min="471" max="471" width="24.109375" bestFit="1" customWidth="1"/>
    <col min="472" max="472" width="14.88671875" bestFit="1" customWidth="1"/>
    <col min="473" max="473" width="19.88671875" bestFit="1" customWidth="1"/>
    <col min="474" max="474" width="20.5546875" bestFit="1" customWidth="1"/>
    <col min="475" max="475" width="27.5546875" bestFit="1" customWidth="1"/>
    <col min="476" max="476" width="18.44140625" bestFit="1" customWidth="1"/>
    <col min="477" max="477" width="23.44140625" bestFit="1" customWidth="1"/>
    <col min="478" max="478" width="17.109375" bestFit="1" customWidth="1"/>
    <col min="479" max="479" width="24.109375" bestFit="1" customWidth="1"/>
    <col min="480" max="480" width="14.88671875" bestFit="1" customWidth="1"/>
    <col min="481" max="481" width="19.88671875" bestFit="1" customWidth="1"/>
    <col min="482" max="482" width="20.5546875" bestFit="1" customWidth="1"/>
    <col min="483" max="483" width="27.5546875" bestFit="1" customWidth="1"/>
    <col min="484" max="484" width="18.44140625" bestFit="1" customWidth="1"/>
    <col min="485" max="485" width="23.44140625" bestFit="1" customWidth="1"/>
    <col min="486" max="486" width="17.109375" bestFit="1" customWidth="1"/>
    <col min="487" max="487" width="24.109375" bestFit="1" customWidth="1"/>
    <col min="488" max="488" width="14.88671875" bestFit="1" customWidth="1"/>
    <col min="489" max="489" width="19.88671875" bestFit="1" customWidth="1"/>
    <col min="490" max="490" width="20.5546875" bestFit="1" customWidth="1"/>
    <col min="491" max="491" width="27.5546875" bestFit="1" customWidth="1"/>
    <col min="492" max="492" width="18.44140625" bestFit="1" customWidth="1"/>
    <col min="493" max="493" width="23.44140625" bestFit="1" customWidth="1"/>
    <col min="494" max="494" width="17.109375" bestFit="1" customWidth="1"/>
    <col min="495" max="495" width="24.109375" bestFit="1" customWidth="1"/>
    <col min="496" max="496" width="14.88671875" bestFit="1" customWidth="1"/>
    <col min="497" max="497" width="19.88671875" bestFit="1" customWidth="1"/>
    <col min="498" max="498" width="20.5546875" bestFit="1" customWidth="1"/>
    <col min="499" max="499" width="27.5546875" bestFit="1" customWidth="1"/>
    <col min="500" max="500" width="18.44140625" bestFit="1" customWidth="1"/>
    <col min="501" max="501" width="23.44140625" bestFit="1" customWidth="1"/>
    <col min="502" max="502" width="17.109375" bestFit="1" customWidth="1"/>
    <col min="503" max="503" width="24.109375" bestFit="1" customWidth="1"/>
    <col min="504" max="504" width="14.88671875" bestFit="1" customWidth="1"/>
    <col min="505" max="505" width="19.88671875" bestFit="1" customWidth="1"/>
    <col min="506" max="506" width="20.5546875" bestFit="1" customWidth="1"/>
    <col min="507" max="507" width="27.5546875" bestFit="1" customWidth="1"/>
    <col min="508" max="508" width="18.44140625" bestFit="1" customWidth="1"/>
    <col min="509" max="509" width="23.44140625" bestFit="1" customWidth="1"/>
    <col min="510" max="510" width="17.109375" bestFit="1" customWidth="1"/>
    <col min="511" max="511" width="24.109375" bestFit="1" customWidth="1"/>
    <col min="512" max="512" width="14.88671875" bestFit="1" customWidth="1"/>
    <col min="513" max="513" width="19.88671875" bestFit="1" customWidth="1"/>
    <col min="514" max="514" width="20.5546875" bestFit="1" customWidth="1"/>
    <col min="515" max="515" width="27.5546875" bestFit="1" customWidth="1"/>
    <col min="516" max="516" width="18.44140625" bestFit="1" customWidth="1"/>
    <col min="517" max="517" width="23.44140625" bestFit="1" customWidth="1"/>
    <col min="518" max="518" width="17.109375" bestFit="1" customWidth="1"/>
    <col min="519" max="519" width="24.109375" bestFit="1" customWidth="1"/>
    <col min="520" max="520" width="14.88671875" bestFit="1" customWidth="1"/>
    <col min="521" max="521" width="19.88671875" bestFit="1" customWidth="1"/>
    <col min="522" max="522" width="20.5546875" bestFit="1" customWidth="1"/>
    <col min="523" max="523" width="27.5546875" bestFit="1" customWidth="1"/>
    <col min="524" max="524" width="18.44140625" bestFit="1" customWidth="1"/>
    <col min="525" max="525" width="23.44140625" bestFit="1" customWidth="1"/>
    <col min="526" max="526" width="17.109375" bestFit="1" customWidth="1"/>
    <col min="527" max="527" width="24.109375" bestFit="1" customWidth="1"/>
    <col min="528" max="528" width="14.88671875" bestFit="1" customWidth="1"/>
    <col min="529" max="529" width="19.88671875" bestFit="1" customWidth="1"/>
    <col min="530" max="530" width="21.5546875" bestFit="1" customWidth="1"/>
    <col min="531" max="531" width="28.5546875" bestFit="1" customWidth="1"/>
    <col min="532" max="532" width="19.44140625" bestFit="1" customWidth="1"/>
    <col min="533" max="533" width="24.44140625" bestFit="1" customWidth="1"/>
    <col min="534" max="534" width="17.109375" bestFit="1" customWidth="1"/>
    <col min="535" max="535" width="24.109375" bestFit="1" customWidth="1"/>
    <col min="536" max="536" width="14.88671875" bestFit="1" customWidth="1"/>
    <col min="537" max="537" width="19.88671875" bestFit="1" customWidth="1"/>
    <col min="538" max="538" width="21.5546875" bestFit="1" customWidth="1"/>
    <col min="539" max="539" width="28.5546875" bestFit="1" customWidth="1"/>
    <col min="540" max="540" width="19.44140625" bestFit="1" customWidth="1"/>
    <col min="541" max="541" width="24.44140625" bestFit="1" customWidth="1"/>
    <col min="542" max="542" width="17.109375" bestFit="1" customWidth="1"/>
    <col min="543" max="543" width="24.109375" bestFit="1" customWidth="1"/>
    <col min="544" max="544" width="14.88671875" bestFit="1" customWidth="1"/>
    <col min="545" max="545" width="19.88671875" bestFit="1" customWidth="1"/>
    <col min="546" max="546" width="21.5546875" bestFit="1" customWidth="1"/>
    <col min="547" max="547" width="28.5546875" bestFit="1" customWidth="1"/>
    <col min="548" max="548" width="19.44140625" bestFit="1" customWidth="1"/>
    <col min="549" max="549" width="24.44140625" bestFit="1" customWidth="1"/>
    <col min="550" max="550" width="17.109375" bestFit="1" customWidth="1"/>
    <col min="551" max="551" width="24.109375" bestFit="1" customWidth="1"/>
    <col min="552" max="552" width="14.88671875" bestFit="1" customWidth="1"/>
    <col min="553" max="553" width="19.88671875" bestFit="1" customWidth="1"/>
    <col min="554" max="554" width="17.109375" bestFit="1" customWidth="1"/>
    <col min="555" max="555" width="24.109375" bestFit="1" customWidth="1"/>
    <col min="556" max="556" width="14.88671875" bestFit="1" customWidth="1"/>
    <col min="557" max="557" width="19.88671875" bestFit="1" customWidth="1"/>
    <col min="558" max="558" width="17.109375" bestFit="1" customWidth="1"/>
    <col min="559" max="559" width="24.109375" bestFit="1" customWidth="1"/>
    <col min="560" max="560" width="14.88671875" bestFit="1" customWidth="1"/>
    <col min="561" max="561" width="19.88671875" bestFit="1" customWidth="1"/>
    <col min="562" max="562" width="17.109375" bestFit="1" customWidth="1"/>
    <col min="563" max="563" width="24.109375" bestFit="1" customWidth="1"/>
    <col min="564" max="564" width="14.88671875" bestFit="1" customWidth="1"/>
    <col min="565" max="565" width="19.88671875" bestFit="1" customWidth="1"/>
    <col min="566" max="566" width="17.109375" bestFit="1" customWidth="1"/>
    <col min="567" max="567" width="24.109375" bestFit="1" customWidth="1"/>
    <col min="568" max="568" width="14.88671875" bestFit="1" customWidth="1"/>
    <col min="569" max="569" width="19.88671875" bestFit="1" customWidth="1"/>
    <col min="570" max="570" width="17.109375" bestFit="1" customWidth="1"/>
    <col min="571" max="571" width="24.109375" bestFit="1" customWidth="1"/>
    <col min="572" max="572" width="14.88671875" bestFit="1" customWidth="1"/>
    <col min="573" max="573" width="19.88671875" bestFit="1" customWidth="1"/>
    <col min="574" max="574" width="17.109375" bestFit="1" customWidth="1"/>
    <col min="575" max="575" width="24.109375" bestFit="1" customWidth="1"/>
    <col min="576" max="576" width="14.88671875" bestFit="1" customWidth="1"/>
    <col min="577" max="577" width="19.88671875" bestFit="1" customWidth="1"/>
    <col min="578" max="578" width="17.109375" bestFit="1" customWidth="1"/>
    <col min="579" max="579" width="24.109375" bestFit="1" customWidth="1"/>
    <col min="580" max="580" width="14.88671875" bestFit="1" customWidth="1"/>
    <col min="581" max="581" width="19.88671875" bestFit="1" customWidth="1"/>
    <col min="582" max="582" width="17.109375" bestFit="1" customWidth="1"/>
    <col min="583" max="583" width="24.109375" bestFit="1" customWidth="1"/>
    <col min="584" max="584" width="14.88671875" bestFit="1" customWidth="1"/>
    <col min="585" max="585" width="19.88671875" bestFit="1" customWidth="1"/>
    <col min="586" max="586" width="17.109375" bestFit="1" customWidth="1"/>
    <col min="587" max="587" width="24.109375" bestFit="1" customWidth="1"/>
    <col min="588" max="588" width="14.88671875" bestFit="1" customWidth="1"/>
    <col min="589" max="589" width="19.88671875" bestFit="1" customWidth="1"/>
    <col min="590" max="590" width="23.5546875" bestFit="1" customWidth="1"/>
    <col min="591" max="591" width="30.5546875" bestFit="1" customWidth="1"/>
    <col min="592" max="592" width="21.44140625" bestFit="1" customWidth="1"/>
    <col min="593" max="593" width="26.44140625" bestFit="1" customWidth="1"/>
    <col min="594" max="594" width="21.88671875" bestFit="1" customWidth="1"/>
    <col min="595" max="595" width="28.88671875" bestFit="1" customWidth="1"/>
    <col min="596" max="596" width="19.6640625" bestFit="1" customWidth="1"/>
    <col min="597" max="597" width="24.5546875" bestFit="1" customWidth="1"/>
    <col min="598" max="598" width="23.44140625" bestFit="1" customWidth="1"/>
    <col min="599" max="599" width="17.109375" bestFit="1" customWidth="1"/>
    <col min="600" max="600" width="14.88671875" bestFit="1" customWidth="1"/>
    <col min="601" max="601" width="19.88671875" bestFit="1" customWidth="1"/>
    <col min="602" max="602" width="20.5546875" bestFit="1" customWidth="1"/>
    <col min="603" max="603" width="18.44140625" bestFit="1" customWidth="1"/>
    <col min="604" max="604" width="23.44140625" bestFit="1" customWidth="1"/>
    <col min="605" max="605" width="20.5546875" bestFit="1" customWidth="1"/>
    <col min="606" max="606" width="18.44140625" bestFit="1" customWidth="1"/>
    <col min="607" max="607" width="23.44140625" bestFit="1" customWidth="1"/>
    <col min="608" max="608" width="17.109375" bestFit="1" customWidth="1"/>
    <col min="609" max="609" width="14.88671875" bestFit="1" customWidth="1"/>
    <col min="610" max="610" width="19.88671875" bestFit="1" customWidth="1"/>
    <col min="611" max="611" width="20.5546875" bestFit="1" customWidth="1"/>
    <col min="612" max="612" width="18.44140625" bestFit="1" customWidth="1"/>
    <col min="613" max="613" width="23.44140625" bestFit="1" customWidth="1"/>
    <col min="614" max="614" width="21.5546875" bestFit="1" customWidth="1"/>
    <col min="615" max="615" width="19.44140625" bestFit="1" customWidth="1"/>
    <col min="616" max="616" width="24.44140625" bestFit="1" customWidth="1"/>
    <col min="617" max="617" width="17.109375" bestFit="1" customWidth="1"/>
    <col min="618" max="618" width="14.88671875" bestFit="1" customWidth="1"/>
    <col min="619" max="619" width="19.88671875" bestFit="1" customWidth="1"/>
    <col min="620" max="620" width="20.5546875" bestFit="1" customWidth="1"/>
    <col min="621" max="621" width="18.44140625" bestFit="1" customWidth="1"/>
    <col min="622" max="622" width="23.44140625" bestFit="1" customWidth="1"/>
    <col min="623" max="623" width="21.5546875" bestFit="1" customWidth="1"/>
    <col min="624" max="624" width="19.44140625" bestFit="1" customWidth="1"/>
    <col min="625" max="625" width="24.44140625" bestFit="1" customWidth="1"/>
    <col min="626" max="626" width="17.109375" bestFit="1" customWidth="1"/>
    <col min="627" max="627" width="14.88671875" bestFit="1" customWidth="1"/>
    <col min="628" max="628" width="19.88671875" bestFit="1" customWidth="1"/>
    <col min="629" max="629" width="20.5546875" bestFit="1" customWidth="1"/>
    <col min="630" max="630" width="18.44140625" bestFit="1" customWidth="1"/>
    <col min="631" max="631" width="23.44140625" bestFit="1" customWidth="1"/>
    <col min="632" max="632" width="21.5546875" bestFit="1" customWidth="1"/>
    <col min="633" max="633" width="19.44140625" bestFit="1" customWidth="1"/>
    <col min="634" max="634" width="24.44140625" bestFit="1" customWidth="1"/>
    <col min="635" max="635" width="17.109375" bestFit="1" customWidth="1"/>
    <col min="636" max="636" width="14.88671875" bestFit="1" customWidth="1"/>
    <col min="637" max="637" width="19.88671875" bestFit="1" customWidth="1"/>
    <col min="638" max="638" width="18.5546875" bestFit="1" customWidth="1"/>
    <col min="639" max="639" width="16.44140625" bestFit="1" customWidth="1"/>
    <col min="640" max="640" width="21.44140625" bestFit="1" customWidth="1"/>
    <col min="641" max="641" width="17.109375" bestFit="1" customWidth="1"/>
    <col min="642" max="642" width="14.88671875" bestFit="1" customWidth="1"/>
    <col min="643" max="643" width="19.88671875" bestFit="1" customWidth="1"/>
    <col min="644" max="644" width="18.5546875" bestFit="1" customWidth="1"/>
    <col min="645" max="645" width="16.44140625" bestFit="1" customWidth="1"/>
    <col min="646" max="646" width="21.44140625" bestFit="1" customWidth="1"/>
    <col min="647" max="647" width="17.109375" bestFit="1" customWidth="1"/>
    <col min="648" max="648" width="14.88671875" bestFit="1" customWidth="1"/>
    <col min="649" max="649" width="19.88671875" bestFit="1" customWidth="1"/>
    <col min="650" max="650" width="18.5546875" bestFit="1" customWidth="1"/>
    <col min="651" max="651" width="16.44140625" bestFit="1" customWidth="1"/>
    <col min="652" max="652" width="21.44140625" bestFit="1" customWidth="1"/>
    <col min="653" max="653" width="17.109375" bestFit="1" customWidth="1"/>
    <col min="654" max="654" width="14.88671875" bestFit="1" customWidth="1"/>
    <col min="655" max="655" width="19.88671875" bestFit="1" customWidth="1"/>
    <col min="656" max="656" width="18.5546875" bestFit="1" customWidth="1"/>
    <col min="657" max="657" width="16.44140625" bestFit="1" customWidth="1"/>
    <col min="658" max="658" width="21.44140625" bestFit="1" customWidth="1"/>
    <col min="659" max="659" width="17.109375" bestFit="1" customWidth="1"/>
    <col min="660" max="660" width="14.88671875" bestFit="1" customWidth="1"/>
    <col min="661" max="661" width="19.88671875" bestFit="1" customWidth="1"/>
    <col min="662" max="662" width="18.5546875" bestFit="1" customWidth="1"/>
    <col min="663" max="663" width="16.44140625" bestFit="1" customWidth="1"/>
    <col min="664" max="664" width="21.44140625" bestFit="1" customWidth="1"/>
    <col min="665" max="665" width="17.109375" bestFit="1" customWidth="1"/>
    <col min="666" max="666" width="14.88671875" bestFit="1" customWidth="1"/>
    <col min="667" max="667" width="19.88671875" bestFit="1" customWidth="1"/>
    <col min="668" max="668" width="18.5546875" bestFit="1" customWidth="1"/>
    <col min="669" max="669" width="16.44140625" bestFit="1" customWidth="1"/>
    <col min="670" max="670" width="21.44140625" bestFit="1" customWidth="1"/>
    <col min="671" max="671" width="17.109375" bestFit="1" customWidth="1"/>
    <col min="672" max="672" width="14.88671875" bestFit="1" customWidth="1"/>
    <col min="673" max="673" width="19.88671875" bestFit="1" customWidth="1"/>
    <col min="674" max="674" width="18.5546875" bestFit="1" customWidth="1"/>
    <col min="675" max="675" width="16.44140625" bestFit="1" customWidth="1"/>
    <col min="676" max="676" width="21.44140625" bestFit="1" customWidth="1"/>
    <col min="677" max="677" width="17.109375" bestFit="1" customWidth="1"/>
    <col min="678" max="678" width="14.88671875" bestFit="1" customWidth="1"/>
    <col min="679" max="679" width="19.88671875" bestFit="1" customWidth="1"/>
    <col min="680" max="680" width="19.5546875" bestFit="1" customWidth="1"/>
    <col min="681" max="681" width="17.44140625" bestFit="1" customWidth="1"/>
    <col min="682" max="682" width="22.44140625" bestFit="1" customWidth="1"/>
    <col min="683" max="683" width="17.109375" bestFit="1" customWidth="1"/>
    <col min="684" max="684" width="14.88671875" bestFit="1" customWidth="1"/>
    <col min="685" max="685" width="19.88671875" bestFit="1" customWidth="1"/>
    <col min="686" max="686" width="19.5546875" bestFit="1" customWidth="1"/>
    <col min="687" max="687" width="17.44140625" bestFit="1" customWidth="1"/>
    <col min="688" max="688" width="22.44140625" bestFit="1" customWidth="1"/>
    <col min="689" max="689" width="17.109375" bestFit="1" customWidth="1"/>
    <col min="690" max="690" width="14.88671875" bestFit="1" customWidth="1"/>
    <col min="691" max="691" width="19.88671875" bestFit="1" customWidth="1"/>
    <col min="692" max="692" width="23.5546875" bestFit="1" customWidth="1"/>
    <col min="693" max="693" width="21.44140625" bestFit="1" customWidth="1"/>
    <col min="694" max="694" width="26.44140625" bestFit="1" customWidth="1"/>
    <col min="695" max="695" width="23.5546875" bestFit="1" customWidth="1"/>
    <col min="696" max="696" width="21.44140625" bestFit="1" customWidth="1"/>
    <col min="697" max="697" width="26.44140625" bestFit="1" customWidth="1"/>
    <col min="698" max="698" width="21.88671875" bestFit="1" customWidth="1"/>
    <col min="699" max="699" width="19.6640625" bestFit="1" customWidth="1"/>
    <col min="700" max="700" width="24.5546875" bestFit="1" customWidth="1"/>
  </cols>
  <sheetData>
    <row r="1" spans="1:7" x14ac:dyDescent="0.3">
      <c r="A1" s="386" t="s">
        <v>208</v>
      </c>
      <c r="B1" t="s">
        <v>412</v>
      </c>
    </row>
    <row r="3" spans="1:7" x14ac:dyDescent="0.3">
      <c r="A3" s="386" t="s">
        <v>350</v>
      </c>
      <c r="B3" t="s">
        <v>604</v>
      </c>
      <c r="C3" t="s">
        <v>506</v>
      </c>
      <c r="D3" t="s">
        <v>766</v>
      </c>
      <c r="E3" t="s">
        <v>508</v>
      </c>
      <c r="F3" t="s">
        <v>767</v>
      </c>
      <c r="G3" t="s">
        <v>355</v>
      </c>
    </row>
    <row r="4" spans="1:7" x14ac:dyDescent="0.3">
      <c r="A4" s="387" t="s">
        <v>768</v>
      </c>
      <c r="B4">
        <v>41</v>
      </c>
      <c r="C4">
        <v>166</v>
      </c>
      <c r="E4">
        <v>9</v>
      </c>
      <c r="F4">
        <v>22</v>
      </c>
      <c r="G4">
        <v>6</v>
      </c>
    </row>
    <row r="5" spans="1:7" x14ac:dyDescent="0.3">
      <c r="A5" s="387" t="s">
        <v>769</v>
      </c>
      <c r="B5">
        <v>238</v>
      </c>
      <c r="C5">
        <v>252</v>
      </c>
      <c r="E5">
        <v>22</v>
      </c>
      <c r="F5">
        <v>40</v>
      </c>
      <c r="G5">
        <v>12</v>
      </c>
    </row>
    <row r="6" spans="1:7" x14ac:dyDescent="0.3">
      <c r="A6" s="387" t="s">
        <v>770</v>
      </c>
      <c r="B6">
        <v>478</v>
      </c>
      <c r="C6">
        <v>361</v>
      </c>
      <c r="D6">
        <v>2</v>
      </c>
      <c r="E6">
        <v>32</v>
      </c>
      <c r="F6">
        <v>68</v>
      </c>
      <c r="G6">
        <v>13</v>
      </c>
    </row>
    <row r="7" spans="1:7" x14ac:dyDescent="0.3">
      <c r="A7" s="387" t="s">
        <v>771</v>
      </c>
      <c r="B7">
        <v>566</v>
      </c>
      <c r="C7">
        <v>440</v>
      </c>
      <c r="D7">
        <v>6</v>
      </c>
      <c r="E7">
        <v>35</v>
      </c>
      <c r="F7">
        <v>98</v>
      </c>
      <c r="G7">
        <v>20</v>
      </c>
    </row>
    <row r="8" spans="1:7" x14ac:dyDescent="0.3">
      <c r="A8" s="387" t="s">
        <v>772</v>
      </c>
      <c r="B8">
        <v>586</v>
      </c>
      <c r="C8">
        <v>410</v>
      </c>
      <c r="D8">
        <v>11</v>
      </c>
      <c r="E8">
        <v>17</v>
      </c>
      <c r="F8">
        <v>106</v>
      </c>
      <c r="G8">
        <v>35</v>
      </c>
    </row>
    <row r="9" spans="1:7" x14ac:dyDescent="0.3">
      <c r="A9" s="387" t="s">
        <v>773</v>
      </c>
      <c r="B9">
        <v>703</v>
      </c>
      <c r="C9">
        <v>327</v>
      </c>
      <c r="D9">
        <v>7</v>
      </c>
      <c r="E9">
        <v>21</v>
      </c>
      <c r="F9">
        <v>100</v>
      </c>
      <c r="G9">
        <v>24</v>
      </c>
    </row>
    <row r="10" spans="1:7" x14ac:dyDescent="0.3">
      <c r="A10" s="387" t="s">
        <v>774</v>
      </c>
      <c r="B10">
        <v>562</v>
      </c>
      <c r="C10">
        <v>287</v>
      </c>
      <c r="D10">
        <v>4</v>
      </c>
      <c r="E10">
        <v>19</v>
      </c>
      <c r="F10">
        <v>135</v>
      </c>
      <c r="G10">
        <v>40</v>
      </c>
    </row>
    <row r="11" spans="1:7" x14ac:dyDescent="0.3">
      <c r="A11" s="387" t="s">
        <v>775</v>
      </c>
      <c r="B11">
        <v>217</v>
      </c>
      <c r="C11">
        <v>288</v>
      </c>
      <c r="D11">
        <v>20</v>
      </c>
      <c r="E11">
        <v>17</v>
      </c>
      <c r="F11">
        <v>181</v>
      </c>
      <c r="G11">
        <v>56</v>
      </c>
    </row>
    <row r="12" spans="1:7" x14ac:dyDescent="0.3">
      <c r="A12" s="387" t="s">
        <v>776</v>
      </c>
      <c r="B12">
        <v>35</v>
      </c>
      <c r="C12">
        <v>165</v>
      </c>
      <c r="D12">
        <v>9</v>
      </c>
      <c r="E12">
        <v>5</v>
      </c>
      <c r="F12">
        <v>125</v>
      </c>
      <c r="G12">
        <v>28</v>
      </c>
    </row>
    <row r="13" spans="1:7" x14ac:dyDescent="0.3">
      <c r="A13" s="387" t="s">
        <v>777</v>
      </c>
      <c r="B13">
        <v>5</v>
      </c>
      <c r="C13">
        <v>35</v>
      </c>
      <c r="D13">
        <v>1</v>
      </c>
      <c r="F13">
        <v>35</v>
      </c>
      <c r="G13">
        <v>13</v>
      </c>
    </row>
    <row r="14" spans="1:7" x14ac:dyDescent="0.3">
      <c r="A14" s="387" t="s">
        <v>778</v>
      </c>
      <c r="C14">
        <v>7</v>
      </c>
      <c r="F14">
        <v>7</v>
      </c>
      <c r="G14">
        <v>4</v>
      </c>
    </row>
    <row r="15" spans="1:7" x14ac:dyDescent="0.3">
      <c r="A15" s="387" t="s">
        <v>779</v>
      </c>
      <c r="G15">
        <v>1</v>
      </c>
    </row>
    <row r="16" spans="1:7" x14ac:dyDescent="0.3">
      <c r="A16" s="387" t="s">
        <v>780</v>
      </c>
      <c r="C16">
        <v>9</v>
      </c>
      <c r="F16">
        <v>5</v>
      </c>
    </row>
    <row r="17" spans="1:7" x14ac:dyDescent="0.3">
      <c r="A17" s="387" t="s">
        <v>357</v>
      </c>
      <c r="B17">
        <v>3431</v>
      </c>
      <c r="C17">
        <v>2747</v>
      </c>
      <c r="D17">
        <v>60</v>
      </c>
      <c r="E17">
        <v>177</v>
      </c>
      <c r="F17">
        <v>922</v>
      </c>
      <c r="G17">
        <v>252</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dimension ref="A1:H159"/>
  <sheetViews>
    <sheetView topLeftCell="A130" workbookViewId="0">
      <selection activeCell="D145" sqref="D145"/>
    </sheetView>
  </sheetViews>
  <sheetFormatPr defaultRowHeight="14.4" x14ac:dyDescent="0.3"/>
  <cols>
    <col min="1" max="1" width="7.6640625" bestFit="1" customWidth="1"/>
    <col min="2" max="2" width="12.88671875" bestFit="1" customWidth="1"/>
    <col min="3" max="3" width="24.109375" bestFit="1" customWidth="1"/>
    <col min="4" max="4" width="22.33203125" bestFit="1" customWidth="1"/>
    <col min="5" max="5" width="19.5546875" bestFit="1" customWidth="1"/>
    <col min="6" max="6" width="9.5546875" bestFit="1" customWidth="1"/>
    <col min="7" max="7" width="14.44140625" bestFit="1" customWidth="1"/>
    <col min="8" max="8" width="11.88671875" bestFit="1" customWidth="1"/>
    <col min="9" max="9" width="10.6640625" bestFit="1" customWidth="1"/>
    <col min="10" max="10" width="12.33203125" bestFit="1" customWidth="1"/>
    <col min="11" max="11" width="11.6640625" bestFit="1" customWidth="1"/>
    <col min="12" max="12" width="11.109375" bestFit="1" customWidth="1"/>
    <col min="13" max="13" width="10.5546875" bestFit="1" customWidth="1"/>
    <col min="14" max="14" width="35.44140625" bestFit="1" customWidth="1"/>
    <col min="15" max="15" width="11.88671875" bestFit="1" customWidth="1"/>
    <col min="16" max="16" width="10.5546875" bestFit="1" customWidth="1"/>
    <col min="17" max="17" width="7.6640625" bestFit="1" customWidth="1"/>
    <col min="18" max="18" width="12.88671875" bestFit="1" customWidth="1"/>
    <col min="19" max="19" width="24.109375" bestFit="1" customWidth="1"/>
    <col min="20" max="20" width="22.33203125" bestFit="1" customWidth="1"/>
    <col min="21" max="21" width="19.5546875" bestFit="1" customWidth="1"/>
    <col min="22" max="22" width="9.5546875" bestFit="1" customWidth="1"/>
    <col min="23" max="23" width="14.44140625" bestFit="1" customWidth="1"/>
    <col min="24" max="24" width="11.88671875" bestFit="1" customWidth="1"/>
    <col min="25" max="25" width="12.5546875" bestFit="1" customWidth="1"/>
  </cols>
  <sheetData>
    <row r="1" spans="1:8" x14ac:dyDescent="0.3">
      <c r="A1" t="s">
        <v>208</v>
      </c>
      <c r="B1" t="s">
        <v>92</v>
      </c>
      <c r="C1" t="s">
        <v>517</v>
      </c>
      <c r="D1" t="s">
        <v>361</v>
      </c>
      <c r="E1" t="s">
        <v>518</v>
      </c>
      <c r="F1" t="s">
        <v>513</v>
      </c>
      <c r="G1" t="s">
        <v>731</v>
      </c>
      <c r="H1" t="s">
        <v>339</v>
      </c>
    </row>
    <row r="2" spans="1:8" x14ac:dyDescent="0.3">
      <c r="A2" t="s">
        <v>364</v>
      </c>
      <c r="B2" t="s">
        <v>781</v>
      </c>
      <c r="G2">
        <v>15</v>
      </c>
      <c r="H2">
        <v>2</v>
      </c>
    </row>
    <row r="3" spans="1:8" x14ac:dyDescent="0.3">
      <c r="A3" t="s">
        <v>365</v>
      </c>
      <c r="B3" t="s">
        <v>772</v>
      </c>
      <c r="C3">
        <v>822</v>
      </c>
      <c r="D3">
        <v>510</v>
      </c>
      <c r="F3">
        <v>35</v>
      </c>
      <c r="G3">
        <v>118</v>
      </c>
      <c r="H3">
        <v>65</v>
      </c>
    </row>
    <row r="4" spans="1:8" x14ac:dyDescent="0.3">
      <c r="A4" t="s">
        <v>366</v>
      </c>
      <c r="B4" t="s">
        <v>771</v>
      </c>
      <c r="C4">
        <v>667</v>
      </c>
      <c r="D4">
        <v>352</v>
      </c>
      <c r="F4">
        <v>23</v>
      </c>
      <c r="G4">
        <v>73</v>
      </c>
      <c r="H4">
        <v>30</v>
      </c>
    </row>
    <row r="5" spans="1:8" x14ac:dyDescent="0.3">
      <c r="A5" t="s">
        <v>366</v>
      </c>
      <c r="B5" t="s">
        <v>775</v>
      </c>
      <c r="C5">
        <v>51</v>
      </c>
      <c r="D5">
        <v>181</v>
      </c>
      <c r="F5">
        <v>34</v>
      </c>
      <c r="G5">
        <v>124</v>
      </c>
      <c r="H5">
        <v>36</v>
      </c>
    </row>
    <row r="6" spans="1:8" x14ac:dyDescent="0.3">
      <c r="A6" t="s">
        <v>341</v>
      </c>
      <c r="B6" t="s">
        <v>769</v>
      </c>
      <c r="C6">
        <v>144</v>
      </c>
      <c r="D6">
        <v>295</v>
      </c>
      <c r="F6">
        <v>16</v>
      </c>
      <c r="G6">
        <v>41</v>
      </c>
      <c r="H6">
        <v>20</v>
      </c>
    </row>
    <row r="7" spans="1:8" x14ac:dyDescent="0.3">
      <c r="A7" t="s">
        <v>342</v>
      </c>
      <c r="B7" t="s">
        <v>774</v>
      </c>
      <c r="C7">
        <v>775</v>
      </c>
      <c r="D7">
        <v>499</v>
      </c>
      <c r="F7">
        <v>33</v>
      </c>
      <c r="G7">
        <v>140</v>
      </c>
      <c r="H7">
        <v>80</v>
      </c>
    </row>
    <row r="8" spans="1:8" x14ac:dyDescent="0.3">
      <c r="A8" t="s">
        <v>312</v>
      </c>
      <c r="B8" t="s">
        <v>769</v>
      </c>
      <c r="C8">
        <v>246</v>
      </c>
      <c r="D8">
        <v>313</v>
      </c>
      <c r="E8">
        <v>3</v>
      </c>
      <c r="F8">
        <v>21</v>
      </c>
      <c r="G8">
        <v>51</v>
      </c>
      <c r="H8">
        <v>15</v>
      </c>
    </row>
    <row r="9" spans="1:8" x14ac:dyDescent="0.3">
      <c r="A9" t="s">
        <v>318</v>
      </c>
      <c r="B9" t="s">
        <v>773</v>
      </c>
      <c r="C9">
        <v>727</v>
      </c>
      <c r="D9">
        <v>383</v>
      </c>
      <c r="E9">
        <v>3</v>
      </c>
      <c r="F9">
        <v>20</v>
      </c>
      <c r="G9">
        <v>114</v>
      </c>
      <c r="H9">
        <v>44</v>
      </c>
    </row>
    <row r="10" spans="1:8" x14ac:dyDescent="0.3">
      <c r="A10" t="s">
        <v>320</v>
      </c>
      <c r="B10" t="s">
        <v>776</v>
      </c>
      <c r="C10">
        <v>22</v>
      </c>
      <c r="D10">
        <v>115</v>
      </c>
      <c r="E10">
        <v>3</v>
      </c>
      <c r="F10">
        <v>4</v>
      </c>
      <c r="G10">
        <v>111</v>
      </c>
      <c r="H10">
        <v>23</v>
      </c>
    </row>
    <row r="11" spans="1:8" x14ac:dyDescent="0.3">
      <c r="A11" t="s">
        <v>325</v>
      </c>
      <c r="B11" t="s">
        <v>768</v>
      </c>
      <c r="C11">
        <v>60</v>
      </c>
      <c r="D11">
        <v>125</v>
      </c>
      <c r="F11">
        <v>1</v>
      </c>
      <c r="G11">
        <v>23</v>
      </c>
      <c r="H11">
        <v>4</v>
      </c>
    </row>
    <row r="12" spans="1:8" x14ac:dyDescent="0.3">
      <c r="A12" t="s">
        <v>325</v>
      </c>
      <c r="B12" t="s">
        <v>774</v>
      </c>
      <c r="C12">
        <v>598</v>
      </c>
      <c r="D12">
        <v>362</v>
      </c>
      <c r="E12">
        <v>12</v>
      </c>
      <c r="F12">
        <v>24</v>
      </c>
      <c r="G12">
        <v>150</v>
      </c>
      <c r="H12">
        <v>60</v>
      </c>
    </row>
    <row r="13" spans="1:8" x14ac:dyDescent="0.3">
      <c r="A13" t="s">
        <v>325</v>
      </c>
      <c r="B13" t="s">
        <v>777</v>
      </c>
      <c r="C13">
        <v>1</v>
      </c>
      <c r="D13">
        <v>23</v>
      </c>
      <c r="G13">
        <v>40</v>
      </c>
      <c r="H13">
        <v>8</v>
      </c>
    </row>
    <row r="14" spans="1:8" x14ac:dyDescent="0.3">
      <c r="A14" t="s">
        <v>328</v>
      </c>
      <c r="B14" t="s">
        <v>769</v>
      </c>
      <c r="C14">
        <v>253</v>
      </c>
      <c r="D14">
        <v>257</v>
      </c>
      <c r="F14">
        <v>18</v>
      </c>
      <c r="G14">
        <v>43</v>
      </c>
      <c r="H14">
        <v>13</v>
      </c>
    </row>
    <row r="15" spans="1:8" x14ac:dyDescent="0.3">
      <c r="A15" t="s">
        <v>328</v>
      </c>
      <c r="B15" t="s">
        <v>772</v>
      </c>
      <c r="C15">
        <v>632</v>
      </c>
      <c r="D15">
        <v>387</v>
      </c>
      <c r="E15">
        <v>14</v>
      </c>
      <c r="F15">
        <v>20</v>
      </c>
      <c r="G15">
        <v>97</v>
      </c>
      <c r="H15">
        <v>30</v>
      </c>
    </row>
    <row r="16" spans="1:8" x14ac:dyDescent="0.3">
      <c r="A16" t="s">
        <v>364</v>
      </c>
      <c r="B16" t="s">
        <v>772</v>
      </c>
      <c r="C16">
        <v>888</v>
      </c>
      <c r="D16">
        <v>540</v>
      </c>
      <c r="F16">
        <v>34</v>
      </c>
      <c r="G16">
        <v>142</v>
      </c>
      <c r="H16">
        <v>63</v>
      </c>
    </row>
    <row r="17" spans="1:8" x14ac:dyDescent="0.3">
      <c r="A17" t="s">
        <v>364</v>
      </c>
      <c r="B17" t="s">
        <v>780</v>
      </c>
      <c r="D17">
        <v>13</v>
      </c>
      <c r="H17">
        <v>29</v>
      </c>
    </row>
    <row r="18" spans="1:8" x14ac:dyDescent="0.3">
      <c r="A18" t="s">
        <v>365</v>
      </c>
      <c r="B18" t="s">
        <v>770</v>
      </c>
      <c r="C18">
        <v>529</v>
      </c>
      <c r="D18">
        <v>337</v>
      </c>
      <c r="F18">
        <v>18</v>
      </c>
      <c r="G18">
        <v>52</v>
      </c>
      <c r="H18">
        <v>34</v>
      </c>
    </row>
    <row r="19" spans="1:8" x14ac:dyDescent="0.3">
      <c r="A19" t="s">
        <v>365</v>
      </c>
      <c r="B19" t="s">
        <v>773</v>
      </c>
      <c r="C19">
        <v>1006</v>
      </c>
      <c r="D19">
        <v>627</v>
      </c>
      <c r="F19">
        <v>41</v>
      </c>
      <c r="G19">
        <v>149</v>
      </c>
      <c r="H19">
        <v>89</v>
      </c>
    </row>
    <row r="20" spans="1:8" x14ac:dyDescent="0.3">
      <c r="A20" t="s">
        <v>365</v>
      </c>
      <c r="B20" t="s">
        <v>774</v>
      </c>
      <c r="C20">
        <v>554</v>
      </c>
      <c r="D20">
        <v>398</v>
      </c>
      <c r="F20">
        <v>48</v>
      </c>
      <c r="G20">
        <v>148</v>
      </c>
      <c r="H20">
        <v>53</v>
      </c>
    </row>
    <row r="21" spans="1:8" x14ac:dyDescent="0.3">
      <c r="A21" t="s">
        <v>366</v>
      </c>
      <c r="B21" t="s">
        <v>768</v>
      </c>
      <c r="C21">
        <v>38</v>
      </c>
      <c r="D21">
        <v>180</v>
      </c>
      <c r="F21">
        <v>5</v>
      </c>
      <c r="G21">
        <v>20</v>
      </c>
      <c r="H21">
        <v>15</v>
      </c>
    </row>
    <row r="22" spans="1:8" x14ac:dyDescent="0.3">
      <c r="A22" t="s">
        <v>341</v>
      </c>
      <c r="B22" t="s">
        <v>770</v>
      </c>
      <c r="C22">
        <v>398</v>
      </c>
      <c r="D22">
        <v>337</v>
      </c>
      <c r="F22">
        <v>13</v>
      </c>
      <c r="G22">
        <v>71</v>
      </c>
      <c r="H22">
        <v>26</v>
      </c>
    </row>
    <row r="23" spans="1:8" x14ac:dyDescent="0.3">
      <c r="A23" t="s">
        <v>341</v>
      </c>
      <c r="B23" t="s">
        <v>771</v>
      </c>
      <c r="C23">
        <v>661</v>
      </c>
      <c r="D23">
        <v>387</v>
      </c>
      <c r="F23">
        <v>21</v>
      </c>
      <c r="G23">
        <v>73</v>
      </c>
      <c r="H23">
        <v>35</v>
      </c>
    </row>
    <row r="24" spans="1:8" x14ac:dyDescent="0.3">
      <c r="A24" t="s">
        <v>341</v>
      </c>
      <c r="B24" t="s">
        <v>775</v>
      </c>
      <c r="C24">
        <v>73</v>
      </c>
      <c r="D24">
        <v>178</v>
      </c>
      <c r="F24">
        <v>25</v>
      </c>
      <c r="G24">
        <v>133</v>
      </c>
      <c r="H24">
        <v>35</v>
      </c>
    </row>
    <row r="25" spans="1:8" x14ac:dyDescent="0.3">
      <c r="A25" t="s">
        <v>342</v>
      </c>
      <c r="B25" t="s">
        <v>769</v>
      </c>
      <c r="C25">
        <v>149</v>
      </c>
      <c r="D25">
        <v>298</v>
      </c>
      <c r="F25">
        <v>23</v>
      </c>
      <c r="G25">
        <v>35</v>
      </c>
      <c r="H25">
        <v>19</v>
      </c>
    </row>
    <row r="26" spans="1:8" x14ac:dyDescent="0.3">
      <c r="A26" t="s">
        <v>342</v>
      </c>
      <c r="B26" t="s">
        <v>775</v>
      </c>
      <c r="C26">
        <v>124</v>
      </c>
      <c r="D26">
        <v>237</v>
      </c>
      <c r="F26">
        <v>29</v>
      </c>
      <c r="G26">
        <v>141</v>
      </c>
      <c r="H26">
        <v>31</v>
      </c>
    </row>
    <row r="27" spans="1:8" x14ac:dyDescent="0.3">
      <c r="A27" t="s">
        <v>213</v>
      </c>
      <c r="B27" t="s">
        <v>769</v>
      </c>
      <c r="C27">
        <v>214</v>
      </c>
      <c r="D27">
        <v>308</v>
      </c>
      <c r="E27">
        <v>1</v>
      </c>
      <c r="F27">
        <v>25</v>
      </c>
      <c r="G27">
        <v>40</v>
      </c>
      <c r="H27">
        <v>19</v>
      </c>
    </row>
    <row r="28" spans="1:8" x14ac:dyDescent="0.3">
      <c r="A28" t="s">
        <v>213</v>
      </c>
      <c r="B28" t="s">
        <v>771</v>
      </c>
      <c r="C28">
        <v>595</v>
      </c>
      <c r="D28">
        <v>383</v>
      </c>
      <c r="E28">
        <v>2</v>
      </c>
      <c r="F28">
        <v>24</v>
      </c>
      <c r="G28">
        <v>71</v>
      </c>
      <c r="H28">
        <v>29</v>
      </c>
    </row>
    <row r="29" spans="1:8" x14ac:dyDescent="0.3">
      <c r="A29" t="s">
        <v>213</v>
      </c>
      <c r="B29" t="s">
        <v>773</v>
      </c>
      <c r="C29">
        <v>828</v>
      </c>
      <c r="D29">
        <v>466</v>
      </c>
      <c r="E29">
        <v>2</v>
      </c>
      <c r="F29">
        <v>27</v>
      </c>
      <c r="G29">
        <v>134</v>
      </c>
      <c r="H29">
        <v>57</v>
      </c>
    </row>
    <row r="30" spans="1:8" x14ac:dyDescent="0.3">
      <c r="A30" t="s">
        <v>312</v>
      </c>
      <c r="B30" t="s">
        <v>774</v>
      </c>
      <c r="C30">
        <v>740</v>
      </c>
      <c r="D30">
        <v>495</v>
      </c>
      <c r="E30">
        <v>10</v>
      </c>
      <c r="F30">
        <v>27</v>
      </c>
      <c r="G30">
        <v>151</v>
      </c>
      <c r="H30">
        <v>72</v>
      </c>
    </row>
    <row r="31" spans="1:8" x14ac:dyDescent="0.3">
      <c r="A31" t="s">
        <v>318</v>
      </c>
      <c r="B31" t="s">
        <v>777</v>
      </c>
      <c r="C31">
        <v>1</v>
      </c>
      <c r="D31">
        <v>28</v>
      </c>
      <c r="F31">
        <v>1</v>
      </c>
      <c r="G31">
        <v>38</v>
      </c>
      <c r="H31">
        <v>11</v>
      </c>
    </row>
    <row r="32" spans="1:8" x14ac:dyDescent="0.3">
      <c r="A32" t="s">
        <v>320</v>
      </c>
      <c r="B32" t="s">
        <v>770</v>
      </c>
      <c r="C32">
        <v>404</v>
      </c>
      <c r="D32">
        <v>360</v>
      </c>
      <c r="E32">
        <v>4</v>
      </c>
      <c r="F32">
        <v>26</v>
      </c>
      <c r="G32">
        <v>75</v>
      </c>
      <c r="H32">
        <v>15</v>
      </c>
    </row>
    <row r="33" spans="1:8" x14ac:dyDescent="0.3">
      <c r="A33" t="s">
        <v>320</v>
      </c>
      <c r="B33" t="s">
        <v>772</v>
      </c>
      <c r="C33">
        <v>714</v>
      </c>
      <c r="D33">
        <v>382</v>
      </c>
      <c r="E33">
        <v>5</v>
      </c>
      <c r="F33">
        <v>23</v>
      </c>
      <c r="G33">
        <v>95</v>
      </c>
      <c r="H33">
        <v>29</v>
      </c>
    </row>
    <row r="34" spans="1:8" x14ac:dyDescent="0.3">
      <c r="A34" t="s">
        <v>320</v>
      </c>
      <c r="B34" t="s">
        <v>775</v>
      </c>
      <c r="C34">
        <v>187</v>
      </c>
      <c r="D34">
        <v>326</v>
      </c>
      <c r="E34">
        <v>15</v>
      </c>
      <c r="F34">
        <v>24</v>
      </c>
      <c r="G34">
        <v>164</v>
      </c>
      <c r="H34">
        <v>49</v>
      </c>
    </row>
    <row r="35" spans="1:8" x14ac:dyDescent="0.3">
      <c r="A35" t="s">
        <v>326</v>
      </c>
      <c r="B35" t="s">
        <v>769</v>
      </c>
      <c r="C35">
        <v>239</v>
      </c>
      <c r="D35">
        <v>264</v>
      </c>
      <c r="F35">
        <v>23</v>
      </c>
      <c r="G35">
        <v>45</v>
      </c>
      <c r="H35">
        <v>15</v>
      </c>
    </row>
    <row r="36" spans="1:8" x14ac:dyDescent="0.3">
      <c r="A36" t="s">
        <v>326</v>
      </c>
      <c r="B36" t="s">
        <v>773</v>
      </c>
      <c r="C36">
        <v>691</v>
      </c>
      <c r="D36">
        <v>314</v>
      </c>
      <c r="E36">
        <v>3</v>
      </c>
      <c r="F36">
        <v>14</v>
      </c>
      <c r="G36">
        <v>104</v>
      </c>
      <c r="H36">
        <v>27</v>
      </c>
    </row>
    <row r="37" spans="1:8" x14ac:dyDescent="0.3">
      <c r="A37" t="s">
        <v>326</v>
      </c>
      <c r="B37" t="s">
        <v>774</v>
      </c>
      <c r="C37">
        <v>579</v>
      </c>
      <c r="D37">
        <v>319</v>
      </c>
      <c r="E37">
        <v>8</v>
      </c>
      <c r="F37">
        <v>25</v>
      </c>
      <c r="G37">
        <v>145</v>
      </c>
      <c r="H37">
        <v>56</v>
      </c>
    </row>
    <row r="38" spans="1:8" x14ac:dyDescent="0.3">
      <c r="A38" t="s">
        <v>326</v>
      </c>
      <c r="B38" t="s">
        <v>777</v>
      </c>
      <c r="C38">
        <v>2</v>
      </c>
      <c r="D38">
        <v>29</v>
      </c>
      <c r="G38">
        <v>45</v>
      </c>
      <c r="H38">
        <v>11</v>
      </c>
    </row>
    <row r="39" spans="1:8" x14ac:dyDescent="0.3">
      <c r="A39" t="s">
        <v>326</v>
      </c>
      <c r="B39" t="s">
        <v>780</v>
      </c>
      <c r="D39">
        <v>9</v>
      </c>
      <c r="G39">
        <v>3</v>
      </c>
    </row>
    <row r="40" spans="1:8" x14ac:dyDescent="0.3">
      <c r="A40" t="s">
        <v>412</v>
      </c>
      <c r="B40" t="s">
        <v>773</v>
      </c>
      <c r="C40">
        <v>703</v>
      </c>
      <c r="D40">
        <v>327</v>
      </c>
      <c r="E40">
        <v>7</v>
      </c>
      <c r="F40">
        <v>21</v>
      </c>
      <c r="G40">
        <v>100</v>
      </c>
      <c r="H40">
        <v>24</v>
      </c>
    </row>
    <row r="41" spans="1:8" x14ac:dyDescent="0.3">
      <c r="A41" t="s">
        <v>365</v>
      </c>
      <c r="B41" t="s">
        <v>768</v>
      </c>
      <c r="C41">
        <v>47</v>
      </c>
      <c r="D41">
        <v>159</v>
      </c>
      <c r="F41">
        <v>9</v>
      </c>
      <c r="G41">
        <v>17</v>
      </c>
      <c r="H41">
        <v>20</v>
      </c>
    </row>
    <row r="42" spans="1:8" x14ac:dyDescent="0.3">
      <c r="A42" t="s">
        <v>365</v>
      </c>
      <c r="B42" t="s">
        <v>769</v>
      </c>
      <c r="C42">
        <v>179</v>
      </c>
      <c r="D42">
        <v>287</v>
      </c>
      <c r="F42">
        <v>17</v>
      </c>
      <c r="G42">
        <v>41</v>
      </c>
      <c r="H42">
        <v>23</v>
      </c>
    </row>
    <row r="43" spans="1:8" x14ac:dyDescent="0.3">
      <c r="A43" t="s">
        <v>365</v>
      </c>
      <c r="B43" t="s">
        <v>777</v>
      </c>
      <c r="D43">
        <v>2</v>
      </c>
      <c r="G43">
        <v>17</v>
      </c>
      <c r="H43">
        <v>1</v>
      </c>
    </row>
    <row r="44" spans="1:8" x14ac:dyDescent="0.3">
      <c r="A44" t="s">
        <v>366</v>
      </c>
      <c r="B44" t="s">
        <v>777</v>
      </c>
      <c r="D44">
        <v>5</v>
      </c>
      <c r="G44">
        <v>12</v>
      </c>
      <c r="H44">
        <v>2</v>
      </c>
    </row>
    <row r="45" spans="1:8" x14ac:dyDescent="0.3">
      <c r="A45" t="s">
        <v>341</v>
      </c>
      <c r="B45" t="s">
        <v>777</v>
      </c>
      <c r="D45">
        <v>3</v>
      </c>
      <c r="G45">
        <v>16</v>
      </c>
      <c r="H45">
        <v>1</v>
      </c>
    </row>
    <row r="46" spans="1:8" x14ac:dyDescent="0.3">
      <c r="A46" t="s">
        <v>342</v>
      </c>
      <c r="B46" t="s">
        <v>771</v>
      </c>
      <c r="C46">
        <v>605</v>
      </c>
      <c r="D46">
        <v>375</v>
      </c>
      <c r="F46">
        <v>22</v>
      </c>
      <c r="G46">
        <v>70</v>
      </c>
      <c r="H46">
        <v>35</v>
      </c>
    </row>
    <row r="47" spans="1:8" x14ac:dyDescent="0.3">
      <c r="A47" t="s">
        <v>342</v>
      </c>
      <c r="B47" t="s">
        <v>773</v>
      </c>
      <c r="C47">
        <v>880</v>
      </c>
      <c r="D47">
        <v>494</v>
      </c>
      <c r="F47">
        <v>27</v>
      </c>
      <c r="G47">
        <v>139</v>
      </c>
      <c r="H47">
        <v>62</v>
      </c>
    </row>
    <row r="48" spans="1:8" x14ac:dyDescent="0.3">
      <c r="A48" t="s">
        <v>213</v>
      </c>
      <c r="B48" t="s">
        <v>774</v>
      </c>
      <c r="C48">
        <v>749</v>
      </c>
      <c r="D48">
        <v>508</v>
      </c>
      <c r="E48">
        <v>6</v>
      </c>
      <c r="F48">
        <v>28</v>
      </c>
      <c r="G48">
        <v>132</v>
      </c>
      <c r="H48">
        <v>73</v>
      </c>
    </row>
    <row r="49" spans="1:8" x14ac:dyDescent="0.3">
      <c r="A49" t="s">
        <v>213</v>
      </c>
      <c r="B49" t="s">
        <v>775</v>
      </c>
      <c r="C49">
        <v>168</v>
      </c>
      <c r="D49">
        <v>264</v>
      </c>
      <c r="E49">
        <v>4</v>
      </c>
      <c r="F49">
        <v>30</v>
      </c>
      <c r="G49">
        <v>126</v>
      </c>
      <c r="H49">
        <v>39</v>
      </c>
    </row>
    <row r="50" spans="1:8" x14ac:dyDescent="0.3">
      <c r="A50" t="s">
        <v>213</v>
      </c>
      <c r="B50" t="s">
        <v>776</v>
      </c>
      <c r="C50">
        <v>9</v>
      </c>
      <c r="D50">
        <v>95</v>
      </c>
      <c r="F50">
        <v>5</v>
      </c>
      <c r="G50">
        <v>89</v>
      </c>
      <c r="H50">
        <v>20</v>
      </c>
    </row>
    <row r="51" spans="1:8" x14ac:dyDescent="0.3">
      <c r="A51" t="s">
        <v>312</v>
      </c>
      <c r="B51" t="s">
        <v>773</v>
      </c>
      <c r="C51">
        <v>775</v>
      </c>
      <c r="D51">
        <v>421</v>
      </c>
      <c r="E51">
        <v>3</v>
      </c>
      <c r="F51">
        <v>22</v>
      </c>
      <c r="G51">
        <v>114</v>
      </c>
      <c r="H51">
        <v>53</v>
      </c>
    </row>
    <row r="52" spans="1:8" x14ac:dyDescent="0.3">
      <c r="A52" t="s">
        <v>318</v>
      </c>
      <c r="B52" t="s">
        <v>771</v>
      </c>
      <c r="C52">
        <v>529</v>
      </c>
      <c r="D52">
        <v>402</v>
      </c>
      <c r="E52">
        <v>8</v>
      </c>
      <c r="F52">
        <v>19</v>
      </c>
      <c r="G52">
        <v>80</v>
      </c>
      <c r="H52">
        <v>36</v>
      </c>
    </row>
    <row r="53" spans="1:8" x14ac:dyDescent="0.3">
      <c r="A53" t="s">
        <v>320</v>
      </c>
      <c r="B53" t="s">
        <v>778</v>
      </c>
      <c r="C53">
        <v>1</v>
      </c>
      <c r="D53">
        <v>4</v>
      </c>
      <c r="G53">
        <v>3</v>
      </c>
      <c r="H53">
        <v>1</v>
      </c>
    </row>
    <row r="54" spans="1:8" x14ac:dyDescent="0.3">
      <c r="A54" t="s">
        <v>325</v>
      </c>
      <c r="B54" t="s">
        <v>770</v>
      </c>
      <c r="C54">
        <v>498</v>
      </c>
      <c r="D54">
        <v>383</v>
      </c>
      <c r="E54">
        <v>6</v>
      </c>
      <c r="F54">
        <v>26</v>
      </c>
      <c r="G54">
        <v>69</v>
      </c>
      <c r="H54">
        <v>17</v>
      </c>
    </row>
    <row r="55" spans="1:8" x14ac:dyDescent="0.3">
      <c r="A55" t="s">
        <v>325</v>
      </c>
      <c r="B55" t="s">
        <v>772</v>
      </c>
      <c r="C55">
        <v>675</v>
      </c>
      <c r="D55">
        <v>390</v>
      </c>
      <c r="E55">
        <v>8</v>
      </c>
      <c r="F55">
        <v>24</v>
      </c>
      <c r="G55">
        <v>90</v>
      </c>
      <c r="H55">
        <v>32</v>
      </c>
    </row>
    <row r="56" spans="1:8" x14ac:dyDescent="0.3">
      <c r="A56" t="s">
        <v>326</v>
      </c>
      <c r="B56" t="s">
        <v>770</v>
      </c>
      <c r="C56">
        <v>493</v>
      </c>
      <c r="D56">
        <v>391</v>
      </c>
      <c r="E56">
        <v>3</v>
      </c>
      <c r="F56">
        <v>25</v>
      </c>
      <c r="G56">
        <v>73</v>
      </c>
      <c r="H56">
        <v>16</v>
      </c>
    </row>
    <row r="57" spans="1:8" x14ac:dyDescent="0.3">
      <c r="A57" t="s">
        <v>326</v>
      </c>
      <c r="B57" t="s">
        <v>776</v>
      </c>
      <c r="C57">
        <v>24</v>
      </c>
      <c r="D57">
        <v>127</v>
      </c>
      <c r="E57">
        <v>8</v>
      </c>
      <c r="F57">
        <v>7</v>
      </c>
      <c r="G57">
        <v>108</v>
      </c>
      <c r="H57">
        <v>23</v>
      </c>
    </row>
    <row r="58" spans="1:8" x14ac:dyDescent="0.3">
      <c r="A58" t="s">
        <v>326</v>
      </c>
      <c r="B58" t="s">
        <v>778</v>
      </c>
      <c r="D58">
        <v>6</v>
      </c>
      <c r="G58">
        <v>6</v>
      </c>
      <c r="H58">
        <v>4</v>
      </c>
    </row>
    <row r="59" spans="1:8" x14ac:dyDescent="0.3">
      <c r="A59" t="s">
        <v>328</v>
      </c>
      <c r="B59" t="s">
        <v>773</v>
      </c>
      <c r="C59">
        <v>705</v>
      </c>
      <c r="D59">
        <v>305</v>
      </c>
      <c r="E59">
        <v>4</v>
      </c>
      <c r="F59">
        <v>17</v>
      </c>
      <c r="G59">
        <v>100</v>
      </c>
      <c r="H59">
        <v>23</v>
      </c>
    </row>
    <row r="60" spans="1:8" x14ac:dyDescent="0.3">
      <c r="A60" t="s">
        <v>328</v>
      </c>
      <c r="B60" t="s">
        <v>779</v>
      </c>
      <c r="G60">
        <v>1</v>
      </c>
    </row>
    <row r="61" spans="1:8" x14ac:dyDescent="0.3">
      <c r="A61" t="s">
        <v>328</v>
      </c>
      <c r="B61" t="s">
        <v>780</v>
      </c>
      <c r="D61">
        <v>5</v>
      </c>
      <c r="F61">
        <v>1</v>
      </c>
      <c r="G61">
        <v>5</v>
      </c>
    </row>
    <row r="62" spans="1:8" x14ac:dyDescent="0.3">
      <c r="A62" t="s">
        <v>365</v>
      </c>
      <c r="B62" t="s">
        <v>776</v>
      </c>
      <c r="C62">
        <v>1</v>
      </c>
      <c r="D62">
        <v>71</v>
      </c>
      <c r="F62">
        <v>4</v>
      </c>
      <c r="G62">
        <v>93</v>
      </c>
      <c r="H62">
        <v>9</v>
      </c>
    </row>
    <row r="63" spans="1:8" x14ac:dyDescent="0.3">
      <c r="A63" t="s">
        <v>366</v>
      </c>
      <c r="B63" t="s">
        <v>774</v>
      </c>
      <c r="C63">
        <v>618</v>
      </c>
      <c r="D63">
        <v>432</v>
      </c>
      <c r="F63">
        <v>42</v>
      </c>
      <c r="G63">
        <v>139</v>
      </c>
      <c r="H63">
        <v>56</v>
      </c>
    </row>
    <row r="64" spans="1:8" x14ac:dyDescent="0.3">
      <c r="A64" t="s">
        <v>341</v>
      </c>
      <c r="B64" t="s">
        <v>774</v>
      </c>
      <c r="C64">
        <v>658</v>
      </c>
      <c r="D64">
        <v>460</v>
      </c>
      <c r="F64">
        <v>36</v>
      </c>
      <c r="G64">
        <v>135</v>
      </c>
      <c r="H64">
        <v>65</v>
      </c>
    </row>
    <row r="65" spans="1:8" x14ac:dyDescent="0.3">
      <c r="A65" t="s">
        <v>341</v>
      </c>
      <c r="B65" t="s">
        <v>780</v>
      </c>
      <c r="D65">
        <v>16</v>
      </c>
      <c r="G65">
        <v>1</v>
      </c>
      <c r="H65">
        <v>1</v>
      </c>
    </row>
    <row r="66" spans="1:8" x14ac:dyDescent="0.3">
      <c r="A66" t="s">
        <v>213</v>
      </c>
      <c r="B66" t="s">
        <v>768</v>
      </c>
      <c r="C66">
        <v>47</v>
      </c>
      <c r="D66">
        <v>140</v>
      </c>
      <c r="F66">
        <v>12</v>
      </c>
      <c r="G66">
        <v>18</v>
      </c>
      <c r="H66">
        <v>13</v>
      </c>
    </row>
    <row r="67" spans="1:8" x14ac:dyDescent="0.3">
      <c r="A67" t="s">
        <v>213</v>
      </c>
      <c r="B67" t="s">
        <v>772</v>
      </c>
      <c r="C67">
        <v>687</v>
      </c>
      <c r="D67">
        <v>374</v>
      </c>
      <c r="E67">
        <v>2</v>
      </c>
      <c r="F67">
        <v>20</v>
      </c>
      <c r="G67">
        <v>91</v>
      </c>
      <c r="H67">
        <v>33</v>
      </c>
    </row>
    <row r="68" spans="1:8" x14ac:dyDescent="0.3">
      <c r="A68" t="s">
        <v>312</v>
      </c>
      <c r="B68" t="s">
        <v>770</v>
      </c>
      <c r="C68">
        <v>360</v>
      </c>
      <c r="D68">
        <v>366</v>
      </c>
      <c r="E68">
        <v>4</v>
      </c>
      <c r="F68">
        <v>38</v>
      </c>
      <c r="G68">
        <v>61</v>
      </c>
      <c r="H68">
        <v>26</v>
      </c>
    </row>
    <row r="69" spans="1:8" x14ac:dyDescent="0.3">
      <c r="A69" t="s">
        <v>320</v>
      </c>
      <c r="B69" t="s">
        <v>768</v>
      </c>
      <c r="C69">
        <v>35</v>
      </c>
      <c r="D69">
        <v>123</v>
      </c>
      <c r="F69">
        <v>4</v>
      </c>
      <c r="G69">
        <v>27</v>
      </c>
      <c r="H69">
        <v>5</v>
      </c>
    </row>
    <row r="70" spans="1:8" x14ac:dyDescent="0.3">
      <c r="A70" t="s">
        <v>320</v>
      </c>
      <c r="B70" t="s">
        <v>774</v>
      </c>
      <c r="C70">
        <v>720</v>
      </c>
      <c r="D70">
        <v>405</v>
      </c>
      <c r="E70">
        <v>14</v>
      </c>
      <c r="F70">
        <v>28</v>
      </c>
      <c r="G70">
        <v>158</v>
      </c>
      <c r="H70">
        <v>67</v>
      </c>
    </row>
    <row r="71" spans="1:8" x14ac:dyDescent="0.3">
      <c r="A71" t="s">
        <v>320</v>
      </c>
      <c r="B71" t="s">
        <v>777</v>
      </c>
      <c r="D71">
        <v>23</v>
      </c>
      <c r="F71">
        <v>1</v>
      </c>
      <c r="G71">
        <v>33</v>
      </c>
      <c r="H71">
        <v>9</v>
      </c>
    </row>
    <row r="72" spans="1:8" x14ac:dyDescent="0.3">
      <c r="A72" t="s">
        <v>325</v>
      </c>
      <c r="B72" t="s">
        <v>769</v>
      </c>
      <c r="C72">
        <v>260</v>
      </c>
      <c r="D72">
        <v>268</v>
      </c>
      <c r="E72">
        <v>1</v>
      </c>
      <c r="F72">
        <v>24</v>
      </c>
      <c r="G72">
        <v>50</v>
      </c>
      <c r="H72">
        <v>11</v>
      </c>
    </row>
    <row r="73" spans="1:8" x14ac:dyDescent="0.3">
      <c r="A73" t="s">
        <v>325</v>
      </c>
      <c r="B73" t="s">
        <v>771</v>
      </c>
      <c r="C73">
        <v>540</v>
      </c>
      <c r="D73">
        <v>417</v>
      </c>
      <c r="E73">
        <v>4</v>
      </c>
      <c r="F73">
        <v>31</v>
      </c>
      <c r="G73">
        <v>96</v>
      </c>
      <c r="H73">
        <v>29</v>
      </c>
    </row>
    <row r="74" spans="1:8" x14ac:dyDescent="0.3">
      <c r="A74" t="s">
        <v>326</v>
      </c>
      <c r="B74" t="s">
        <v>772</v>
      </c>
      <c r="C74">
        <v>649</v>
      </c>
      <c r="D74">
        <v>373</v>
      </c>
      <c r="E74">
        <v>10</v>
      </c>
      <c r="F74">
        <v>22</v>
      </c>
      <c r="G74">
        <v>88</v>
      </c>
      <c r="H74">
        <v>29</v>
      </c>
    </row>
    <row r="75" spans="1:8" x14ac:dyDescent="0.3">
      <c r="A75" t="s">
        <v>326</v>
      </c>
      <c r="B75" t="s">
        <v>775</v>
      </c>
      <c r="C75">
        <v>182</v>
      </c>
      <c r="D75">
        <v>316</v>
      </c>
      <c r="E75">
        <v>18</v>
      </c>
      <c r="F75">
        <v>18</v>
      </c>
      <c r="G75">
        <v>164</v>
      </c>
      <c r="H75">
        <v>56</v>
      </c>
    </row>
    <row r="76" spans="1:8" x14ac:dyDescent="0.3">
      <c r="A76" t="s">
        <v>328</v>
      </c>
      <c r="B76" t="s">
        <v>770</v>
      </c>
      <c r="C76">
        <v>501</v>
      </c>
      <c r="D76">
        <v>382</v>
      </c>
      <c r="E76">
        <v>3</v>
      </c>
      <c r="F76">
        <v>24</v>
      </c>
      <c r="G76">
        <v>78</v>
      </c>
      <c r="H76">
        <v>14</v>
      </c>
    </row>
    <row r="77" spans="1:8" x14ac:dyDescent="0.3">
      <c r="A77" t="s">
        <v>412</v>
      </c>
      <c r="B77" t="s">
        <v>770</v>
      </c>
      <c r="C77">
        <v>478</v>
      </c>
      <c r="D77">
        <v>361</v>
      </c>
      <c r="E77">
        <v>2</v>
      </c>
      <c r="F77">
        <v>32</v>
      </c>
      <c r="G77">
        <v>68</v>
      </c>
      <c r="H77">
        <v>13</v>
      </c>
    </row>
    <row r="78" spans="1:8" x14ac:dyDescent="0.3">
      <c r="A78" t="s">
        <v>412</v>
      </c>
      <c r="B78" t="s">
        <v>772</v>
      </c>
      <c r="C78">
        <v>586</v>
      </c>
      <c r="D78">
        <v>410</v>
      </c>
      <c r="E78">
        <v>11</v>
      </c>
      <c r="F78">
        <v>17</v>
      </c>
      <c r="G78">
        <v>106</v>
      </c>
      <c r="H78">
        <v>35</v>
      </c>
    </row>
    <row r="79" spans="1:8" x14ac:dyDescent="0.3">
      <c r="A79" t="s">
        <v>412</v>
      </c>
      <c r="B79" t="s">
        <v>775</v>
      </c>
      <c r="C79">
        <v>217</v>
      </c>
      <c r="D79">
        <v>288</v>
      </c>
      <c r="E79">
        <v>20</v>
      </c>
      <c r="F79">
        <v>17</v>
      </c>
      <c r="G79">
        <v>181</v>
      </c>
      <c r="H79">
        <v>56</v>
      </c>
    </row>
    <row r="80" spans="1:8" x14ac:dyDescent="0.3">
      <c r="A80" t="s">
        <v>412</v>
      </c>
      <c r="B80" t="s">
        <v>777</v>
      </c>
      <c r="C80">
        <v>5</v>
      </c>
      <c r="D80">
        <v>35</v>
      </c>
      <c r="E80">
        <v>1</v>
      </c>
      <c r="G80">
        <v>35</v>
      </c>
      <c r="H80">
        <v>13</v>
      </c>
    </row>
    <row r="81" spans="1:8" x14ac:dyDescent="0.3">
      <c r="A81" t="s">
        <v>365</v>
      </c>
      <c r="B81" t="s">
        <v>771</v>
      </c>
      <c r="C81">
        <v>668</v>
      </c>
      <c r="D81">
        <v>350</v>
      </c>
      <c r="F81">
        <v>27</v>
      </c>
      <c r="G81">
        <v>94</v>
      </c>
      <c r="H81">
        <v>30</v>
      </c>
    </row>
    <row r="82" spans="1:8" x14ac:dyDescent="0.3">
      <c r="A82" t="s">
        <v>365</v>
      </c>
      <c r="B82" t="s">
        <v>775</v>
      </c>
      <c r="C82">
        <v>50</v>
      </c>
      <c r="D82">
        <v>202</v>
      </c>
      <c r="F82">
        <v>31</v>
      </c>
      <c r="G82">
        <v>132</v>
      </c>
      <c r="H82">
        <v>33</v>
      </c>
    </row>
    <row r="83" spans="1:8" x14ac:dyDescent="0.3">
      <c r="A83" t="s">
        <v>365</v>
      </c>
      <c r="B83" t="s">
        <v>780</v>
      </c>
      <c r="D83">
        <v>7</v>
      </c>
      <c r="H83">
        <v>21</v>
      </c>
    </row>
    <row r="84" spans="1:8" x14ac:dyDescent="0.3">
      <c r="A84" t="s">
        <v>366</v>
      </c>
      <c r="B84" t="s">
        <v>770</v>
      </c>
      <c r="C84">
        <v>438</v>
      </c>
      <c r="D84">
        <v>335</v>
      </c>
      <c r="F84">
        <v>15</v>
      </c>
      <c r="G84">
        <v>64</v>
      </c>
      <c r="H84">
        <v>27</v>
      </c>
    </row>
    <row r="85" spans="1:8" x14ac:dyDescent="0.3">
      <c r="A85" t="s">
        <v>366</v>
      </c>
      <c r="B85" t="s">
        <v>773</v>
      </c>
      <c r="C85">
        <v>978</v>
      </c>
      <c r="D85">
        <v>576</v>
      </c>
      <c r="F85">
        <v>39</v>
      </c>
      <c r="G85">
        <v>144</v>
      </c>
      <c r="H85">
        <v>76</v>
      </c>
    </row>
    <row r="86" spans="1:8" x14ac:dyDescent="0.3">
      <c r="A86" t="s">
        <v>366</v>
      </c>
      <c r="B86" t="s">
        <v>778</v>
      </c>
      <c r="G86">
        <v>6</v>
      </c>
    </row>
    <row r="87" spans="1:8" x14ac:dyDescent="0.3">
      <c r="A87" t="s">
        <v>341</v>
      </c>
      <c r="B87" t="s">
        <v>768</v>
      </c>
      <c r="C87">
        <v>51</v>
      </c>
      <c r="D87">
        <v>174</v>
      </c>
      <c r="F87">
        <v>1</v>
      </c>
      <c r="G87">
        <v>17</v>
      </c>
      <c r="H87">
        <v>10</v>
      </c>
    </row>
    <row r="88" spans="1:8" x14ac:dyDescent="0.3">
      <c r="A88" t="s">
        <v>341</v>
      </c>
      <c r="B88" t="s">
        <v>772</v>
      </c>
      <c r="C88">
        <v>689</v>
      </c>
      <c r="D88">
        <v>392</v>
      </c>
      <c r="F88">
        <v>20</v>
      </c>
      <c r="G88">
        <v>111</v>
      </c>
      <c r="H88">
        <v>35</v>
      </c>
    </row>
    <row r="89" spans="1:8" x14ac:dyDescent="0.3">
      <c r="A89" t="s">
        <v>342</v>
      </c>
      <c r="B89" t="s">
        <v>768</v>
      </c>
      <c r="C89">
        <v>24</v>
      </c>
      <c r="D89">
        <v>135</v>
      </c>
      <c r="F89">
        <v>5</v>
      </c>
      <c r="G89">
        <v>14</v>
      </c>
      <c r="H89">
        <v>10</v>
      </c>
    </row>
    <row r="90" spans="1:8" x14ac:dyDescent="0.3">
      <c r="A90" t="s">
        <v>342</v>
      </c>
      <c r="B90" t="s">
        <v>772</v>
      </c>
      <c r="C90">
        <v>661</v>
      </c>
      <c r="D90">
        <v>359</v>
      </c>
      <c r="F90">
        <v>21</v>
      </c>
      <c r="G90">
        <v>103</v>
      </c>
      <c r="H90">
        <v>36</v>
      </c>
    </row>
    <row r="91" spans="1:8" x14ac:dyDescent="0.3">
      <c r="A91" t="s">
        <v>342</v>
      </c>
      <c r="B91" t="s">
        <v>777</v>
      </c>
      <c r="C91">
        <v>1</v>
      </c>
      <c r="D91">
        <v>12</v>
      </c>
      <c r="G91">
        <v>32</v>
      </c>
      <c r="H91">
        <v>5</v>
      </c>
    </row>
    <row r="92" spans="1:8" x14ac:dyDescent="0.3">
      <c r="A92" t="s">
        <v>342</v>
      </c>
      <c r="B92" t="s">
        <v>778</v>
      </c>
      <c r="D92">
        <v>1</v>
      </c>
      <c r="G92">
        <v>8</v>
      </c>
    </row>
    <row r="93" spans="1:8" x14ac:dyDescent="0.3">
      <c r="A93" t="s">
        <v>312</v>
      </c>
      <c r="B93" t="s">
        <v>777</v>
      </c>
      <c r="C93">
        <v>1</v>
      </c>
      <c r="D93">
        <v>26</v>
      </c>
      <c r="F93">
        <v>1</v>
      </c>
      <c r="G93">
        <v>36</v>
      </c>
      <c r="H93">
        <v>8</v>
      </c>
    </row>
    <row r="94" spans="1:8" x14ac:dyDescent="0.3">
      <c r="A94" t="s">
        <v>318</v>
      </c>
      <c r="B94" t="s">
        <v>768</v>
      </c>
      <c r="C94">
        <v>37</v>
      </c>
      <c r="D94">
        <v>134</v>
      </c>
      <c r="F94">
        <v>6</v>
      </c>
      <c r="G94">
        <v>20</v>
      </c>
      <c r="H94">
        <v>13</v>
      </c>
    </row>
    <row r="95" spans="1:8" x14ac:dyDescent="0.3">
      <c r="A95" t="s">
        <v>318</v>
      </c>
      <c r="B95" t="s">
        <v>778</v>
      </c>
      <c r="D95">
        <v>1</v>
      </c>
      <c r="G95">
        <v>2</v>
      </c>
      <c r="H95">
        <v>1</v>
      </c>
    </row>
    <row r="96" spans="1:8" x14ac:dyDescent="0.3">
      <c r="A96" t="s">
        <v>320</v>
      </c>
      <c r="B96" t="s">
        <v>771</v>
      </c>
      <c r="C96">
        <v>517</v>
      </c>
      <c r="D96">
        <v>408</v>
      </c>
      <c r="E96">
        <v>7</v>
      </c>
      <c r="F96">
        <v>32</v>
      </c>
      <c r="G96">
        <v>85</v>
      </c>
      <c r="H96">
        <v>32</v>
      </c>
    </row>
    <row r="97" spans="1:8" x14ac:dyDescent="0.3">
      <c r="A97" t="s">
        <v>325</v>
      </c>
      <c r="B97" t="s">
        <v>778</v>
      </c>
      <c r="C97">
        <v>1</v>
      </c>
      <c r="D97">
        <v>5</v>
      </c>
      <c r="G97">
        <v>4</v>
      </c>
      <c r="H97">
        <v>4</v>
      </c>
    </row>
    <row r="98" spans="1:8" x14ac:dyDescent="0.3">
      <c r="A98" t="s">
        <v>326</v>
      </c>
      <c r="B98" t="s">
        <v>771</v>
      </c>
      <c r="C98">
        <v>520</v>
      </c>
      <c r="D98">
        <v>425</v>
      </c>
      <c r="E98">
        <v>5</v>
      </c>
      <c r="F98">
        <v>32</v>
      </c>
      <c r="G98">
        <v>92</v>
      </c>
      <c r="H98">
        <v>27</v>
      </c>
    </row>
    <row r="99" spans="1:8" x14ac:dyDescent="0.3">
      <c r="A99" t="s">
        <v>328</v>
      </c>
      <c r="B99" t="s">
        <v>771</v>
      </c>
      <c r="C99">
        <v>532</v>
      </c>
      <c r="D99">
        <v>421</v>
      </c>
      <c r="E99">
        <v>3</v>
      </c>
      <c r="F99">
        <v>37</v>
      </c>
      <c r="G99">
        <v>95</v>
      </c>
      <c r="H99">
        <v>30</v>
      </c>
    </row>
    <row r="100" spans="1:8" x14ac:dyDescent="0.3">
      <c r="A100" t="s">
        <v>328</v>
      </c>
      <c r="B100" t="s">
        <v>777</v>
      </c>
      <c r="C100">
        <v>4</v>
      </c>
      <c r="D100">
        <v>31</v>
      </c>
      <c r="G100">
        <v>45</v>
      </c>
      <c r="H100">
        <v>14</v>
      </c>
    </row>
    <row r="101" spans="1:8" x14ac:dyDescent="0.3">
      <c r="A101" t="s">
        <v>412</v>
      </c>
      <c r="B101" t="s">
        <v>771</v>
      </c>
      <c r="C101">
        <v>566</v>
      </c>
      <c r="D101">
        <v>440</v>
      </c>
      <c r="E101">
        <v>6</v>
      </c>
      <c r="F101">
        <v>35</v>
      </c>
      <c r="G101">
        <v>98</v>
      </c>
      <c r="H101">
        <v>20</v>
      </c>
    </row>
    <row r="102" spans="1:8" x14ac:dyDescent="0.3">
      <c r="A102" t="s">
        <v>412</v>
      </c>
      <c r="B102" t="s">
        <v>779</v>
      </c>
      <c r="H102">
        <v>1</v>
      </c>
    </row>
    <row r="103" spans="1:8" x14ac:dyDescent="0.3">
      <c r="A103" t="s">
        <v>412</v>
      </c>
      <c r="B103" t="s">
        <v>780</v>
      </c>
      <c r="D103">
        <v>9</v>
      </c>
      <c r="G103">
        <v>5</v>
      </c>
    </row>
    <row r="104" spans="1:8" x14ac:dyDescent="0.3">
      <c r="A104" t="s">
        <v>364</v>
      </c>
      <c r="B104" t="s">
        <v>783</v>
      </c>
      <c r="C104">
        <v>302</v>
      </c>
      <c r="D104">
        <v>438</v>
      </c>
      <c r="F104">
        <v>12</v>
      </c>
      <c r="G104">
        <v>69</v>
      </c>
      <c r="H104">
        <v>32</v>
      </c>
    </row>
    <row r="105" spans="1:8" x14ac:dyDescent="0.3">
      <c r="A105" t="s">
        <v>364</v>
      </c>
      <c r="B105" t="s">
        <v>773</v>
      </c>
      <c r="C105">
        <v>1024</v>
      </c>
      <c r="D105">
        <v>635</v>
      </c>
      <c r="F105">
        <v>42</v>
      </c>
      <c r="G105">
        <v>153</v>
      </c>
      <c r="H105">
        <v>89</v>
      </c>
    </row>
    <row r="106" spans="1:8" x14ac:dyDescent="0.3">
      <c r="A106" t="s">
        <v>364</v>
      </c>
      <c r="B106" t="s">
        <v>784</v>
      </c>
      <c r="C106">
        <v>47</v>
      </c>
      <c r="D106">
        <v>253</v>
      </c>
      <c r="F106">
        <v>37</v>
      </c>
      <c r="G106">
        <v>248</v>
      </c>
      <c r="H106">
        <v>38</v>
      </c>
    </row>
    <row r="107" spans="1:8" x14ac:dyDescent="0.3">
      <c r="A107" t="s">
        <v>365</v>
      </c>
      <c r="B107" t="s">
        <v>778</v>
      </c>
      <c r="G107">
        <v>6</v>
      </c>
    </row>
    <row r="108" spans="1:8" x14ac:dyDescent="0.3">
      <c r="A108" t="s">
        <v>366</v>
      </c>
      <c r="B108" t="s">
        <v>776</v>
      </c>
      <c r="C108">
        <v>2</v>
      </c>
      <c r="D108">
        <v>62</v>
      </c>
      <c r="F108">
        <v>2</v>
      </c>
      <c r="G108">
        <v>99</v>
      </c>
      <c r="H108">
        <v>14</v>
      </c>
    </row>
    <row r="109" spans="1:8" x14ac:dyDescent="0.3">
      <c r="A109" t="s">
        <v>366</v>
      </c>
      <c r="B109" t="s">
        <v>785</v>
      </c>
      <c r="H109">
        <v>12</v>
      </c>
    </row>
    <row r="110" spans="1:8" x14ac:dyDescent="0.3">
      <c r="A110" t="s">
        <v>341</v>
      </c>
      <c r="B110" t="s">
        <v>773</v>
      </c>
      <c r="C110">
        <v>968</v>
      </c>
      <c r="D110">
        <v>555</v>
      </c>
      <c r="F110">
        <v>29</v>
      </c>
      <c r="G110">
        <v>144</v>
      </c>
      <c r="H110">
        <v>70</v>
      </c>
    </row>
    <row r="111" spans="1:8" x14ac:dyDescent="0.3">
      <c r="A111" t="s">
        <v>341</v>
      </c>
      <c r="B111" t="s">
        <v>778</v>
      </c>
      <c r="G111">
        <v>5</v>
      </c>
      <c r="H111">
        <v>1</v>
      </c>
    </row>
    <row r="112" spans="1:8" x14ac:dyDescent="0.3">
      <c r="A112" t="s">
        <v>342</v>
      </c>
      <c r="B112" t="s">
        <v>770</v>
      </c>
      <c r="C112">
        <v>320</v>
      </c>
      <c r="D112">
        <v>366</v>
      </c>
      <c r="F112">
        <v>26</v>
      </c>
      <c r="G112">
        <v>71</v>
      </c>
      <c r="H112">
        <v>32</v>
      </c>
    </row>
    <row r="113" spans="1:8" x14ac:dyDescent="0.3">
      <c r="A113" t="s">
        <v>213</v>
      </c>
      <c r="B113" t="s">
        <v>777</v>
      </c>
      <c r="C113">
        <v>1</v>
      </c>
      <c r="D113">
        <v>20</v>
      </c>
      <c r="G113">
        <v>26</v>
      </c>
      <c r="H113">
        <v>6</v>
      </c>
    </row>
    <row r="114" spans="1:8" x14ac:dyDescent="0.3">
      <c r="A114" t="s">
        <v>213</v>
      </c>
      <c r="B114" t="s">
        <v>778</v>
      </c>
      <c r="G114">
        <v>2</v>
      </c>
    </row>
    <row r="115" spans="1:8" x14ac:dyDescent="0.3">
      <c r="A115" t="s">
        <v>213</v>
      </c>
      <c r="B115" t="s">
        <v>780</v>
      </c>
      <c r="D115">
        <v>4</v>
      </c>
      <c r="G115">
        <v>2</v>
      </c>
    </row>
    <row r="116" spans="1:8" x14ac:dyDescent="0.3">
      <c r="A116" t="s">
        <v>312</v>
      </c>
      <c r="B116" t="s">
        <v>775</v>
      </c>
      <c r="C116">
        <v>188</v>
      </c>
      <c r="D116">
        <v>298</v>
      </c>
      <c r="E116">
        <v>7</v>
      </c>
      <c r="F116">
        <v>27</v>
      </c>
      <c r="G116">
        <v>128</v>
      </c>
      <c r="H116">
        <v>40</v>
      </c>
    </row>
    <row r="117" spans="1:8" x14ac:dyDescent="0.3">
      <c r="A117" t="s">
        <v>312</v>
      </c>
      <c r="B117" t="s">
        <v>776</v>
      </c>
      <c r="C117">
        <v>12</v>
      </c>
      <c r="D117">
        <v>96</v>
      </c>
      <c r="F117">
        <v>6</v>
      </c>
      <c r="G117">
        <v>92</v>
      </c>
      <c r="H117">
        <v>23</v>
      </c>
    </row>
    <row r="118" spans="1:8" x14ac:dyDescent="0.3">
      <c r="A118" t="s">
        <v>312</v>
      </c>
      <c r="B118" t="s">
        <v>780</v>
      </c>
      <c r="D118">
        <v>8</v>
      </c>
      <c r="G118">
        <v>5</v>
      </c>
    </row>
    <row r="119" spans="1:8" x14ac:dyDescent="0.3">
      <c r="A119" t="s">
        <v>318</v>
      </c>
      <c r="B119" t="s">
        <v>769</v>
      </c>
      <c r="C119">
        <v>243</v>
      </c>
      <c r="D119">
        <v>308</v>
      </c>
      <c r="E119">
        <v>3</v>
      </c>
      <c r="F119">
        <v>20</v>
      </c>
      <c r="G119">
        <v>47</v>
      </c>
      <c r="H119">
        <v>16</v>
      </c>
    </row>
    <row r="120" spans="1:8" x14ac:dyDescent="0.3">
      <c r="A120" t="s">
        <v>318</v>
      </c>
      <c r="B120" t="s">
        <v>770</v>
      </c>
      <c r="C120">
        <v>388</v>
      </c>
      <c r="D120">
        <v>371</v>
      </c>
      <c r="E120">
        <v>4</v>
      </c>
      <c r="F120">
        <v>35</v>
      </c>
      <c r="G120">
        <v>67</v>
      </c>
      <c r="H120">
        <v>20</v>
      </c>
    </row>
    <row r="121" spans="1:8" x14ac:dyDescent="0.3">
      <c r="A121" t="s">
        <v>318</v>
      </c>
      <c r="B121" t="s">
        <v>776</v>
      </c>
      <c r="C121">
        <v>20</v>
      </c>
      <c r="D121">
        <v>90</v>
      </c>
      <c r="E121">
        <v>1</v>
      </c>
      <c r="F121">
        <v>4</v>
      </c>
      <c r="G121">
        <v>96</v>
      </c>
      <c r="H121">
        <v>23</v>
      </c>
    </row>
    <row r="122" spans="1:8" x14ac:dyDescent="0.3">
      <c r="A122" t="s">
        <v>318</v>
      </c>
      <c r="B122" t="s">
        <v>780</v>
      </c>
      <c r="D122">
        <v>1</v>
      </c>
      <c r="G122">
        <v>4</v>
      </c>
    </row>
    <row r="123" spans="1:8" x14ac:dyDescent="0.3">
      <c r="A123" t="s">
        <v>320</v>
      </c>
      <c r="B123" t="s">
        <v>773</v>
      </c>
      <c r="C123">
        <v>682</v>
      </c>
      <c r="D123">
        <v>332</v>
      </c>
      <c r="E123">
        <v>3</v>
      </c>
      <c r="F123">
        <v>15</v>
      </c>
      <c r="G123">
        <v>116</v>
      </c>
      <c r="H123">
        <v>30</v>
      </c>
    </row>
    <row r="124" spans="1:8" x14ac:dyDescent="0.3">
      <c r="A124" t="s">
        <v>325</v>
      </c>
      <c r="B124" t="s">
        <v>780</v>
      </c>
      <c r="D124">
        <v>3</v>
      </c>
    </row>
    <row r="125" spans="1:8" x14ac:dyDescent="0.3">
      <c r="A125" t="s">
        <v>326</v>
      </c>
      <c r="B125" t="s">
        <v>779</v>
      </c>
      <c r="G125">
        <v>1</v>
      </c>
    </row>
    <row r="126" spans="1:8" x14ac:dyDescent="0.3">
      <c r="A126" t="s">
        <v>328</v>
      </c>
      <c r="B126" t="s">
        <v>768</v>
      </c>
      <c r="C126">
        <v>31</v>
      </c>
      <c r="D126">
        <v>161</v>
      </c>
      <c r="F126">
        <v>10</v>
      </c>
      <c r="G126">
        <v>17</v>
      </c>
      <c r="H126">
        <v>8</v>
      </c>
    </row>
    <row r="127" spans="1:8" x14ac:dyDescent="0.3">
      <c r="A127" t="s">
        <v>412</v>
      </c>
      <c r="B127" t="s">
        <v>769</v>
      </c>
      <c r="C127">
        <v>238</v>
      </c>
      <c r="D127">
        <v>252</v>
      </c>
      <c r="F127">
        <v>22</v>
      </c>
      <c r="G127">
        <v>40</v>
      </c>
      <c r="H127">
        <v>12</v>
      </c>
    </row>
    <row r="128" spans="1:8" x14ac:dyDescent="0.3">
      <c r="A128" t="s">
        <v>412</v>
      </c>
      <c r="B128" t="s">
        <v>774</v>
      </c>
      <c r="C128">
        <v>562</v>
      </c>
      <c r="D128">
        <v>287</v>
      </c>
      <c r="E128">
        <v>4</v>
      </c>
      <c r="F128">
        <v>19</v>
      </c>
      <c r="G128">
        <v>135</v>
      </c>
      <c r="H128">
        <v>40</v>
      </c>
    </row>
    <row r="129" spans="1:8" x14ac:dyDescent="0.3">
      <c r="A129" t="s">
        <v>412</v>
      </c>
      <c r="B129" t="s">
        <v>778</v>
      </c>
      <c r="D129">
        <v>7</v>
      </c>
      <c r="G129">
        <v>7</v>
      </c>
      <c r="H129">
        <v>4</v>
      </c>
    </row>
    <row r="130" spans="1:8" x14ac:dyDescent="0.3">
      <c r="A130" t="s">
        <v>364</v>
      </c>
      <c r="B130" t="s">
        <v>782</v>
      </c>
      <c r="C130">
        <v>1254</v>
      </c>
      <c r="D130">
        <v>691</v>
      </c>
      <c r="F130">
        <v>46</v>
      </c>
      <c r="G130">
        <v>174</v>
      </c>
      <c r="H130">
        <v>58</v>
      </c>
    </row>
    <row r="131" spans="1:8" x14ac:dyDescent="0.3">
      <c r="A131" t="s">
        <v>364</v>
      </c>
      <c r="B131" t="s">
        <v>774</v>
      </c>
      <c r="C131">
        <v>486</v>
      </c>
      <c r="D131">
        <v>370</v>
      </c>
      <c r="F131">
        <v>52</v>
      </c>
      <c r="G131">
        <v>160</v>
      </c>
      <c r="H131">
        <v>48</v>
      </c>
    </row>
    <row r="132" spans="1:8" x14ac:dyDescent="0.3">
      <c r="A132" t="s">
        <v>366</v>
      </c>
      <c r="B132" t="s">
        <v>780</v>
      </c>
      <c r="C132">
        <v>1</v>
      </c>
      <c r="D132">
        <v>8</v>
      </c>
      <c r="H132">
        <v>6</v>
      </c>
    </row>
    <row r="133" spans="1:8" x14ac:dyDescent="0.3">
      <c r="A133" t="s">
        <v>213</v>
      </c>
      <c r="B133" t="s">
        <v>770</v>
      </c>
      <c r="C133">
        <v>339</v>
      </c>
      <c r="D133">
        <v>373</v>
      </c>
      <c r="E133">
        <v>1</v>
      </c>
      <c r="F133">
        <v>36</v>
      </c>
      <c r="G133">
        <v>61</v>
      </c>
      <c r="H133">
        <v>28</v>
      </c>
    </row>
    <row r="134" spans="1:8" x14ac:dyDescent="0.3">
      <c r="A134" t="s">
        <v>312</v>
      </c>
      <c r="B134" t="s">
        <v>768</v>
      </c>
      <c r="C134">
        <v>46</v>
      </c>
      <c r="D134">
        <v>152</v>
      </c>
      <c r="F134">
        <v>7</v>
      </c>
      <c r="G134">
        <v>18</v>
      </c>
      <c r="H134">
        <v>18</v>
      </c>
    </row>
    <row r="135" spans="1:8" x14ac:dyDescent="0.3">
      <c r="A135" t="s">
        <v>312</v>
      </c>
      <c r="B135" t="s">
        <v>771</v>
      </c>
      <c r="C135">
        <v>567</v>
      </c>
      <c r="D135">
        <v>405</v>
      </c>
      <c r="E135">
        <v>5</v>
      </c>
      <c r="F135">
        <v>20</v>
      </c>
      <c r="G135">
        <v>72</v>
      </c>
      <c r="H135">
        <v>32</v>
      </c>
    </row>
    <row r="136" spans="1:8" x14ac:dyDescent="0.3">
      <c r="A136" t="s">
        <v>312</v>
      </c>
      <c r="B136" t="s">
        <v>778</v>
      </c>
      <c r="G136">
        <v>2</v>
      </c>
    </row>
    <row r="137" spans="1:8" x14ac:dyDescent="0.3">
      <c r="A137" t="s">
        <v>318</v>
      </c>
      <c r="B137" t="s">
        <v>772</v>
      </c>
      <c r="C137">
        <v>703</v>
      </c>
      <c r="D137">
        <v>367</v>
      </c>
      <c r="E137">
        <v>5</v>
      </c>
      <c r="F137">
        <v>22</v>
      </c>
      <c r="G137">
        <v>79</v>
      </c>
      <c r="H137">
        <v>29</v>
      </c>
    </row>
    <row r="138" spans="1:8" x14ac:dyDescent="0.3">
      <c r="A138" t="s">
        <v>320</v>
      </c>
      <c r="B138" t="s">
        <v>780</v>
      </c>
      <c r="D138">
        <v>3</v>
      </c>
    </row>
    <row r="139" spans="1:8" x14ac:dyDescent="0.3">
      <c r="A139" t="s">
        <v>325</v>
      </c>
      <c r="B139" t="s">
        <v>775</v>
      </c>
      <c r="C139">
        <v>163</v>
      </c>
      <c r="D139">
        <v>323</v>
      </c>
      <c r="E139">
        <v>14</v>
      </c>
      <c r="F139">
        <v>22</v>
      </c>
      <c r="G139">
        <v>161</v>
      </c>
      <c r="H139">
        <v>58</v>
      </c>
    </row>
    <row r="140" spans="1:8" x14ac:dyDescent="0.3">
      <c r="A140" t="s">
        <v>325</v>
      </c>
      <c r="B140" t="s">
        <v>776</v>
      </c>
      <c r="C140">
        <v>18</v>
      </c>
      <c r="D140">
        <v>121</v>
      </c>
      <c r="E140">
        <v>6</v>
      </c>
      <c r="F140">
        <v>3</v>
      </c>
      <c r="G140">
        <v>117</v>
      </c>
      <c r="H140">
        <v>21</v>
      </c>
    </row>
    <row r="141" spans="1:8" x14ac:dyDescent="0.3">
      <c r="A141" t="s">
        <v>326</v>
      </c>
      <c r="B141" t="s">
        <v>768</v>
      </c>
      <c r="C141">
        <v>43</v>
      </c>
      <c r="D141">
        <v>135</v>
      </c>
      <c r="F141">
        <v>5</v>
      </c>
      <c r="G141">
        <v>13</v>
      </c>
      <c r="H141">
        <v>5</v>
      </c>
    </row>
    <row r="142" spans="1:8" x14ac:dyDescent="0.3">
      <c r="A142" t="s">
        <v>328</v>
      </c>
      <c r="B142" t="s">
        <v>776</v>
      </c>
      <c r="C142">
        <v>26</v>
      </c>
      <c r="D142">
        <v>140</v>
      </c>
      <c r="E142">
        <v>9</v>
      </c>
      <c r="F142">
        <v>7</v>
      </c>
      <c r="G142">
        <v>114</v>
      </c>
      <c r="H142">
        <v>29</v>
      </c>
    </row>
    <row r="143" spans="1:8" x14ac:dyDescent="0.3">
      <c r="A143" t="s">
        <v>328</v>
      </c>
      <c r="B143" t="s">
        <v>778</v>
      </c>
      <c r="D143">
        <v>7</v>
      </c>
      <c r="G143">
        <v>7</v>
      </c>
      <c r="H143">
        <v>5</v>
      </c>
    </row>
    <row r="144" spans="1:8" x14ac:dyDescent="0.3">
      <c r="A144" t="s">
        <v>366</v>
      </c>
      <c r="B144" t="s">
        <v>769</v>
      </c>
      <c r="C144">
        <v>145</v>
      </c>
      <c r="D144">
        <v>283</v>
      </c>
      <c r="F144">
        <v>14</v>
      </c>
      <c r="G144">
        <v>45</v>
      </c>
      <c r="H144">
        <v>20</v>
      </c>
    </row>
    <row r="145" spans="1:8" x14ac:dyDescent="0.3">
      <c r="A145" t="s">
        <v>366</v>
      </c>
      <c r="B145" t="s">
        <v>772</v>
      </c>
      <c r="C145">
        <v>752</v>
      </c>
      <c r="D145">
        <v>456</v>
      </c>
      <c r="F145">
        <v>29</v>
      </c>
      <c r="G145">
        <v>102</v>
      </c>
      <c r="H145">
        <v>48</v>
      </c>
    </row>
    <row r="146" spans="1:8" x14ac:dyDescent="0.3">
      <c r="A146" t="s">
        <v>341</v>
      </c>
      <c r="B146" t="s">
        <v>776</v>
      </c>
      <c r="C146">
        <v>3</v>
      </c>
      <c r="D146">
        <v>73</v>
      </c>
      <c r="F146">
        <v>4</v>
      </c>
      <c r="G146">
        <v>91</v>
      </c>
      <c r="H146">
        <v>17</v>
      </c>
    </row>
    <row r="147" spans="1:8" x14ac:dyDescent="0.3">
      <c r="A147" t="s">
        <v>342</v>
      </c>
      <c r="B147" t="s">
        <v>776</v>
      </c>
      <c r="C147">
        <v>7</v>
      </c>
      <c r="D147">
        <v>84</v>
      </c>
      <c r="F147">
        <v>3</v>
      </c>
      <c r="G147">
        <v>93</v>
      </c>
      <c r="H147">
        <v>20</v>
      </c>
    </row>
    <row r="148" spans="1:8" x14ac:dyDescent="0.3">
      <c r="A148" t="s">
        <v>342</v>
      </c>
      <c r="B148" t="s">
        <v>780</v>
      </c>
      <c r="D148">
        <v>3</v>
      </c>
      <c r="H148">
        <v>2</v>
      </c>
    </row>
    <row r="149" spans="1:8" x14ac:dyDescent="0.3">
      <c r="A149" t="s">
        <v>312</v>
      </c>
      <c r="B149" t="s">
        <v>772</v>
      </c>
      <c r="C149">
        <v>701</v>
      </c>
      <c r="D149">
        <v>357</v>
      </c>
      <c r="E149">
        <v>4</v>
      </c>
      <c r="F149">
        <v>19</v>
      </c>
      <c r="G149">
        <v>87</v>
      </c>
      <c r="H149">
        <v>28</v>
      </c>
    </row>
    <row r="150" spans="1:8" x14ac:dyDescent="0.3">
      <c r="A150" t="s">
        <v>318</v>
      </c>
      <c r="B150" t="s">
        <v>774</v>
      </c>
      <c r="C150">
        <v>748</v>
      </c>
      <c r="D150">
        <v>457</v>
      </c>
      <c r="E150">
        <v>19</v>
      </c>
      <c r="F150">
        <v>27</v>
      </c>
      <c r="G150">
        <v>151</v>
      </c>
      <c r="H150">
        <v>65</v>
      </c>
    </row>
    <row r="151" spans="1:8" x14ac:dyDescent="0.3">
      <c r="A151" t="s">
        <v>318</v>
      </c>
      <c r="B151" t="s">
        <v>775</v>
      </c>
      <c r="C151">
        <v>185</v>
      </c>
      <c r="D151">
        <v>330</v>
      </c>
      <c r="E151">
        <v>11</v>
      </c>
      <c r="F151">
        <v>28</v>
      </c>
      <c r="G151">
        <v>137</v>
      </c>
      <c r="H151">
        <v>45</v>
      </c>
    </row>
    <row r="152" spans="1:8" x14ac:dyDescent="0.3">
      <c r="A152" t="s">
        <v>320</v>
      </c>
      <c r="B152" t="s">
        <v>769</v>
      </c>
      <c r="C152">
        <v>248</v>
      </c>
      <c r="D152">
        <v>277</v>
      </c>
      <c r="E152">
        <v>2</v>
      </c>
      <c r="F152">
        <v>17</v>
      </c>
      <c r="G152">
        <v>52</v>
      </c>
      <c r="H152">
        <v>17</v>
      </c>
    </row>
    <row r="153" spans="1:8" x14ac:dyDescent="0.3">
      <c r="A153" t="s">
        <v>320</v>
      </c>
      <c r="B153" t="s">
        <v>779</v>
      </c>
      <c r="G153">
        <v>1</v>
      </c>
    </row>
    <row r="154" spans="1:8" x14ac:dyDescent="0.3">
      <c r="A154" t="s">
        <v>325</v>
      </c>
      <c r="B154" t="s">
        <v>773</v>
      </c>
      <c r="C154">
        <v>676</v>
      </c>
      <c r="D154">
        <v>315</v>
      </c>
      <c r="E154">
        <v>4</v>
      </c>
      <c r="F154">
        <v>17</v>
      </c>
      <c r="G154">
        <v>99</v>
      </c>
      <c r="H154">
        <v>22</v>
      </c>
    </row>
    <row r="155" spans="1:8" x14ac:dyDescent="0.3">
      <c r="A155" t="s">
        <v>325</v>
      </c>
      <c r="B155" t="s">
        <v>779</v>
      </c>
      <c r="G155">
        <v>2</v>
      </c>
    </row>
    <row r="156" spans="1:8" x14ac:dyDescent="0.3">
      <c r="A156" t="s">
        <v>328</v>
      </c>
      <c r="B156" t="s">
        <v>774</v>
      </c>
      <c r="C156">
        <v>548</v>
      </c>
      <c r="D156">
        <v>309</v>
      </c>
      <c r="E156">
        <v>8</v>
      </c>
      <c r="F156">
        <v>20</v>
      </c>
      <c r="G156">
        <v>136</v>
      </c>
      <c r="H156">
        <v>51</v>
      </c>
    </row>
    <row r="157" spans="1:8" x14ac:dyDescent="0.3">
      <c r="A157" t="s">
        <v>328</v>
      </c>
      <c r="B157" t="s">
        <v>775</v>
      </c>
      <c r="C157">
        <v>198</v>
      </c>
      <c r="D157">
        <v>300</v>
      </c>
      <c r="E157">
        <v>19</v>
      </c>
      <c r="F157">
        <v>17</v>
      </c>
      <c r="G157">
        <v>179</v>
      </c>
      <c r="H157">
        <v>56</v>
      </c>
    </row>
    <row r="158" spans="1:8" x14ac:dyDescent="0.3">
      <c r="A158" t="s">
        <v>412</v>
      </c>
      <c r="B158" t="s">
        <v>768</v>
      </c>
      <c r="C158">
        <v>41</v>
      </c>
      <c r="D158">
        <v>166</v>
      </c>
      <c r="F158">
        <v>9</v>
      </c>
      <c r="G158">
        <v>22</v>
      </c>
      <c r="H158">
        <v>6</v>
      </c>
    </row>
    <row r="159" spans="1:8" x14ac:dyDescent="0.3">
      <c r="A159" t="s">
        <v>412</v>
      </c>
      <c r="B159" t="s">
        <v>776</v>
      </c>
      <c r="C159">
        <v>35</v>
      </c>
      <c r="D159">
        <v>165</v>
      </c>
      <c r="E159">
        <v>9</v>
      </c>
      <c r="F159">
        <v>5</v>
      </c>
      <c r="G159">
        <v>125</v>
      </c>
      <c r="H159">
        <v>28</v>
      </c>
    </row>
  </sheetData>
  <pageMargins left="0.7" right="0.7" top="0.75" bottom="0.75" header="0.3" footer="0.3"/>
  <tableParts count="1">
    <tablePart r:id="rId1"/>
  </tableParts>
</worksheet>
</file>

<file path=xl/worksheets/sheet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Sheet18">
    <tabColor theme="9" tint="0.39997558519241921"/>
    <pageSetUpPr fitToPage="1"/>
  </sheetPr>
  <dimension ref="A1:M55"/>
  <sheetViews>
    <sheetView showGridLines="0" zoomScaleNormal="100" workbookViewId="0">
      <pane ySplit="2" topLeftCell="A3" activePane="bottomLeft" state="frozen"/>
      <selection pane="bottomLeft" sqref="A1:C1"/>
    </sheetView>
  </sheetViews>
  <sheetFormatPr defaultRowHeight="14.4" x14ac:dyDescent="0.3"/>
  <cols>
    <col min="1" max="1" width="18.6640625" customWidth="1"/>
    <col min="2" max="3" width="13" customWidth="1"/>
    <col min="4" max="4" width="13.88671875" customWidth="1"/>
    <col min="5" max="9" width="13" customWidth="1"/>
  </cols>
  <sheetData>
    <row r="1" spans="1:9" ht="15.6" x14ac:dyDescent="0.3">
      <c r="A1" s="1030" t="s">
        <v>515</v>
      </c>
      <c r="B1" s="1030"/>
      <c r="C1" s="1030"/>
      <c r="D1" s="440"/>
      <c r="E1" s="147"/>
      <c r="F1" s="147"/>
      <c r="G1" s="147"/>
      <c r="H1" s="25"/>
      <c r="I1" s="25"/>
    </row>
    <row r="2" spans="1:9" x14ac:dyDescent="0.3">
      <c r="A2" s="498" t="s">
        <v>202</v>
      </c>
      <c r="E2" s="147"/>
      <c r="F2" s="147"/>
      <c r="G2" s="147"/>
      <c r="H2" s="25"/>
      <c r="I2" s="25"/>
    </row>
    <row r="3" spans="1:9" x14ac:dyDescent="0.3">
      <c r="A3" s="25"/>
      <c r="B3" s="25"/>
      <c r="C3" s="25"/>
      <c r="D3" s="25"/>
      <c r="E3" s="147"/>
      <c r="F3" s="147"/>
      <c r="G3" s="147"/>
      <c r="H3" s="25"/>
      <c r="I3" s="25"/>
    </row>
    <row r="4" spans="1:9" ht="18.75" customHeight="1" x14ac:dyDescent="0.3">
      <c r="A4" s="1041" t="s">
        <v>1309</v>
      </c>
      <c r="B4" s="1041"/>
      <c r="C4" s="1041"/>
      <c r="D4" s="1041"/>
      <c r="E4" s="1041"/>
      <c r="F4" s="1041"/>
      <c r="G4" s="1041"/>
      <c r="H4" s="1041"/>
      <c r="I4" s="1041"/>
    </row>
    <row r="5" spans="1:9" ht="15" customHeight="1" x14ac:dyDescent="0.3">
      <c r="A5" t="s">
        <v>203</v>
      </c>
      <c r="B5" t="s">
        <v>93</v>
      </c>
      <c r="C5" s="231"/>
      <c r="D5" s="231"/>
      <c r="E5" s="231"/>
      <c r="F5" s="231"/>
      <c r="G5" s="231"/>
      <c r="H5" s="231"/>
      <c r="I5" s="231"/>
    </row>
    <row r="6" spans="1:9" ht="15" customHeight="1" x14ac:dyDescent="0.3">
      <c r="A6" t="s">
        <v>204</v>
      </c>
      <c r="B6" t="s">
        <v>205</v>
      </c>
      <c r="C6" s="231"/>
      <c r="D6" s="231"/>
      <c r="E6" s="231"/>
      <c r="F6" s="231"/>
      <c r="G6" s="231"/>
      <c r="H6" s="231"/>
      <c r="I6" s="231"/>
    </row>
    <row r="7" spans="1:9" ht="15" customHeight="1" x14ac:dyDescent="0.3">
      <c r="A7" t="s">
        <v>206</v>
      </c>
      <c r="B7" t="s">
        <v>207</v>
      </c>
      <c r="C7" s="231"/>
      <c r="D7" s="231"/>
      <c r="E7" s="231"/>
      <c r="F7" s="231"/>
      <c r="G7" s="231"/>
      <c r="H7" s="231"/>
      <c r="I7" s="231"/>
    </row>
    <row r="8" spans="1:9" ht="15" customHeight="1" x14ac:dyDescent="0.3">
      <c r="C8" s="231"/>
      <c r="D8" s="231"/>
      <c r="E8" s="231"/>
      <c r="F8" s="231"/>
      <c r="G8" s="231"/>
      <c r="H8" s="231"/>
      <c r="I8" s="231"/>
    </row>
    <row r="9" spans="1:9" ht="15" customHeight="1" x14ac:dyDescent="0.3">
      <c r="A9" s="676" t="s">
        <v>208</v>
      </c>
      <c r="B9" s="676" t="str">
        <f>agepivot!B1</f>
        <v>2025-26</v>
      </c>
      <c r="C9" s="231"/>
      <c r="D9" s="231"/>
      <c r="E9" s="231"/>
      <c r="F9" s="231"/>
      <c r="G9" s="231"/>
      <c r="H9" s="231"/>
      <c r="I9" s="231"/>
    </row>
    <row r="10" spans="1:9" ht="40.200000000000003" x14ac:dyDescent="0.3">
      <c r="A10" s="16" t="s">
        <v>92</v>
      </c>
      <c r="B10" s="3" t="s">
        <v>735</v>
      </c>
      <c r="C10" s="154" t="s">
        <v>361</v>
      </c>
      <c r="D10" s="154" t="s">
        <v>518</v>
      </c>
      <c r="E10" s="3" t="s">
        <v>513</v>
      </c>
      <c r="F10" s="3" t="s">
        <v>731</v>
      </c>
      <c r="G10" s="154" t="s">
        <v>339</v>
      </c>
      <c r="H10" s="3" t="s">
        <v>787</v>
      </c>
      <c r="I10" s="3" t="s">
        <v>618</v>
      </c>
    </row>
    <row r="11" spans="1:9" x14ac:dyDescent="0.3">
      <c r="A11" s="681" t="s">
        <v>788</v>
      </c>
      <c r="B11" s="601">
        <f>IF(B9="2013-14",GETPIVOTDATA("Sum of Wholetime Operational",agepivot!$A$3,"Age Range","Under 20"), GETPIVOTDATA("Sum of Wholetime Operational",agepivot!$A$3,"Age Range","Under 20"))</f>
        <v>0</v>
      </c>
      <c r="C11" s="601">
        <f>IF(B9="2013-14", GETPIVOTDATA("Sum of Retained Duty System",agepivot!$A$3,"Age Range","Under 20"), GETPIVOTDATA("Sum of Retained Duty System",agepivot!$A$3,"Age Range","Under 20"))</f>
        <v>9</v>
      </c>
      <c r="D11" s="601">
        <f>IF(B9="2013-14", GETPIVOTDATA("Sum of Retained Full-time",agepivot!$A$3,"Age Range","Under 20"), GETPIVOTDATA("Sum of Retained Full-time",agepivot!$A$3,"Age Range","Under 20"))</f>
        <v>0</v>
      </c>
      <c r="E11" s="601">
        <f>IF(B9="2013-14", GETPIVOTDATA("Sum of Control",agepivot!$A$3,"Age Range","Under 20"), GETPIVOTDATA("Sum of Control",agepivot!$A$3,"Age Range","Under 20"))</f>
        <v>0</v>
      </c>
      <c r="F11" s="601">
        <f>IF(B9="2013-14", GETPIVOTDATA("Sum of Support Staff",agepivot!$A$3,"Age Range","Under 20"), GETPIVOTDATA("Sum of Support Staff",agepivot!$A$3,"Age Range","Under 20"))</f>
        <v>5</v>
      </c>
      <c r="G11" s="601">
        <f>IF(B9="2013-14", GETPIVOTDATA("Sum of Volunteer",agepivot!$A$3,"Age Range","Under 20"), GETPIVOTDATA("Sum of Volunteer",agepivot!$A$3,"Age Range","Under 20"))</f>
        <v>0</v>
      </c>
      <c r="H11" s="602">
        <f>SUM(B11:G11)</f>
        <v>14</v>
      </c>
      <c r="I11" s="602">
        <f>H11-G11</f>
        <v>14</v>
      </c>
    </row>
    <row r="12" spans="1:9" x14ac:dyDescent="0.3">
      <c r="A12" s="682" t="str">
        <f>IF(agepivot!$B$1="2013-14", "20-29", "20-24")</f>
        <v>20-24</v>
      </c>
      <c r="B12" s="601">
        <f>IF(B9="2013-14", GETPIVOTDATA("Sum of Wholetime Operational",agepivot!$A$3,"Age Range","20-29"), GETPIVOTDATA("Sum of Wholetime Operational",agepivot!$A$3,"Age Range","20-24"))</f>
        <v>41</v>
      </c>
      <c r="C12" s="601">
        <f>IF(B9="2013-14", GETPIVOTDATA("Sum of Retained Duty System",agepivot!$A$3,"Age Range","20-29"), GETPIVOTDATA("Sum of Retained Duty System",agepivot!$A$3,"Age Range","20-24"))</f>
        <v>166</v>
      </c>
      <c r="D12" s="601">
        <f>IF(B9="2013-14", GETPIVOTDATA("Sum of Retained Full-time",agepivot!$A$3,"Age Range","20-29"), GETPIVOTDATA("Sum of Retained Full-time",agepivot!$A$3,"Age Range","20-24"))</f>
        <v>0</v>
      </c>
      <c r="E12" s="601">
        <f>IF(B9="2013-14", GETPIVOTDATA("Sum of Control",agepivot!$A$3,"Age Range","20-29"), GETPIVOTDATA("Sum of Control",agepivot!$A$3,"Age Range","20-24"))</f>
        <v>9</v>
      </c>
      <c r="F12" s="601">
        <f>IF(B9="2013-14", GETPIVOTDATA("Sum of Support Staff",agepivot!$A$3,"Age Range","20-29"), GETPIVOTDATA("Sum of Support Staff",agepivot!$A$3,"Age Range","20-24"))</f>
        <v>22</v>
      </c>
      <c r="G12" s="601">
        <f>IF(B9="2013-14", GETPIVOTDATA("Sum of Volunteer",agepivot!$A$3,"Age Range","20-29"), GETPIVOTDATA("Sum of Volunteer",agepivot!$A$3,"Age Range","20-24"))</f>
        <v>6</v>
      </c>
      <c r="H12" s="602">
        <f t="shared" ref="H12:H22" si="0">SUM(B12:G12)</f>
        <v>244</v>
      </c>
      <c r="I12" s="602">
        <f t="shared" ref="I12:I24" si="1">H12-G12</f>
        <v>238</v>
      </c>
    </row>
    <row r="13" spans="1:9" x14ac:dyDescent="0.3">
      <c r="A13" s="682" t="str">
        <f>IF(agepivot!$B$1="2013-14", "30-39", "25-29")</f>
        <v>25-29</v>
      </c>
      <c r="B13" s="601">
        <f>IF(B9="2013-14", GETPIVOTDATA("Sum of Wholetime Operational",agepivot!$A$3,"Age Range","30-39"), GETPIVOTDATA("Sum of Wholetime Operational",agepivot!$A$3,"Age Range","25-29"))</f>
        <v>238</v>
      </c>
      <c r="C13" s="601">
        <f>IF(B9="2013-14", GETPIVOTDATA("Sum of Retained Duty System",agepivot!$A$3,"Age Range","30-39"), GETPIVOTDATA("Sum of Retained Duty System",agepivot!$A$3,"Age Range","25-29"))</f>
        <v>252</v>
      </c>
      <c r="D13" s="601">
        <f>IF(B9="2013-14", GETPIVOTDATA("Sum of Retained Full-time",agepivot!$A$3,"Age Range","30-39"), GETPIVOTDATA("Sum of Retained Full-time",agepivot!$A$3,"Age Range","25-29"))</f>
        <v>0</v>
      </c>
      <c r="E13" s="601">
        <f>IF(B9="2013-14", GETPIVOTDATA("Sum of Control",agepivot!$A$3,"Age Range","30-39"), GETPIVOTDATA("Sum of Control",agepivot!$A$3,"Age Range","25-29"))</f>
        <v>22</v>
      </c>
      <c r="F13" s="601">
        <f>IF(B9="2013-14", GETPIVOTDATA("Sum of Support Staff",agepivot!$A$3,"Age Range","30-39"), GETPIVOTDATA("Sum of Support Staff",agepivot!$A$3,"Age Range","25-29"))</f>
        <v>40</v>
      </c>
      <c r="G13" s="601">
        <f>IF(B9="2013-14", GETPIVOTDATA("Sum of Volunteer",agepivot!$A$3,"Age Range","30-39"), GETPIVOTDATA("Sum of Volunteer",agepivot!$A$3,"Age Range","25-29"))</f>
        <v>12</v>
      </c>
      <c r="H13" s="602">
        <f>SUM(B13:G13)</f>
        <v>564</v>
      </c>
      <c r="I13" s="602">
        <f t="shared" si="1"/>
        <v>552</v>
      </c>
    </row>
    <row r="14" spans="1:9" x14ac:dyDescent="0.3">
      <c r="A14" s="682" t="str">
        <f>IF(agepivot!$B$1="2013-14", "40-44", "30-34")</f>
        <v>30-34</v>
      </c>
      <c r="B14" s="601">
        <f>IF(B9="2013-14", GETPIVOTDATA("Sum of Wholetime Operational",agepivot!$A$3,"Age Range","40-44"), GETPIVOTDATA("Sum of Wholetime Operational",agepivot!$A$3,"Age Range","30-34"))</f>
        <v>478</v>
      </c>
      <c r="C14" s="601">
        <f>IF(B9="2013-14", GETPIVOTDATA("Sum of Retained Duty System",agepivot!$A$3,"Age Range","40-44"), GETPIVOTDATA("Sum of Retained Duty System",agepivot!$A$3,"Age Range","30-34"))</f>
        <v>361</v>
      </c>
      <c r="D14" s="601">
        <f>IF(B9="2013-14", GETPIVOTDATA("Sum of Retained Full-time",agepivot!$A$3,"Age Range","40-44"), GETPIVOTDATA("Sum of Retained Full-time",agepivot!$A$3,"Age Range","30-34"))</f>
        <v>2</v>
      </c>
      <c r="E14" s="601">
        <f>IF(B9="2013-14", GETPIVOTDATA("Sum of Control",agepivot!$A$3,"Age Range","40-44"), GETPIVOTDATA("Sum of Control",agepivot!$A$3,"Age Range","30-34"))</f>
        <v>32</v>
      </c>
      <c r="F14" s="601">
        <f>IF(B9="2013-14", GETPIVOTDATA("Sum of Support Staff",agepivot!$A$3,"Age Range","40-44"), GETPIVOTDATA("Sum of Support Staff",agepivot!$A$3,"Age Range","30-34"))</f>
        <v>68</v>
      </c>
      <c r="G14" s="601">
        <f>IF(B9="2013-14", GETPIVOTDATA("Sum of Volunteer",agepivot!$A$3,"Age Range","40-44"), GETPIVOTDATA("Sum of Volunteer",agepivot!$A$3,"Age Range","30-34"))</f>
        <v>13</v>
      </c>
      <c r="H14" s="602">
        <f t="shared" si="0"/>
        <v>954</v>
      </c>
      <c r="I14" s="602">
        <f t="shared" si="1"/>
        <v>941</v>
      </c>
    </row>
    <row r="15" spans="1:9" x14ac:dyDescent="0.3">
      <c r="A15" s="682" t="str">
        <f>IF(agepivot!$B$1="2013-14", "45-49", "35-39")</f>
        <v>35-39</v>
      </c>
      <c r="B15" s="601">
        <f>IF(B9="2013-14", GETPIVOTDATA("Sum of Wholetime Operational",agepivot!$A$3,"Age Range","45-49"), GETPIVOTDATA("Sum of Wholetime Operational",agepivot!$A$3,"Age Range","35-39"))</f>
        <v>566</v>
      </c>
      <c r="C15" s="601">
        <f>IF(B9="2013-14", GETPIVOTDATA("Sum of Retained Duty System",agepivot!$A$3,"Age Range","45-49"), GETPIVOTDATA("Sum of Retained Duty System",agepivot!$A$3,"Age Range","35-39"))</f>
        <v>440</v>
      </c>
      <c r="D15" s="601">
        <f>IF(B9="2013-14", GETPIVOTDATA("Sum of Retained Full-time",agepivot!$A$3,"Age Range","45-49"), GETPIVOTDATA("Sum of Retained Full-time",agepivot!$A$3,"Age Range","35-39"))</f>
        <v>6</v>
      </c>
      <c r="E15" s="601">
        <f>IF(B9="2013-14", GETPIVOTDATA("Sum of Control",agepivot!$A$3,"Age Range","45-49"), GETPIVOTDATA("Sum of Control",agepivot!$A$3,"Age Range","35-39"))</f>
        <v>35</v>
      </c>
      <c r="F15" s="601">
        <f>IF(B9="2013-14", GETPIVOTDATA("Sum of Support Staff",agepivot!$A$3,"Age Range","45-49"), GETPIVOTDATA("Sum of Support Staff",agepivot!$A$3,"Age Range","35-39"))</f>
        <v>98</v>
      </c>
      <c r="G15" s="601">
        <f>IF(B9="2013-14", GETPIVOTDATA("Sum of Volunteer",agepivot!$A$3,"Age Range","45-49"), GETPIVOTDATA("Sum of Volunteer",agepivot!$A$3,"Age Range","35-39"))</f>
        <v>20</v>
      </c>
      <c r="H15" s="602">
        <f t="shared" si="0"/>
        <v>1165</v>
      </c>
      <c r="I15" s="602">
        <f t="shared" si="1"/>
        <v>1145</v>
      </c>
    </row>
    <row r="16" spans="1:9" x14ac:dyDescent="0.3">
      <c r="A16" s="682" t="str">
        <f>IF(agepivot!$B$1="2013-14", "50-54", "40-44")</f>
        <v>40-44</v>
      </c>
      <c r="B16" s="601">
        <f>IF(B9="2013-14", GETPIVOTDATA("Sum of Wholetime Operational",agepivot!$A$3,"Age Range","50-54"), GETPIVOTDATA("Sum of Wholetime Operational",agepivot!$A$3,"Age Range","40-44"))</f>
        <v>586</v>
      </c>
      <c r="C16" s="601">
        <f>IF(B9="2013-14", GETPIVOTDATA("Sum of Retained Duty System",agepivot!$A$3,"Age Range","50-54"), GETPIVOTDATA("Sum of Retained Duty System",agepivot!$A$3,"Age Range","40-44"))</f>
        <v>410</v>
      </c>
      <c r="D16" s="601">
        <f>IF(B9="2013-14", GETPIVOTDATA("Sum of Retained Full-time",agepivot!$A$3,"Age Range","50-54"), GETPIVOTDATA("Sum of Retained Full-time",agepivot!$A$3,"Age Range","40-44"))</f>
        <v>11</v>
      </c>
      <c r="E16" s="601">
        <f>IF(B9="2013-14", GETPIVOTDATA("Sum of Control",agepivot!$A$3,"Age Range","50-54"), GETPIVOTDATA("Sum of Control",agepivot!$A$3,"Age Range","40-44"))</f>
        <v>17</v>
      </c>
      <c r="F16" s="601">
        <f>IF(B9="2013-14", GETPIVOTDATA("Sum of Support Staff",agepivot!$A$3,"Age Range","50-54"), GETPIVOTDATA("Sum of Support Staff",agepivot!$A$3,"Age Range","40-44"))</f>
        <v>106</v>
      </c>
      <c r="G16" s="601">
        <f>IF(B9="2013-14", GETPIVOTDATA("Sum of Volunteer",agepivot!$A$3,"Age Range","50-54"), GETPIVOTDATA("Sum of Volunteer",agepivot!$A$3,"Age Range","40-44"))</f>
        <v>35</v>
      </c>
      <c r="H16" s="602">
        <f t="shared" si="0"/>
        <v>1165</v>
      </c>
      <c r="I16" s="602">
        <f t="shared" si="1"/>
        <v>1130</v>
      </c>
    </row>
    <row r="17" spans="1:9" x14ac:dyDescent="0.3">
      <c r="A17" s="682" t="str">
        <f>IF(agepivot!$B$1="2013-14", "55-65", "45-49")</f>
        <v>45-49</v>
      </c>
      <c r="B17" s="601">
        <f>IF(B9="2013-14", GETPIVOTDATA("Sum of Wholetime Operational",agepivot!$A$3,"Age Range","55-65"), GETPIVOTDATA("Sum of Wholetime Operational",agepivot!$A$3,"Age Range","45-49"))</f>
        <v>703</v>
      </c>
      <c r="C17" s="601">
        <f>IF(B9="2013-14", GETPIVOTDATA("Sum of Retained Duty System",agepivot!$A$3,"Age Range","55-65"), GETPIVOTDATA("Sum of Retained Duty System",agepivot!$A$3,"Age Range","45-49"))</f>
        <v>327</v>
      </c>
      <c r="D17" s="601">
        <f>IF(B9="2013-14", GETPIVOTDATA("Sum of Retained Full-time",agepivot!$A$3,"Age Range","55-65"), GETPIVOTDATA("Sum of Retained Full-time",agepivot!$A$3,"Age Range","45-49"))</f>
        <v>7</v>
      </c>
      <c r="E17" s="601">
        <f>IF(B9="2013-14", GETPIVOTDATA("Sum of Control",agepivot!$A$3,"Age Range","55-65"), GETPIVOTDATA("Sum of Control",agepivot!$A$3,"Age Range","45-49"))</f>
        <v>21</v>
      </c>
      <c r="F17" s="601">
        <f>IF(B9="2013-14", GETPIVOTDATA("Sum of Support Staff",agepivot!$A$3,"Age Range","55-65"), GETPIVOTDATA("Sum of Support Staff",agepivot!$A$3,"Age Range","45-49"))</f>
        <v>100</v>
      </c>
      <c r="G17" s="601">
        <f>IF(B9="2013-14", GETPIVOTDATA("Sum of Volunteer",agepivot!$A$3,"Age Range","55-65"), GETPIVOTDATA("Sum of Volunteer",agepivot!$A$3,"Age Range","45-49"))</f>
        <v>24</v>
      </c>
      <c r="H17" s="602">
        <f t="shared" si="0"/>
        <v>1182</v>
      </c>
      <c r="I17" s="602">
        <f t="shared" si="1"/>
        <v>1158</v>
      </c>
    </row>
    <row r="18" spans="1:9" x14ac:dyDescent="0.3">
      <c r="A18" s="682" t="str">
        <f>IF(agepivot!$B$1="2013-14", "&gt;66", "50-54")</f>
        <v>50-54</v>
      </c>
      <c r="B18" s="601">
        <f>IF(B9="2013-14", GETPIVOTDATA("Sum of Wholetime Operational",agepivot!$A$3,"Age Range","66 and over"), GETPIVOTDATA("Sum of Wholetime Operational",agepivot!$A$3,"Age Range","50-54"))</f>
        <v>562</v>
      </c>
      <c r="C18" s="601">
        <f>IF(B9="2013-14", GETPIVOTDATA("Sum of Retained Duty System",agepivot!$A$3,"Age Range","66 and over"), GETPIVOTDATA("Sum of Retained Duty System",agepivot!$A$3,"Age Range","50-54"))</f>
        <v>287</v>
      </c>
      <c r="D18" s="601">
        <f>IF(B9="2013-14", GETPIVOTDATA("Sum of Retained Full-time",agepivot!$A$3,"Age Range","66 and over"), GETPIVOTDATA("Sum of Retained Full-time",agepivot!$A$3,"Age Range","50-54"))</f>
        <v>4</v>
      </c>
      <c r="E18" s="601">
        <f>IF(B9="2013-14", GETPIVOTDATA("Sum of Control",agepivot!$A$3,"Age Range","66 and over"), GETPIVOTDATA("Sum of Control",agepivot!$A$3,"Age Range","50-54"))</f>
        <v>19</v>
      </c>
      <c r="F18" s="601">
        <f>IF(B9="2013-14", GETPIVOTDATA("Sum of Support Staff",agepivot!$A$3,"Age Range","66 and over"), GETPIVOTDATA("Sum of Support Staff",agepivot!$A$3,"Age Range","50-54"))</f>
        <v>135</v>
      </c>
      <c r="G18" s="601">
        <f>IF(B9="2013-14", GETPIVOTDATA("Sum of Volunteer",agepivot!$A$3,"Age Range","66 and over"), GETPIVOTDATA("Sum of Volunteer",agepivot!$A$3,"Age Range","50-54"))</f>
        <v>40</v>
      </c>
      <c r="H18" s="602">
        <f t="shared" si="0"/>
        <v>1047</v>
      </c>
      <c r="I18" s="602">
        <f t="shared" si="1"/>
        <v>1007</v>
      </c>
    </row>
    <row r="19" spans="1:9" x14ac:dyDescent="0.3">
      <c r="A19" s="682" t="str">
        <f>IF(agepivot!$B$1="2013-14", "", "55-59")</f>
        <v>55-59</v>
      </c>
      <c r="B19" s="601">
        <f>IF(B9="2013-14", "", GETPIVOTDATA("Sum of Wholetime Operational",agepivot!$A$3,"Age Range","55-59"))</f>
        <v>217</v>
      </c>
      <c r="C19" s="601">
        <f>IF(B9="2013-14", "", GETPIVOTDATA("Sum of Retained Duty System",agepivot!$A$3,"Age Range","55-59"))</f>
        <v>288</v>
      </c>
      <c r="D19" s="601">
        <f>IF(B9="2013-14", "", GETPIVOTDATA("Sum of Retained Full-time",agepivot!$A$3,"Age Range","55-59"))</f>
        <v>20</v>
      </c>
      <c r="E19" s="601">
        <f>IF(B9="2013-14", "", GETPIVOTDATA("Sum of Control",agepivot!$A$3,"Age Range","55-59"))</f>
        <v>17</v>
      </c>
      <c r="F19" s="601">
        <f>IF(B9="2013-14", "", GETPIVOTDATA("Sum of Support Staff",agepivot!$A$3,"Age Range","55-59"))</f>
        <v>181</v>
      </c>
      <c r="G19" s="601">
        <f>IF(B9="2013-14", "", GETPIVOTDATA("Sum of Volunteer",agepivot!$A$3,"Age Range","55-59"))</f>
        <v>56</v>
      </c>
      <c r="H19" s="602">
        <f t="shared" si="0"/>
        <v>779</v>
      </c>
      <c r="I19" s="610">
        <f>IFERROR(H19-G19, "-")</f>
        <v>723</v>
      </c>
    </row>
    <row r="20" spans="1:9" x14ac:dyDescent="0.3">
      <c r="A20" s="682" t="str">
        <f>IF(agepivot!$B$1="2013-14", "", "60-64")</f>
        <v>60-64</v>
      </c>
      <c r="B20" s="601">
        <f>IF(B9="2013-14", "", GETPIVOTDATA("Sum of Wholetime Operational",agepivot!$A$3,"Age Range","60-64"))</f>
        <v>35</v>
      </c>
      <c r="C20" s="601">
        <f>IF(B9="2013-14", "", GETPIVOTDATA("Sum of Retained Duty System",agepivot!$A$3,"Age Range","60-64"))</f>
        <v>165</v>
      </c>
      <c r="D20" s="601">
        <f>IF(B9="2013-14", "", GETPIVOTDATA("Sum of Retained Full-time",agepivot!$A$3,"Age Range","60-64"))</f>
        <v>9</v>
      </c>
      <c r="E20" s="601">
        <f>IF(B9="2013-14", "", GETPIVOTDATA("Sum of Control",agepivot!$A$3,"Age Range","60-64"))</f>
        <v>5</v>
      </c>
      <c r="F20" s="601">
        <f>IF(B9="2013-14", "", GETPIVOTDATA("Sum of Support Staff",agepivot!$A$3,"Age Range","60-64"))</f>
        <v>125</v>
      </c>
      <c r="G20" s="601">
        <f>IF(B9="2013-14", "", GETPIVOTDATA("Sum of Volunteer",agepivot!$A$3,"Age Range","60-64"))</f>
        <v>28</v>
      </c>
      <c r="H20" s="602">
        <f t="shared" si="0"/>
        <v>367</v>
      </c>
      <c r="I20" s="610">
        <f t="shared" ref="I20:I22" si="2">IFERROR(H20-G20, "-")</f>
        <v>339</v>
      </c>
    </row>
    <row r="21" spans="1:9" x14ac:dyDescent="0.3">
      <c r="A21" s="682" t="str">
        <f>IF(agepivot!$B$1="2013-14", "", "65-69")</f>
        <v>65-69</v>
      </c>
      <c r="B21" s="601">
        <f>IF(B9="2013-14", "", GETPIVOTDATA("Sum of Wholetime Operational",agepivot!$A$3,"Age Range","65-69"))</f>
        <v>5</v>
      </c>
      <c r="C21" s="601">
        <f>IF(B9="2013-14", "", GETPIVOTDATA("Sum of Retained Duty System",agepivot!$A$3,"Age Range","65-69"))</f>
        <v>35</v>
      </c>
      <c r="D21" s="601">
        <f>IF(B9="2013-14", "", GETPIVOTDATA("Sum of Retained Full-time",agepivot!$A$3,"Age Range","65-69"))</f>
        <v>1</v>
      </c>
      <c r="E21" s="601">
        <f>IF(B9="2013-14", "", GETPIVOTDATA("Sum of Control",agepivot!$A$3,"Age Range","65-69"))</f>
        <v>0</v>
      </c>
      <c r="F21" s="601">
        <f>IF(B9="2013-14", "", GETPIVOTDATA("Sum of Support Staff",agepivot!$A$3,"Age Range","65-69"))</f>
        <v>35</v>
      </c>
      <c r="G21" s="601">
        <f>IF(B9="2013-14", "", GETPIVOTDATA("Sum of Volunteer",agepivot!$A$3,"Age Range","65-69"))</f>
        <v>13</v>
      </c>
      <c r="H21" s="602">
        <f t="shared" si="0"/>
        <v>89</v>
      </c>
      <c r="I21" s="610">
        <f t="shared" si="2"/>
        <v>76</v>
      </c>
    </row>
    <row r="22" spans="1:9" x14ac:dyDescent="0.3">
      <c r="A22" s="682" t="str">
        <f>IF(agepivot!$B$1="2013-14", "", "70-74")</f>
        <v>70-74</v>
      </c>
      <c r="B22" s="601">
        <f>IF(B9="2013-14", "", GETPIVOTDATA("Sum of Wholetime Operational",agepivot!$A$3,"Age Range","70-74"))</f>
        <v>0</v>
      </c>
      <c r="C22" s="601">
        <f>IF(B9="2013-14", "", GETPIVOTDATA("Sum of Retained Duty System",agepivot!$A$3,"Age Range","70-74"))</f>
        <v>7</v>
      </c>
      <c r="D22" s="601">
        <f>IF(B9="2013-14", "", GETPIVOTDATA("Sum of Retained Full-time",agepivot!$A$3,"Age Range","70-74"))</f>
        <v>0</v>
      </c>
      <c r="E22" s="601">
        <f>IF(B9="2013-14", "", GETPIVOTDATA("Sum of Control",agepivot!$A$3,"Age Range","70-74"))</f>
        <v>0</v>
      </c>
      <c r="F22" s="601">
        <f>IF(B9="2013-14", "", GETPIVOTDATA("Sum of Support Staff",agepivot!$A$3,"Age Range","70-74"))</f>
        <v>7</v>
      </c>
      <c r="G22" s="601">
        <f>IF(B9="2013-14", "", GETPIVOTDATA("Sum of Volunteer",agepivot!$A$3,"Age Range","70-74"))</f>
        <v>4</v>
      </c>
      <c r="H22" s="602">
        <f t="shared" si="0"/>
        <v>18</v>
      </c>
      <c r="I22" s="610">
        <f t="shared" si="2"/>
        <v>14</v>
      </c>
    </row>
    <row r="23" spans="1:9" x14ac:dyDescent="0.3">
      <c r="A23" s="682" t="str">
        <f>IF(agepivot!$B$1="2013-14", "", "&gt;75")</f>
        <v>&gt;75</v>
      </c>
      <c r="B23" s="609">
        <f>IFERROR(IF(B10="2013-14", "", GETPIVOTDATA("Sum of Wholetime Operational",agepivot!$A$3,"Age Range","Over 75")),"-")</f>
        <v>0</v>
      </c>
      <c r="C23" s="609">
        <f>IFERROR(IF(B10="2013-14", "", GETPIVOTDATA("Sum of Retained Duty System",agepivot!$A$3,"Age Range","Over 75")),"-")</f>
        <v>0</v>
      </c>
      <c r="D23" s="609">
        <f>IFERROR(IF(B10="2013-14", "", GETPIVOTDATA("Sum of Retained Full-time",agepivot!$A$3,"Age Range","Over 75")),"-")</f>
        <v>0</v>
      </c>
      <c r="E23" s="609" t="str">
        <f>IFERROR(IF(B10="2013-14", "", GETPIVOTDATA("Sum of Control",agepivot!$A$3,"Value","Over 75")), "-")</f>
        <v>-</v>
      </c>
      <c r="F23" s="609">
        <f>IFERROR(IF(B10="2013-14", "", GETPIVOTDATA("Sum of Support Staff",agepivot!$A$3,"Age Range","Over 75")),"-")</f>
        <v>0</v>
      </c>
      <c r="G23" s="609">
        <f>IFERROR(IF(B10="2013-14", "", GETPIVOTDATA("Sum of Volunteer",agepivot!$A$3,"Age Range","Over 75")),"-")</f>
        <v>1</v>
      </c>
      <c r="H23" s="602">
        <f t="shared" ref="H23" si="3">SUM(B23:G23)</f>
        <v>1</v>
      </c>
      <c r="I23" s="610">
        <f t="shared" ref="I23" si="4">IFERROR(H23-G23, "-")</f>
        <v>0</v>
      </c>
    </row>
    <row r="24" spans="1:9" ht="15" thickBot="1" x14ac:dyDescent="0.35">
      <c r="A24" s="157" t="s">
        <v>348</v>
      </c>
      <c r="B24" s="678">
        <f>SUM(B11:B23)</f>
        <v>3431</v>
      </c>
      <c r="C24" s="678">
        <f t="shared" ref="C24:G24" si="5">SUM(C11:C23)</f>
        <v>2747</v>
      </c>
      <c r="D24" s="678">
        <f t="shared" si="5"/>
        <v>60</v>
      </c>
      <c r="E24" s="678">
        <f t="shared" si="5"/>
        <v>177</v>
      </c>
      <c r="F24" s="678">
        <f t="shared" si="5"/>
        <v>922</v>
      </c>
      <c r="G24" s="678">
        <f t="shared" si="5"/>
        <v>252</v>
      </c>
      <c r="H24" s="678">
        <f>SUM(B24:G24)</f>
        <v>7589</v>
      </c>
      <c r="I24" s="678">
        <f t="shared" si="1"/>
        <v>7337</v>
      </c>
    </row>
    <row r="25" spans="1:9" x14ac:dyDescent="0.3">
      <c r="A25" s="6"/>
      <c r="B25" s="41"/>
      <c r="C25" s="41"/>
      <c r="D25" s="41"/>
      <c r="E25" s="41"/>
      <c r="F25" s="41"/>
      <c r="G25" s="41"/>
      <c r="H25" s="41"/>
      <c r="I25" s="41"/>
    </row>
    <row r="26" spans="1:9" x14ac:dyDescent="0.3">
      <c r="A26" s="336" t="s">
        <v>329</v>
      </c>
      <c r="B26" s="337"/>
      <c r="C26" s="337"/>
      <c r="D26" s="337"/>
      <c r="E26" s="337"/>
      <c r="F26" s="337"/>
      <c r="G26" s="337"/>
      <c r="H26" s="338"/>
      <c r="I26" s="338"/>
    </row>
    <row r="27" spans="1:9" ht="15" customHeight="1" x14ac:dyDescent="0.3">
      <c r="A27" t="s">
        <v>737</v>
      </c>
      <c r="H27" s="338"/>
      <c r="I27" s="338"/>
    </row>
    <row r="28" spans="1:9" x14ac:dyDescent="0.3">
      <c r="A28" t="s">
        <v>789</v>
      </c>
      <c r="B28" s="337"/>
      <c r="C28" s="337"/>
      <c r="D28" s="337"/>
      <c r="E28" s="337"/>
      <c r="F28" s="337"/>
      <c r="G28" s="337"/>
      <c r="H28" s="338"/>
      <c r="I28" s="338"/>
    </row>
    <row r="29" spans="1:9" x14ac:dyDescent="0.3">
      <c r="A29" t="s">
        <v>790</v>
      </c>
      <c r="B29" s="159"/>
      <c r="C29" s="159"/>
      <c r="D29" s="159"/>
      <c r="E29" s="159"/>
      <c r="F29" s="159"/>
      <c r="G29" s="159"/>
      <c r="H29" s="23"/>
      <c r="I29" s="23"/>
    </row>
    <row r="30" spans="1:9" x14ac:dyDescent="0.3">
      <c r="A30" s="15"/>
      <c r="B30" s="159"/>
      <c r="C30" s="159"/>
      <c r="D30" s="159"/>
      <c r="E30" s="159"/>
      <c r="F30" s="159"/>
      <c r="G30" s="159"/>
      <c r="H30" s="23"/>
      <c r="I30" s="23"/>
    </row>
    <row r="31" spans="1:9" ht="15.75" customHeight="1" x14ac:dyDescent="0.3">
      <c r="A31" s="1041" t="s">
        <v>791</v>
      </c>
      <c r="B31" s="1041"/>
      <c r="C31" s="1041"/>
      <c r="D31" s="1041"/>
      <c r="E31" s="1041"/>
      <c r="F31" s="1041"/>
      <c r="G31" s="1041"/>
      <c r="H31" s="1041"/>
      <c r="I31" s="1041"/>
    </row>
    <row r="32" spans="1:9" ht="15.75" customHeight="1" x14ac:dyDescent="0.3">
      <c r="A32" t="s">
        <v>203</v>
      </c>
      <c r="B32" t="s">
        <v>95</v>
      </c>
      <c r="C32" s="231"/>
      <c r="D32" s="231"/>
      <c r="E32" s="231"/>
      <c r="F32" s="231"/>
      <c r="G32" s="231"/>
      <c r="H32" s="231"/>
      <c r="I32" s="231"/>
    </row>
    <row r="33" spans="1:13" ht="15.75" customHeight="1" x14ac:dyDescent="0.3">
      <c r="A33" t="s">
        <v>204</v>
      </c>
      <c r="B33" t="s">
        <v>205</v>
      </c>
      <c r="C33" s="231"/>
      <c r="D33" s="231"/>
      <c r="E33" s="231"/>
      <c r="F33" s="231"/>
      <c r="G33" s="231"/>
      <c r="H33" s="231"/>
      <c r="I33" s="231"/>
    </row>
    <row r="34" spans="1:13" ht="15.75" customHeight="1" x14ac:dyDescent="0.3">
      <c r="A34" t="s">
        <v>206</v>
      </c>
      <c r="B34" t="s">
        <v>207</v>
      </c>
      <c r="C34" s="231"/>
      <c r="D34" s="231"/>
      <c r="E34" s="231"/>
      <c r="F34" s="231"/>
      <c r="G34" s="231"/>
      <c r="H34" s="231"/>
      <c r="I34" s="231"/>
    </row>
    <row r="35" spans="1:13" ht="40.200000000000003" x14ac:dyDescent="0.3">
      <c r="A35" s="16" t="s">
        <v>792</v>
      </c>
      <c r="B35" s="160" t="s">
        <v>735</v>
      </c>
      <c r="C35" s="160" t="s">
        <v>361</v>
      </c>
      <c r="D35" s="154" t="s">
        <v>518</v>
      </c>
      <c r="E35" s="160" t="s">
        <v>513</v>
      </c>
      <c r="F35" s="160" t="s">
        <v>731</v>
      </c>
      <c r="G35" s="154" t="s">
        <v>339</v>
      </c>
      <c r="H35" s="160" t="s">
        <v>787</v>
      </c>
      <c r="I35" s="160" t="s">
        <v>618</v>
      </c>
    </row>
    <row r="36" spans="1:13" x14ac:dyDescent="0.3">
      <c r="A36" s="161" t="str">
        <f t="shared" ref="A36:A47" si="6">A11</f>
        <v>&lt;20</v>
      </c>
      <c r="B36" s="162">
        <f t="shared" ref="B36:C43" si="7">B11/B$24</f>
        <v>0</v>
      </c>
      <c r="C36" s="162">
        <f t="shared" si="7"/>
        <v>3.2763014197306154E-3</v>
      </c>
      <c r="D36" s="162">
        <f t="shared" ref="D36:D47" si="8">IFERROR(D11/D$24, "")</f>
        <v>0</v>
      </c>
      <c r="E36" s="162">
        <f t="shared" ref="E36:I36" si="9">E11/E$24</f>
        <v>0</v>
      </c>
      <c r="F36" s="162">
        <f t="shared" si="9"/>
        <v>5.4229934924078091E-3</v>
      </c>
      <c r="G36" s="162">
        <f t="shared" si="9"/>
        <v>0</v>
      </c>
      <c r="H36" s="162">
        <f t="shared" si="9"/>
        <v>1.8447753327184083E-3</v>
      </c>
      <c r="I36" s="162">
        <f t="shared" si="9"/>
        <v>1.9081368406705739E-3</v>
      </c>
    </row>
    <row r="37" spans="1:13" x14ac:dyDescent="0.3">
      <c r="A37" s="164" t="str">
        <f t="shared" si="6"/>
        <v>20-24</v>
      </c>
      <c r="B37" s="162">
        <f t="shared" si="7"/>
        <v>1.1949868842902944E-2</v>
      </c>
      <c r="C37" s="162">
        <f t="shared" si="7"/>
        <v>6.042955951947579E-2</v>
      </c>
      <c r="D37" s="162">
        <f t="shared" si="8"/>
        <v>0</v>
      </c>
      <c r="E37" s="162">
        <f t="shared" ref="E37:I43" si="10">E12/E$24</f>
        <v>5.0847457627118647E-2</v>
      </c>
      <c r="F37" s="162">
        <f t="shared" si="10"/>
        <v>2.3861171366594359E-2</v>
      </c>
      <c r="G37" s="162">
        <f t="shared" si="10"/>
        <v>2.3809523809523808E-2</v>
      </c>
      <c r="H37" s="162">
        <f t="shared" si="10"/>
        <v>3.2151798655949401E-2</v>
      </c>
      <c r="I37" s="162">
        <f t="shared" si="10"/>
        <v>3.2438326291399755E-2</v>
      </c>
    </row>
    <row r="38" spans="1:13" x14ac:dyDescent="0.3">
      <c r="A38" s="164" t="str">
        <f t="shared" si="6"/>
        <v>25-29</v>
      </c>
      <c r="B38" s="162">
        <f t="shared" si="7"/>
        <v>6.9367531331973181E-2</v>
      </c>
      <c r="C38" s="162">
        <f t="shared" si="7"/>
        <v>9.1736439752457224E-2</v>
      </c>
      <c r="D38" s="162">
        <f t="shared" si="8"/>
        <v>0</v>
      </c>
      <c r="E38" s="162">
        <f t="shared" si="10"/>
        <v>0.12429378531073447</v>
      </c>
      <c r="F38" s="162">
        <f t="shared" si="10"/>
        <v>4.3383947939262472E-2</v>
      </c>
      <c r="G38" s="162">
        <f t="shared" si="10"/>
        <v>4.7619047619047616E-2</v>
      </c>
      <c r="H38" s="162">
        <f t="shared" si="10"/>
        <v>7.4318091975227304E-2</v>
      </c>
      <c r="I38" s="162">
        <f t="shared" si="10"/>
        <v>7.5235109717868343E-2</v>
      </c>
    </row>
    <row r="39" spans="1:13" x14ac:dyDescent="0.3">
      <c r="A39" s="164" t="str">
        <f t="shared" si="6"/>
        <v>30-34</v>
      </c>
      <c r="B39" s="162">
        <f t="shared" si="7"/>
        <v>0.13931798309530749</v>
      </c>
      <c r="C39" s="162">
        <f t="shared" si="7"/>
        <v>0.13141609028030579</v>
      </c>
      <c r="D39" s="162">
        <f t="shared" si="8"/>
        <v>3.3333333333333333E-2</v>
      </c>
      <c r="E39" s="162">
        <f t="shared" si="10"/>
        <v>0.1807909604519774</v>
      </c>
      <c r="F39" s="162">
        <f t="shared" si="10"/>
        <v>7.3752711496746198E-2</v>
      </c>
      <c r="G39" s="162">
        <f t="shared" si="10"/>
        <v>5.1587301587301584E-2</v>
      </c>
      <c r="H39" s="162">
        <f t="shared" si="10"/>
        <v>0.12570826195809726</v>
      </c>
      <c r="I39" s="162">
        <f t="shared" si="10"/>
        <v>0.12825405479078641</v>
      </c>
    </row>
    <row r="40" spans="1:13" x14ac:dyDescent="0.3">
      <c r="A40" s="164" t="str">
        <f t="shared" si="6"/>
        <v>35-39</v>
      </c>
      <c r="B40" s="162">
        <f t="shared" si="7"/>
        <v>0.16496648207519674</v>
      </c>
      <c r="C40" s="162">
        <f t="shared" si="7"/>
        <v>0.16017473607571897</v>
      </c>
      <c r="D40" s="162">
        <f t="shared" si="8"/>
        <v>0.1</v>
      </c>
      <c r="E40" s="162">
        <f t="shared" si="10"/>
        <v>0.19774011299435029</v>
      </c>
      <c r="F40" s="162">
        <f t="shared" si="10"/>
        <v>0.10629067245119306</v>
      </c>
      <c r="G40" s="162">
        <f t="shared" si="10"/>
        <v>7.9365079365079361E-2</v>
      </c>
      <c r="H40" s="162">
        <f t="shared" si="10"/>
        <v>0.15351166161549612</v>
      </c>
      <c r="I40" s="162">
        <f t="shared" si="10"/>
        <v>0.15605833446912906</v>
      </c>
    </row>
    <row r="41" spans="1:13" x14ac:dyDescent="0.3">
      <c r="A41" s="164" t="str">
        <f t="shared" si="6"/>
        <v>40-44</v>
      </c>
      <c r="B41" s="162">
        <f t="shared" si="7"/>
        <v>0.17079568638880793</v>
      </c>
      <c r="C41" s="162">
        <f t="shared" si="7"/>
        <v>0.14925373134328357</v>
      </c>
      <c r="D41" s="162">
        <f t="shared" si="8"/>
        <v>0.18333333333333332</v>
      </c>
      <c r="E41" s="162">
        <f t="shared" si="10"/>
        <v>9.6045197740112997E-2</v>
      </c>
      <c r="F41" s="162">
        <f t="shared" si="10"/>
        <v>0.11496746203904555</v>
      </c>
      <c r="G41" s="162">
        <f t="shared" si="10"/>
        <v>0.1388888888888889</v>
      </c>
      <c r="H41" s="162">
        <f t="shared" si="10"/>
        <v>0.15351166161549612</v>
      </c>
      <c r="I41" s="162">
        <f t="shared" si="10"/>
        <v>0.15401390213983918</v>
      </c>
    </row>
    <row r="42" spans="1:13" x14ac:dyDescent="0.3">
      <c r="A42" s="164" t="str">
        <f t="shared" si="6"/>
        <v>45-49</v>
      </c>
      <c r="B42" s="162">
        <f t="shared" si="7"/>
        <v>0.20489653162343341</v>
      </c>
      <c r="C42" s="162">
        <f t="shared" si="7"/>
        <v>0.11903895158354569</v>
      </c>
      <c r="D42" s="162">
        <f t="shared" si="8"/>
        <v>0.11666666666666667</v>
      </c>
      <c r="E42" s="162">
        <f t="shared" si="10"/>
        <v>0.11864406779661017</v>
      </c>
      <c r="F42" s="162">
        <f t="shared" si="10"/>
        <v>0.10845986984815618</v>
      </c>
      <c r="G42" s="162">
        <f t="shared" si="10"/>
        <v>9.5238095238095233E-2</v>
      </c>
      <c r="H42" s="162">
        <f t="shared" si="10"/>
        <v>0.15575174594808275</v>
      </c>
      <c r="I42" s="162">
        <f t="shared" si="10"/>
        <v>0.15783017582118031</v>
      </c>
    </row>
    <row r="43" spans="1:13" x14ac:dyDescent="0.3">
      <c r="A43" s="164" t="str">
        <f t="shared" si="6"/>
        <v>50-54</v>
      </c>
      <c r="B43" s="162">
        <f t="shared" si="7"/>
        <v>0.16380064121247451</v>
      </c>
      <c r="C43" s="162">
        <f t="shared" si="7"/>
        <v>0.1044776119402985</v>
      </c>
      <c r="D43" s="162">
        <f t="shared" si="8"/>
        <v>6.6666666666666666E-2</v>
      </c>
      <c r="E43" s="162">
        <f t="shared" si="10"/>
        <v>0.10734463276836158</v>
      </c>
      <c r="F43" s="162">
        <f t="shared" si="10"/>
        <v>0.14642082429501085</v>
      </c>
      <c r="G43" s="162">
        <f t="shared" si="10"/>
        <v>0.15873015873015872</v>
      </c>
      <c r="H43" s="162">
        <f t="shared" si="10"/>
        <v>0.1379628409540124</v>
      </c>
      <c r="I43" s="162">
        <f t="shared" si="10"/>
        <v>0.13724955703966199</v>
      </c>
    </row>
    <row r="44" spans="1:13" x14ac:dyDescent="0.3">
      <c r="A44" s="164" t="str">
        <f t="shared" si="6"/>
        <v>55-59</v>
      </c>
      <c r="B44" s="162">
        <f t="shared" ref="B44:C47" si="11">IFERROR(B19/B$24, "")</f>
        <v>6.3246866802681434E-2</v>
      </c>
      <c r="C44" s="162">
        <f t="shared" si="11"/>
        <v>0.10484164543137969</v>
      </c>
      <c r="D44" s="162">
        <f t="shared" si="8"/>
        <v>0.33333333333333331</v>
      </c>
      <c r="E44" s="162">
        <f t="shared" ref="E44:G47" si="12">IFERROR(E19/E$24, "")</f>
        <v>9.6045197740112997E-2</v>
      </c>
      <c r="F44" s="162">
        <f t="shared" si="12"/>
        <v>0.1963123644251627</v>
      </c>
      <c r="G44" s="162">
        <f t="shared" si="12"/>
        <v>0.22222222222222221</v>
      </c>
      <c r="H44" s="162">
        <f>IF(B9="2013-14", "", H19/H$24)</f>
        <v>0.10264857029911714</v>
      </c>
      <c r="I44" s="162">
        <f>IFERROR(I19/I$24, "")</f>
        <v>9.8541638271773202E-2</v>
      </c>
    </row>
    <row r="45" spans="1:13" x14ac:dyDescent="0.3">
      <c r="A45" s="164" t="str">
        <f t="shared" si="6"/>
        <v>60-64</v>
      </c>
      <c r="B45" s="162">
        <f t="shared" si="11"/>
        <v>1.0201107548819586E-2</v>
      </c>
      <c r="C45" s="162">
        <f t="shared" si="11"/>
        <v>6.0065526028394614E-2</v>
      </c>
      <c r="D45" s="162">
        <f t="shared" si="8"/>
        <v>0.15</v>
      </c>
      <c r="E45" s="162">
        <f t="shared" si="12"/>
        <v>2.8248587570621469E-2</v>
      </c>
      <c r="F45" s="162">
        <f t="shared" si="12"/>
        <v>0.13557483731019523</v>
      </c>
      <c r="G45" s="162">
        <f t="shared" si="12"/>
        <v>0.1111111111111111</v>
      </c>
      <c r="H45" s="162">
        <f>IF(B9="2013-14", "",  H20/H$24)</f>
        <v>4.8359467650546842E-2</v>
      </c>
      <c r="I45" s="162">
        <f>IFERROR(I20/I$24, "")</f>
        <v>4.6204170641951751E-2</v>
      </c>
    </row>
    <row r="46" spans="1:13" x14ac:dyDescent="0.3">
      <c r="A46" s="161" t="str">
        <f t="shared" si="6"/>
        <v>65-69</v>
      </c>
      <c r="B46" s="162">
        <f t="shared" si="11"/>
        <v>1.457301078402798E-3</v>
      </c>
      <c r="C46" s="162">
        <f t="shared" si="11"/>
        <v>1.2741172187841281E-2</v>
      </c>
      <c r="D46" s="162">
        <f t="shared" si="8"/>
        <v>1.6666666666666666E-2</v>
      </c>
      <c r="E46" s="162">
        <f t="shared" si="12"/>
        <v>0</v>
      </c>
      <c r="F46" s="162">
        <f t="shared" si="12"/>
        <v>3.7960954446854663E-2</v>
      </c>
      <c r="G46" s="162">
        <f t="shared" si="12"/>
        <v>5.1587301587301584E-2</v>
      </c>
      <c r="H46" s="162">
        <f>IF(B9="2013-14", "", H21/H$24)</f>
        <v>1.1727500329424167E-2</v>
      </c>
      <c r="I46" s="162">
        <f>IFERROR(I21/I$24, "")</f>
        <v>1.0358457135068829E-2</v>
      </c>
    </row>
    <row r="47" spans="1:13" x14ac:dyDescent="0.3">
      <c r="A47" s="161" t="str">
        <f t="shared" si="6"/>
        <v>70-74</v>
      </c>
      <c r="B47" s="162">
        <f t="shared" si="11"/>
        <v>0</v>
      </c>
      <c r="C47" s="162">
        <f t="shared" si="11"/>
        <v>2.5482344375682563E-3</v>
      </c>
      <c r="D47" s="162">
        <f t="shared" si="8"/>
        <v>0</v>
      </c>
      <c r="E47" s="162">
        <f t="shared" si="12"/>
        <v>0</v>
      </c>
      <c r="F47" s="162">
        <f t="shared" si="12"/>
        <v>7.5921908893709323E-3</v>
      </c>
      <c r="G47" s="162">
        <f t="shared" si="12"/>
        <v>1.5873015873015872E-2</v>
      </c>
      <c r="H47" s="162">
        <f>IF(B9="2013-14", "", H22/H$24)</f>
        <v>2.3718539992093821E-3</v>
      </c>
      <c r="I47" s="162">
        <f>IFERROR(I22/I$24, "")</f>
        <v>1.9081368406705739E-3</v>
      </c>
      <c r="M47" s="162"/>
    </row>
    <row r="48" spans="1:13" x14ac:dyDescent="0.3">
      <c r="A48" s="793" t="str">
        <f>A23</f>
        <v>&gt;75</v>
      </c>
      <c r="B48" s="792" t="str">
        <f>IFERROR("0.0%", IF(B9="2013-14", B23/B24, "-"))</f>
        <v>0.0%</v>
      </c>
      <c r="C48" s="792" t="str">
        <f>IFERROR("0.0%", C23/C$24)</f>
        <v>0.0%</v>
      </c>
      <c r="D48" s="792" t="str">
        <f t="shared" ref="D48:I48" si="13">IFERROR("0.0%",D23/D$24)</f>
        <v>0.0%</v>
      </c>
      <c r="E48" s="792" t="str">
        <f t="shared" si="13"/>
        <v>0.0%</v>
      </c>
      <c r="F48" s="792" t="str">
        <f t="shared" si="13"/>
        <v>0.0%</v>
      </c>
      <c r="G48" s="792" t="str">
        <f t="shared" si="13"/>
        <v>0.0%</v>
      </c>
      <c r="H48" s="792" t="str">
        <f t="shared" si="13"/>
        <v>0.0%</v>
      </c>
      <c r="I48" s="792" t="str">
        <f t="shared" si="13"/>
        <v>0.0%</v>
      </c>
      <c r="M48" s="162"/>
    </row>
    <row r="49" spans="1:13" ht="15" thickBot="1" x14ac:dyDescent="0.35">
      <c r="A49" s="165" t="s">
        <v>348</v>
      </c>
      <c r="B49" s="166">
        <f>SUM(B36:B48)</f>
        <v>0.99999999999999989</v>
      </c>
      <c r="C49" s="166">
        <f t="shared" ref="C49:I49" si="14">SUM(C36:C47)</f>
        <v>1.0000000000000002</v>
      </c>
      <c r="D49" s="166">
        <f t="shared" si="14"/>
        <v>1</v>
      </c>
      <c r="E49" s="166">
        <f t="shared" si="14"/>
        <v>1</v>
      </c>
      <c r="F49" s="166">
        <f t="shared" si="14"/>
        <v>1.0000000000000002</v>
      </c>
      <c r="G49" s="166">
        <f t="shared" si="14"/>
        <v>0.99603174603174605</v>
      </c>
      <c r="H49" s="166">
        <f t="shared" si="14"/>
        <v>0.99986823033337724</v>
      </c>
      <c r="I49" s="166">
        <f t="shared" si="14"/>
        <v>0.99999999999999989</v>
      </c>
      <c r="M49" s="162"/>
    </row>
    <row r="50" spans="1:13" x14ac:dyDescent="0.3">
      <c r="A50" s="161"/>
      <c r="B50" s="167"/>
      <c r="C50" s="167"/>
      <c r="D50" s="167"/>
      <c r="E50" s="167"/>
      <c r="F50" s="167"/>
      <c r="G50" s="167"/>
      <c r="H50" s="168"/>
      <c r="I50" s="168"/>
      <c r="M50" s="162"/>
    </row>
    <row r="51" spans="1:13" x14ac:dyDescent="0.3">
      <c r="A51" s="336" t="s">
        <v>329</v>
      </c>
      <c r="B51" s="337"/>
      <c r="C51" s="337"/>
      <c r="D51" s="337"/>
      <c r="E51" s="337"/>
      <c r="F51" s="337"/>
      <c r="G51" s="337"/>
      <c r="H51" s="338"/>
      <c r="I51" s="338"/>
      <c r="M51" s="162"/>
    </row>
    <row r="52" spans="1:13" x14ac:dyDescent="0.3">
      <c r="A52" s="338" t="s">
        <v>789</v>
      </c>
      <c r="B52" s="337"/>
      <c r="C52" s="337"/>
      <c r="D52" s="337"/>
      <c r="E52" s="337"/>
      <c r="F52" s="337"/>
      <c r="G52" s="337"/>
      <c r="H52" s="338"/>
      <c r="I52" s="338"/>
      <c r="M52" s="162"/>
    </row>
    <row r="53" spans="1:13" x14ac:dyDescent="0.3">
      <c r="A53" t="s">
        <v>790</v>
      </c>
      <c r="B53" s="159"/>
      <c r="C53" s="159"/>
      <c r="D53" s="159"/>
      <c r="E53" s="159"/>
      <c r="F53" s="159"/>
      <c r="G53" s="159"/>
      <c r="H53" s="23"/>
      <c r="I53" s="23"/>
      <c r="M53" s="162"/>
    </row>
    <row r="54" spans="1:13" x14ac:dyDescent="0.3">
      <c r="A54" s="15"/>
      <c r="B54" s="159"/>
      <c r="C54" s="159"/>
      <c r="D54" s="159"/>
      <c r="E54" s="159"/>
      <c r="F54" s="159"/>
      <c r="G54" s="159"/>
      <c r="H54" s="23"/>
      <c r="I54" s="23"/>
      <c r="M54" s="792"/>
    </row>
    <row r="55" spans="1:13" x14ac:dyDescent="0.3">
      <c r="M55" s="419"/>
    </row>
  </sheetData>
  <sheetProtection algorithmName="SHA-512" hashValue="M0Y64gGx8laYflA+bfPU9s6sXKTWm1khdP092rWsO0DgFmezLvjq2ZGycELYcWtaHBoNXX9E7XCIpVOpaM1t2A==" saltValue="XaqHe4eLUdYwB9EkxSFM+w==" spinCount="100000" sheet="1" formatCells="0" sort="0" autoFilter="0" pivotTables="0"/>
  <mergeCells count="3">
    <mergeCell ref="A4:I4"/>
    <mergeCell ref="A31:I31"/>
    <mergeCell ref="A1:C1"/>
  </mergeCells>
  <phoneticPr fontId="34" type="noConversion"/>
  <hyperlinks>
    <hyperlink ref="A2" location="'Table of Contents'!A1" display="Back to Table of Contents" xr:uid="{00000000-0004-0000-6100-000000000000}"/>
  </hyperlinks>
  <pageMargins left="0.70866141732283472" right="0.70866141732283472" top="0.74803149606299213" bottom="0.74803149606299213" header="0.31496062992125984" footer="0.31496062992125984"/>
  <pageSetup paperSize="9" scale="81" orientation="portrait" r:id="rId1"/>
  <drawing r:id="rId2"/>
  <extLst>
    <ext xmlns:x14="http://schemas.microsoft.com/office/spreadsheetml/2009/9/main" uri="{A8765BA9-456A-4dab-B4F3-ACF838C121DE}">
      <x14:slicerList>
        <x14:slicer r:id="rId3"/>
      </x14:slicerList>
    </ext>
  </extLst>
</worksheet>
</file>

<file path=xl/worksheets/sheet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tabColor theme="9" tint="0.39997558519241921"/>
  </sheetPr>
  <dimension ref="A1:F13"/>
  <sheetViews>
    <sheetView workbookViewId="0">
      <selection activeCell="B7" sqref="B7"/>
    </sheetView>
  </sheetViews>
  <sheetFormatPr defaultRowHeight="14.4" x14ac:dyDescent="0.3"/>
  <cols>
    <col min="1" max="1" width="12.5546875" bestFit="1" customWidth="1"/>
    <col min="2" max="2" width="27.44140625" bestFit="1" customWidth="1"/>
    <col min="3" max="3" width="26.33203125" bestFit="1" customWidth="1"/>
    <col min="4" max="4" width="23" bestFit="1" customWidth="1"/>
    <col min="5" max="5" width="13.77734375" bestFit="1" customWidth="1"/>
    <col min="6" max="6" width="15.88671875" bestFit="1" customWidth="1"/>
  </cols>
  <sheetData>
    <row r="1" spans="1:6" x14ac:dyDescent="0.3">
      <c r="A1" s="386" t="s">
        <v>208</v>
      </c>
      <c r="B1" t="s">
        <v>412</v>
      </c>
    </row>
    <row r="3" spans="1:6" x14ac:dyDescent="0.3">
      <c r="A3" s="386" t="s">
        <v>350</v>
      </c>
      <c r="B3" t="s">
        <v>604</v>
      </c>
      <c r="C3" t="s">
        <v>506</v>
      </c>
      <c r="D3" t="s">
        <v>766</v>
      </c>
      <c r="E3" t="s">
        <v>508</v>
      </c>
      <c r="F3" t="s">
        <v>355</v>
      </c>
    </row>
    <row r="4" spans="1:6" x14ac:dyDescent="0.3">
      <c r="A4" s="387" t="s">
        <v>793</v>
      </c>
      <c r="B4">
        <v>284</v>
      </c>
      <c r="C4">
        <v>331</v>
      </c>
      <c r="D4">
        <v>5</v>
      </c>
      <c r="E4">
        <v>25</v>
      </c>
      <c r="F4">
        <v>36</v>
      </c>
    </row>
    <row r="5" spans="1:6" x14ac:dyDescent="0.3">
      <c r="A5" s="387" t="s">
        <v>794</v>
      </c>
      <c r="B5">
        <v>571</v>
      </c>
      <c r="C5">
        <v>306</v>
      </c>
      <c r="D5">
        <v>16</v>
      </c>
      <c r="E5">
        <v>16</v>
      </c>
      <c r="F5">
        <v>19</v>
      </c>
    </row>
    <row r="6" spans="1:6" x14ac:dyDescent="0.3">
      <c r="A6" s="387" t="s">
        <v>768</v>
      </c>
      <c r="B6">
        <v>735</v>
      </c>
      <c r="C6">
        <v>247</v>
      </c>
      <c r="D6">
        <v>12</v>
      </c>
      <c r="E6">
        <v>17</v>
      </c>
      <c r="F6">
        <v>38</v>
      </c>
    </row>
    <row r="7" spans="1:6" x14ac:dyDescent="0.3">
      <c r="A7" s="387" t="s">
        <v>769</v>
      </c>
      <c r="B7">
        <v>408</v>
      </c>
      <c r="C7">
        <v>198</v>
      </c>
      <c r="D7">
        <v>6</v>
      </c>
      <c r="E7">
        <v>6</v>
      </c>
      <c r="F7">
        <v>22</v>
      </c>
    </row>
    <row r="8" spans="1:6" x14ac:dyDescent="0.3">
      <c r="A8" s="387" t="s">
        <v>770</v>
      </c>
      <c r="B8">
        <v>74</v>
      </c>
      <c r="C8">
        <v>104</v>
      </c>
      <c r="D8">
        <v>6</v>
      </c>
      <c r="E8">
        <v>8</v>
      </c>
      <c r="F8">
        <v>19</v>
      </c>
    </row>
    <row r="9" spans="1:6" x14ac:dyDescent="0.3">
      <c r="A9" s="387" t="s">
        <v>771</v>
      </c>
      <c r="B9">
        <v>17</v>
      </c>
      <c r="C9">
        <v>80</v>
      </c>
      <c r="D9">
        <v>8</v>
      </c>
      <c r="E9">
        <v>6</v>
      </c>
      <c r="F9">
        <v>13</v>
      </c>
    </row>
    <row r="10" spans="1:6" x14ac:dyDescent="0.3">
      <c r="A10" s="387" t="s">
        <v>795</v>
      </c>
      <c r="B10">
        <v>745</v>
      </c>
      <c r="C10">
        <v>619</v>
      </c>
      <c r="D10">
        <v>4</v>
      </c>
      <c r="E10">
        <v>40</v>
      </c>
      <c r="F10">
        <v>44</v>
      </c>
    </row>
    <row r="11" spans="1:6" x14ac:dyDescent="0.3">
      <c r="A11" s="387" t="s">
        <v>796</v>
      </c>
      <c r="B11">
        <v>4</v>
      </c>
      <c r="C11">
        <v>35</v>
      </c>
      <c r="D11">
        <v>3</v>
      </c>
      <c r="F11">
        <v>3</v>
      </c>
    </row>
    <row r="12" spans="1:6" x14ac:dyDescent="0.3">
      <c r="A12" s="387" t="s">
        <v>797</v>
      </c>
      <c r="B12">
        <v>593</v>
      </c>
      <c r="C12">
        <v>827</v>
      </c>
      <c r="E12">
        <v>59</v>
      </c>
      <c r="F12">
        <v>58</v>
      </c>
    </row>
    <row r="13" spans="1:6" x14ac:dyDescent="0.3">
      <c r="A13" s="387" t="s">
        <v>357</v>
      </c>
      <c r="B13">
        <v>3431</v>
      </c>
      <c r="C13">
        <v>2747</v>
      </c>
      <c r="D13">
        <v>60</v>
      </c>
      <c r="E13">
        <v>177</v>
      </c>
      <c r="F13">
        <v>252</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tabColor theme="9" tint="0.39997558519241921"/>
  </sheetPr>
  <dimension ref="A1:G82"/>
  <sheetViews>
    <sheetView topLeftCell="A55" workbookViewId="0">
      <selection activeCell="C12" sqref="C12"/>
    </sheetView>
  </sheetViews>
  <sheetFormatPr defaultRowHeight="14.4" x14ac:dyDescent="0.3"/>
  <cols>
    <col min="1" max="1" width="7.6640625" bestFit="1" customWidth="1"/>
    <col min="2" max="2" width="22.44140625" bestFit="1" customWidth="1"/>
    <col min="3" max="3" width="24.109375" bestFit="1" customWidth="1"/>
    <col min="4" max="4" width="22.33203125" bestFit="1" customWidth="1"/>
    <col min="5" max="5" width="19.5546875" bestFit="1" customWidth="1"/>
    <col min="6" max="6" width="9.5546875" bestFit="1" customWidth="1"/>
    <col min="7" max="7" width="11.88671875" bestFit="1" customWidth="1"/>
  </cols>
  <sheetData>
    <row r="1" spans="1:7" x14ac:dyDescent="0.3">
      <c r="A1" t="s">
        <v>208</v>
      </c>
      <c r="B1" t="s">
        <v>798</v>
      </c>
      <c r="C1" t="s">
        <v>517</v>
      </c>
      <c r="D1" t="s">
        <v>361</v>
      </c>
      <c r="E1" t="s">
        <v>518</v>
      </c>
      <c r="F1" t="s">
        <v>513</v>
      </c>
      <c r="G1" t="s">
        <v>339</v>
      </c>
    </row>
    <row r="2" spans="1:7" x14ac:dyDescent="0.3">
      <c r="A2" t="s">
        <v>312</v>
      </c>
      <c r="B2" t="s">
        <v>793</v>
      </c>
      <c r="C2">
        <v>742</v>
      </c>
      <c r="D2">
        <v>432</v>
      </c>
      <c r="E2">
        <v>10</v>
      </c>
      <c r="F2">
        <v>25</v>
      </c>
      <c r="G2">
        <v>41</v>
      </c>
    </row>
    <row r="3" spans="1:7" x14ac:dyDescent="0.3">
      <c r="A3" t="s">
        <v>312</v>
      </c>
      <c r="B3" t="s">
        <v>795</v>
      </c>
      <c r="C3">
        <v>330</v>
      </c>
      <c r="D3">
        <v>556</v>
      </c>
      <c r="E3">
        <v>5</v>
      </c>
      <c r="F3">
        <v>26</v>
      </c>
      <c r="G3">
        <v>55</v>
      </c>
    </row>
    <row r="4" spans="1:7" x14ac:dyDescent="0.3">
      <c r="A4" t="s">
        <v>312</v>
      </c>
      <c r="B4" t="s">
        <v>796</v>
      </c>
      <c r="C4">
        <v>4</v>
      </c>
      <c r="D4">
        <v>28</v>
      </c>
      <c r="F4">
        <v>7</v>
      </c>
      <c r="G4">
        <v>4</v>
      </c>
    </row>
    <row r="5" spans="1:7" x14ac:dyDescent="0.3">
      <c r="A5" t="s">
        <v>318</v>
      </c>
      <c r="B5" t="s">
        <v>770</v>
      </c>
      <c r="C5">
        <v>82</v>
      </c>
      <c r="D5">
        <v>155</v>
      </c>
      <c r="E5">
        <v>7</v>
      </c>
      <c r="F5">
        <v>21</v>
      </c>
      <c r="G5">
        <v>14</v>
      </c>
    </row>
    <row r="6" spans="1:7" x14ac:dyDescent="0.3">
      <c r="A6" t="s">
        <v>318</v>
      </c>
      <c r="B6" t="s">
        <v>795</v>
      </c>
      <c r="C6">
        <v>287</v>
      </c>
      <c r="D6">
        <v>532</v>
      </c>
      <c r="E6">
        <v>6</v>
      </c>
      <c r="F6">
        <v>39</v>
      </c>
      <c r="G6">
        <v>60</v>
      </c>
    </row>
    <row r="7" spans="1:7" x14ac:dyDescent="0.3">
      <c r="A7" t="s">
        <v>326</v>
      </c>
      <c r="B7" t="s">
        <v>770</v>
      </c>
      <c r="C7">
        <v>64</v>
      </c>
      <c r="D7">
        <v>138</v>
      </c>
      <c r="E7">
        <v>6</v>
      </c>
      <c r="F7">
        <v>10</v>
      </c>
      <c r="G7">
        <v>14</v>
      </c>
    </row>
    <row r="8" spans="1:7" x14ac:dyDescent="0.3">
      <c r="A8" t="s">
        <v>412</v>
      </c>
      <c r="B8" t="s">
        <v>797</v>
      </c>
      <c r="C8">
        <v>593</v>
      </c>
      <c r="D8">
        <v>827</v>
      </c>
      <c r="F8">
        <v>59</v>
      </c>
      <c r="G8">
        <v>58</v>
      </c>
    </row>
    <row r="9" spans="1:7" x14ac:dyDescent="0.3">
      <c r="A9" t="s">
        <v>342</v>
      </c>
      <c r="B9" t="s">
        <v>797</v>
      </c>
      <c r="C9">
        <v>213</v>
      </c>
      <c r="D9">
        <v>691</v>
      </c>
      <c r="F9">
        <v>56</v>
      </c>
      <c r="G9">
        <v>97</v>
      </c>
    </row>
    <row r="10" spans="1:7" x14ac:dyDescent="0.3">
      <c r="A10" t="s">
        <v>213</v>
      </c>
      <c r="B10" t="s">
        <v>796</v>
      </c>
      <c r="C10">
        <v>3</v>
      </c>
      <c r="D10">
        <v>23</v>
      </c>
      <c r="F10">
        <v>4</v>
      </c>
      <c r="G10">
        <v>4</v>
      </c>
    </row>
    <row r="11" spans="1:7" x14ac:dyDescent="0.3">
      <c r="A11" t="s">
        <v>318</v>
      </c>
      <c r="B11" t="s">
        <v>796</v>
      </c>
      <c r="C11">
        <v>2</v>
      </c>
      <c r="D11">
        <v>27</v>
      </c>
      <c r="F11">
        <v>3</v>
      </c>
      <c r="G11">
        <v>5</v>
      </c>
    </row>
    <row r="12" spans="1:7" x14ac:dyDescent="0.3">
      <c r="A12" t="s">
        <v>325</v>
      </c>
      <c r="B12" t="s">
        <v>771</v>
      </c>
      <c r="C12">
        <v>6</v>
      </c>
      <c r="D12">
        <v>78</v>
      </c>
      <c r="E12">
        <v>8</v>
      </c>
      <c r="F12">
        <v>11</v>
      </c>
      <c r="G12">
        <v>10</v>
      </c>
    </row>
    <row r="13" spans="1:7" x14ac:dyDescent="0.3">
      <c r="A13" t="s">
        <v>326</v>
      </c>
      <c r="B13" t="s">
        <v>793</v>
      </c>
      <c r="C13">
        <v>329</v>
      </c>
      <c r="D13">
        <v>399</v>
      </c>
      <c r="E13">
        <v>8</v>
      </c>
      <c r="F13">
        <v>19</v>
      </c>
      <c r="G13">
        <v>33</v>
      </c>
    </row>
    <row r="14" spans="1:7" x14ac:dyDescent="0.3">
      <c r="A14" t="s">
        <v>328</v>
      </c>
      <c r="B14" t="s">
        <v>768</v>
      </c>
      <c r="C14">
        <v>704</v>
      </c>
      <c r="D14">
        <v>262</v>
      </c>
      <c r="E14">
        <v>11</v>
      </c>
      <c r="F14">
        <v>18</v>
      </c>
      <c r="G14">
        <v>35</v>
      </c>
    </row>
    <row r="15" spans="1:7" x14ac:dyDescent="0.3">
      <c r="A15" t="s">
        <v>412</v>
      </c>
      <c r="B15" t="s">
        <v>768</v>
      </c>
      <c r="C15">
        <v>735</v>
      </c>
      <c r="D15">
        <v>247</v>
      </c>
      <c r="E15">
        <v>12</v>
      </c>
      <c r="F15">
        <v>17</v>
      </c>
      <c r="G15">
        <v>38</v>
      </c>
    </row>
    <row r="16" spans="1:7" x14ac:dyDescent="0.3">
      <c r="A16" t="s">
        <v>312</v>
      </c>
      <c r="B16" t="s">
        <v>797</v>
      </c>
      <c r="C16">
        <v>536</v>
      </c>
      <c r="D16">
        <v>801</v>
      </c>
      <c r="E16">
        <v>1</v>
      </c>
      <c r="F16">
        <v>54</v>
      </c>
      <c r="G16">
        <v>97</v>
      </c>
    </row>
    <row r="17" spans="1:7" x14ac:dyDescent="0.3">
      <c r="A17" t="s">
        <v>318</v>
      </c>
      <c r="B17" t="s">
        <v>769</v>
      </c>
      <c r="C17">
        <v>498</v>
      </c>
      <c r="D17">
        <v>212</v>
      </c>
      <c r="E17">
        <v>6</v>
      </c>
      <c r="F17">
        <v>16</v>
      </c>
      <c r="G17">
        <v>23</v>
      </c>
    </row>
    <row r="18" spans="1:7" x14ac:dyDescent="0.3">
      <c r="A18" t="s">
        <v>318</v>
      </c>
      <c r="B18" t="s">
        <v>771</v>
      </c>
      <c r="C18">
        <v>2</v>
      </c>
      <c r="D18">
        <v>66</v>
      </c>
      <c r="E18">
        <v>4</v>
      </c>
      <c r="F18">
        <v>5</v>
      </c>
      <c r="G18">
        <v>3</v>
      </c>
    </row>
    <row r="19" spans="1:7" x14ac:dyDescent="0.3">
      <c r="A19" t="s">
        <v>320</v>
      </c>
      <c r="B19" t="s">
        <v>768</v>
      </c>
      <c r="C19">
        <v>703</v>
      </c>
      <c r="D19">
        <v>313</v>
      </c>
      <c r="E19">
        <v>5</v>
      </c>
      <c r="F19">
        <v>11</v>
      </c>
      <c r="G19">
        <v>43</v>
      </c>
    </row>
    <row r="20" spans="1:7" x14ac:dyDescent="0.3">
      <c r="A20" t="s">
        <v>325</v>
      </c>
      <c r="B20" t="s">
        <v>797</v>
      </c>
      <c r="C20">
        <v>665</v>
      </c>
      <c r="D20">
        <v>703</v>
      </c>
      <c r="E20">
        <v>1</v>
      </c>
      <c r="F20">
        <v>38</v>
      </c>
      <c r="G20">
        <v>43</v>
      </c>
    </row>
    <row r="21" spans="1:7" x14ac:dyDescent="0.3">
      <c r="A21" t="s">
        <v>326</v>
      </c>
      <c r="B21" t="s">
        <v>768</v>
      </c>
      <c r="C21">
        <v>692</v>
      </c>
      <c r="D21">
        <v>275</v>
      </c>
      <c r="E21">
        <v>10</v>
      </c>
      <c r="F21">
        <v>14</v>
      </c>
      <c r="G21">
        <v>35</v>
      </c>
    </row>
    <row r="22" spans="1:7" x14ac:dyDescent="0.3">
      <c r="A22" t="s">
        <v>326</v>
      </c>
      <c r="B22" t="s">
        <v>796</v>
      </c>
      <c r="C22">
        <v>4</v>
      </c>
      <c r="D22">
        <v>26</v>
      </c>
      <c r="E22">
        <v>1</v>
      </c>
      <c r="G22">
        <v>3</v>
      </c>
    </row>
    <row r="23" spans="1:7" x14ac:dyDescent="0.3">
      <c r="A23" t="s">
        <v>328</v>
      </c>
      <c r="B23" t="s">
        <v>795</v>
      </c>
      <c r="C23">
        <v>655</v>
      </c>
      <c r="D23">
        <v>600</v>
      </c>
      <c r="E23">
        <v>5</v>
      </c>
      <c r="F23">
        <v>43</v>
      </c>
      <c r="G23">
        <v>53</v>
      </c>
    </row>
    <row r="24" spans="1:7" x14ac:dyDescent="0.3">
      <c r="A24" t="s">
        <v>412</v>
      </c>
      <c r="B24" t="s">
        <v>795</v>
      </c>
      <c r="C24">
        <v>745</v>
      </c>
      <c r="D24">
        <v>619</v>
      </c>
      <c r="E24">
        <v>4</v>
      </c>
      <c r="F24">
        <v>40</v>
      </c>
      <c r="G24">
        <v>44</v>
      </c>
    </row>
    <row r="25" spans="1:7" x14ac:dyDescent="0.3">
      <c r="A25" t="s">
        <v>342</v>
      </c>
      <c r="B25" t="s">
        <v>771</v>
      </c>
      <c r="C25">
        <v>7</v>
      </c>
      <c r="D25">
        <v>47</v>
      </c>
      <c r="F25">
        <v>11</v>
      </c>
      <c r="G25">
        <v>4</v>
      </c>
    </row>
    <row r="26" spans="1:7" x14ac:dyDescent="0.3">
      <c r="A26" t="s">
        <v>213</v>
      </c>
      <c r="B26" t="s">
        <v>769</v>
      </c>
      <c r="C26">
        <v>551</v>
      </c>
      <c r="D26">
        <v>246</v>
      </c>
      <c r="E26">
        <v>2</v>
      </c>
      <c r="F26">
        <v>19</v>
      </c>
      <c r="G26">
        <v>22</v>
      </c>
    </row>
    <row r="27" spans="1:7" x14ac:dyDescent="0.3">
      <c r="A27" t="s">
        <v>213</v>
      </c>
      <c r="B27" t="s">
        <v>770</v>
      </c>
      <c r="C27">
        <v>99</v>
      </c>
      <c r="D27">
        <v>155</v>
      </c>
      <c r="E27">
        <v>3</v>
      </c>
      <c r="F27">
        <v>19</v>
      </c>
      <c r="G27">
        <v>15</v>
      </c>
    </row>
    <row r="28" spans="1:7" x14ac:dyDescent="0.3">
      <c r="A28" t="s">
        <v>213</v>
      </c>
      <c r="B28" t="s">
        <v>771</v>
      </c>
      <c r="C28">
        <v>4</v>
      </c>
      <c r="D28">
        <v>52</v>
      </c>
      <c r="E28">
        <v>1</v>
      </c>
      <c r="F28">
        <v>9</v>
      </c>
      <c r="G28">
        <v>1</v>
      </c>
    </row>
    <row r="29" spans="1:7" x14ac:dyDescent="0.3">
      <c r="A29" t="s">
        <v>312</v>
      </c>
      <c r="B29" t="s">
        <v>794</v>
      </c>
      <c r="C29">
        <v>784</v>
      </c>
      <c r="D29">
        <v>395</v>
      </c>
      <c r="E29">
        <v>5</v>
      </c>
      <c r="F29">
        <v>23</v>
      </c>
      <c r="G29">
        <v>43</v>
      </c>
    </row>
    <row r="30" spans="1:7" x14ac:dyDescent="0.3">
      <c r="A30" t="s">
        <v>318</v>
      </c>
      <c r="B30" t="s">
        <v>794</v>
      </c>
      <c r="C30">
        <v>807</v>
      </c>
      <c r="D30">
        <v>376</v>
      </c>
      <c r="E30">
        <v>10</v>
      </c>
      <c r="F30">
        <v>23</v>
      </c>
      <c r="G30">
        <v>49</v>
      </c>
    </row>
    <row r="31" spans="1:7" x14ac:dyDescent="0.3">
      <c r="A31" t="s">
        <v>320</v>
      </c>
      <c r="B31" t="s">
        <v>793</v>
      </c>
      <c r="C31">
        <v>620</v>
      </c>
      <c r="D31">
        <v>404</v>
      </c>
      <c r="E31">
        <v>8</v>
      </c>
      <c r="F31">
        <v>18</v>
      </c>
      <c r="G31">
        <v>34</v>
      </c>
    </row>
    <row r="32" spans="1:7" x14ac:dyDescent="0.3">
      <c r="A32" t="s">
        <v>320</v>
      </c>
      <c r="B32" t="s">
        <v>796</v>
      </c>
      <c r="C32">
        <v>2</v>
      </c>
      <c r="D32">
        <v>26</v>
      </c>
      <c r="G32">
        <v>3</v>
      </c>
    </row>
    <row r="33" spans="1:7" x14ac:dyDescent="0.3">
      <c r="A33" t="s">
        <v>320</v>
      </c>
      <c r="B33" t="s">
        <v>797</v>
      </c>
      <c r="C33">
        <v>617</v>
      </c>
      <c r="D33">
        <v>698</v>
      </c>
      <c r="E33">
        <v>2</v>
      </c>
      <c r="F33">
        <v>37</v>
      </c>
      <c r="G33">
        <v>54</v>
      </c>
    </row>
    <row r="34" spans="1:7" x14ac:dyDescent="0.3">
      <c r="A34" t="s">
        <v>325</v>
      </c>
      <c r="B34" t="s">
        <v>770</v>
      </c>
      <c r="C34">
        <v>64</v>
      </c>
      <c r="D34">
        <v>155</v>
      </c>
      <c r="E34">
        <v>6</v>
      </c>
      <c r="F34">
        <v>10</v>
      </c>
      <c r="G34">
        <v>15</v>
      </c>
    </row>
    <row r="35" spans="1:7" x14ac:dyDescent="0.3">
      <c r="A35" t="s">
        <v>326</v>
      </c>
      <c r="B35" t="s">
        <v>771</v>
      </c>
      <c r="C35">
        <v>8</v>
      </c>
      <c r="D35">
        <v>81</v>
      </c>
      <c r="E35">
        <v>8</v>
      </c>
      <c r="F35">
        <v>11</v>
      </c>
      <c r="G35">
        <v>13</v>
      </c>
    </row>
    <row r="36" spans="1:7" x14ac:dyDescent="0.3">
      <c r="A36" t="s">
        <v>328</v>
      </c>
      <c r="B36" t="s">
        <v>770</v>
      </c>
      <c r="C36">
        <v>50</v>
      </c>
      <c r="D36">
        <v>115</v>
      </c>
      <c r="E36">
        <v>7</v>
      </c>
      <c r="F36">
        <v>8</v>
      </c>
      <c r="G36">
        <v>14</v>
      </c>
    </row>
    <row r="37" spans="1:7" x14ac:dyDescent="0.3">
      <c r="A37" t="s">
        <v>328</v>
      </c>
      <c r="B37" t="s">
        <v>796</v>
      </c>
      <c r="C37">
        <v>4</v>
      </c>
      <c r="D37">
        <v>28</v>
      </c>
      <c r="E37">
        <v>3</v>
      </c>
      <c r="G37">
        <v>2</v>
      </c>
    </row>
    <row r="38" spans="1:7" x14ac:dyDescent="0.3">
      <c r="A38" t="s">
        <v>328</v>
      </c>
      <c r="B38" t="s">
        <v>797</v>
      </c>
      <c r="C38">
        <v>625</v>
      </c>
      <c r="D38">
        <v>765</v>
      </c>
      <c r="E38">
        <v>1</v>
      </c>
      <c r="F38">
        <v>49</v>
      </c>
      <c r="G38">
        <v>66</v>
      </c>
    </row>
    <row r="39" spans="1:7" x14ac:dyDescent="0.3">
      <c r="A39" t="s">
        <v>412</v>
      </c>
      <c r="B39" t="s">
        <v>771</v>
      </c>
      <c r="C39">
        <v>17</v>
      </c>
      <c r="D39">
        <v>80</v>
      </c>
      <c r="E39">
        <v>8</v>
      </c>
      <c r="F39">
        <v>6</v>
      </c>
      <c r="G39">
        <v>13</v>
      </c>
    </row>
    <row r="40" spans="1:7" x14ac:dyDescent="0.3">
      <c r="A40" t="s">
        <v>342</v>
      </c>
      <c r="B40" t="s">
        <v>795</v>
      </c>
      <c r="C40">
        <v>447</v>
      </c>
      <c r="D40">
        <v>572</v>
      </c>
      <c r="F40">
        <v>17</v>
      </c>
      <c r="G40">
        <v>64</v>
      </c>
    </row>
    <row r="41" spans="1:7" x14ac:dyDescent="0.3">
      <c r="A41" t="s">
        <v>213</v>
      </c>
      <c r="B41" t="s">
        <v>793</v>
      </c>
      <c r="C41">
        <v>879</v>
      </c>
      <c r="D41">
        <v>439</v>
      </c>
      <c r="E41">
        <v>3</v>
      </c>
      <c r="F41">
        <v>30</v>
      </c>
      <c r="G41">
        <v>47</v>
      </c>
    </row>
    <row r="42" spans="1:7" x14ac:dyDescent="0.3">
      <c r="A42" t="s">
        <v>312</v>
      </c>
      <c r="B42" t="s">
        <v>768</v>
      </c>
      <c r="C42">
        <v>641</v>
      </c>
      <c r="D42">
        <v>289</v>
      </c>
      <c r="E42">
        <v>5</v>
      </c>
      <c r="F42">
        <v>15</v>
      </c>
      <c r="G42">
        <v>36</v>
      </c>
    </row>
    <row r="43" spans="1:7" x14ac:dyDescent="0.3">
      <c r="A43" t="s">
        <v>318</v>
      </c>
      <c r="B43" t="s">
        <v>797</v>
      </c>
      <c r="C43">
        <v>595</v>
      </c>
      <c r="D43">
        <v>791</v>
      </c>
      <c r="E43">
        <v>3</v>
      </c>
      <c r="F43">
        <v>44</v>
      </c>
      <c r="G43">
        <v>78</v>
      </c>
    </row>
    <row r="44" spans="1:7" x14ac:dyDescent="0.3">
      <c r="A44" t="s">
        <v>320</v>
      </c>
      <c r="B44" t="s">
        <v>769</v>
      </c>
      <c r="C44">
        <v>456</v>
      </c>
      <c r="D44">
        <v>188</v>
      </c>
      <c r="E44">
        <v>6</v>
      </c>
      <c r="F44">
        <v>12</v>
      </c>
      <c r="G44">
        <v>14</v>
      </c>
    </row>
    <row r="45" spans="1:7" x14ac:dyDescent="0.3">
      <c r="A45" t="s">
        <v>325</v>
      </c>
      <c r="B45" t="s">
        <v>768</v>
      </c>
      <c r="C45">
        <v>714</v>
      </c>
      <c r="D45">
        <v>299</v>
      </c>
      <c r="E45">
        <v>8</v>
      </c>
      <c r="F45">
        <v>14</v>
      </c>
      <c r="G45">
        <v>40</v>
      </c>
    </row>
    <row r="46" spans="1:7" x14ac:dyDescent="0.3">
      <c r="A46" t="s">
        <v>325</v>
      </c>
      <c r="B46" t="s">
        <v>769</v>
      </c>
      <c r="C46">
        <v>323</v>
      </c>
      <c r="D46">
        <v>172</v>
      </c>
      <c r="E46">
        <v>7</v>
      </c>
      <c r="F46">
        <v>9</v>
      </c>
      <c r="G46">
        <v>19</v>
      </c>
    </row>
    <row r="47" spans="1:7" x14ac:dyDescent="0.3">
      <c r="A47" t="s">
        <v>325</v>
      </c>
      <c r="B47" t="s">
        <v>795</v>
      </c>
      <c r="C47">
        <v>482</v>
      </c>
      <c r="D47">
        <v>584</v>
      </c>
      <c r="E47">
        <v>3</v>
      </c>
      <c r="F47">
        <v>50</v>
      </c>
      <c r="G47">
        <v>60</v>
      </c>
    </row>
    <row r="48" spans="1:7" x14ac:dyDescent="0.3">
      <c r="A48" t="s">
        <v>326</v>
      </c>
      <c r="B48" t="s">
        <v>794</v>
      </c>
      <c r="C48">
        <v>812</v>
      </c>
      <c r="D48">
        <v>299</v>
      </c>
      <c r="E48">
        <v>12</v>
      </c>
      <c r="F48">
        <v>25</v>
      </c>
      <c r="G48">
        <v>35</v>
      </c>
    </row>
    <row r="49" spans="1:7" x14ac:dyDescent="0.3">
      <c r="A49" t="s">
        <v>328</v>
      </c>
      <c r="B49" t="s">
        <v>769</v>
      </c>
      <c r="C49">
        <v>380</v>
      </c>
      <c r="D49">
        <v>175</v>
      </c>
      <c r="E49">
        <v>6</v>
      </c>
      <c r="F49">
        <v>7</v>
      </c>
      <c r="G49">
        <v>26</v>
      </c>
    </row>
    <row r="50" spans="1:7" x14ac:dyDescent="0.3">
      <c r="A50" t="s">
        <v>412</v>
      </c>
      <c r="B50" t="s">
        <v>770</v>
      </c>
      <c r="C50">
        <v>74</v>
      </c>
      <c r="D50">
        <v>104</v>
      </c>
      <c r="E50">
        <v>6</v>
      </c>
      <c r="F50">
        <v>8</v>
      </c>
      <c r="G50">
        <v>19</v>
      </c>
    </row>
    <row r="51" spans="1:7" x14ac:dyDescent="0.3">
      <c r="A51" t="s">
        <v>342</v>
      </c>
      <c r="B51" t="s">
        <v>793</v>
      </c>
      <c r="C51">
        <v>814</v>
      </c>
      <c r="D51">
        <v>434</v>
      </c>
      <c r="F51">
        <v>26</v>
      </c>
      <c r="G51">
        <v>51</v>
      </c>
    </row>
    <row r="52" spans="1:7" x14ac:dyDescent="0.3">
      <c r="A52" t="s">
        <v>213</v>
      </c>
      <c r="B52" t="s">
        <v>768</v>
      </c>
      <c r="C52">
        <v>589</v>
      </c>
      <c r="D52">
        <v>291</v>
      </c>
      <c r="E52">
        <v>3</v>
      </c>
      <c r="F52">
        <v>18</v>
      </c>
      <c r="G52">
        <v>25</v>
      </c>
    </row>
    <row r="53" spans="1:7" x14ac:dyDescent="0.3">
      <c r="A53" t="s">
        <v>213</v>
      </c>
      <c r="B53" t="s">
        <v>795</v>
      </c>
      <c r="C53">
        <v>325</v>
      </c>
      <c r="D53">
        <v>580</v>
      </c>
      <c r="E53">
        <v>1</v>
      </c>
      <c r="F53">
        <v>27</v>
      </c>
      <c r="G53">
        <v>53</v>
      </c>
    </row>
    <row r="54" spans="1:7" x14ac:dyDescent="0.3">
      <c r="A54" t="s">
        <v>312</v>
      </c>
      <c r="B54" t="s">
        <v>771</v>
      </c>
      <c r="C54">
        <v>5</v>
      </c>
      <c r="D54">
        <v>57</v>
      </c>
      <c r="E54">
        <v>3</v>
      </c>
      <c r="F54">
        <v>3</v>
      </c>
      <c r="G54">
        <v>2</v>
      </c>
    </row>
    <row r="55" spans="1:7" x14ac:dyDescent="0.3">
      <c r="A55" t="s">
        <v>320</v>
      </c>
      <c r="B55" t="s">
        <v>770</v>
      </c>
      <c r="C55">
        <v>84</v>
      </c>
      <c r="D55">
        <v>159</v>
      </c>
      <c r="E55">
        <v>8</v>
      </c>
      <c r="F55">
        <v>19</v>
      </c>
      <c r="G55">
        <v>17</v>
      </c>
    </row>
    <row r="56" spans="1:7" x14ac:dyDescent="0.3">
      <c r="A56" t="s">
        <v>328</v>
      </c>
      <c r="B56" t="s">
        <v>793</v>
      </c>
      <c r="C56">
        <v>319</v>
      </c>
      <c r="D56">
        <v>361</v>
      </c>
      <c r="E56">
        <v>5</v>
      </c>
      <c r="F56">
        <v>18</v>
      </c>
      <c r="G56">
        <v>32</v>
      </c>
    </row>
    <row r="57" spans="1:7" x14ac:dyDescent="0.3">
      <c r="A57" t="s">
        <v>342</v>
      </c>
      <c r="B57" t="s">
        <v>794</v>
      </c>
      <c r="C57">
        <v>789</v>
      </c>
      <c r="D57">
        <v>429</v>
      </c>
      <c r="F57">
        <v>22</v>
      </c>
      <c r="G57">
        <v>54</v>
      </c>
    </row>
    <row r="58" spans="1:7" x14ac:dyDescent="0.3">
      <c r="A58" t="s">
        <v>342</v>
      </c>
      <c r="B58" t="s">
        <v>768</v>
      </c>
      <c r="C58">
        <v>581</v>
      </c>
      <c r="D58">
        <v>272</v>
      </c>
      <c r="F58">
        <v>15</v>
      </c>
      <c r="G58">
        <v>23</v>
      </c>
    </row>
    <row r="59" spans="1:7" x14ac:dyDescent="0.3">
      <c r="A59" t="s">
        <v>342</v>
      </c>
      <c r="B59" t="s">
        <v>770</v>
      </c>
      <c r="C59">
        <v>109</v>
      </c>
      <c r="D59">
        <v>134</v>
      </c>
      <c r="F59">
        <v>16</v>
      </c>
      <c r="G59">
        <v>12</v>
      </c>
    </row>
    <row r="60" spans="1:7" x14ac:dyDescent="0.3">
      <c r="A60" t="s">
        <v>342</v>
      </c>
      <c r="B60" t="s">
        <v>796</v>
      </c>
      <c r="C60">
        <v>1</v>
      </c>
      <c r="D60">
        <v>22</v>
      </c>
      <c r="F60">
        <v>5</v>
      </c>
      <c r="G60">
        <v>2</v>
      </c>
    </row>
    <row r="61" spans="1:7" x14ac:dyDescent="0.3">
      <c r="A61" t="s">
        <v>312</v>
      </c>
      <c r="B61" t="s">
        <v>769</v>
      </c>
      <c r="C61">
        <v>516</v>
      </c>
      <c r="D61">
        <v>223</v>
      </c>
      <c r="E61">
        <v>3</v>
      </c>
      <c r="F61">
        <v>15</v>
      </c>
      <c r="G61">
        <v>21</v>
      </c>
    </row>
    <row r="62" spans="1:7" x14ac:dyDescent="0.3">
      <c r="A62" t="s">
        <v>325</v>
      </c>
      <c r="B62" t="s">
        <v>793</v>
      </c>
      <c r="C62">
        <v>457</v>
      </c>
      <c r="D62">
        <v>404</v>
      </c>
      <c r="E62">
        <v>9</v>
      </c>
      <c r="F62">
        <v>17</v>
      </c>
      <c r="G62">
        <v>39</v>
      </c>
    </row>
    <row r="63" spans="1:7" x14ac:dyDescent="0.3">
      <c r="A63" t="s">
        <v>326</v>
      </c>
      <c r="B63" t="s">
        <v>769</v>
      </c>
      <c r="C63">
        <v>342</v>
      </c>
      <c r="D63">
        <v>170</v>
      </c>
      <c r="E63">
        <v>6</v>
      </c>
      <c r="F63">
        <v>9</v>
      </c>
      <c r="G63">
        <v>22</v>
      </c>
    </row>
    <row r="64" spans="1:7" x14ac:dyDescent="0.3">
      <c r="A64" t="s">
        <v>326</v>
      </c>
      <c r="B64" t="s">
        <v>795</v>
      </c>
      <c r="C64">
        <v>574</v>
      </c>
      <c r="D64">
        <v>604</v>
      </c>
      <c r="E64">
        <v>3</v>
      </c>
      <c r="F64">
        <v>46</v>
      </c>
      <c r="G64">
        <v>67</v>
      </c>
    </row>
    <row r="65" spans="1:7" x14ac:dyDescent="0.3">
      <c r="A65" t="s">
        <v>326</v>
      </c>
      <c r="B65" t="s">
        <v>797</v>
      </c>
      <c r="C65">
        <v>597</v>
      </c>
      <c r="D65">
        <v>716</v>
      </c>
      <c r="E65">
        <v>1</v>
      </c>
      <c r="F65">
        <v>37</v>
      </c>
      <c r="G65">
        <v>47</v>
      </c>
    </row>
    <row r="66" spans="1:7" x14ac:dyDescent="0.3">
      <c r="A66" t="s">
        <v>328</v>
      </c>
      <c r="B66" t="s">
        <v>771</v>
      </c>
      <c r="C66">
        <v>11</v>
      </c>
      <c r="D66">
        <v>84</v>
      </c>
      <c r="E66">
        <v>6</v>
      </c>
      <c r="F66">
        <v>9</v>
      </c>
      <c r="G66">
        <v>15</v>
      </c>
    </row>
    <row r="67" spans="1:7" x14ac:dyDescent="0.3">
      <c r="A67" t="s">
        <v>412</v>
      </c>
      <c r="B67" t="s">
        <v>793</v>
      </c>
      <c r="C67">
        <v>284</v>
      </c>
      <c r="D67">
        <v>331</v>
      </c>
      <c r="E67">
        <v>5</v>
      </c>
      <c r="F67">
        <v>25</v>
      </c>
      <c r="G67">
        <v>36</v>
      </c>
    </row>
    <row r="68" spans="1:7" x14ac:dyDescent="0.3">
      <c r="A68" t="s">
        <v>412</v>
      </c>
      <c r="B68" t="s">
        <v>794</v>
      </c>
      <c r="C68">
        <v>571</v>
      </c>
      <c r="D68">
        <v>306</v>
      </c>
      <c r="E68">
        <v>16</v>
      </c>
      <c r="F68">
        <v>16</v>
      </c>
      <c r="G68">
        <v>19</v>
      </c>
    </row>
    <row r="69" spans="1:7" x14ac:dyDescent="0.3">
      <c r="A69" t="s">
        <v>412</v>
      </c>
      <c r="B69" t="s">
        <v>769</v>
      </c>
      <c r="C69">
        <v>408</v>
      </c>
      <c r="D69">
        <v>198</v>
      </c>
      <c r="E69">
        <v>6</v>
      </c>
      <c r="F69">
        <v>6</v>
      </c>
      <c r="G69">
        <v>22</v>
      </c>
    </row>
    <row r="70" spans="1:7" x14ac:dyDescent="0.3">
      <c r="A70" t="s">
        <v>342</v>
      </c>
      <c r="B70" t="s">
        <v>769</v>
      </c>
      <c r="C70">
        <v>585</v>
      </c>
      <c r="D70">
        <v>262</v>
      </c>
      <c r="F70">
        <v>21</v>
      </c>
      <c r="G70">
        <v>25</v>
      </c>
    </row>
    <row r="71" spans="1:7" x14ac:dyDescent="0.3">
      <c r="A71" t="s">
        <v>213</v>
      </c>
      <c r="B71" t="s">
        <v>794</v>
      </c>
      <c r="C71">
        <v>781</v>
      </c>
      <c r="D71">
        <v>401</v>
      </c>
      <c r="E71">
        <v>4</v>
      </c>
      <c r="F71">
        <v>19</v>
      </c>
      <c r="G71">
        <v>54</v>
      </c>
    </row>
    <row r="72" spans="1:7" x14ac:dyDescent="0.3">
      <c r="A72" t="s">
        <v>213</v>
      </c>
      <c r="B72" t="s">
        <v>797</v>
      </c>
      <c r="C72">
        <v>406</v>
      </c>
      <c r="D72">
        <v>748</v>
      </c>
      <c r="E72">
        <v>1</v>
      </c>
      <c r="F72">
        <v>62</v>
      </c>
      <c r="G72">
        <v>96</v>
      </c>
    </row>
    <row r="73" spans="1:7" x14ac:dyDescent="0.3">
      <c r="A73" t="s">
        <v>312</v>
      </c>
      <c r="B73" t="s">
        <v>770</v>
      </c>
      <c r="C73">
        <v>78</v>
      </c>
      <c r="D73">
        <v>156</v>
      </c>
      <c r="E73">
        <v>4</v>
      </c>
      <c r="F73">
        <v>20</v>
      </c>
      <c r="G73">
        <v>16</v>
      </c>
    </row>
    <row r="74" spans="1:7" x14ac:dyDescent="0.3">
      <c r="A74" t="s">
        <v>318</v>
      </c>
      <c r="B74" t="s">
        <v>793</v>
      </c>
      <c r="C74">
        <v>652</v>
      </c>
      <c r="D74">
        <v>413</v>
      </c>
      <c r="E74">
        <v>13</v>
      </c>
      <c r="F74">
        <v>22</v>
      </c>
      <c r="G74">
        <v>35</v>
      </c>
    </row>
    <row r="75" spans="1:7" x14ac:dyDescent="0.3">
      <c r="A75" t="s">
        <v>318</v>
      </c>
      <c r="B75" t="s">
        <v>768</v>
      </c>
      <c r="C75">
        <v>656</v>
      </c>
      <c r="D75">
        <v>300</v>
      </c>
      <c r="E75">
        <v>5</v>
      </c>
      <c r="F75">
        <v>9</v>
      </c>
      <c r="G75">
        <v>36</v>
      </c>
    </row>
    <row r="76" spans="1:7" x14ac:dyDescent="0.3">
      <c r="A76" t="s">
        <v>320</v>
      </c>
      <c r="B76" t="s">
        <v>794</v>
      </c>
      <c r="C76">
        <v>752</v>
      </c>
      <c r="D76">
        <v>338</v>
      </c>
      <c r="E76">
        <v>12</v>
      </c>
      <c r="F76">
        <v>26</v>
      </c>
      <c r="G76">
        <v>39</v>
      </c>
    </row>
    <row r="77" spans="1:7" x14ac:dyDescent="0.3">
      <c r="A77" t="s">
        <v>320</v>
      </c>
      <c r="B77" t="s">
        <v>771</v>
      </c>
      <c r="C77">
        <v>4</v>
      </c>
      <c r="D77">
        <v>62</v>
      </c>
      <c r="E77">
        <v>5</v>
      </c>
      <c r="F77">
        <v>6</v>
      </c>
      <c r="G77">
        <v>9</v>
      </c>
    </row>
    <row r="78" spans="1:7" x14ac:dyDescent="0.3">
      <c r="A78" t="s">
        <v>320</v>
      </c>
      <c r="B78" t="s">
        <v>795</v>
      </c>
      <c r="C78">
        <v>292</v>
      </c>
      <c r="D78">
        <v>570</v>
      </c>
      <c r="E78">
        <v>7</v>
      </c>
      <c r="F78">
        <v>45</v>
      </c>
      <c r="G78">
        <v>64</v>
      </c>
    </row>
    <row r="79" spans="1:7" x14ac:dyDescent="0.3">
      <c r="A79" t="s">
        <v>325</v>
      </c>
      <c r="B79" t="s">
        <v>794</v>
      </c>
      <c r="C79">
        <v>775</v>
      </c>
      <c r="D79">
        <v>314</v>
      </c>
      <c r="E79">
        <v>13</v>
      </c>
      <c r="F79">
        <v>23</v>
      </c>
      <c r="G79">
        <v>37</v>
      </c>
    </row>
    <row r="80" spans="1:7" x14ac:dyDescent="0.3">
      <c r="A80" t="s">
        <v>325</v>
      </c>
      <c r="B80" t="s">
        <v>796</v>
      </c>
      <c r="C80">
        <v>4</v>
      </c>
      <c r="D80">
        <v>26</v>
      </c>
      <c r="G80">
        <v>3</v>
      </c>
    </row>
    <row r="81" spans="1:7" x14ac:dyDescent="0.3">
      <c r="A81" t="s">
        <v>328</v>
      </c>
      <c r="B81" t="s">
        <v>794</v>
      </c>
      <c r="C81">
        <v>682</v>
      </c>
      <c r="D81">
        <v>315</v>
      </c>
      <c r="E81">
        <v>16</v>
      </c>
      <c r="F81">
        <v>19</v>
      </c>
      <c r="G81">
        <v>30</v>
      </c>
    </row>
    <row r="82" spans="1:7" x14ac:dyDescent="0.3">
      <c r="A82" t="s">
        <v>412</v>
      </c>
      <c r="B82" t="s">
        <v>796</v>
      </c>
      <c r="C82">
        <v>4</v>
      </c>
      <c r="D82">
        <v>35</v>
      </c>
      <c r="E82">
        <v>3</v>
      </c>
      <c r="G82">
        <v>3</v>
      </c>
    </row>
  </sheetData>
  <pageMargins left="0.7" right="0.7" top="0.75" bottom="0.75" header="0.3" footer="0.3"/>
  <tableParts count="1">
    <tablePart r:id="rId1"/>
  </tableParts>
</worksheet>
</file>

<file path=xl/worksheets/sheet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tabColor theme="9" tint="0.39997558519241921"/>
    <pageSetUpPr fitToPage="1"/>
  </sheetPr>
  <dimension ref="A1:G44"/>
  <sheetViews>
    <sheetView showGridLines="0" zoomScaleNormal="100" workbookViewId="0">
      <pane ySplit="2" topLeftCell="A3" activePane="bottomLeft" state="frozen"/>
      <selection pane="bottomLeft" sqref="A1:C1"/>
    </sheetView>
  </sheetViews>
  <sheetFormatPr defaultRowHeight="14.4" x14ac:dyDescent="0.3"/>
  <cols>
    <col min="1" max="1" width="23.5546875" customWidth="1"/>
    <col min="2" max="3" width="14.109375" customWidth="1"/>
    <col min="4" max="4" width="13.5546875" customWidth="1"/>
    <col min="5" max="7" width="14.109375" customWidth="1"/>
  </cols>
  <sheetData>
    <row r="1" spans="1:7" ht="15.6" x14ac:dyDescent="0.3">
      <c r="A1" s="1030" t="s">
        <v>515</v>
      </c>
      <c r="B1" s="1030"/>
      <c r="C1" s="1030"/>
      <c r="D1" s="440"/>
    </row>
    <row r="2" spans="1:7" x14ac:dyDescent="0.3">
      <c r="A2" s="498" t="s">
        <v>202</v>
      </c>
    </row>
    <row r="3" spans="1:7" x14ac:dyDescent="0.3">
      <c r="A3" s="25"/>
      <c r="B3" s="25"/>
      <c r="C3" s="25"/>
      <c r="D3" s="25"/>
      <c r="E3" s="147"/>
    </row>
    <row r="4" spans="1:7" ht="18.75" customHeight="1" x14ac:dyDescent="0.3">
      <c r="A4" s="1041" t="s">
        <v>1310</v>
      </c>
      <c r="B4" s="1041"/>
      <c r="C4" s="1041"/>
      <c r="D4" s="1041"/>
      <c r="E4" s="1041"/>
      <c r="F4" s="1041"/>
      <c r="G4" s="1041"/>
    </row>
    <row r="5" spans="1:7" ht="15" customHeight="1" x14ac:dyDescent="0.3">
      <c r="A5" t="s">
        <v>203</v>
      </c>
      <c r="B5" t="s">
        <v>97</v>
      </c>
      <c r="C5" s="231"/>
      <c r="D5" s="231"/>
      <c r="E5" s="231"/>
      <c r="F5" s="231"/>
      <c r="G5" s="231"/>
    </row>
    <row r="6" spans="1:7" ht="15" customHeight="1" x14ac:dyDescent="0.3">
      <c r="A6" t="s">
        <v>204</v>
      </c>
      <c r="B6" t="s">
        <v>205</v>
      </c>
      <c r="C6" s="231"/>
      <c r="D6" s="231"/>
      <c r="E6" s="231"/>
      <c r="F6" s="231"/>
      <c r="G6" s="231"/>
    </row>
    <row r="7" spans="1:7" ht="15" customHeight="1" x14ac:dyDescent="0.3">
      <c r="A7" t="s">
        <v>206</v>
      </c>
      <c r="B7" t="s">
        <v>207</v>
      </c>
      <c r="C7" s="231"/>
      <c r="D7" s="231"/>
      <c r="E7" s="231"/>
      <c r="F7" s="231"/>
      <c r="G7" s="231"/>
    </row>
    <row r="8" spans="1:7" ht="36" customHeight="1" x14ac:dyDescent="0.3">
      <c r="A8" s="16" t="s">
        <v>798</v>
      </c>
      <c r="B8" s="3" t="s">
        <v>517</v>
      </c>
      <c r="C8" s="154" t="s">
        <v>361</v>
      </c>
      <c r="D8" s="154" t="s">
        <v>518</v>
      </c>
      <c r="E8" s="3" t="s">
        <v>513</v>
      </c>
      <c r="F8" s="3" t="s">
        <v>339</v>
      </c>
      <c r="G8" s="3" t="s">
        <v>800</v>
      </c>
    </row>
    <row r="9" spans="1:7" x14ac:dyDescent="0.3">
      <c r="A9" s="155" t="s">
        <v>801</v>
      </c>
      <c r="B9">
        <f>GETPIVOTDATA("Sum of Wholetime Operational",servicepivot!$A$3,"Service Length (Years)","Under 5")</f>
        <v>593</v>
      </c>
      <c r="C9">
        <f>GETPIVOTDATA("Sum of Retained Duty System",servicepivot!$A$3,"Service Length (Years)","Under 5")</f>
        <v>827</v>
      </c>
      <c r="D9">
        <f>GETPIVOTDATA("Sum of Retained Full-time",servicepivot!$A$3,"Service Length (Years)","Under 5")</f>
        <v>0</v>
      </c>
      <c r="E9">
        <f>GETPIVOTDATA("Sum of Control",servicepivot!$A$3,"Service Length (Years)","Under 5")</f>
        <v>59</v>
      </c>
      <c r="F9">
        <f>GETPIVOTDATA("Sum of Volunteer",servicepivot!$A$3,"Service Length (Years)","Under 5")</f>
        <v>58</v>
      </c>
      <c r="G9" s="156">
        <f>SUM(B9:F9)</f>
        <v>1537</v>
      </c>
    </row>
    <row r="10" spans="1:7" x14ac:dyDescent="0.3">
      <c r="A10" s="318" t="s">
        <v>795</v>
      </c>
      <c r="B10">
        <f>GETPIVOTDATA("Sum of Wholetime Operational",servicepivot!$A$3,"Service Length (Years)","5-9")</f>
        <v>745</v>
      </c>
      <c r="C10">
        <f>GETPIVOTDATA("Sum of Retained Duty System",servicepivot!$A$3,"Service Length (Years)","5-9")</f>
        <v>619</v>
      </c>
      <c r="D10">
        <f>GETPIVOTDATA("Sum of Retained Full-time",servicepivot!$A$3,"Service Length (Years)","5-9")</f>
        <v>4</v>
      </c>
      <c r="E10">
        <f>GETPIVOTDATA("Sum of Control",servicepivot!$A$3,"Service Length (Years)","5-9")</f>
        <v>40</v>
      </c>
      <c r="F10">
        <f>GETPIVOTDATA("Sum of Volunteer",servicepivot!$A$3,"Service Length (Years)","5-9")</f>
        <v>44</v>
      </c>
      <c r="G10" s="156">
        <f t="shared" ref="G10:G17" si="0">SUM(B10:F10)</f>
        <v>1452</v>
      </c>
    </row>
    <row r="11" spans="1:7" x14ac:dyDescent="0.3">
      <c r="A11" s="318" t="s">
        <v>793</v>
      </c>
      <c r="B11">
        <f>GETPIVOTDATA("Sum of Wholetime Operational",servicepivot!$A$3,"Service Length (Years)","10-14")</f>
        <v>284</v>
      </c>
      <c r="C11">
        <f>GETPIVOTDATA("Sum of Retained Duty System",servicepivot!$A$3,"Service Length (Years)","10-14")</f>
        <v>331</v>
      </c>
      <c r="D11">
        <f>GETPIVOTDATA("Sum of Retained Full-time",servicepivot!$A$3,"Service Length (Years)","10-14")</f>
        <v>5</v>
      </c>
      <c r="E11">
        <f>GETPIVOTDATA("Sum of Control",servicepivot!$A$3,"Service Length (Years)","10-14")</f>
        <v>25</v>
      </c>
      <c r="F11">
        <f>GETPIVOTDATA("Sum of Volunteer",servicepivot!$A$3,"Service Length (Years)","10-14")</f>
        <v>36</v>
      </c>
      <c r="G11" s="156">
        <f t="shared" si="0"/>
        <v>681</v>
      </c>
    </row>
    <row r="12" spans="1:7" x14ac:dyDescent="0.3">
      <c r="A12" s="318" t="s">
        <v>794</v>
      </c>
      <c r="B12">
        <f>GETPIVOTDATA("Sum of Wholetime Operational",servicepivot!$A$3,"Service Length (Years)","15-19")</f>
        <v>571</v>
      </c>
      <c r="C12">
        <f>GETPIVOTDATA("Sum of Retained Duty System",servicepivot!$A$3,"Service Length (Years)","15-19")</f>
        <v>306</v>
      </c>
      <c r="D12">
        <f>GETPIVOTDATA("Sum of Retained Full-time",servicepivot!$A$3,"Service Length (Years)","15-19")</f>
        <v>16</v>
      </c>
      <c r="E12">
        <f>GETPIVOTDATA("Sum of Control",servicepivot!$A$3,"Service Length (Years)","15-19")</f>
        <v>16</v>
      </c>
      <c r="F12">
        <f>GETPIVOTDATA("Sum of Volunteer",servicepivot!$A$3,"Service Length (Years)","15-19")</f>
        <v>19</v>
      </c>
      <c r="G12" s="156">
        <f t="shared" si="0"/>
        <v>928</v>
      </c>
    </row>
    <row r="13" spans="1:7" x14ac:dyDescent="0.3">
      <c r="A13" s="318" t="s">
        <v>768</v>
      </c>
      <c r="B13">
        <f>GETPIVOTDATA("Sum of Wholetime Operational",servicepivot!$A$3,"Service Length (Years)","20-24")</f>
        <v>735</v>
      </c>
      <c r="C13">
        <f>GETPIVOTDATA("Sum of Retained Duty System",servicepivot!$A$3,"Service Length (Years)","20-24")</f>
        <v>247</v>
      </c>
      <c r="D13">
        <f>GETPIVOTDATA("Sum of Retained Full-time",servicepivot!$A$3,"Service Length (Years)","20-24")</f>
        <v>12</v>
      </c>
      <c r="E13">
        <f>GETPIVOTDATA("Sum of Control",servicepivot!$A$3,"Service Length (Years)","20-24")</f>
        <v>17</v>
      </c>
      <c r="F13">
        <f>GETPIVOTDATA("Sum of Volunteer",servicepivot!$A$3,"Service Length (Years)","20-24")</f>
        <v>38</v>
      </c>
      <c r="G13" s="156">
        <f t="shared" si="0"/>
        <v>1049</v>
      </c>
    </row>
    <row r="14" spans="1:7" x14ac:dyDescent="0.3">
      <c r="A14" s="318" t="s">
        <v>769</v>
      </c>
      <c r="B14">
        <f>GETPIVOTDATA("Sum of Wholetime Operational",servicepivot!$A$3,"Service Length (Years)","25-29")</f>
        <v>408</v>
      </c>
      <c r="C14">
        <f>GETPIVOTDATA("Sum of Retained Duty System",servicepivot!$A$3,"Service Length (Years)","25-29")</f>
        <v>198</v>
      </c>
      <c r="D14">
        <f>GETPIVOTDATA("Sum of Retained Full-time",servicepivot!$A$3,"Service Length (Years)","25-29")</f>
        <v>6</v>
      </c>
      <c r="E14">
        <f>GETPIVOTDATA("Sum of Control",servicepivot!$A$3,"Service Length (Years)","25-29")</f>
        <v>6</v>
      </c>
      <c r="F14">
        <f>GETPIVOTDATA("Sum of Volunteer",servicepivot!$A$3,"Service Length (Years)","25-29")</f>
        <v>22</v>
      </c>
      <c r="G14" s="156">
        <f t="shared" si="0"/>
        <v>640</v>
      </c>
    </row>
    <row r="15" spans="1:7" x14ac:dyDescent="0.3">
      <c r="A15" s="318" t="s">
        <v>770</v>
      </c>
      <c r="B15">
        <f>GETPIVOTDATA("Sum of Wholetime Operational",servicepivot!$A$3,"Service Length (Years)","30-34")</f>
        <v>74</v>
      </c>
      <c r="C15">
        <f>GETPIVOTDATA("Sum of Retained Duty System",servicepivot!$A$3,"Service Length (Years)","30-34")</f>
        <v>104</v>
      </c>
      <c r="D15">
        <f>GETPIVOTDATA("Sum of Retained Full-time",servicepivot!$A$3,"Service Length (Years)","30-34")</f>
        <v>6</v>
      </c>
      <c r="E15">
        <f>GETPIVOTDATA("Sum of Control",servicepivot!$A$3,"Service Length (Years)","30-34")</f>
        <v>8</v>
      </c>
      <c r="F15">
        <f>GETPIVOTDATA("Sum of Volunteer",servicepivot!$A$3,"Service Length (Years)","30-34")</f>
        <v>19</v>
      </c>
      <c r="G15" s="156">
        <f t="shared" si="0"/>
        <v>211</v>
      </c>
    </row>
    <row r="16" spans="1:7" x14ac:dyDescent="0.3">
      <c r="A16" s="318" t="s">
        <v>771</v>
      </c>
      <c r="B16">
        <f>GETPIVOTDATA("Sum of Wholetime Operational",servicepivot!$A$3,"Service Length (Years)","35-39")</f>
        <v>17</v>
      </c>
      <c r="C16">
        <f>GETPIVOTDATA("Sum of Retained Duty System",servicepivot!$A$3,"Service Length (Years)","35-39")</f>
        <v>80</v>
      </c>
      <c r="D16">
        <f>GETPIVOTDATA("Sum of Retained Full-time",servicepivot!$A$3,"Service Length (Years)","35-39")</f>
        <v>8</v>
      </c>
      <c r="E16">
        <f>GETPIVOTDATA("Sum of Control",servicepivot!$A$3,"Service Length (Years)","35-39")</f>
        <v>6</v>
      </c>
      <c r="F16">
        <f>GETPIVOTDATA("Sum of Volunteer",servicepivot!$A$3,"Service Length (Years)","35-39")</f>
        <v>13</v>
      </c>
      <c r="G16" s="156">
        <f t="shared" si="0"/>
        <v>124</v>
      </c>
    </row>
    <row r="17" spans="1:7" x14ac:dyDescent="0.3">
      <c r="A17" s="318" t="s">
        <v>802</v>
      </c>
      <c r="B17">
        <f>GETPIVOTDATA("Sum of Wholetime Operational",servicepivot!$A$3,"Service Length (Years)","Over 40")</f>
        <v>4</v>
      </c>
      <c r="C17">
        <f>GETPIVOTDATA("Sum of Retained Duty System",servicepivot!$A$3,"Service Length (Years)","Over 40")</f>
        <v>35</v>
      </c>
      <c r="D17">
        <f>GETPIVOTDATA("Sum of Retained Full-time",servicepivot!$A$3,"Service Length (Years)","Over 40")</f>
        <v>3</v>
      </c>
      <c r="E17">
        <f>GETPIVOTDATA("Sum of Control",servicepivot!$A$3,"Service Length (Years)","Over 40")</f>
        <v>0</v>
      </c>
      <c r="F17">
        <f>GETPIVOTDATA("Sum of Volunteer",servicepivot!$A$3,"Service Length (Years)","Over 40")</f>
        <v>3</v>
      </c>
      <c r="G17" s="156">
        <f t="shared" si="0"/>
        <v>45</v>
      </c>
    </row>
    <row r="18" spans="1:7" ht="15" thickBot="1" x14ac:dyDescent="0.35">
      <c r="A18" s="157" t="s">
        <v>614</v>
      </c>
      <c r="B18" s="158">
        <f t="shared" ref="B18:F18" si="1">SUM(B9:B17)</f>
        <v>3431</v>
      </c>
      <c r="C18" s="158">
        <f t="shared" si="1"/>
        <v>2747</v>
      </c>
      <c r="D18" s="158">
        <f t="shared" si="1"/>
        <v>60</v>
      </c>
      <c r="E18" s="158">
        <f t="shared" si="1"/>
        <v>177</v>
      </c>
      <c r="F18" s="158">
        <f t="shared" si="1"/>
        <v>252</v>
      </c>
      <c r="G18" s="158">
        <f>SUM(G9:G17)</f>
        <v>6667</v>
      </c>
    </row>
    <row r="20" spans="1:7" ht="15" customHeight="1" x14ac:dyDescent="0.3">
      <c r="A20" s="12" t="s">
        <v>329</v>
      </c>
    </row>
    <row r="21" spans="1:7" ht="30" customHeight="1" x14ac:dyDescent="0.3">
      <c r="A21" s="1029" t="s">
        <v>803</v>
      </c>
      <c r="B21" s="1029"/>
      <c r="C21" s="1029"/>
      <c r="D21" s="1029"/>
      <c r="E21" s="1029"/>
      <c r="F21" s="1029"/>
      <c r="G21" s="1029"/>
    </row>
    <row r="22" spans="1:7" x14ac:dyDescent="0.3">
      <c r="A22" t="s">
        <v>789</v>
      </c>
    </row>
    <row r="23" spans="1:7" x14ac:dyDescent="0.3">
      <c r="A23" t="s">
        <v>804</v>
      </c>
    </row>
    <row r="25" spans="1:7" ht="17.25" customHeight="1" x14ac:dyDescent="0.3">
      <c r="A25" s="1041" t="s">
        <v>805</v>
      </c>
      <c r="B25" s="1041"/>
      <c r="C25" s="1041"/>
      <c r="D25" s="1041"/>
      <c r="E25" s="1041"/>
      <c r="F25" s="1041"/>
      <c r="G25" s="1041"/>
    </row>
    <row r="26" spans="1:7" ht="15" customHeight="1" x14ac:dyDescent="0.3">
      <c r="A26" t="s">
        <v>203</v>
      </c>
      <c r="B26" t="s">
        <v>98</v>
      </c>
      <c r="C26" s="231"/>
      <c r="D26" s="231"/>
      <c r="E26" s="231"/>
      <c r="F26" s="231"/>
      <c r="G26" s="231"/>
    </row>
    <row r="27" spans="1:7" ht="15" customHeight="1" x14ac:dyDescent="0.3">
      <c r="A27" t="s">
        <v>204</v>
      </c>
      <c r="B27" t="s">
        <v>205</v>
      </c>
      <c r="C27" s="231"/>
      <c r="D27" s="231"/>
      <c r="E27" s="231"/>
      <c r="F27" s="231"/>
      <c r="G27" s="231"/>
    </row>
    <row r="28" spans="1:7" ht="15" customHeight="1" x14ac:dyDescent="0.3">
      <c r="A28" t="s">
        <v>206</v>
      </c>
      <c r="B28" t="s">
        <v>207</v>
      </c>
      <c r="C28" s="231"/>
      <c r="D28" s="231"/>
      <c r="E28" s="231"/>
      <c r="F28" s="231"/>
      <c r="G28" s="231"/>
    </row>
    <row r="29" spans="1:7" ht="36.75" customHeight="1" x14ac:dyDescent="0.3">
      <c r="A29" s="16" t="s">
        <v>798</v>
      </c>
      <c r="B29" s="160" t="s">
        <v>735</v>
      </c>
      <c r="C29" s="160" t="s">
        <v>361</v>
      </c>
      <c r="D29" s="154" t="s">
        <v>518</v>
      </c>
      <c r="E29" s="160" t="s">
        <v>513</v>
      </c>
      <c r="F29" s="160" t="s">
        <v>339</v>
      </c>
      <c r="G29" s="3" t="s">
        <v>800</v>
      </c>
    </row>
    <row r="30" spans="1:7" x14ac:dyDescent="0.3">
      <c r="A30" s="155" t="s">
        <v>801</v>
      </c>
      <c r="B30" s="162">
        <f t="shared" ref="B30:G38" si="2">B9/B$18</f>
        <v>0.17283590789857184</v>
      </c>
      <c r="C30" s="162">
        <f t="shared" si="2"/>
        <v>0.30105569712413544</v>
      </c>
      <c r="D30" s="162">
        <f t="shared" si="2"/>
        <v>0</v>
      </c>
      <c r="E30" s="162">
        <f t="shared" si="2"/>
        <v>0.33333333333333331</v>
      </c>
      <c r="F30" s="162">
        <f t="shared" si="2"/>
        <v>0.23015873015873015</v>
      </c>
      <c r="G30" s="163">
        <f t="shared" si="2"/>
        <v>0.23053847307634617</v>
      </c>
    </row>
    <row r="31" spans="1:7" x14ac:dyDescent="0.3">
      <c r="A31" s="318" t="s">
        <v>795</v>
      </c>
      <c r="B31" s="162">
        <f t="shared" si="2"/>
        <v>0.2171378606820169</v>
      </c>
      <c r="C31" s="162">
        <f t="shared" si="2"/>
        <v>0.22533673097925008</v>
      </c>
      <c r="D31" s="162">
        <f t="shared" si="2"/>
        <v>6.6666666666666666E-2</v>
      </c>
      <c r="E31" s="162">
        <f t="shared" si="2"/>
        <v>0.22598870056497175</v>
      </c>
      <c r="F31" s="162">
        <f t="shared" si="2"/>
        <v>0.17460317460317459</v>
      </c>
      <c r="G31" s="163">
        <f t="shared" si="2"/>
        <v>0.21778911054447278</v>
      </c>
    </row>
    <row r="32" spans="1:7" x14ac:dyDescent="0.3">
      <c r="A32" s="318" t="s">
        <v>793</v>
      </c>
      <c r="B32" s="162">
        <f t="shared" si="2"/>
        <v>8.2774701253278932E-2</v>
      </c>
      <c r="C32" s="162">
        <f t="shared" si="2"/>
        <v>0.1204950855478704</v>
      </c>
      <c r="D32" s="162">
        <f t="shared" si="2"/>
        <v>8.3333333333333329E-2</v>
      </c>
      <c r="E32" s="162">
        <f t="shared" si="2"/>
        <v>0.14124293785310735</v>
      </c>
      <c r="F32" s="162">
        <f t="shared" si="2"/>
        <v>0.14285714285714285</v>
      </c>
      <c r="G32" s="163">
        <f t="shared" si="2"/>
        <v>0.10214489275536223</v>
      </c>
    </row>
    <row r="33" spans="1:7" x14ac:dyDescent="0.3">
      <c r="A33" s="318" t="s">
        <v>794</v>
      </c>
      <c r="B33" s="162">
        <f t="shared" si="2"/>
        <v>0.16642378315359954</v>
      </c>
      <c r="C33" s="162">
        <f t="shared" si="2"/>
        <v>0.11139424827084092</v>
      </c>
      <c r="D33" s="162">
        <f t="shared" si="2"/>
        <v>0.26666666666666666</v>
      </c>
      <c r="E33" s="162">
        <f t="shared" si="2"/>
        <v>9.03954802259887E-2</v>
      </c>
      <c r="F33" s="162">
        <f t="shared" si="2"/>
        <v>7.5396825396825393E-2</v>
      </c>
      <c r="G33" s="163">
        <f t="shared" si="2"/>
        <v>0.13919304034798261</v>
      </c>
    </row>
    <row r="34" spans="1:7" x14ac:dyDescent="0.3">
      <c r="A34" s="318" t="s">
        <v>768</v>
      </c>
      <c r="B34" s="162">
        <f t="shared" si="2"/>
        <v>0.21422325852521132</v>
      </c>
      <c r="C34" s="162">
        <f t="shared" si="2"/>
        <v>8.9916272297051333E-2</v>
      </c>
      <c r="D34" s="162">
        <f t="shared" si="2"/>
        <v>0.2</v>
      </c>
      <c r="E34" s="162">
        <f t="shared" si="2"/>
        <v>9.6045197740112997E-2</v>
      </c>
      <c r="F34" s="162">
        <f t="shared" si="2"/>
        <v>0.15079365079365079</v>
      </c>
      <c r="G34" s="163">
        <f t="shared" si="2"/>
        <v>0.15734213289335533</v>
      </c>
    </row>
    <row r="35" spans="1:7" x14ac:dyDescent="0.3">
      <c r="A35" s="318" t="s">
        <v>769</v>
      </c>
      <c r="B35" s="162">
        <f t="shared" si="2"/>
        <v>0.11891576799766831</v>
      </c>
      <c r="C35" s="162">
        <f t="shared" si="2"/>
        <v>7.2078631234073529E-2</v>
      </c>
      <c r="D35" s="162">
        <f t="shared" si="2"/>
        <v>0.1</v>
      </c>
      <c r="E35" s="162">
        <f t="shared" si="2"/>
        <v>3.3898305084745763E-2</v>
      </c>
      <c r="F35" s="162">
        <f t="shared" si="2"/>
        <v>8.7301587301587297E-2</v>
      </c>
      <c r="G35" s="163">
        <f t="shared" si="2"/>
        <v>9.5995200239988004E-2</v>
      </c>
    </row>
    <row r="36" spans="1:7" x14ac:dyDescent="0.3">
      <c r="A36" s="318" t="s">
        <v>770</v>
      </c>
      <c r="B36" s="162">
        <f t="shared" si="2"/>
        <v>2.1568055960361411E-2</v>
      </c>
      <c r="C36" s="162">
        <f t="shared" si="2"/>
        <v>3.7859483072442662E-2</v>
      </c>
      <c r="D36" s="162">
        <f t="shared" si="2"/>
        <v>0.1</v>
      </c>
      <c r="E36" s="162">
        <f t="shared" si="2"/>
        <v>4.519774011299435E-2</v>
      </c>
      <c r="F36" s="162">
        <f t="shared" si="2"/>
        <v>7.5396825396825393E-2</v>
      </c>
      <c r="G36" s="163">
        <f t="shared" si="2"/>
        <v>3.1648417579121041E-2</v>
      </c>
    </row>
    <row r="37" spans="1:7" x14ac:dyDescent="0.3">
      <c r="A37" s="318" t="s">
        <v>771</v>
      </c>
      <c r="B37" s="162">
        <f t="shared" si="2"/>
        <v>4.9548236665695137E-3</v>
      </c>
      <c r="C37" s="162">
        <f t="shared" si="2"/>
        <v>2.9122679286494358E-2</v>
      </c>
      <c r="D37" s="162">
        <f t="shared" si="2"/>
        <v>0.13333333333333333</v>
      </c>
      <c r="E37" s="162">
        <f t="shared" si="2"/>
        <v>3.3898305084745763E-2</v>
      </c>
      <c r="F37" s="162">
        <f t="shared" si="2"/>
        <v>5.1587301587301584E-2</v>
      </c>
      <c r="G37" s="163">
        <f t="shared" si="2"/>
        <v>1.8599070046497676E-2</v>
      </c>
    </row>
    <row r="38" spans="1:7" x14ac:dyDescent="0.3">
      <c r="A38" s="318" t="s">
        <v>802</v>
      </c>
      <c r="B38" s="162">
        <f t="shared" si="2"/>
        <v>1.1658408627222385E-3</v>
      </c>
      <c r="C38" s="162">
        <f t="shared" si="2"/>
        <v>1.2741172187841281E-2</v>
      </c>
      <c r="D38" s="162">
        <f t="shared" si="2"/>
        <v>0.05</v>
      </c>
      <c r="E38" s="162">
        <f t="shared" si="2"/>
        <v>0</v>
      </c>
      <c r="F38" s="162">
        <f t="shared" si="2"/>
        <v>1.1904761904761904E-2</v>
      </c>
      <c r="G38" s="163">
        <f t="shared" si="2"/>
        <v>6.7496625168741563E-3</v>
      </c>
    </row>
    <row r="39" spans="1:7" ht="15" thickBot="1" x14ac:dyDescent="0.35">
      <c r="A39" s="157" t="s">
        <v>614</v>
      </c>
      <c r="B39" s="166">
        <f t="shared" ref="B39:G39" si="3">SUM(B30:B38)</f>
        <v>0.99999999999999989</v>
      </c>
      <c r="C39" s="166">
        <f t="shared" si="3"/>
        <v>1</v>
      </c>
      <c r="D39" s="166">
        <f t="shared" si="3"/>
        <v>1</v>
      </c>
      <c r="E39" s="166">
        <f t="shared" si="3"/>
        <v>1</v>
      </c>
      <c r="F39" s="166">
        <f t="shared" si="3"/>
        <v>1</v>
      </c>
      <c r="G39" s="166">
        <f t="shared" si="3"/>
        <v>0.99999999999999989</v>
      </c>
    </row>
    <row r="40" spans="1:7" x14ac:dyDescent="0.3">
      <c r="A40" s="161"/>
      <c r="B40" s="167"/>
      <c r="C40" s="167"/>
      <c r="D40" s="167"/>
      <c r="E40" s="167"/>
    </row>
    <row r="41" spans="1:7" x14ac:dyDescent="0.3">
      <c r="A41" s="12" t="s">
        <v>329</v>
      </c>
      <c r="B41" s="19"/>
      <c r="C41" s="19"/>
      <c r="D41" s="19"/>
      <c r="E41" s="19"/>
    </row>
    <row r="42" spans="1:7" ht="15" customHeight="1" x14ac:dyDescent="0.3">
      <c r="A42" s="1029" t="s">
        <v>803</v>
      </c>
      <c r="B42" s="1029"/>
      <c r="C42" s="1029"/>
      <c r="D42" s="1029"/>
      <c r="E42" s="1029"/>
      <c r="F42" s="1029"/>
      <c r="G42" s="1029"/>
    </row>
    <row r="43" spans="1:7" ht="14.4" customHeight="1" x14ac:dyDescent="0.3">
      <c r="A43" s="338" t="s">
        <v>789</v>
      </c>
      <c r="B43" s="159"/>
      <c r="C43" s="159"/>
      <c r="D43" s="159"/>
      <c r="E43" s="159"/>
      <c r="F43" s="159"/>
      <c r="G43" s="23"/>
    </row>
    <row r="44" spans="1:7" x14ac:dyDescent="0.3">
      <c r="A44" t="s">
        <v>804</v>
      </c>
      <c r="B44" s="159"/>
      <c r="C44" s="159"/>
      <c r="D44" s="159"/>
      <c r="E44" s="159"/>
      <c r="F44" s="159"/>
      <c r="G44" s="23"/>
    </row>
  </sheetData>
  <sheetProtection algorithmName="SHA-512" hashValue="gVr1e9gTzhtv1dlcOwtn7Vus74TMofLl3xPK05rN4lKTfHGWkEy915Erejm+uvlg4sjevELDNgWXLyGrJWwYow==" saltValue="QCFXbaW2vm7KJoGoqWp3BA==" spinCount="100000" sheet="1" scenarios="1" formatCells="0" sort="0" autoFilter="0" pivotTables="0"/>
  <mergeCells count="5">
    <mergeCell ref="A1:C1"/>
    <mergeCell ref="A42:G42"/>
    <mergeCell ref="A4:G4"/>
    <mergeCell ref="A25:G25"/>
    <mergeCell ref="A21:G21"/>
  </mergeCells>
  <hyperlinks>
    <hyperlink ref="A2" location="'Table of Contents'!A1" display="Back to Table of Contents" xr:uid="{00000000-0004-0000-6500-000000000000}"/>
  </hyperlinks>
  <pageMargins left="0.70866141732283472" right="0.70866141732283472" top="0.74803149606299213" bottom="0.74803149606299213" header="0.31496062992125984" footer="0.31496062992125984"/>
  <pageSetup paperSize="9" scale="77" orientation="portrait" r:id="rId1"/>
  <drawing r:id="rId2"/>
  <extLst>
    <ext xmlns:x14="http://schemas.microsoft.com/office/spreadsheetml/2009/9/main" uri="{A8765BA9-456A-4dab-B4F3-ACF838C121DE}">
      <x14:slicerList>
        <x14:slicer r:id="rId3"/>
      </x14:slicerList>
    </ext>
  </extLst>
</worksheet>
</file>

<file path=xl/worksheets/sheet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dimension ref="A1:E125"/>
  <sheetViews>
    <sheetView topLeftCell="A101" workbookViewId="0">
      <selection activeCell="D124" sqref="D124"/>
    </sheetView>
  </sheetViews>
  <sheetFormatPr defaultRowHeight="14.4" x14ac:dyDescent="0.3"/>
  <cols>
    <col min="1" max="1" width="7.6640625" bestFit="1" customWidth="1"/>
    <col min="2" max="2" width="12.44140625" bestFit="1" customWidth="1"/>
    <col min="3" max="3" width="12" bestFit="1" customWidth="1"/>
    <col min="4" max="4" width="16.5546875" bestFit="1" customWidth="1"/>
    <col min="5" max="5" width="12.33203125" bestFit="1" customWidth="1"/>
  </cols>
  <sheetData>
    <row r="1" spans="1:5" x14ac:dyDescent="0.3">
      <c r="A1" t="s">
        <v>806</v>
      </c>
      <c r="B1" t="s">
        <v>620</v>
      </c>
      <c r="C1" t="s">
        <v>807</v>
      </c>
      <c r="D1" t="s">
        <v>808</v>
      </c>
      <c r="E1" t="s">
        <v>809</v>
      </c>
    </row>
    <row r="2" spans="1:5" x14ac:dyDescent="0.3">
      <c r="A2" t="s">
        <v>510</v>
      </c>
      <c r="B2" t="s">
        <v>513</v>
      </c>
      <c r="C2">
        <v>90.6</v>
      </c>
      <c r="D2">
        <v>0.4</v>
      </c>
      <c r="E2">
        <v>9</v>
      </c>
    </row>
    <row r="3" spans="1:5" x14ac:dyDescent="0.3">
      <c r="A3" t="s">
        <v>510</v>
      </c>
      <c r="B3" t="s">
        <v>606</v>
      </c>
      <c r="C3">
        <v>83.7</v>
      </c>
      <c r="D3">
        <v>0.2</v>
      </c>
      <c r="E3">
        <v>16.100000000000001</v>
      </c>
    </row>
    <row r="4" spans="1:5" x14ac:dyDescent="0.3">
      <c r="A4" t="s">
        <v>510</v>
      </c>
      <c r="B4" t="s">
        <v>514</v>
      </c>
      <c r="C4">
        <v>80.7</v>
      </c>
      <c r="D4">
        <v>1.1000000000000001</v>
      </c>
      <c r="E4">
        <v>18.2</v>
      </c>
    </row>
    <row r="5" spans="1:5" x14ac:dyDescent="0.3">
      <c r="A5" t="s">
        <v>510</v>
      </c>
      <c r="B5" t="s">
        <v>340</v>
      </c>
      <c r="C5">
        <v>82.1</v>
      </c>
      <c r="D5">
        <v>0.6</v>
      </c>
      <c r="E5">
        <v>17.3</v>
      </c>
    </row>
    <row r="6" spans="1:5" x14ac:dyDescent="0.3">
      <c r="A6" t="s">
        <v>510</v>
      </c>
      <c r="B6" t="s">
        <v>810</v>
      </c>
      <c r="C6">
        <v>82.9</v>
      </c>
      <c r="D6">
        <v>0.6</v>
      </c>
      <c r="E6">
        <v>16.5</v>
      </c>
    </row>
    <row r="7" spans="1:5" x14ac:dyDescent="0.3">
      <c r="A7" t="s">
        <v>510</v>
      </c>
      <c r="B7" t="s">
        <v>628</v>
      </c>
      <c r="C7">
        <v>67.5</v>
      </c>
      <c r="D7">
        <v>0.2</v>
      </c>
      <c r="E7">
        <v>32.299999999999997</v>
      </c>
    </row>
    <row r="8" spans="1:5" x14ac:dyDescent="0.3">
      <c r="A8" t="s">
        <v>510</v>
      </c>
      <c r="B8" t="s">
        <v>629</v>
      </c>
      <c r="C8">
        <v>82.5</v>
      </c>
      <c r="D8">
        <v>0.8</v>
      </c>
      <c r="E8">
        <v>16.7</v>
      </c>
    </row>
    <row r="9" spans="1:5" x14ac:dyDescent="0.3">
      <c r="A9" t="s">
        <v>362</v>
      </c>
      <c r="B9" t="s">
        <v>513</v>
      </c>
      <c r="C9">
        <v>84.6</v>
      </c>
      <c r="D9">
        <v>0.4</v>
      </c>
      <c r="E9">
        <v>15</v>
      </c>
    </row>
    <row r="10" spans="1:5" x14ac:dyDescent="0.3">
      <c r="A10" t="s">
        <v>362</v>
      </c>
      <c r="B10" t="s">
        <v>606</v>
      </c>
      <c r="C10">
        <v>81.8</v>
      </c>
      <c r="D10">
        <v>0.2</v>
      </c>
      <c r="E10">
        <v>18</v>
      </c>
    </row>
    <row r="11" spans="1:5" x14ac:dyDescent="0.3">
      <c r="A11" t="s">
        <v>362</v>
      </c>
      <c r="B11" t="s">
        <v>514</v>
      </c>
      <c r="C11">
        <v>65.5</v>
      </c>
      <c r="D11">
        <v>1</v>
      </c>
      <c r="E11">
        <v>33.5</v>
      </c>
    </row>
    <row r="12" spans="1:5" x14ac:dyDescent="0.3">
      <c r="A12" t="s">
        <v>362</v>
      </c>
      <c r="B12" t="s">
        <v>340</v>
      </c>
      <c r="C12">
        <v>74.400000000000006</v>
      </c>
      <c r="D12">
        <v>0.6</v>
      </c>
      <c r="E12">
        <v>25</v>
      </c>
    </row>
    <row r="13" spans="1:5" x14ac:dyDescent="0.3">
      <c r="A13" t="s">
        <v>362</v>
      </c>
      <c r="B13" t="s">
        <v>810</v>
      </c>
      <c r="C13">
        <v>75</v>
      </c>
      <c r="D13">
        <v>0.6</v>
      </c>
      <c r="E13">
        <v>24.4</v>
      </c>
    </row>
    <row r="14" spans="1:5" x14ac:dyDescent="0.3">
      <c r="A14" t="s">
        <v>362</v>
      </c>
      <c r="B14" t="s">
        <v>628</v>
      </c>
      <c r="C14">
        <v>62.7</v>
      </c>
      <c r="D14">
        <v>0.2</v>
      </c>
      <c r="E14">
        <v>37</v>
      </c>
    </row>
    <row r="15" spans="1:5" x14ac:dyDescent="0.3">
      <c r="A15" t="s">
        <v>362</v>
      </c>
      <c r="B15" t="s">
        <v>629</v>
      </c>
      <c r="C15">
        <v>72.2</v>
      </c>
      <c r="D15">
        <v>0.8</v>
      </c>
      <c r="E15">
        <v>27.1</v>
      </c>
    </row>
    <row r="16" spans="1:5" x14ac:dyDescent="0.3">
      <c r="A16" t="s">
        <v>363</v>
      </c>
      <c r="B16" t="s">
        <v>513</v>
      </c>
      <c r="C16">
        <v>89.7</v>
      </c>
      <c r="D16">
        <v>0.4</v>
      </c>
      <c r="E16">
        <v>9.8000000000000007</v>
      </c>
    </row>
    <row r="17" spans="1:5" x14ac:dyDescent="0.3">
      <c r="A17" t="s">
        <v>363</v>
      </c>
      <c r="B17" t="s">
        <v>606</v>
      </c>
      <c r="C17">
        <v>80.900000000000006</v>
      </c>
      <c r="D17">
        <v>0.2</v>
      </c>
      <c r="E17">
        <v>18.899999999999999</v>
      </c>
    </row>
    <row r="18" spans="1:5" x14ac:dyDescent="0.3">
      <c r="A18" t="s">
        <v>363</v>
      </c>
      <c r="B18" t="s">
        <v>514</v>
      </c>
      <c r="C18">
        <v>78.400000000000006</v>
      </c>
      <c r="D18">
        <v>1</v>
      </c>
      <c r="E18">
        <v>20.6</v>
      </c>
    </row>
    <row r="19" spans="1:5" x14ac:dyDescent="0.3">
      <c r="A19" t="s">
        <v>363</v>
      </c>
      <c r="B19" t="s">
        <v>340</v>
      </c>
      <c r="C19">
        <v>80.099999999999994</v>
      </c>
      <c r="D19">
        <v>0.6</v>
      </c>
      <c r="E19">
        <v>19.3</v>
      </c>
    </row>
    <row r="20" spans="1:5" x14ac:dyDescent="0.3">
      <c r="A20" t="s">
        <v>363</v>
      </c>
      <c r="B20" t="s">
        <v>810</v>
      </c>
      <c r="C20">
        <v>81</v>
      </c>
      <c r="D20">
        <v>0.6</v>
      </c>
      <c r="E20">
        <v>18.399999999999999</v>
      </c>
    </row>
    <row r="21" spans="1:5" x14ac:dyDescent="0.3">
      <c r="A21" t="s">
        <v>363</v>
      </c>
      <c r="B21" t="s">
        <v>628</v>
      </c>
      <c r="C21">
        <v>61.4</v>
      </c>
      <c r="D21">
        <v>0.5</v>
      </c>
      <c r="E21">
        <v>38.1</v>
      </c>
    </row>
    <row r="22" spans="1:5" x14ac:dyDescent="0.3">
      <c r="A22" t="s">
        <v>363</v>
      </c>
      <c r="B22" t="s">
        <v>629</v>
      </c>
      <c r="C22">
        <v>81.2</v>
      </c>
      <c r="D22">
        <v>0.7</v>
      </c>
      <c r="E22">
        <v>18</v>
      </c>
    </row>
    <row r="23" spans="1:5" x14ac:dyDescent="0.3">
      <c r="A23" t="s">
        <v>364</v>
      </c>
      <c r="B23" t="s">
        <v>513</v>
      </c>
      <c r="C23">
        <v>49.3</v>
      </c>
      <c r="E23">
        <v>50.7</v>
      </c>
    </row>
    <row r="24" spans="1:5" x14ac:dyDescent="0.3">
      <c r="A24" t="s">
        <v>364</v>
      </c>
      <c r="B24" t="s">
        <v>606</v>
      </c>
      <c r="C24">
        <v>69.599999999999994</v>
      </c>
      <c r="D24">
        <v>1.1000000000000001</v>
      </c>
      <c r="E24">
        <v>29.3</v>
      </c>
    </row>
    <row r="25" spans="1:5" x14ac:dyDescent="0.3">
      <c r="A25" t="s">
        <v>364</v>
      </c>
      <c r="B25" t="s">
        <v>514</v>
      </c>
      <c r="C25">
        <v>55.2</v>
      </c>
      <c r="D25">
        <v>1</v>
      </c>
      <c r="E25">
        <v>43.8</v>
      </c>
    </row>
    <row r="26" spans="1:5" x14ac:dyDescent="0.3">
      <c r="A26" t="s">
        <v>364</v>
      </c>
      <c r="B26" t="s">
        <v>340</v>
      </c>
      <c r="C26">
        <v>61.1</v>
      </c>
      <c r="D26">
        <v>0.8</v>
      </c>
      <c r="E26">
        <v>38.1</v>
      </c>
    </row>
    <row r="27" spans="1:5" x14ac:dyDescent="0.3">
      <c r="A27" t="s">
        <v>364</v>
      </c>
      <c r="B27" t="s">
        <v>810</v>
      </c>
      <c r="C27">
        <v>62.5</v>
      </c>
      <c r="D27">
        <v>0.8</v>
      </c>
      <c r="E27">
        <v>36.700000000000003</v>
      </c>
    </row>
    <row r="28" spans="1:5" x14ac:dyDescent="0.3">
      <c r="A28" t="s">
        <v>364</v>
      </c>
      <c r="B28" t="s">
        <v>628</v>
      </c>
      <c r="C28">
        <v>30.1</v>
      </c>
      <c r="D28">
        <v>0.6</v>
      </c>
      <c r="E28">
        <v>69.400000000000006</v>
      </c>
    </row>
    <row r="29" spans="1:5" x14ac:dyDescent="0.3">
      <c r="A29" t="s">
        <v>364</v>
      </c>
      <c r="B29" t="s">
        <v>629</v>
      </c>
      <c r="C29">
        <v>59.8</v>
      </c>
      <c r="D29">
        <v>0.6</v>
      </c>
      <c r="E29">
        <v>39.6</v>
      </c>
    </row>
    <row r="30" spans="1:5" x14ac:dyDescent="0.3">
      <c r="A30" t="s">
        <v>365</v>
      </c>
      <c r="B30" t="s">
        <v>513</v>
      </c>
      <c r="C30">
        <v>63</v>
      </c>
      <c r="D30">
        <v>0.4</v>
      </c>
      <c r="E30">
        <v>36.5</v>
      </c>
    </row>
    <row r="31" spans="1:5" x14ac:dyDescent="0.3">
      <c r="A31" t="s">
        <v>365</v>
      </c>
      <c r="B31" t="s">
        <v>606</v>
      </c>
      <c r="C31">
        <v>67</v>
      </c>
      <c r="D31">
        <v>0.1</v>
      </c>
      <c r="E31">
        <v>32.799999999999997</v>
      </c>
    </row>
    <row r="32" spans="1:5" x14ac:dyDescent="0.3">
      <c r="A32" t="s">
        <v>365</v>
      </c>
      <c r="B32" t="s">
        <v>514</v>
      </c>
      <c r="C32">
        <v>53.7</v>
      </c>
      <c r="D32">
        <v>1.2</v>
      </c>
      <c r="E32">
        <v>45.1</v>
      </c>
    </row>
    <row r="33" spans="1:5" x14ac:dyDescent="0.3">
      <c r="A33" t="s">
        <v>365</v>
      </c>
      <c r="B33" t="s">
        <v>340</v>
      </c>
      <c r="C33">
        <v>60.2</v>
      </c>
      <c r="D33">
        <v>0.5</v>
      </c>
      <c r="E33">
        <v>39.299999999999997</v>
      </c>
    </row>
    <row r="34" spans="1:5" x14ac:dyDescent="0.3">
      <c r="A34" t="s">
        <v>365</v>
      </c>
      <c r="B34" t="s">
        <v>810</v>
      </c>
      <c r="C34">
        <v>61.8</v>
      </c>
      <c r="D34">
        <v>0.5</v>
      </c>
      <c r="E34">
        <v>37.700000000000003</v>
      </c>
    </row>
    <row r="35" spans="1:5" x14ac:dyDescent="0.3">
      <c r="A35" t="s">
        <v>365</v>
      </c>
      <c r="B35" t="s">
        <v>628</v>
      </c>
      <c r="C35">
        <v>26.7</v>
      </c>
      <c r="D35">
        <v>0.5</v>
      </c>
      <c r="E35">
        <v>72.8</v>
      </c>
    </row>
    <row r="36" spans="1:5" x14ac:dyDescent="0.3">
      <c r="A36" t="s">
        <v>365</v>
      </c>
      <c r="B36" t="s">
        <v>629</v>
      </c>
      <c r="C36">
        <v>59.5</v>
      </c>
      <c r="D36">
        <v>0.6</v>
      </c>
      <c r="E36">
        <v>39.9</v>
      </c>
    </row>
    <row r="37" spans="1:5" x14ac:dyDescent="0.3">
      <c r="A37" t="s">
        <v>366</v>
      </c>
      <c r="B37" t="s">
        <v>513</v>
      </c>
      <c r="C37">
        <v>64</v>
      </c>
      <c r="D37">
        <v>0.5</v>
      </c>
      <c r="E37">
        <v>35.5</v>
      </c>
    </row>
    <row r="38" spans="1:5" x14ac:dyDescent="0.3">
      <c r="A38" t="s">
        <v>366</v>
      </c>
      <c r="B38" t="s">
        <v>606</v>
      </c>
      <c r="C38">
        <v>60</v>
      </c>
      <c r="D38">
        <v>0.6</v>
      </c>
      <c r="E38">
        <v>39.4</v>
      </c>
    </row>
    <row r="39" spans="1:5" x14ac:dyDescent="0.3">
      <c r="A39" t="s">
        <v>366</v>
      </c>
      <c r="B39" t="s">
        <v>514</v>
      </c>
      <c r="C39">
        <v>53.4</v>
      </c>
      <c r="D39">
        <v>0.8</v>
      </c>
      <c r="E39">
        <v>45.8</v>
      </c>
    </row>
    <row r="40" spans="1:5" x14ac:dyDescent="0.3">
      <c r="A40" t="s">
        <v>366</v>
      </c>
      <c r="B40" t="s">
        <v>340</v>
      </c>
      <c r="C40">
        <v>55.3</v>
      </c>
      <c r="D40">
        <v>0.6</v>
      </c>
      <c r="E40">
        <v>44.1</v>
      </c>
    </row>
    <row r="41" spans="1:5" x14ac:dyDescent="0.3">
      <c r="A41" t="s">
        <v>366</v>
      </c>
      <c r="B41" t="s">
        <v>810</v>
      </c>
      <c r="C41">
        <v>56.3</v>
      </c>
      <c r="D41">
        <v>0.6</v>
      </c>
      <c r="E41">
        <v>43.1</v>
      </c>
    </row>
    <row r="42" spans="1:5" x14ac:dyDescent="0.3">
      <c r="A42" t="s">
        <v>366</v>
      </c>
      <c r="B42" t="s">
        <v>628</v>
      </c>
      <c r="C42">
        <v>32.5</v>
      </c>
      <c r="D42">
        <v>0.9</v>
      </c>
      <c r="E42">
        <v>66.7</v>
      </c>
    </row>
    <row r="43" spans="1:5" x14ac:dyDescent="0.3">
      <c r="A43" t="s">
        <v>366</v>
      </c>
      <c r="B43" t="s">
        <v>629</v>
      </c>
      <c r="C43">
        <v>53.7</v>
      </c>
      <c r="D43">
        <v>0.5</v>
      </c>
      <c r="E43">
        <v>45.7</v>
      </c>
    </row>
    <row r="44" spans="1:5" x14ac:dyDescent="0.3">
      <c r="A44" t="s">
        <v>341</v>
      </c>
      <c r="B44" t="s">
        <v>513</v>
      </c>
      <c r="C44">
        <v>55.8</v>
      </c>
      <c r="D44">
        <v>0.6</v>
      </c>
      <c r="E44">
        <v>43.6</v>
      </c>
    </row>
    <row r="45" spans="1:5" x14ac:dyDescent="0.3">
      <c r="A45" t="s">
        <v>341</v>
      </c>
      <c r="B45" t="s">
        <v>606</v>
      </c>
      <c r="C45">
        <v>58</v>
      </c>
      <c r="D45">
        <v>0.6</v>
      </c>
      <c r="E45">
        <v>41.4</v>
      </c>
    </row>
    <row r="46" spans="1:5" x14ac:dyDescent="0.3">
      <c r="A46" t="s">
        <v>341</v>
      </c>
      <c r="B46" t="s">
        <v>514</v>
      </c>
      <c r="C46">
        <v>53.9</v>
      </c>
      <c r="D46">
        <v>0.6</v>
      </c>
      <c r="E46">
        <v>45.5</v>
      </c>
    </row>
    <row r="47" spans="1:5" x14ac:dyDescent="0.3">
      <c r="A47" t="s">
        <v>341</v>
      </c>
      <c r="B47" t="s">
        <v>340</v>
      </c>
      <c r="C47">
        <v>53.7</v>
      </c>
      <c r="D47">
        <v>0.6</v>
      </c>
      <c r="E47">
        <v>45.7</v>
      </c>
    </row>
    <row r="48" spans="1:5" x14ac:dyDescent="0.3">
      <c r="A48" t="s">
        <v>341</v>
      </c>
      <c r="B48" t="s">
        <v>810</v>
      </c>
      <c r="C48">
        <v>54.2</v>
      </c>
      <c r="D48">
        <v>0.6</v>
      </c>
      <c r="E48">
        <v>45.2</v>
      </c>
    </row>
    <row r="49" spans="1:5" x14ac:dyDescent="0.3">
      <c r="A49" t="s">
        <v>341</v>
      </c>
      <c r="B49" t="s">
        <v>628</v>
      </c>
      <c r="C49">
        <v>42.7</v>
      </c>
      <c r="D49">
        <v>0.3</v>
      </c>
      <c r="E49">
        <v>57</v>
      </c>
    </row>
    <row r="50" spans="1:5" x14ac:dyDescent="0.3">
      <c r="A50" t="s">
        <v>341</v>
      </c>
      <c r="B50" t="s">
        <v>629</v>
      </c>
      <c r="C50">
        <v>51.2</v>
      </c>
      <c r="D50">
        <v>0.5</v>
      </c>
      <c r="E50">
        <v>48.3</v>
      </c>
    </row>
    <row r="51" spans="1:5" x14ac:dyDescent="0.3">
      <c r="A51" t="s">
        <v>342</v>
      </c>
      <c r="B51" t="s">
        <v>513</v>
      </c>
      <c r="C51">
        <v>52.9</v>
      </c>
      <c r="D51">
        <v>0.5</v>
      </c>
      <c r="E51">
        <v>46.6</v>
      </c>
    </row>
    <row r="52" spans="1:5" x14ac:dyDescent="0.3">
      <c r="A52" t="s">
        <v>342</v>
      </c>
      <c r="B52" t="s">
        <v>606</v>
      </c>
      <c r="C52">
        <v>65.900000000000006</v>
      </c>
      <c r="D52">
        <v>1.2</v>
      </c>
      <c r="E52">
        <v>32.9</v>
      </c>
    </row>
    <row r="53" spans="1:5" x14ac:dyDescent="0.3">
      <c r="A53" t="s">
        <v>342</v>
      </c>
      <c r="B53" t="s">
        <v>514</v>
      </c>
      <c r="C53">
        <v>61.2</v>
      </c>
      <c r="D53">
        <v>1.4</v>
      </c>
      <c r="E53">
        <v>37.4</v>
      </c>
    </row>
    <row r="54" spans="1:5" x14ac:dyDescent="0.3">
      <c r="A54" t="s">
        <v>342</v>
      </c>
      <c r="B54" t="s">
        <v>340</v>
      </c>
      <c r="C54">
        <v>59.2</v>
      </c>
      <c r="D54">
        <v>1.2</v>
      </c>
      <c r="E54">
        <v>39.6</v>
      </c>
    </row>
    <row r="55" spans="1:5" x14ac:dyDescent="0.3">
      <c r="A55" t="s">
        <v>342</v>
      </c>
      <c r="B55" t="s">
        <v>810</v>
      </c>
      <c r="C55">
        <v>60.2</v>
      </c>
      <c r="D55">
        <v>1.2</v>
      </c>
      <c r="E55">
        <v>38.6</v>
      </c>
    </row>
    <row r="56" spans="1:5" x14ac:dyDescent="0.3">
      <c r="A56" t="s">
        <v>342</v>
      </c>
      <c r="B56" t="s">
        <v>628</v>
      </c>
      <c r="C56">
        <v>37.299999999999997</v>
      </c>
      <c r="D56">
        <v>0.6</v>
      </c>
      <c r="E56">
        <v>62</v>
      </c>
    </row>
    <row r="57" spans="1:5" x14ac:dyDescent="0.3">
      <c r="A57" t="s">
        <v>342</v>
      </c>
      <c r="B57" t="s">
        <v>629</v>
      </c>
      <c r="C57">
        <v>55.7</v>
      </c>
      <c r="D57">
        <v>1.2</v>
      </c>
      <c r="E57">
        <v>43.1</v>
      </c>
    </row>
    <row r="58" spans="1:5" x14ac:dyDescent="0.3">
      <c r="A58" t="s">
        <v>213</v>
      </c>
      <c r="B58" t="s">
        <v>513</v>
      </c>
      <c r="C58">
        <v>53.623188405797109</v>
      </c>
      <c r="D58">
        <v>0.96618357487922701</v>
      </c>
      <c r="E58">
        <v>45.410628019323674</v>
      </c>
    </row>
    <row r="59" spans="1:5" x14ac:dyDescent="0.3">
      <c r="A59" t="s">
        <v>213</v>
      </c>
      <c r="B59" t="s">
        <v>606</v>
      </c>
      <c r="C59">
        <v>67.558415171012527</v>
      </c>
      <c r="D59">
        <v>1.1175076193701321</v>
      </c>
      <c r="E59">
        <v>31.324077209617339</v>
      </c>
    </row>
    <row r="60" spans="1:5" x14ac:dyDescent="0.3">
      <c r="A60" t="s">
        <v>213</v>
      </c>
      <c r="B60" t="s">
        <v>514</v>
      </c>
      <c r="C60">
        <v>68.055555555555557</v>
      </c>
      <c r="D60">
        <v>1.7676767676767675</v>
      </c>
      <c r="E60">
        <v>30.176767676767675</v>
      </c>
    </row>
    <row r="61" spans="1:5" x14ac:dyDescent="0.3">
      <c r="A61" t="s">
        <v>213</v>
      </c>
      <c r="B61" t="s">
        <v>340</v>
      </c>
      <c r="C61">
        <v>62.699215785479382</v>
      </c>
      <c r="D61">
        <v>1.2142676448267138</v>
      </c>
      <c r="E61">
        <v>36.086516569693906</v>
      </c>
    </row>
    <row r="62" spans="1:5" x14ac:dyDescent="0.3">
      <c r="A62" t="s">
        <v>213</v>
      </c>
      <c r="B62" t="s">
        <v>810</v>
      </c>
      <c r="C62">
        <v>63.802872578732369</v>
      </c>
      <c r="D62">
        <v>1.2386348662537885</v>
      </c>
      <c r="E62">
        <v>34.958492555013834</v>
      </c>
    </row>
    <row r="63" spans="1:5" x14ac:dyDescent="0.3">
      <c r="A63" t="s">
        <v>213</v>
      </c>
      <c r="B63" t="s">
        <v>628</v>
      </c>
      <c r="C63">
        <v>36.277602523659311</v>
      </c>
      <c r="D63">
        <v>0.63091482649842268</v>
      </c>
      <c r="E63">
        <v>63.09148264984227</v>
      </c>
    </row>
    <row r="64" spans="1:5" x14ac:dyDescent="0.3">
      <c r="A64" t="s">
        <v>213</v>
      </c>
      <c r="B64" t="s">
        <v>629</v>
      </c>
      <c r="C64">
        <v>60.406928787462199</v>
      </c>
      <c r="D64">
        <v>1.2372834753918065</v>
      </c>
      <c r="E64">
        <v>38.355787737146002</v>
      </c>
    </row>
    <row r="65" spans="1:5" x14ac:dyDescent="0.3">
      <c r="A65" t="s">
        <v>312</v>
      </c>
      <c r="B65" t="s">
        <v>513</v>
      </c>
      <c r="C65">
        <v>53.191489361702125</v>
      </c>
      <c r="D65">
        <v>1.0638297872340425</v>
      </c>
      <c r="E65">
        <v>45.744680851063826</v>
      </c>
    </row>
    <row r="66" spans="1:5" x14ac:dyDescent="0.3">
      <c r="A66" t="s">
        <v>312</v>
      </c>
      <c r="B66" t="s">
        <v>606</v>
      </c>
      <c r="C66">
        <v>63.534218590398361</v>
      </c>
      <c r="D66">
        <v>1.0554988083077972</v>
      </c>
      <c r="E66">
        <v>35.410282601293837</v>
      </c>
    </row>
    <row r="67" spans="1:5" x14ac:dyDescent="0.3">
      <c r="A67" t="s">
        <v>312</v>
      </c>
      <c r="B67" t="s">
        <v>512</v>
      </c>
      <c r="C67">
        <v>86.111111111111114</v>
      </c>
      <c r="E67">
        <v>13.888888888888889</v>
      </c>
    </row>
    <row r="68" spans="1:5" x14ac:dyDescent="0.3">
      <c r="A68" t="s">
        <v>312</v>
      </c>
      <c r="B68" t="s">
        <v>514</v>
      </c>
      <c r="C68">
        <v>66.992665036674808</v>
      </c>
      <c r="D68">
        <v>1.5892420537897312</v>
      </c>
      <c r="E68">
        <v>31.418092909535449</v>
      </c>
    </row>
    <row r="69" spans="1:5" x14ac:dyDescent="0.3">
      <c r="A69" t="s">
        <v>312</v>
      </c>
      <c r="B69" t="s">
        <v>340</v>
      </c>
      <c r="C69">
        <v>61.197982345523329</v>
      </c>
      <c r="D69">
        <v>1.1727616645649432</v>
      </c>
      <c r="E69">
        <v>37.629255989911726</v>
      </c>
    </row>
    <row r="70" spans="1:5" x14ac:dyDescent="0.3">
      <c r="A70" t="s">
        <v>312</v>
      </c>
      <c r="B70" t="s">
        <v>810</v>
      </c>
      <c r="C70">
        <v>62.298095863427449</v>
      </c>
      <c r="D70">
        <v>1.1950098489822718</v>
      </c>
      <c r="E70">
        <v>36.506894287590278</v>
      </c>
    </row>
    <row r="71" spans="1:5" x14ac:dyDescent="0.3">
      <c r="A71" t="s">
        <v>312</v>
      </c>
      <c r="B71" t="s">
        <v>628</v>
      </c>
      <c r="C71">
        <v>34.603174603174601</v>
      </c>
      <c r="D71">
        <v>0.63492063492063489</v>
      </c>
      <c r="E71">
        <v>64.761904761904759</v>
      </c>
    </row>
    <row r="72" spans="1:5" x14ac:dyDescent="0.3">
      <c r="A72" t="s">
        <v>312</v>
      </c>
      <c r="B72" t="s">
        <v>629</v>
      </c>
      <c r="C72">
        <v>60.478547854785482</v>
      </c>
      <c r="D72">
        <v>1.2376237623762376</v>
      </c>
      <c r="E72">
        <v>38.283828382838287</v>
      </c>
    </row>
    <row r="73" spans="1:5" x14ac:dyDescent="0.3">
      <c r="A73" t="s">
        <v>318</v>
      </c>
      <c r="B73" t="s">
        <v>513</v>
      </c>
      <c r="C73">
        <v>56.593406593406591</v>
      </c>
      <c r="D73">
        <v>1.098901098901099</v>
      </c>
      <c r="E73">
        <v>42.307692307692307</v>
      </c>
    </row>
    <row r="74" spans="1:5" x14ac:dyDescent="0.3">
      <c r="A74" t="s">
        <v>318</v>
      </c>
      <c r="B74" t="s">
        <v>606</v>
      </c>
      <c r="C74">
        <v>61.142061281337043</v>
      </c>
      <c r="D74">
        <v>0.94011142061281339</v>
      </c>
      <c r="E74">
        <v>37.917827298050142</v>
      </c>
    </row>
    <row r="75" spans="1:5" x14ac:dyDescent="0.3">
      <c r="A75" t="s">
        <v>318</v>
      </c>
      <c r="B75" t="s">
        <v>512</v>
      </c>
      <c r="C75">
        <v>87.037037037037038</v>
      </c>
      <c r="D75">
        <v>1.8518518518518516</v>
      </c>
      <c r="E75">
        <v>11.111111111111111</v>
      </c>
    </row>
    <row r="76" spans="1:5" x14ac:dyDescent="0.3">
      <c r="A76" t="s">
        <v>318</v>
      </c>
      <c r="B76" t="s">
        <v>514</v>
      </c>
      <c r="C76">
        <v>66.746411483253581</v>
      </c>
      <c r="D76">
        <v>1.7942583732057416</v>
      </c>
      <c r="E76">
        <v>31.459330143540669</v>
      </c>
    </row>
    <row r="77" spans="1:5" x14ac:dyDescent="0.3">
      <c r="A77" t="s">
        <v>318</v>
      </c>
      <c r="B77" t="s">
        <v>340</v>
      </c>
      <c r="C77">
        <v>60.094496232920449</v>
      </c>
      <c r="D77">
        <v>1.2131273145192185</v>
      </c>
      <c r="E77">
        <v>38.692376452560339</v>
      </c>
    </row>
    <row r="78" spans="1:5" x14ac:dyDescent="0.3">
      <c r="A78" t="s">
        <v>318</v>
      </c>
      <c r="B78" t="s">
        <v>810</v>
      </c>
      <c r="C78">
        <v>61.091923485653567</v>
      </c>
      <c r="D78">
        <v>1.2353878852284803</v>
      </c>
      <c r="E78">
        <v>37.672688629117964</v>
      </c>
    </row>
    <row r="79" spans="1:5" x14ac:dyDescent="0.3">
      <c r="A79" t="s">
        <v>318</v>
      </c>
      <c r="B79" t="s">
        <v>628</v>
      </c>
      <c r="C79">
        <v>35.313531353135311</v>
      </c>
      <c r="D79">
        <v>0.66006600660066006</v>
      </c>
      <c r="E79">
        <v>64.026402640264024</v>
      </c>
    </row>
    <row r="80" spans="1:5" x14ac:dyDescent="0.3">
      <c r="A80" t="s">
        <v>318</v>
      </c>
      <c r="B80" t="s">
        <v>629</v>
      </c>
      <c r="C80">
        <v>59.5703125</v>
      </c>
      <c r="D80">
        <v>1.3392857142857142</v>
      </c>
      <c r="E80">
        <v>39.090401785714285</v>
      </c>
    </row>
    <row r="81" spans="1:5" x14ac:dyDescent="0.3">
      <c r="A81" t="s">
        <v>320</v>
      </c>
    </row>
    <row r="82" spans="1:5" x14ac:dyDescent="0.3">
      <c r="A82" t="s">
        <v>320</v>
      </c>
      <c r="B82" t="s">
        <v>513</v>
      </c>
      <c r="C82">
        <v>55.932203389830505</v>
      </c>
      <c r="D82">
        <v>2.2598870056497176</v>
      </c>
      <c r="E82">
        <v>41.807909604519772</v>
      </c>
    </row>
    <row r="83" spans="1:5" x14ac:dyDescent="0.3">
      <c r="A83" t="s">
        <v>320</v>
      </c>
      <c r="B83" t="s">
        <v>606</v>
      </c>
      <c r="C83">
        <v>58.819268381021374</v>
      </c>
      <c r="D83">
        <v>0.94168779427743576</v>
      </c>
      <c r="E83">
        <v>40.239043824701191</v>
      </c>
    </row>
    <row r="84" spans="1:5" x14ac:dyDescent="0.3">
      <c r="A84" t="s">
        <v>320</v>
      </c>
      <c r="B84" t="s">
        <v>512</v>
      </c>
      <c r="C84">
        <v>88.679245283018872</v>
      </c>
      <c r="D84">
        <v>1.8867924528301887</v>
      </c>
      <c r="E84">
        <v>9.433962264150944</v>
      </c>
    </row>
    <row r="85" spans="1:5" x14ac:dyDescent="0.3">
      <c r="A85" t="s">
        <v>320</v>
      </c>
      <c r="B85" t="s">
        <v>514</v>
      </c>
      <c r="C85">
        <v>63.163481953290869</v>
      </c>
      <c r="D85">
        <v>2.335456475583864</v>
      </c>
      <c r="E85">
        <v>34.501061571125263</v>
      </c>
    </row>
    <row r="86" spans="1:5" x14ac:dyDescent="0.3">
      <c r="A86" t="s">
        <v>320</v>
      </c>
      <c r="B86" t="s">
        <v>340</v>
      </c>
      <c r="C86">
        <v>58.402449917060096</v>
      </c>
      <c r="D86">
        <v>1.327038407553911</v>
      </c>
      <c r="E86">
        <v>40.27051167538599</v>
      </c>
    </row>
    <row r="87" spans="1:5" x14ac:dyDescent="0.3">
      <c r="A87" t="s">
        <v>320</v>
      </c>
      <c r="B87" t="s">
        <v>810</v>
      </c>
      <c r="C87">
        <v>59.304812834224599</v>
      </c>
      <c r="D87">
        <v>1.3636363636363635</v>
      </c>
      <c r="E87">
        <v>39.331550802139034</v>
      </c>
    </row>
    <row r="88" spans="1:5" x14ac:dyDescent="0.3">
      <c r="A88" t="s">
        <v>320</v>
      </c>
      <c r="B88" t="s">
        <v>628</v>
      </c>
      <c r="C88">
        <v>36.823104693140799</v>
      </c>
      <c r="D88">
        <v>0.72202166064981954</v>
      </c>
      <c r="E88">
        <v>62.454873646209386</v>
      </c>
    </row>
    <row r="89" spans="1:5" x14ac:dyDescent="0.3">
      <c r="A89" t="s">
        <v>320</v>
      </c>
      <c r="B89" t="s">
        <v>629</v>
      </c>
      <c r="C89">
        <v>58.387369608119535</v>
      </c>
      <c r="D89">
        <v>1.381449111925571</v>
      </c>
      <c r="E89">
        <v>40.231181279954889</v>
      </c>
    </row>
    <row r="90" spans="1:5" x14ac:dyDescent="0.3">
      <c r="A90" t="s">
        <v>325</v>
      </c>
    </row>
    <row r="91" spans="1:5" x14ac:dyDescent="0.3">
      <c r="A91" t="s">
        <v>325</v>
      </c>
      <c r="B91" t="s">
        <v>513</v>
      </c>
      <c r="C91">
        <v>52.298850574712638</v>
      </c>
      <c r="D91">
        <v>2.2988505747126435</v>
      </c>
      <c r="E91">
        <v>45.402298850574709</v>
      </c>
    </row>
    <row r="92" spans="1:5" x14ac:dyDescent="0.3">
      <c r="A92" t="s">
        <v>325</v>
      </c>
      <c r="B92" t="s">
        <v>606</v>
      </c>
      <c r="C92">
        <v>55.190058479532169</v>
      </c>
      <c r="D92">
        <v>1.0599415204678362</v>
      </c>
      <c r="E92">
        <v>43.75</v>
      </c>
    </row>
    <row r="93" spans="1:5" x14ac:dyDescent="0.3">
      <c r="A93" t="s">
        <v>325</v>
      </c>
      <c r="B93" t="s">
        <v>512</v>
      </c>
      <c r="C93">
        <v>88.888888888888886</v>
      </c>
      <c r="D93">
        <v>1.8518518518518516</v>
      </c>
      <c r="E93">
        <v>9.2592592592592595</v>
      </c>
    </row>
    <row r="94" spans="1:5" x14ac:dyDescent="0.3">
      <c r="A94" t="s">
        <v>325</v>
      </c>
      <c r="B94" t="s">
        <v>514</v>
      </c>
      <c r="C94">
        <v>60.799136069114468</v>
      </c>
      <c r="D94">
        <v>2.2678185745140391</v>
      </c>
      <c r="E94">
        <v>36.933045356371494</v>
      </c>
    </row>
    <row r="95" spans="1:5" x14ac:dyDescent="0.3">
      <c r="A95" t="s">
        <v>325</v>
      </c>
      <c r="B95" t="s">
        <v>340</v>
      </c>
      <c r="C95">
        <v>55.432969852469526</v>
      </c>
      <c r="D95">
        <v>1.308531109685696</v>
      </c>
      <c r="E95">
        <v>43.258499037844771</v>
      </c>
    </row>
    <row r="96" spans="1:5" x14ac:dyDescent="0.3">
      <c r="A96" t="s">
        <v>325</v>
      </c>
      <c r="B96" t="s">
        <v>810</v>
      </c>
      <c r="C96">
        <v>56.313301823092509</v>
      </c>
      <c r="D96">
        <v>1.3639432815665091</v>
      </c>
      <c r="E96">
        <v>42.322754895340985</v>
      </c>
    </row>
    <row r="97" spans="1:5" x14ac:dyDescent="0.3">
      <c r="A97" t="s">
        <v>325</v>
      </c>
      <c r="B97" t="s">
        <v>628</v>
      </c>
      <c r="C97">
        <v>36.84210526315789</v>
      </c>
      <c r="D97">
        <v>0.37593984962406013</v>
      </c>
      <c r="E97">
        <v>62.781954887218049</v>
      </c>
    </row>
    <row r="98" spans="1:5" x14ac:dyDescent="0.3">
      <c r="A98" t="s">
        <v>325</v>
      </c>
      <c r="B98" t="s">
        <v>629</v>
      </c>
      <c r="C98">
        <v>55.704125177809395</v>
      </c>
      <c r="D98">
        <v>1.3086770981507825</v>
      </c>
      <c r="E98">
        <v>42.987197724039831</v>
      </c>
    </row>
    <row r="99" spans="1:5" x14ac:dyDescent="0.3">
      <c r="A99" t="s">
        <v>326</v>
      </c>
    </row>
    <row r="100" spans="1:5" x14ac:dyDescent="0.3">
      <c r="A100" t="s">
        <v>326</v>
      </c>
      <c r="B100" t="s">
        <v>513</v>
      </c>
      <c r="C100">
        <v>51.445086705202314</v>
      </c>
      <c r="D100">
        <v>2.3121387283236992</v>
      </c>
      <c r="E100">
        <v>46.24277456647399</v>
      </c>
    </row>
    <row r="101" spans="1:5" x14ac:dyDescent="0.3">
      <c r="A101" t="s">
        <v>326</v>
      </c>
      <c r="B101" t="s">
        <v>606</v>
      </c>
      <c r="C101">
        <v>50.994108983799705</v>
      </c>
      <c r="D101">
        <v>0.81001472754050086</v>
      </c>
      <c r="E101">
        <v>48.195876288659797</v>
      </c>
    </row>
    <row r="102" spans="1:5" x14ac:dyDescent="0.3">
      <c r="A102" t="s">
        <v>326</v>
      </c>
      <c r="B102" t="s">
        <v>512</v>
      </c>
      <c r="C102">
        <v>88.888888888888886</v>
      </c>
      <c r="D102">
        <v>1.8518518518518516</v>
      </c>
      <c r="E102">
        <v>9.2592592592592595</v>
      </c>
    </row>
    <row r="103" spans="1:5" x14ac:dyDescent="0.3">
      <c r="A103" t="s">
        <v>326</v>
      </c>
      <c r="B103" t="s">
        <v>514</v>
      </c>
      <c r="C103">
        <v>58.681318681318686</v>
      </c>
      <c r="D103">
        <v>2.197802197802198</v>
      </c>
      <c r="E103">
        <v>39.120879120879124</v>
      </c>
    </row>
    <row r="104" spans="1:5" x14ac:dyDescent="0.3">
      <c r="A104" t="s">
        <v>326</v>
      </c>
      <c r="B104" t="s">
        <v>340</v>
      </c>
      <c r="C104">
        <v>52.832879553999746</v>
      </c>
      <c r="D104">
        <v>1.1798262673408531</v>
      </c>
      <c r="E104">
        <v>45.987294178659404</v>
      </c>
    </row>
    <row r="105" spans="1:5" x14ac:dyDescent="0.3">
      <c r="A105" t="s">
        <v>326</v>
      </c>
      <c r="B105" t="s">
        <v>810</v>
      </c>
      <c r="C105">
        <v>53.749143248800543</v>
      </c>
      <c r="D105">
        <v>1.233721727210418</v>
      </c>
      <c r="E105">
        <v>45.017135023989034</v>
      </c>
    </row>
    <row r="106" spans="1:5" x14ac:dyDescent="0.3">
      <c r="A106" t="s">
        <v>326</v>
      </c>
      <c r="B106" t="s">
        <v>628</v>
      </c>
      <c r="C106">
        <v>35.555555555555557</v>
      </c>
      <c r="D106">
        <v>0.37037037037037041</v>
      </c>
      <c r="E106">
        <v>64.074074074074076</v>
      </c>
    </row>
    <row r="107" spans="1:5" x14ac:dyDescent="0.3">
      <c r="A107" t="s">
        <v>326</v>
      </c>
      <c r="B107" t="s">
        <v>629</v>
      </c>
      <c r="C107">
        <v>54.183614177803605</v>
      </c>
      <c r="D107">
        <v>1.2492736780941311</v>
      </c>
      <c r="E107">
        <v>44.567112144102268</v>
      </c>
    </row>
    <row r="108" spans="1:5" x14ac:dyDescent="0.3">
      <c r="A108" t="s">
        <v>328</v>
      </c>
    </row>
    <row r="109" spans="1:5" x14ac:dyDescent="0.3">
      <c r="A109" t="s">
        <v>328</v>
      </c>
      <c r="B109" t="s">
        <v>513</v>
      </c>
      <c r="C109">
        <v>47.97687861271676</v>
      </c>
      <c r="D109">
        <v>2.3121387283236992</v>
      </c>
      <c r="E109">
        <v>49.710982658959537</v>
      </c>
    </row>
    <row r="110" spans="1:5" x14ac:dyDescent="0.3">
      <c r="A110" t="s">
        <v>328</v>
      </c>
      <c r="B110" t="s">
        <v>606</v>
      </c>
      <c r="C110">
        <v>47.877445551864156</v>
      </c>
      <c r="D110">
        <v>0.73827980804724991</v>
      </c>
      <c r="E110">
        <v>51.384274640088591</v>
      </c>
    </row>
    <row r="111" spans="1:5" x14ac:dyDescent="0.3">
      <c r="A111" t="s">
        <v>328</v>
      </c>
      <c r="B111" t="s">
        <v>512</v>
      </c>
      <c r="C111">
        <v>85.245901639344254</v>
      </c>
      <c r="D111">
        <v>1.639344262295082</v>
      </c>
      <c r="E111">
        <v>13.114754098360656</v>
      </c>
    </row>
    <row r="112" spans="1:5" x14ac:dyDescent="0.3">
      <c r="A112" t="s">
        <v>328</v>
      </c>
      <c r="B112" t="s">
        <v>514</v>
      </c>
      <c r="C112">
        <v>56.342494714587744</v>
      </c>
      <c r="D112">
        <v>2.2198731501057085</v>
      </c>
      <c r="E112">
        <v>41.437632135306551</v>
      </c>
    </row>
    <row r="113" spans="1:5" x14ac:dyDescent="0.3">
      <c r="A113" t="s">
        <v>328</v>
      </c>
      <c r="B113" t="s">
        <v>340</v>
      </c>
      <c r="C113">
        <v>50.148253190666495</v>
      </c>
      <c r="D113">
        <v>1.1731339435348718</v>
      </c>
      <c r="E113">
        <v>48.678612865798634</v>
      </c>
    </row>
    <row r="114" spans="1:5" x14ac:dyDescent="0.3">
      <c r="A114" t="s">
        <v>328</v>
      </c>
      <c r="B114" t="s">
        <v>810</v>
      </c>
      <c r="C114">
        <v>51.036269430051817</v>
      </c>
      <c r="D114">
        <v>1.2135260430869921</v>
      </c>
      <c r="E114">
        <v>47.750204526861197</v>
      </c>
    </row>
    <row r="115" spans="1:5" x14ac:dyDescent="0.3">
      <c r="A115" t="s">
        <v>328</v>
      </c>
      <c r="B115" t="s">
        <v>628</v>
      </c>
      <c r="C115">
        <v>34.065934065934066</v>
      </c>
      <c r="D115">
        <v>0.36630036630036628</v>
      </c>
      <c r="E115">
        <v>65.567765567765562</v>
      </c>
    </row>
    <row r="116" spans="1:5" x14ac:dyDescent="0.3">
      <c r="A116" t="s">
        <v>328</v>
      </c>
      <c r="B116" t="s">
        <v>629</v>
      </c>
      <c r="C116">
        <v>51.611030478955009</v>
      </c>
      <c r="D116">
        <v>1.2481857764876634</v>
      </c>
      <c r="E116">
        <v>47.140783744557332</v>
      </c>
    </row>
    <row r="117" spans="1:5" x14ac:dyDescent="0.3">
      <c r="A117" t="s">
        <v>412</v>
      </c>
    </row>
    <row r="118" spans="1:5" x14ac:dyDescent="0.3">
      <c r="A118" t="s">
        <v>412</v>
      </c>
      <c r="B118" t="s">
        <v>513</v>
      </c>
      <c r="C118">
        <v>44.134078212290504</v>
      </c>
      <c r="D118">
        <v>2.7932960893854748</v>
      </c>
      <c r="E118">
        <v>53.072625698324025</v>
      </c>
    </row>
    <row r="119" spans="1:5" x14ac:dyDescent="0.3">
      <c r="A119" t="s">
        <v>412</v>
      </c>
      <c r="B119" t="s">
        <v>606</v>
      </c>
      <c r="C119">
        <v>44.832605531295485</v>
      </c>
      <c r="D119">
        <v>0.9097525473071324</v>
      </c>
      <c r="E119">
        <v>54.257641921397379</v>
      </c>
    </row>
    <row r="120" spans="1:5" x14ac:dyDescent="0.3">
      <c r="A120" t="s">
        <v>412</v>
      </c>
      <c r="B120" t="s">
        <v>512</v>
      </c>
      <c r="C120">
        <v>83.333333333333343</v>
      </c>
      <c r="D120">
        <v>1.6666666666666667</v>
      </c>
      <c r="E120">
        <v>15</v>
      </c>
    </row>
    <row r="121" spans="1:5" x14ac:dyDescent="0.3">
      <c r="A121" t="s">
        <v>412</v>
      </c>
      <c r="B121" t="s">
        <v>514</v>
      </c>
      <c r="C121">
        <v>55.496828752642699</v>
      </c>
      <c r="D121">
        <v>2.4312896405919662</v>
      </c>
      <c r="E121">
        <v>42.071881606765324</v>
      </c>
    </row>
    <row r="122" spans="1:5" x14ac:dyDescent="0.3">
      <c r="A122" t="s">
        <v>412</v>
      </c>
      <c r="B122" t="s">
        <v>340</v>
      </c>
      <c r="C122">
        <v>47.997946611909654</v>
      </c>
      <c r="D122">
        <v>1.3218685831622177</v>
      </c>
      <c r="E122">
        <v>50.680184804928132</v>
      </c>
    </row>
    <row r="123" spans="1:5" x14ac:dyDescent="0.3">
      <c r="A123" t="s">
        <v>412</v>
      </c>
      <c r="B123" t="s">
        <v>810</v>
      </c>
      <c r="C123">
        <v>48.873812754409769</v>
      </c>
      <c r="D123">
        <v>1.3568521031207599</v>
      </c>
      <c r="E123">
        <v>49.769335142469473</v>
      </c>
    </row>
    <row r="124" spans="1:5" x14ac:dyDescent="0.3">
      <c r="A124" t="s">
        <v>412</v>
      </c>
      <c r="B124" t="s">
        <v>628</v>
      </c>
      <c r="C124">
        <v>34.126984126984127</v>
      </c>
      <c r="D124">
        <v>0.3968253968253968</v>
      </c>
      <c r="E124">
        <v>65.476190476190482</v>
      </c>
    </row>
    <row r="125" spans="1:5" x14ac:dyDescent="0.3">
      <c r="A125" t="s">
        <v>412</v>
      </c>
      <c r="B125" t="s">
        <v>629</v>
      </c>
      <c r="C125">
        <v>49.927262147221413</v>
      </c>
      <c r="D125">
        <v>1.3383764911259821</v>
      </c>
      <c r="E125">
        <v>48.734361361652603</v>
      </c>
    </row>
  </sheetData>
  <pageMargins left="0.7" right="0.7" top="0.75" bottom="0.75" header="0.3" footer="0.3"/>
  <tableParts count="1">
    <tablePart r:id="rId1"/>
  </tableParts>
</worksheet>
</file>

<file path=xl/worksheets/sheet9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dimension ref="A3:AE22"/>
  <sheetViews>
    <sheetView workbookViewId="0">
      <selection activeCell="D16" sqref="D16"/>
    </sheetView>
  </sheetViews>
  <sheetFormatPr defaultRowHeight="14.4" x14ac:dyDescent="0.3"/>
  <cols>
    <col min="1" max="1" width="12.77734375" bestFit="1" customWidth="1"/>
    <col min="2" max="2" width="15.77734375" bestFit="1" customWidth="1"/>
    <col min="3" max="3" width="21" bestFit="1" customWidth="1"/>
    <col min="4" max="4" width="16.77734375" bestFit="1" customWidth="1"/>
    <col min="5" max="5" width="12.88671875" bestFit="1" customWidth="1"/>
    <col min="6" max="6" width="21" bestFit="1" customWidth="1"/>
    <col min="7" max="7" width="16.77734375" bestFit="1" customWidth="1"/>
    <col min="8" max="8" width="12.88671875" bestFit="1" customWidth="1"/>
    <col min="9" max="9" width="21" bestFit="1" customWidth="1"/>
    <col min="10" max="10" width="16.77734375" bestFit="1" customWidth="1"/>
    <col min="11" max="11" width="12.88671875" bestFit="1" customWidth="1"/>
    <col min="12" max="12" width="21" bestFit="1" customWidth="1"/>
    <col min="13" max="13" width="16.77734375" bestFit="1" customWidth="1"/>
    <col min="14" max="14" width="12.88671875" bestFit="1" customWidth="1"/>
    <col min="15" max="15" width="21" bestFit="1" customWidth="1"/>
    <col min="16" max="16" width="16.77734375" bestFit="1" customWidth="1"/>
    <col min="17" max="17" width="12.88671875" bestFit="1" customWidth="1"/>
    <col min="18" max="18" width="21" bestFit="1" customWidth="1"/>
    <col min="19" max="19" width="16.77734375" bestFit="1" customWidth="1"/>
    <col min="20" max="20" width="12.88671875" bestFit="1" customWidth="1"/>
    <col min="21" max="21" width="21" bestFit="1" customWidth="1"/>
    <col min="22" max="22" width="16.77734375" bestFit="1" customWidth="1"/>
    <col min="23" max="23" width="12.88671875" bestFit="1" customWidth="1"/>
    <col min="24" max="24" width="21" bestFit="1" customWidth="1"/>
    <col min="25" max="25" width="16.77734375" bestFit="1" customWidth="1"/>
    <col min="26" max="26" width="12.88671875" bestFit="1" customWidth="1"/>
    <col min="27" max="27" width="21" bestFit="1" customWidth="1"/>
    <col min="28" max="28" width="16.77734375" bestFit="1" customWidth="1"/>
    <col min="29" max="29" width="17.77734375" bestFit="1" customWidth="1"/>
    <col min="30" max="30" width="25.77734375" bestFit="1" customWidth="1"/>
    <col min="31" max="31" width="21.6640625" bestFit="1" customWidth="1"/>
  </cols>
  <sheetData>
    <row r="3" spans="1:31" x14ac:dyDescent="0.3">
      <c r="B3" s="386" t="s">
        <v>414</v>
      </c>
    </row>
    <row r="4" spans="1:31" x14ac:dyDescent="0.3">
      <c r="B4" t="s">
        <v>513</v>
      </c>
      <c r="E4" t="s">
        <v>606</v>
      </c>
      <c r="H4" t="s">
        <v>512</v>
      </c>
      <c r="K4" t="s">
        <v>514</v>
      </c>
      <c r="N4" t="s">
        <v>340</v>
      </c>
      <c r="Q4" t="s">
        <v>810</v>
      </c>
      <c r="T4" t="s">
        <v>628</v>
      </c>
      <c r="W4" t="s">
        <v>629</v>
      </c>
      <c r="Z4" t="s">
        <v>415</v>
      </c>
      <c r="AC4" t="s">
        <v>811</v>
      </c>
      <c r="AD4" t="s">
        <v>812</v>
      </c>
      <c r="AE4" t="s">
        <v>813</v>
      </c>
    </row>
    <row r="5" spans="1:31" x14ac:dyDescent="0.3">
      <c r="A5" s="386" t="s">
        <v>350</v>
      </c>
      <c r="B5" t="s">
        <v>814</v>
      </c>
      <c r="C5" t="s">
        <v>815</v>
      </c>
      <c r="D5" t="s">
        <v>816</v>
      </c>
      <c r="E5" t="s">
        <v>814</v>
      </c>
      <c r="F5" t="s">
        <v>815</v>
      </c>
      <c r="G5" t="s">
        <v>816</v>
      </c>
      <c r="H5" t="s">
        <v>814</v>
      </c>
      <c r="I5" t="s">
        <v>815</v>
      </c>
      <c r="J5" t="s">
        <v>816</v>
      </c>
      <c r="K5" t="s">
        <v>814</v>
      </c>
      <c r="L5" t="s">
        <v>815</v>
      </c>
      <c r="M5" t="s">
        <v>816</v>
      </c>
      <c r="N5" t="s">
        <v>814</v>
      </c>
      <c r="O5" t="s">
        <v>815</v>
      </c>
      <c r="P5" t="s">
        <v>816</v>
      </c>
      <c r="Q5" t="s">
        <v>814</v>
      </c>
      <c r="R5" t="s">
        <v>815</v>
      </c>
      <c r="S5" t="s">
        <v>816</v>
      </c>
      <c r="T5" t="s">
        <v>814</v>
      </c>
      <c r="U5" t="s">
        <v>815</v>
      </c>
      <c r="V5" t="s">
        <v>816</v>
      </c>
      <c r="W5" t="s">
        <v>814</v>
      </c>
      <c r="X5" t="s">
        <v>815</v>
      </c>
      <c r="Y5" t="s">
        <v>816</v>
      </c>
      <c r="Z5" t="s">
        <v>814</v>
      </c>
      <c r="AA5" t="s">
        <v>815</v>
      </c>
      <c r="AB5" t="s">
        <v>816</v>
      </c>
    </row>
    <row r="6" spans="1:31" x14ac:dyDescent="0.3">
      <c r="A6" s="387" t="s">
        <v>510</v>
      </c>
      <c r="B6">
        <v>90.6</v>
      </c>
      <c r="C6">
        <v>0.4</v>
      </c>
      <c r="D6">
        <v>9</v>
      </c>
      <c r="E6">
        <v>83.7</v>
      </c>
      <c r="F6">
        <v>0.2</v>
      </c>
      <c r="G6">
        <v>16.100000000000001</v>
      </c>
      <c r="K6">
        <v>80.7</v>
      </c>
      <c r="L6">
        <v>1.1000000000000001</v>
      </c>
      <c r="M6">
        <v>18.2</v>
      </c>
      <c r="N6">
        <v>82.1</v>
      </c>
      <c r="O6">
        <v>0.6</v>
      </c>
      <c r="P6">
        <v>17.3</v>
      </c>
      <c r="Q6">
        <v>82.9</v>
      </c>
      <c r="R6">
        <v>0.6</v>
      </c>
      <c r="S6">
        <v>16.5</v>
      </c>
      <c r="T6">
        <v>67.5</v>
      </c>
      <c r="U6">
        <v>0.2</v>
      </c>
      <c r="V6">
        <v>32.299999999999997</v>
      </c>
      <c r="W6">
        <v>82.5</v>
      </c>
      <c r="X6">
        <v>0.8</v>
      </c>
      <c r="Y6">
        <v>16.7</v>
      </c>
      <c r="AC6">
        <v>570</v>
      </c>
      <c r="AD6">
        <v>3.9000000000000004</v>
      </c>
      <c r="AE6">
        <v>126.1</v>
      </c>
    </row>
    <row r="7" spans="1:31" x14ac:dyDescent="0.3">
      <c r="A7" s="387" t="s">
        <v>362</v>
      </c>
      <c r="B7">
        <v>84.6</v>
      </c>
      <c r="C7">
        <v>0.4</v>
      </c>
      <c r="D7">
        <v>15</v>
      </c>
      <c r="E7">
        <v>81.8</v>
      </c>
      <c r="F7">
        <v>0.2</v>
      </c>
      <c r="G7">
        <v>18</v>
      </c>
      <c r="K7">
        <v>65.5</v>
      </c>
      <c r="L7">
        <v>1</v>
      </c>
      <c r="M7">
        <v>33.5</v>
      </c>
      <c r="N7">
        <v>74.400000000000006</v>
      </c>
      <c r="O7">
        <v>0.6</v>
      </c>
      <c r="P7">
        <v>25</v>
      </c>
      <c r="Q7">
        <v>75</v>
      </c>
      <c r="R7">
        <v>0.6</v>
      </c>
      <c r="S7">
        <v>24.4</v>
      </c>
      <c r="T7">
        <v>62.7</v>
      </c>
      <c r="U7">
        <v>0.2</v>
      </c>
      <c r="V7">
        <v>37</v>
      </c>
      <c r="W7">
        <v>72.2</v>
      </c>
      <c r="X7">
        <v>0.8</v>
      </c>
      <c r="Y7">
        <v>27.1</v>
      </c>
      <c r="AC7">
        <v>516.19999999999993</v>
      </c>
      <c r="AD7">
        <v>3.8000000000000007</v>
      </c>
      <c r="AE7">
        <v>180</v>
      </c>
    </row>
    <row r="8" spans="1:31" x14ac:dyDescent="0.3">
      <c r="A8" s="387" t="s">
        <v>363</v>
      </c>
      <c r="B8">
        <v>89.7</v>
      </c>
      <c r="C8">
        <v>0.4</v>
      </c>
      <c r="D8">
        <v>9.8000000000000007</v>
      </c>
      <c r="E8">
        <v>80.900000000000006</v>
      </c>
      <c r="F8">
        <v>0.2</v>
      </c>
      <c r="G8">
        <v>18.899999999999999</v>
      </c>
      <c r="K8">
        <v>78.400000000000006</v>
      </c>
      <c r="L8">
        <v>1</v>
      </c>
      <c r="M8">
        <v>20.6</v>
      </c>
      <c r="N8">
        <v>80.099999999999994</v>
      </c>
      <c r="O8">
        <v>0.6</v>
      </c>
      <c r="P8">
        <v>19.3</v>
      </c>
      <c r="Q8">
        <v>81</v>
      </c>
      <c r="R8">
        <v>0.6</v>
      </c>
      <c r="S8">
        <v>18.399999999999999</v>
      </c>
      <c r="T8">
        <v>61.4</v>
      </c>
      <c r="U8">
        <v>0.5</v>
      </c>
      <c r="V8">
        <v>38.1</v>
      </c>
      <c r="W8">
        <v>81.2</v>
      </c>
      <c r="X8">
        <v>0.7</v>
      </c>
      <c r="Y8">
        <v>18</v>
      </c>
      <c r="AC8">
        <v>552.70000000000005</v>
      </c>
      <c r="AD8">
        <v>4</v>
      </c>
      <c r="AE8">
        <v>143.1</v>
      </c>
    </row>
    <row r="9" spans="1:31" x14ac:dyDescent="0.3">
      <c r="A9" s="387" t="s">
        <v>364</v>
      </c>
      <c r="B9">
        <v>49.3</v>
      </c>
      <c r="D9">
        <v>50.7</v>
      </c>
      <c r="E9">
        <v>69.599999999999994</v>
      </c>
      <c r="F9">
        <v>1.1000000000000001</v>
      </c>
      <c r="G9">
        <v>29.3</v>
      </c>
      <c r="K9">
        <v>55.2</v>
      </c>
      <c r="L9">
        <v>1</v>
      </c>
      <c r="M9">
        <v>43.8</v>
      </c>
      <c r="N9">
        <v>61.1</v>
      </c>
      <c r="O9">
        <v>0.8</v>
      </c>
      <c r="P9">
        <v>38.1</v>
      </c>
      <c r="Q9">
        <v>62.5</v>
      </c>
      <c r="R9">
        <v>0.8</v>
      </c>
      <c r="S9">
        <v>36.700000000000003</v>
      </c>
      <c r="T9">
        <v>30.1</v>
      </c>
      <c r="U9">
        <v>0.6</v>
      </c>
      <c r="V9">
        <v>69.400000000000006</v>
      </c>
      <c r="W9">
        <v>59.8</v>
      </c>
      <c r="X9">
        <v>0.6</v>
      </c>
      <c r="Y9">
        <v>39.6</v>
      </c>
      <c r="AC9">
        <v>387.6</v>
      </c>
      <c r="AD9">
        <v>4.8999999999999995</v>
      </c>
      <c r="AE9">
        <v>307.60000000000002</v>
      </c>
    </row>
    <row r="10" spans="1:31" x14ac:dyDescent="0.3">
      <c r="A10" s="387" t="s">
        <v>365</v>
      </c>
      <c r="B10">
        <v>63</v>
      </c>
      <c r="C10">
        <v>0.4</v>
      </c>
      <c r="D10">
        <v>36.5</v>
      </c>
      <c r="E10">
        <v>67</v>
      </c>
      <c r="F10">
        <v>0.1</v>
      </c>
      <c r="G10">
        <v>32.799999999999997</v>
      </c>
      <c r="K10">
        <v>53.7</v>
      </c>
      <c r="L10">
        <v>1.2</v>
      </c>
      <c r="M10">
        <v>45.1</v>
      </c>
      <c r="N10">
        <v>60.2</v>
      </c>
      <c r="O10">
        <v>0.5</v>
      </c>
      <c r="P10">
        <v>39.299999999999997</v>
      </c>
      <c r="Q10">
        <v>61.8</v>
      </c>
      <c r="R10">
        <v>0.5</v>
      </c>
      <c r="S10">
        <v>37.700000000000003</v>
      </c>
      <c r="T10">
        <v>26.7</v>
      </c>
      <c r="U10">
        <v>0.5</v>
      </c>
      <c r="V10">
        <v>72.8</v>
      </c>
      <c r="W10">
        <v>59.5</v>
      </c>
      <c r="X10">
        <v>0.6</v>
      </c>
      <c r="Y10">
        <v>39.9</v>
      </c>
      <c r="AC10">
        <v>391.9</v>
      </c>
      <c r="AD10">
        <v>3.8000000000000003</v>
      </c>
      <c r="AE10">
        <v>304.09999999999997</v>
      </c>
    </row>
    <row r="11" spans="1:31" x14ac:dyDescent="0.3">
      <c r="A11" s="387" t="s">
        <v>366</v>
      </c>
      <c r="B11">
        <v>64</v>
      </c>
      <c r="C11">
        <v>0.5</v>
      </c>
      <c r="D11">
        <v>35.5</v>
      </c>
      <c r="E11">
        <v>60</v>
      </c>
      <c r="F11">
        <v>0.6</v>
      </c>
      <c r="G11">
        <v>39.4</v>
      </c>
      <c r="K11">
        <v>53.4</v>
      </c>
      <c r="L11">
        <v>0.8</v>
      </c>
      <c r="M11">
        <v>45.8</v>
      </c>
      <c r="N11">
        <v>55.3</v>
      </c>
      <c r="O11">
        <v>0.6</v>
      </c>
      <c r="P11">
        <v>44.1</v>
      </c>
      <c r="Q11">
        <v>56.3</v>
      </c>
      <c r="R11">
        <v>0.6</v>
      </c>
      <c r="S11">
        <v>43.1</v>
      </c>
      <c r="T11">
        <v>32.5</v>
      </c>
      <c r="U11">
        <v>0.9</v>
      </c>
      <c r="V11">
        <v>66.7</v>
      </c>
      <c r="W11">
        <v>53.7</v>
      </c>
      <c r="X11">
        <v>0.5</v>
      </c>
      <c r="Y11">
        <v>45.7</v>
      </c>
      <c r="AC11">
        <v>375.2</v>
      </c>
      <c r="AD11">
        <v>4.5</v>
      </c>
      <c r="AE11">
        <v>320.3</v>
      </c>
    </row>
    <row r="12" spans="1:31" x14ac:dyDescent="0.3">
      <c r="A12" s="387" t="s">
        <v>341</v>
      </c>
      <c r="B12">
        <v>55.8</v>
      </c>
      <c r="C12">
        <v>0.6</v>
      </c>
      <c r="D12">
        <v>43.6</v>
      </c>
      <c r="E12">
        <v>58</v>
      </c>
      <c r="F12">
        <v>0.6</v>
      </c>
      <c r="G12">
        <v>41.4</v>
      </c>
      <c r="K12">
        <v>53.9</v>
      </c>
      <c r="L12">
        <v>0.6</v>
      </c>
      <c r="M12">
        <v>45.5</v>
      </c>
      <c r="N12">
        <v>53.7</v>
      </c>
      <c r="O12">
        <v>0.6</v>
      </c>
      <c r="P12">
        <v>45.7</v>
      </c>
      <c r="Q12">
        <v>54.2</v>
      </c>
      <c r="R12">
        <v>0.6</v>
      </c>
      <c r="S12">
        <v>45.2</v>
      </c>
      <c r="T12">
        <v>42.7</v>
      </c>
      <c r="U12">
        <v>0.3</v>
      </c>
      <c r="V12">
        <v>57</v>
      </c>
      <c r="W12">
        <v>51.2</v>
      </c>
      <c r="X12">
        <v>0.5</v>
      </c>
      <c r="Y12">
        <v>48.3</v>
      </c>
      <c r="AC12">
        <v>369.49999999999994</v>
      </c>
      <c r="AD12">
        <v>3.8</v>
      </c>
      <c r="AE12">
        <v>326.7</v>
      </c>
    </row>
    <row r="13" spans="1:31" x14ac:dyDescent="0.3">
      <c r="A13" s="387" t="s">
        <v>342</v>
      </c>
      <c r="B13">
        <v>52.9</v>
      </c>
      <c r="C13">
        <v>0.5</v>
      </c>
      <c r="D13">
        <v>46.6</v>
      </c>
      <c r="E13">
        <v>65.900000000000006</v>
      </c>
      <c r="F13">
        <v>1.2</v>
      </c>
      <c r="G13">
        <v>32.9</v>
      </c>
      <c r="K13">
        <v>61.2</v>
      </c>
      <c r="L13">
        <v>1.4</v>
      </c>
      <c r="M13">
        <v>37.4</v>
      </c>
      <c r="N13">
        <v>59.2</v>
      </c>
      <c r="O13">
        <v>1.2</v>
      </c>
      <c r="P13">
        <v>39.6</v>
      </c>
      <c r="Q13">
        <v>60.2</v>
      </c>
      <c r="R13">
        <v>1.2</v>
      </c>
      <c r="S13">
        <v>38.6</v>
      </c>
      <c r="T13">
        <v>37.299999999999997</v>
      </c>
      <c r="U13">
        <v>0.6</v>
      </c>
      <c r="V13">
        <v>62</v>
      </c>
      <c r="W13">
        <v>55.7</v>
      </c>
      <c r="X13">
        <v>1.2</v>
      </c>
      <c r="Y13">
        <v>43.1</v>
      </c>
      <c r="AC13">
        <v>392.4</v>
      </c>
      <c r="AD13">
        <v>7.3</v>
      </c>
      <c r="AE13">
        <v>300.20000000000005</v>
      </c>
    </row>
    <row r="14" spans="1:31" x14ac:dyDescent="0.3">
      <c r="A14" s="387" t="s">
        <v>213</v>
      </c>
      <c r="B14">
        <v>53.623188405797109</v>
      </c>
      <c r="C14">
        <v>0.96618357487922701</v>
      </c>
      <c r="D14">
        <v>45.410628019323674</v>
      </c>
      <c r="E14">
        <v>67.558415171012527</v>
      </c>
      <c r="F14">
        <v>1.1175076193701321</v>
      </c>
      <c r="G14">
        <v>31.324077209617339</v>
      </c>
      <c r="K14">
        <v>68.055555555555557</v>
      </c>
      <c r="L14">
        <v>1.7676767676767675</v>
      </c>
      <c r="M14">
        <v>30.176767676767675</v>
      </c>
      <c r="N14">
        <v>62.699215785479382</v>
      </c>
      <c r="O14">
        <v>1.2142676448267138</v>
      </c>
      <c r="P14">
        <v>36.086516569693906</v>
      </c>
      <c r="Q14">
        <v>63.802872578732369</v>
      </c>
      <c r="R14">
        <v>1.2386348662537885</v>
      </c>
      <c r="S14">
        <v>34.958492555013834</v>
      </c>
      <c r="T14">
        <v>36.277602523659311</v>
      </c>
      <c r="U14">
        <v>0.63091482649842268</v>
      </c>
      <c r="V14">
        <v>63.09148264984227</v>
      </c>
      <c r="W14">
        <v>60.406928787462199</v>
      </c>
      <c r="X14">
        <v>1.2372834753918065</v>
      </c>
      <c r="Y14">
        <v>38.355787737146002</v>
      </c>
      <c r="AC14">
        <v>412.42377880769851</v>
      </c>
      <c r="AD14">
        <v>8.1724687748968563</v>
      </c>
      <c r="AE14">
        <v>279.40375241740469</v>
      </c>
    </row>
    <row r="15" spans="1:31" x14ac:dyDescent="0.3">
      <c r="A15" s="387" t="s">
        <v>312</v>
      </c>
      <c r="B15">
        <v>53.191489361702125</v>
      </c>
      <c r="C15">
        <v>1.0638297872340425</v>
      </c>
      <c r="D15">
        <v>45.744680851063826</v>
      </c>
      <c r="E15">
        <v>63.534218590398361</v>
      </c>
      <c r="F15">
        <v>1.0554988083077972</v>
      </c>
      <c r="G15">
        <v>35.410282601293837</v>
      </c>
      <c r="H15">
        <v>86.111111111111114</v>
      </c>
      <c r="J15">
        <v>13.888888888888889</v>
      </c>
      <c r="K15">
        <v>66.992665036674808</v>
      </c>
      <c r="L15">
        <v>1.5892420537897312</v>
      </c>
      <c r="M15">
        <v>31.418092909535449</v>
      </c>
      <c r="N15">
        <v>61.197982345523329</v>
      </c>
      <c r="O15">
        <v>1.1727616645649432</v>
      </c>
      <c r="P15">
        <v>37.629255989911726</v>
      </c>
      <c r="Q15">
        <v>62.298095863427449</v>
      </c>
      <c r="R15">
        <v>1.1950098489822718</v>
      </c>
      <c r="S15">
        <v>36.506894287590278</v>
      </c>
      <c r="T15">
        <v>34.603174603174601</v>
      </c>
      <c r="U15">
        <v>0.63492063492063489</v>
      </c>
      <c r="V15">
        <v>64.761904761904759</v>
      </c>
      <c r="W15">
        <v>60.478547854785482</v>
      </c>
      <c r="X15">
        <v>1.2376237623762376</v>
      </c>
      <c r="Y15">
        <v>38.283828382838287</v>
      </c>
      <c r="AC15">
        <v>488.40728476679726</v>
      </c>
      <c r="AD15">
        <v>7.9488865601756586</v>
      </c>
      <c r="AE15">
        <v>303.64382867302703</v>
      </c>
    </row>
    <row r="16" spans="1:31" x14ac:dyDescent="0.3">
      <c r="A16" s="387" t="s">
        <v>318</v>
      </c>
      <c r="B16">
        <v>56.593406593406591</v>
      </c>
      <c r="C16">
        <v>1.098901098901099</v>
      </c>
      <c r="D16">
        <v>42.307692307692307</v>
      </c>
      <c r="E16">
        <v>61.142061281337043</v>
      </c>
      <c r="F16">
        <v>0.94011142061281339</v>
      </c>
      <c r="G16">
        <v>37.917827298050142</v>
      </c>
      <c r="H16">
        <v>87.037037037037038</v>
      </c>
      <c r="I16">
        <v>1.8518518518518516</v>
      </c>
      <c r="J16">
        <v>11.111111111111111</v>
      </c>
      <c r="K16">
        <v>66.746411483253581</v>
      </c>
      <c r="L16">
        <v>1.7942583732057416</v>
      </c>
      <c r="M16">
        <v>31.459330143540669</v>
      </c>
      <c r="N16">
        <v>60.094496232920449</v>
      </c>
      <c r="O16">
        <v>1.2131273145192185</v>
      </c>
      <c r="P16">
        <v>38.692376452560339</v>
      </c>
      <c r="Q16">
        <v>61.091923485653567</v>
      </c>
      <c r="R16">
        <v>1.2353878852284803</v>
      </c>
      <c r="S16">
        <v>37.672688629117964</v>
      </c>
      <c r="T16">
        <v>35.313531353135311</v>
      </c>
      <c r="U16">
        <v>0.66006600660066006</v>
      </c>
      <c r="V16">
        <v>64.026402640264024</v>
      </c>
      <c r="W16">
        <v>59.5703125</v>
      </c>
      <c r="X16">
        <v>1.3392857142857142</v>
      </c>
      <c r="Y16">
        <v>39.090401785714285</v>
      </c>
      <c r="AC16">
        <v>487.58917996674359</v>
      </c>
      <c r="AD16">
        <v>10.132989665205578</v>
      </c>
      <c r="AE16">
        <v>302.27783036805084</v>
      </c>
    </row>
    <row r="17" spans="1:31" x14ac:dyDescent="0.3">
      <c r="A17" s="387" t="s">
        <v>320</v>
      </c>
      <c r="B17">
        <v>55.932203389830505</v>
      </c>
      <c r="C17">
        <v>2.2598870056497176</v>
      </c>
      <c r="D17">
        <v>41.807909604519772</v>
      </c>
      <c r="E17">
        <v>58.819268381021374</v>
      </c>
      <c r="F17">
        <v>0.94168779427743576</v>
      </c>
      <c r="G17">
        <v>40.239043824701191</v>
      </c>
      <c r="H17">
        <v>88.679245283018872</v>
      </c>
      <c r="I17">
        <v>1.8867924528301887</v>
      </c>
      <c r="J17">
        <v>9.433962264150944</v>
      </c>
      <c r="K17">
        <v>63.163481953290869</v>
      </c>
      <c r="L17">
        <v>2.335456475583864</v>
      </c>
      <c r="M17">
        <v>34.501061571125263</v>
      </c>
      <c r="N17">
        <v>58.402449917060096</v>
      </c>
      <c r="O17">
        <v>1.327038407553911</v>
      </c>
      <c r="P17">
        <v>40.27051167538599</v>
      </c>
      <c r="Q17">
        <v>59.304812834224599</v>
      </c>
      <c r="R17">
        <v>1.3636363636363635</v>
      </c>
      <c r="S17">
        <v>39.331550802139034</v>
      </c>
      <c r="T17">
        <v>36.823104693140799</v>
      </c>
      <c r="U17">
        <v>0.72202166064981954</v>
      </c>
      <c r="V17">
        <v>62.454873646209386</v>
      </c>
      <c r="W17">
        <v>58.387369608119535</v>
      </c>
      <c r="X17">
        <v>1.381449111925571</v>
      </c>
      <c r="Y17">
        <v>40.231181279954889</v>
      </c>
      <c r="AC17">
        <v>479.51193605970661</v>
      </c>
      <c r="AD17">
        <v>12.21796927210687</v>
      </c>
      <c r="AE17">
        <v>308.27009466818646</v>
      </c>
    </row>
    <row r="18" spans="1:31" x14ac:dyDescent="0.3">
      <c r="A18" s="387" t="s">
        <v>325</v>
      </c>
      <c r="B18">
        <v>52.298850574712638</v>
      </c>
      <c r="C18">
        <v>2.2988505747126435</v>
      </c>
      <c r="D18">
        <v>45.402298850574709</v>
      </c>
      <c r="E18">
        <v>55.190058479532169</v>
      </c>
      <c r="F18">
        <v>1.0599415204678362</v>
      </c>
      <c r="G18">
        <v>43.75</v>
      </c>
      <c r="H18">
        <v>88.888888888888886</v>
      </c>
      <c r="I18">
        <v>1.8518518518518516</v>
      </c>
      <c r="J18">
        <v>9.2592592592592595</v>
      </c>
      <c r="K18">
        <v>60.799136069114468</v>
      </c>
      <c r="L18">
        <v>2.2678185745140391</v>
      </c>
      <c r="M18">
        <v>36.933045356371494</v>
      </c>
      <c r="N18">
        <v>55.432969852469526</v>
      </c>
      <c r="O18">
        <v>1.308531109685696</v>
      </c>
      <c r="P18">
        <v>43.258499037844771</v>
      </c>
      <c r="Q18">
        <v>56.313301823092509</v>
      </c>
      <c r="R18">
        <v>1.3639432815665091</v>
      </c>
      <c r="S18">
        <v>42.322754895340985</v>
      </c>
      <c r="T18">
        <v>36.84210526315789</v>
      </c>
      <c r="U18">
        <v>0.37593984962406013</v>
      </c>
      <c r="V18">
        <v>62.781954887218049</v>
      </c>
      <c r="W18">
        <v>55.704125177809395</v>
      </c>
      <c r="X18">
        <v>1.3086770981507825</v>
      </c>
      <c r="Y18">
        <v>42.987197724039831</v>
      </c>
      <c r="AC18">
        <v>461.46943612877737</v>
      </c>
      <c r="AD18">
        <v>11.83555386057342</v>
      </c>
      <c r="AE18">
        <v>326.69501001064913</v>
      </c>
    </row>
    <row r="19" spans="1:31" x14ac:dyDescent="0.3">
      <c r="A19" s="387" t="s">
        <v>326</v>
      </c>
      <c r="B19">
        <v>51.445086705202314</v>
      </c>
      <c r="C19">
        <v>2.3121387283236992</v>
      </c>
      <c r="D19">
        <v>46.24277456647399</v>
      </c>
      <c r="E19">
        <v>50.994108983799705</v>
      </c>
      <c r="F19">
        <v>0.81001472754050086</v>
      </c>
      <c r="G19">
        <v>48.195876288659797</v>
      </c>
      <c r="H19">
        <v>88.888888888888886</v>
      </c>
      <c r="I19">
        <v>1.8518518518518516</v>
      </c>
      <c r="J19">
        <v>9.2592592592592595</v>
      </c>
      <c r="K19">
        <v>58.681318681318686</v>
      </c>
      <c r="L19">
        <v>2.197802197802198</v>
      </c>
      <c r="M19">
        <v>39.120879120879124</v>
      </c>
      <c r="N19">
        <v>52.832879553999746</v>
      </c>
      <c r="O19">
        <v>1.1798262673408531</v>
      </c>
      <c r="P19">
        <v>45.987294178659404</v>
      </c>
      <c r="Q19">
        <v>53.749143248800543</v>
      </c>
      <c r="R19">
        <v>1.233721727210418</v>
      </c>
      <c r="S19">
        <v>45.017135023989034</v>
      </c>
      <c r="T19">
        <v>35.555555555555557</v>
      </c>
      <c r="U19">
        <v>0.37037037037037041</v>
      </c>
      <c r="V19">
        <v>64.074074074074076</v>
      </c>
      <c r="W19">
        <v>54.183614177803605</v>
      </c>
      <c r="X19">
        <v>1.2492736780941311</v>
      </c>
      <c r="Y19">
        <v>44.567112144102268</v>
      </c>
      <c r="AC19">
        <v>446.33059579536905</v>
      </c>
      <c r="AD19">
        <v>11.204999548534021</v>
      </c>
      <c r="AE19">
        <v>342.46440465609697</v>
      </c>
    </row>
    <row r="20" spans="1:31" x14ac:dyDescent="0.3">
      <c r="A20" s="387" t="s">
        <v>328</v>
      </c>
      <c r="B20">
        <v>47.97687861271676</v>
      </c>
      <c r="C20">
        <v>2.3121387283236992</v>
      </c>
      <c r="D20">
        <v>49.710982658959537</v>
      </c>
      <c r="E20">
        <v>47.877445551864156</v>
      </c>
      <c r="F20">
        <v>0.73827980804724991</v>
      </c>
      <c r="G20">
        <v>51.384274640088591</v>
      </c>
      <c r="H20">
        <v>85.245901639344254</v>
      </c>
      <c r="I20">
        <v>1.639344262295082</v>
      </c>
      <c r="J20">
        <v>13.114754098360656</v>
      </c>
      <c r="K20">
        <v>56.342494714587744</v>
      </c>
      <c r="L20">
        <v>2.2198731501057085</v>
      </c>
      <c r="M20">
        <v>41.437632135306551</v>
      </c>
      <c r="N20">
        <v>50.148253190666495</v>
      </c>
      <c r="O20">
        <v>1.1731339435348718</v>
      </c>
      <c r="P20">
        <v>48.678612865798634</v>
      </c>
      <c r="Q20">
        <v>51.036269430051817</v>
      </c>
      <c r="R20">
        <v>1.2135260430869921</v>
      </c>
      <c r="S20">
        <v>47.750204526861197</v>
      </c>
      <c r="T20">
        <v>34.065934065934066</v>
      </c>
      <c r="U20">
        <v>0.36630036630036628</v>
      </c>
      <c r="V20">
        <v>65.567765567765562</v>
      </c>
      <c r="W20">
        <v>51.611030478955009</v>
      </c>
      <c r="X20">
        <v>1.2481857764876634</v>
      </c>
      <c r="Y20">
        <v>47.140783744557332</v>
      </c>
      <c r="AC20">
        <v>424.30420768412034</v>
      </c>
      <c r="AD20">
        <v>10.910782078181633</v>
      </c>
      <c r="AE20">
        <v>364.78501023769803</v>
      </c>
    </row>
    <row r="21" spans="1:31" x14ac:dyDescent="0.3">
      <c r="A21" s="387" t="s">
        <v>412</v>
      </c>
      <c r="B21">
        <v>44.134078212290504</v>
      </c>
      <c r="C21">
        <v>2.7932960893854748</v>
      </c>
      <c r="D21">
        <v>53.072625698324025</v>
      </c>
      <c r="E21">
        <v>44.832605531295485</v>
      </c>
      <c r="F21">
        <v>0.9097525473071324</v>
      </c>
      <c r="G21">
        <v>54.257641921397379</v>
      </c>
      <c r="H21">
        <v>83.333333333333343</v>
      </c>
      <c r="I21">
        <v>1.6666666666666667</v>
      </c>
      <c r="J21">
        <v>15</v>
      </c>
      <c r="K21">
        <v>55.496828752642699</v>
      </c>
      <c r="L21">
        <v>2.4312896405919662</v>
      </c>
      <c r="M21">
        <v>42.071881606765324</v>
      </c>
      <c r="N21">
        <v>47.997946611909654</v>
      </c>
      <c r="O21">
        <v>1.3218685831622177</v>
      </c>
      <c r="P21">
        <v>50.680184804928132</v>
      </c>
      <c r="Q21">
        <v>48.873812754409769</v>
      </c>
      <c r="R21">
        <v>1.3568521031207599</v>
      </c>
      <c r="S21">
        <v>49.769335142469473</v>
      </c>
      <c r="T21">
        <v>34.126984126984127</v>
      </c>
      <c r="U21">
        <v>0.3968253968253968</v>
      </c>
      <c r="V21">
        <v>65.476190476190482</v>
      </c>
      <c r="W21">
        <v>49.927262147221413</v>
      </c>
      <c r="X21">
        <v>1.3383764911259821</v>
      </c>
      <c r="Y21">
        <v>48.734361361652603</v>
      </c>
      <c r="AC21">
        <v>408.72285147008699</v>
      </c>
      <c r="AD21">
        <v>12.214927518185597</v>
      </c>
      <c r="AE21">
        <v>379.06222101172739</v>
      </c>
    </row>
    <row r="22" spans="1:31" x14ac:dyDescent="0.3">
      <c r="A22" s="387" t="s">
        <v>357</v>
      </c>
      <c r="B22">
        <v>965.09518185565867</v>
      </c>
      <c r="C22">
        <v>18.305225587409602</v>
      </c>
      <c r="D22">
        <v>616.39959255693179</v>
      </c>
      <c r="E22">
        <v>1016.8481819702608</v>
      </c>
      <c r="F22">
        <v>11.7727942459309</v>
      </c>
      <c r="G22">
        <v>571.27902378380827</v>
      </c>
      <c r="H22">
        <v>608.18440618162242</v>
      </c>
      <c r="I22">
        <v>10.748358937347492</v>
      </c>
      <c r="J22">
        <v>81.067234881030117</v>
      </c>
      <c r="K22">
        <v>998.27789224643834</v>
      </c>
      <c r="L22">
        <v>24.703417233270017</v>
      </c>
      <c r="M22">
        <v>577.01869052029156</v>
      </c>
      <c r="N22">
        <v>974.90619349002873</v>
      </c>
      <c r="O22">
        <v>15.410554935188424</v>
      </c>
      <c r="P22">
        <v>609.68325157478284</v>
      </c>
      <c r="Q22">
        <v>990.37023201839247</v>
      </c>
      <c r="R22">
        <v>15.700712119085582</v>
      </c>
      <c r="S22">
        <v>593.92905586252186</v>
      </c>
      <c r="T22">
        <v>644.50799218474151</v>
      </c>
      <c r="U22">
        <v>7.9573591117897298</v>
      </c>
      <c r="V22">
        <v>947.53464870346852</v>
      </c>
      <c r="W22">
        <v>966.0691907321567</v>
      </c>
      <c r="X22">
        <v>16.040155107837887</v>
      </c>
      <c r="Y22">
        <v>617.7906541600056</v>
      </c>
      <c r="AC22">
        <v>7164.2592706792993</v>
      </c>
      <c r="AD22">
        <v>120.63857727785964</v>
      </c>
      <c r="AE22">
        <v>4614.7021520428407</v>
      </c>
    </row>
  </sheetData>
  <pageMargins left="0.7" right="0.7" top="0.75" bottom="0.75" header="0.3" footer="0.3"/>
</worksheet>
</file>

<file path=xl/worksheets/sheet9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Sheet19">
    <tabColor theme="9" tint="0.39997558519241921"/>
    <pageSetUpPr fitToPage="1"/>
  </sheetPr>
  <dimension ref="A1:Y30"/>
  <sheetViews>
    <sheetView showGridLines="0" zoomScaleNormal="100" workbookViewId="0">
      <pane ySplit="2" topLeftCell="A3" activePane="bottomLeft" state="frozen"/>
      <selection pane="bottomLeft" sqref="A1:C1"/>
    </sheetView>
  </sheetViews>
  <sheetFormatPr defaultColWidth="9.109375" defaultRowHeight="13.8" x14ac:dyDescent="0.25"/>
  <cols>
    <col min="1" max="1" width="17.109375" style="333" customWidth="1"/>
    <col min="2" max="25" width="8.88671875" style="333" customWidth="1"/>
    <col min="26" max="16384" width="9.109375" style="333"/>
  </cols>
  <sheetData>
    <row r="1" spans="1:25" ht="15.6" x14ac:dyDescent="0.25">
      <c r="A1" s="1030" t="s">
        <v>515</v>
      </c>
      <c r="B1" s="1030"/>
      <c r="C1" s="1030"/>
    </row>
    <row r="2" spans="1:25" ht="14.4" x14ac:dyDescent="0.3">
      <c r="A2" s="498" t="s">
        <v>202</v>
      </c>
      <c r="B2"/>
      <c r="C2"/>
    </row>
    <row r="4" spans="1:25" ht="30" customHeight="1" x14ac:dyDescent="0.25">
      <c r="A4" s="1067" t="s">
        <v>817</v>
      </c>
      <c r="B4" s="1067"/>
      <c r="C4" s="1067"/>
      <c r="D4" s="1067"/>
      <c r="E4" s="1067"/>
      <c r="F4" s="1067"/>
      <c r="G4" s="1067"/>
      <c r="H4" s="1067"/>
      <c r="I4" s="1067"/>
      <c r="J4" s="1067"/>
      <c r="K4" s="1067"/>
      <c r="L4" s="1067"/>
      <c r="M4" s="1067"/>
      <c r="N4" s="1067"/>
      <c r="O4" s="1067"/>
      <c r="P4" s="1067"/>
      <c r="Q4" s="1067"/>
      <c r="R4" s="1067"/>
      <c r="S4" s="1067"/>
      <c r="T4" s="1067"/>
      <c r="U4" s="1067"/>
      <c r="V4" s="1067"/>
      <c r="W4" s="1067"/>
      <c r="X4" s="1067"/>
      <c r="Y4" s="1067"/>
    </row>
    <row r="5" spans="1:25" ht="15" customHeight="1" x14ac:dyDescent="0.3">
      <c r="A5" t="s">
        <v>203</v>
      </c>
      <c r="B5" t="s">
        <v>100</v>
      </c>
      <c r="C5" s="425"/>
      <c r="D5" s="425"/>
      <c r="E5" s="425"/>
      <c r="F5" s="425"/>
      <c r="G5" s="425"/>
      <c r="H5" s="425"/>
      <c r="I5" s="425"/>
      <c r="J5" s="425"/>
      <c r="K5" s="425"/>
      <c r="L5" s="425"/>
      <c r="M5" s="425"/>
      <c r="N5" s="425"/>
      <c r="O5" s="425"/>
      <c r="P5" s="425"/>
      <c r="Q5" s="425"/>
      <c r="R5" s="425"/>
      <c r="S5" s="425"/>
      <c r="T5" s="425"/>
      <c r="U5" s="425"/>
      <c r="V5" s="425"/>
      <c r="W5" s="425"/>
      <c r="X5" s="425"/>
      <c r="Y5" s="425"/>
    </row>
    <row r="6" spans="1:25" ht="15" customHeight="1" x14ac:dyDescent="0.3">
      <c r="A6" t="s">
        <v>204</v>
      </c>
      <c r="B6" t="s">
        <v>205</v>
      </c>
      <c r="C6" s="425"/>
      <c r="D6" s="425"/>
      <c r="E6" s="425"/>
      <c r="F6" s="425"/>
      <c r="G6" s="425"/>
      <c r="H6" s="425"/>
      <c r="I6" s="425"/>
      <c r="J6" s="425"/>
      <c r="K6" s="425"/>
      <c r="L6" s="425"/>
      <c r="M6" s="425"/>
      <c r="N6" s="425"/>
      <c r="O6" s="425"/>
      <c r="P6" s="425"/>
      <c r="Q6" s="425"/>
      <c r="R6" s="425"/>
      <c r="S6" s="425"/>
      <c r="T6" s="425"/>
      <c r="U6" s="425"/>
      <c r="V6" s="425"/>
      <c r="W6" s="425"/>
      <c r="X6" s="425"/>
      <c r="Y6" s="425"/>
    </row>
    <row r="7" spans="1:25" ht="15" customHeight="1" x14ac:dyDescent="0.3">
      <c r="A7" t="s">
        <v>206</v>
      </c>
      <c r="B7" t="s">
        <v>207</v>
      </c>
      <c r="C7" s="425"/>
      <c r="D7" s="425"/>
      <c r="E7" s="425"/>
      <c r="F7" s="425"/>
      <c r="G7" s="425"/>
      <c r="H7" s="425"/>
      <c r="I7" s="425"/>
      <c r="J7" s="425"/>
      <c r="K7" s="425"/>
      <c r="L7" s="425"/>
      <c r="M7" s="425"/>
      <c r="N7" s="425"/>
      <c r="O7" s="425"/>
      <c r="P7" s="425"/>
      <c r="Q7" s="425"/>
      <c r="R7" s="425"/>
      <c r="S7" s="425"/>
      <c r="T7" s="425"/>
      <c r="U7" s="425"/>
      <c r="V7" s="425"/>
      <c r="W7" s="425"/>
      <c r="X7" s="425"/>
      <c r="Y7" s="425"/>
    </row>
    <row r="8" spans="1:25" ht="15" customHeight="1" x14ac:dyDescent="0.3">
      <c r="A8"/>
      <c r="B8"/>
      <c r="C8" s="425"/>
      <c r="D8" s="425"/>
      <c r="E8" s="425"/>
      <c r="F8" s="425"/>
      <c r="G8" s="425"/>
      <c r="H8" s="425"/>
      <c r="I8" s="425"/>
      <c r="J8" s="425"/>
      <c r="K8" s="425"/>
      <c r="L8" s="425"/>
      <c r="M8" s="425"/>
      <c r="N8" s="425"/>
      <c r="O8" s="425"/>
      <c r="P8" s="425"/>
      <c r="Q8" s="425"/>
      <c r="R8" s="425"/>
      <c r="S8" s="425"/>
      <c r="T8" s="425"/>
      <c r="U8" s="425"/>
      <c r="V8" s="425"/>
      <c r="W8" s="425"/>
      <c r="X8" s="425"/>
      <c r="Y8" s="425"/>
    </row>
    <row r="9" spans="1:25" ht="27" customHeight="1" x14ac:dyDescent="0.25">
      <c r="A9" s="172"/>
      <c r="B9" s="1068" t="s">
        <v>517</v>
      </c>
      <c r="C9" s="1068"/>
      <c r="D9" s="1068"/>
      <c r="E9" s="1068" t="s">
        <v>361</v>
      </c>
      <c r="F9" s="1068"/>
      <c r="G9" s="1068"/>
      <c r="H9" s="1069" t="s">
        <v>518</v>
      </c>
      <c r="I9" s="1069"/>
      <c r="J9" s="1069"/>
      <c r="K9" s="1068" t="s">
        <v>513</v>
      </c>
      <c r="L9" s="1068"/>
      <c r="M9" s="1068"/>
      <c r="N9" s="1068" t="s">
        <v>731</v>
      </c>
      <c r="O9" s="1068"/>
      <c r="P9" s="1068"/>
      <c r="Q9" s="1068" t="s">
        <v>339</v>
      </c>
      <c r="R9" s="1068"/>
      <c r="S9" s="1068"/>
      <c r="T9" s="1068" t="s">
        <v>340</v>
      </c>
      <c r="U9" s="1068"/>
      <c r="V9" s="1068"/>
      <c r="W9" s="1068" t="s">
        <v>818</v>
      </c>
      <c r="X9" s="1068"/>
      <c r="Y9" s="1068"/>
    </row>
    <row r="10" spans="1:25" ht="26.4" x14ac:dyDescent="0.25">
      <c r="A10" s="427" t="s">
        <v>208</v>
      </c>
      <c r="B10" s="633" t="s">
        <v>807</v>
      </c>
      <c r="C10" s="634" t="s">
        <v>808</v>
      </c>
      <c r="D10" s="635" t="s">
        <v>809</v>
      </c>
      <c r="E10" s="633" t="s">
        <v>807</v>
      </c>
      <c r="F10" s="634" t="s">
        <v>808</v>
      </c>
      <c r="G10" s="635" t="s">
        <v>809</v>
      </c>
      <c r="H10" s="633" t="s">
        <v>807</v>
      </c>
      <c r="I10" s="634" t="s">
        <v>808</v>
      </c>
      <c r="J10" s="635" t="s">
        <v>809</v>
      </c>
      <c r="K10" s="634" t="s">
        <v>807</v>
      </c>
      <c r="L10" s="634" t="s">
        <v>808</v>
      </c>
      <c r="M10" s="635" t="s">
        <v>809</v>
      </c>
      <c r="N10" s="633" t="s">
        <v>807</v>
      </c>
      <c r="O10" s="634" t="s">
        <v>808</v>
      </c>
      <c r="P10" s="635" t="s">
        <v>809</v>
      </c>
      <c r="Q10" s="633" t="s">
        <v>807</v>
      </c>
      <c r="R10" s="634" t="s">
        <v>808</v>
      </c>
      <c r="S10" s="635" t="s">
        <v>809</v>
      </c>
      <c r="T10" s="485" t="s">
        <v>807</v>
      </c>
      <c r="U10" s="174" t="s">
        <v>808</v>
      </c>
      <c r="V10" s="486" t="s">
        <v>809</v>
      </c>
      <c r="W10" s="485" t="s">
        <v>807</v>
      </c>
      <c r="X10" s="174" t="s">
        <v>808</v>
      </c>
      <c r="Y10" s="486" t="s">
        <v>809</v>
      </c>
    </row>
    <row r="11" spans="1:25" ht="15.6" customHeight="1" x14ac:dyDescent="0.25">
      <c r="A11" s="636" t="s">
        <v>362</v>
      </c>
      <c r="B11" s="638">
        <f>GETPIVOTDATA("Sum of White",EthnicityPivot!$A$3,"FisYr",A11,"Type","WT")</f>
        <v>72.2</v>
      </c>
      <c r="C11" s="638">
        <f>GETPIVOTDATA("Sum of Ethnic Minority",EthnicityPivot!$A$3,"FisYr",A11,"Type","WT")</f>
        <v>0.8</v>
      </c>
      <c r="D11" s="639">
        <f>GETPIVOTDATA("Sum of Not Stated",EthnicityPivot!$A$3,"FisYr",A11,"Type","WT")</f>
        <v>27.1</v>
      </c>
      <c r="E11" s="487">
        <f>GETPIVOTDATA("Sum of White",EthnicityPivot!$A$3,"FisYr",A11,"Type","RDS")</f>
        <v>81.8</v>
      </c>
      <c r="F11" s="487">
        <f>GETPIVOTDATA("Sum of Ethnic Minority",EthnicityPivot!$A$3,"FisYr",A11,"Type","RDS")</f>
        <v>0.2</v>
      </c>
      <c r="G11" s="488">
        <f>GETPIVOTDATA("Sum of Not Stated",EthnicityPivot!$A$3,"FisYr",A11,"Type","RDS")</f>
        <v>18</v>
      </c>
      <c r="H11" s="487"/>
      <c r="I11" s="487"/>
      <c r="J11" s="488"/>
      <c r="K11" s="311">
        <f>GETPIVOTDATA("Sum of White",EthnicityPivot!$A$3,"FisYr",A11,"Type","Control")</f>
        <v>84.6</v>
      </c>
      <c r="L11" s="311">
        <f>GETPIVOTDATA("Sum of Ethnic Minority",EthnicityPivot!$A$3,"FisYr",A11,"Type","Control")</f>
        <v>0.4</v>
      </c>
      <c r="M11" s="490">
        <f>GETPIVOTDATA("Sum of Not Stated",EthnicityPivot!$A$3,"FisYr",A11,"Type","Control")</f>
        <v>15</v>
      </c>
      <c r="N11" s="311">
        <f>GETPIVOTDATA("Sum of White",EthnicityPivot!$A$3,"FisYr",A11,"Type","Support")</f>
        <v>65.5</v>
      </c>
      <c r="O11" s="311">
        <f>GETPIVOTDATA("Sum of Ethnic Minority",EthnicityPivot!$A$3,"FisYr",A11,"Type","Support")</f>
        <v>1</v>
      </c>
      <c r="P11" s="490">
        <f>GETPIVOTDATA("Sum of Not Stated",EthnicityPivot!$A$3,"FisYr",A11,"Type","Support")</f>
        <v>33.5</v>
      </c>
      <c r="Q11" s="311">
        <f>GETPIVOTDATA("Sum of White",EthnicityPivot!$A$3,"FisYr",A11,"Type","Vol")</f>
        <v>62.7</v>
      </c>
      <c r="R11" s="311">
        <f>GETPIVOTDATA("Sum of Ethnic Minority",EthnicityPivot!$A$3,"FisYr",A11,"Type","Vol")</f>
        <v>0.2</v>
      </c>
      <c r="S11" s="490">
        <f>GETPIVOTDATA("Sum of Not Stated",EthnicityPivot!$A$3,"FisYr",A11,"Type","Vol")</f>
        <v>37</v>
      </c>
      <c r="T11" s="821">
        <f>GETPIVOTDATA("Sum of White",EthnicityPivot!$A$3,"FisYr",A11,"Type","Total")</f>
        <v>74.400000000000006</v>
      </c>
      <c r="U11" s="179">
        <f>GETPIVOTDATA("Sum of Ethnic Minority",EthnicityPivot!$A$3,"FisYr",A11,"Type","Total")</f>
        <v>0.6</v>
      </c>
      <c r="V11" s="823">
        <f>GETPIVOTDATA("Sum of Not Stated",EthnicityPivot!$A$3,"FisYr",A11,"Type","Total")</f>
        <v>25</v>
      </c>
      <c r="W11" s="822">
        <f>GETPIVOTDATA("Sum of White",EthnicityPivot!$A$3,"FisYr",A11,"Type","Total (ex Vol)")</f>
        <v>75</v>
      </c>
      <c r="X11" s="180">
        <f>GETPIVOTDATA("Sum of Ethnic Minority",EthnicityPivot!$A$3,"FisYr",A11,"Type","Total (ex Vol)")</f>
        <v>0.6</v>
      </c>
      <c r="Y11" s="492">
        <f>GETPIVOTDATA("Sum of Not Stated",EthnicityPivot!$A$3,"FisYr",A11,"Type","Total (ex Vol)")</f>
        <v>24.4</v>
      </c>
    </row>
    <row r="12" spans="1:25" ht="15" customHeight="1" x14ac:dyDescent="0.25">
      <c r="A12" s="637" t="s">
        <v>363</v>
      </c>
      <c r="B12" s="640">
        <f>GETPIVOTDATA("Sum of White",EthnicityPivot!$A$3,"FisYr",A12,"Type","WT")</f>
        <v>81.2</v>
      </c>
      <c r="C12" s="640">
        <f>GETPIVOTDATA("Sum of Ethnic Minority",EthnicityPivot!$A$3,"FisYr",A12,"Type","WT")</f>
        <v>0.7</v>
      </c>
      <c r="D12" s="641">
        <f>GETPIVOTDATA("Sum of Not Stated",EthnicityPivot!$A$3,"FisYr",A12,"Type","WT")</f>
        <v>18</v>
      </c>
      <c r="E12" s="820">
        <f>GETPIVOTDATA("Sum of White",EthnicityPivot!$A$3,"FisYr",A12,"Type","RDS")</f>
        <v>80.900000000000006</v>
      </c>
      <c r="F12" s="820">
        <f>GETPIVOTDATA("Sum of Ethnic Minority",EthnicityPivot!$A$3,"FisYr",A12,"Type","RDS")</f>
        <v>0.2</v>
      </c>
      <c r="G12" s="489">
        <f>GETPIVOTDATA("Sum of Not Stated",EthnicityPivot!$A$3,"FisYr",A12,"Type","RDS")</f>
        <v>18.899999999999999</v>
      </c>
      <c r="H12" s="820"/>
      <c r="I12" s="820"/>
      <c r="J12" s="489"/>
      <c r="K12" s="177">
        <f>GETPIVOTDATA("Sum of White",EthnicityPivot!$A$3,"FisYr",A12,"Type","Control")</f>
        <v>89.7</v>
      </c>
      <c r="L12" s="177">
        <f>GETPIVOTDATA("Sum of Ethnic Minority",EthnicityPivot!$A$3,"FisYr",A12,"Type","Control")</f>
        <v>0.4</v>
      </c>
      <c r="M12" s="491">
        <f>GETPIVOTDATA("Sum of Not Stated",EthnicityPivot!$A$3,"FisYr",A12,"Type","Control")</f>
        <v>9.8000000000000007</v>
      </c>
      <c r="N12" s="177">
        <f>GETPIVOTDATA("Sum of White",EthnicityPivot!$A$3,"FisYr",A12,"Type","Support")</f>
        <v>78.400000000000006</v>
      </c>
      <c r="O12" s="177">
        <f>GETPIVOTDATA("Sum of Ethnic Minority",EthnicityPivot!$A$3,"FisYr",A12,"Type","Support")</f>
        <v>1</v>
      </c>
      <c r="P12" s="491">
        <f>GETPIVOTDATA("Sum of Not Stated",EthnicityPivot!$A$3,"FisYr",A12,"Type","Support")</f>
        <v>20.6</v>
      </c>
      <c r="Q12" s="177">
        <f>GETPIVOTDATA("Sum of White",EthnicityPivot!$A$3,"FisYr",A12,"Type","Vol")</f>
        <v>61.4</v>
      </c>
      <c r="R12" s="177">
        <f>GETPIVOTDATA("Sum of Ethnic Minority",EthnicityPivot!$A$3,"FisYr",A12,"Type","Vol")</f>
        <v>0.5</v>
      </c>
      <c r="S12" s="491">
        <f>GETPIVOTDATA("Sum of Not Stated",EthnicityPivot!$A$3,"FisYr",A12,"Type","Vol")</f>
        <v>38.1</v>
      </c>
      <c r="T12" s="179">
        <f>GETPIVOTDATA("Sum of White",EthnicityPivot!$A$3,"FisYr",A12,"Type","Total")</f>
        <v>80.099999999999994</v>
      </c>
      <c r="U12" s="179">
        <f>GETPIVOTDATA("Sum of Ethnic Minority",EthnicityPivot!$A$3,"FisYr",A12,"Type","Total")</f>
        <v>0.6</v>
      </c>
      <c r="V12" s="680">
        <f>GETPIVOTDATA("Sum of Not Stated",EthnicityPivot!$A$3,"FisYr",A12,"Type","Total")</f>
        <v>19.3</v>
      </c>
      <c r="W12" s="180">
        <f>GETPIVOTDATA("Sum of White",EthnicityPivot!$A$3,"FisYr",A12,"Type","Total (ex Vol)")</f>
        <v>81</v>
      </c>
      <c r="X12" s="180">
        <f>GETPIVOTDATA("Sum of Ethnic Minority",EthnicityPivot!$A$3,"FisYr",A12,"Type","Total (ex Vol)")</f>
        <v>0.6</v>
      </c>
      <c r="Y12" s="493">
        <f>GETPIVOTDATA("Sum of Not Stated",EthnicityPivot!$A$3,"FisYr",A12,"Type","Total (ex Vol)")</f>
        <v>18.399999999999999</v>
      </c>
    </row>
    <row r="13" spans="1:25" ht="15" customHeight="1" x14ac:dyDescent="0.25">
      <c r="A13" s="637" t="s">
        <v>364</v>
      </c>
      <c r="B13" s="640">
        <f>GETPIVOTDATA("Sum of White",EthnicityPivot!$A$3,"FisYr",A13,"Type","WT")</f>
        <v>59.8</v>
      </c>
      <c r="C13" s="640">
        <f>GETPIVOTDATA("Sum of Ethnic Minority",EthnicityPivot!$A$3,"FisYr",A13,"Type","WT")</f>
        <v>0.6</v>
      </c>
      <c r="D13" s="641">
        <f>GETPIVOTDATA("Sum of Not Stated",EthnicityPivot!$A$3,"FisYr",A13,"Type","WT")</f>
        <v>39.6</v>
      </c>
      <c r="E13" s="820">
        <f>GETPIVOTDATA("Sum of White",EthnicityPivot!$A$3,"FisYr",A13,"Type","RDS")</f>
        <v>69.599999999999994</v>
      </c>
      <c r="F13" s="820">
        <f>GETPIVOTDATA("Sum of Ethnic Minority",EthnicityPivot!$A$3,"FisYr",A13,"Type","RDS")</f>
        <v>1.1000000000000001</v>
      </c>
      <c r="G13" s="489">
        <f>GETPIVOTDATA("Sum of Not Stated",EthnicityPivot!$A$3,"FisYr",A13,"Type","RDS")</f>
        <v>29.3</v>
      </c>
      <c r="H13" s="820"/>
      <c r="I13" s="820"/>
      <c r="J13" s="489"/>
      <c r="K13" s="177">
        <f>GETPIVOTDATA("Sum of White",EthnicityPivot!$A$3,"FisYr",A13,"Type","Control")</f>
        <v>49.3</v>
      </c>
      <c r="L13" s="177">
        <f>GETPIVOTDATA("Sum of Ethnic Minority",EthnicityPivot!$A$3,"FisYr",A13,"Type","Control")</f>
        <v>0</v>
      </c>
      <c r="M13" s="491">
        <f>GETPIVOTDATA("Sum of Not Stated",EthnicityPivot!$A$3,"FisYr",A13,"Type","Control")</f>
        <v>50.7</v>
      </c>
      <c r="N13" s="177">
        <f>GETPIVOTDATA("Sum of White",EthnicityPivot!$A$3,"FisYr",A13,"Type","Support")</f>
        <v>55.2</v>
      </c>
      <c r="O13" s="177">
        <f>GETPIVOTDATA("Sum of Ethnic Minority",EthnicityPivot!$A$3,"FisYr",A13,"Type","Support")</f>
        <v>1</v>
      </c>
      <c r="P13" s="491">
        <f>GETPIVOTDATA("Sum of Not Stated",EthnicityPivot!$A$3,"FisYr",A13,"Type","Support")</f>
        <v>43.8</v>
      </c>
      <c r="Q13" s="177">
        <f>GETPIVOTDATA("Sum of White",EthnicityPivot!$A$3,"FisYr",A13,"Type","Vol")</f>
        <v>30.1</v>
      </c>
      <c r="R13" s="177">
        <f>GETPIVOTDATA("Sum of Ethnic Minority",EthnicityPivot!$A$3,"FisYr",A13,"Type","Vol")</f>
        <v>0.6</v>
      </c>
      <c r="S13" s="491">
        <f>GETPIVOTDATA("Sum of Not Stated",EthnicityPivot!$A$3,"FisYr",A13,"Type","Vol")</f>
        <v>69.400000000000006</v>
      </c>
      <c r="T13" s="179">
        <f>GETPIVOTDATA("Sum of White",EthnicityPivot!$A$3,"FisYr",A13,"Type","Total")</f>
        <v>61.1</v>
      </c>
      <c r="U13" s="179">
        <f>GETPIVOTDATA("Sum of Ethnic Minority",EthnicityPivot!$A$3,"FisYr",A13,"Type","Total")</f>
        <v>0.8</v>
      </c>
      <c r="V13" s="680">
        <f>GETPIVOTDATA("Sum of Not Stated",EthnicityPivot!$A$3,"FisYr",A13,"Type","Total")</f>
        <v>38.1</v>
      </c>
      <c r="W13" s="180">
        <f>GETPIVOTDATA("Sum of White",EthnicityPivot!$A$3,"FisYr",A13,"Type","Total (ex Vol)")</f>
        <v>62.5</v>
      </c>
      <c r="X13" s="180">
        <f>GETPIVOTDATA("Sum of Ethnic Minority",EthnicityPivot!$A$3,"FisYr",A13,"Type","Total (ex Vol)")</f>
        <v>0.8</v>
      </c>
      <c r="Y13" s="493">
        <f>GETPIVOTDATA("Sum of Not Stated",EthnicityPivot!$A$3,"FisYr",A13,"Type","Total (ex Vol)")</f>
        <v>36.700000000000003</v>
      </c>
    </row>
    <row r="14" spans="1:25" ht="15" customHeight="1" x14ac:dyDescent="0.25">
      <c r="A14" s="637" t="s">
        <v>365</v>
      </c>
      <c r="B14" s="640">
        <f>GETPIVOTDATA("Sum of White",EthnicityPivot!$A$3,"FisYr",A14,"Type","WT")</f>
        <v>59.5</v>
      </c>
      <c r="C14" s="640">
        <f>GETPIVOTDATA("Sum of Ethnic Minority",EthnicityPivot!$A$3,"FisYr",A14,"Type","WT")</f>
        <v>0.6</v>
      </c>
      <c r="D14" s="641">
        <f>GETPIVOTDATA("Sum of Not Stated",EthnicityPivot!$A$3,"FisYr",A14,"Type","WT")</f>
        <v>39.9</v>
      </c>
      <c r="E14" s="820">
        <f>GETPIVOTDATA("Sum of White",EthnicityPivot!$A$3,"FisYr",A14,"Type","RDS")</f>
        <v>67</v>
      </c>
      <c r="F14" s="820">
        <f>GETPIVOTDATA("Sum of Ethnic Minority",EthnicityPivot!$A$3,"FisYr",A14,"Type","RDS")</f>
        <v>0.1</v>
      </c>
      <c r="G14" s="489">
        <f>GETPIVOTDATA("Sum of Not Stated",EthnicityPivot!$A$3,"FisYr",A14,"Type","RDS")</f>
        <v>32.799999999999997</v>
      </c>
      <c r="H14" s="820"/>
      <c r="I14" s="820"/>
      <c r="J14" s="489"/>
      <c r="K14" s="177">
        <f>GETPIVOTDATA("Sum of White",EthnicityPivot!$A$3,"FisYr",A14,"Type","Control")</f>
        <v>63</v>
      </c>
      <c r="L14" s="177">
        <f>GETPIVOTDATA("Sum of Ethnic Minority",EthnicityPivot!$A$3,"FisYr",A14,"Type","Control")</f>
        <v>0.4</v>
      </c>
      <c r="M14" s="491">
        <f>GETPIVOTDATA("Sum of Not Stated",EthnicityPivot!$A$3,"FisYr",A14,"Type","Control")</f>
        <v>36.5</v>
      </c>
      <c r="N14" s="177">
        <f>GETPIVOTDATA("Sum of White",EthnicityPivot!$A$3,"FisYr",A14,"Type","Support")</f>
        <v>53.7</v>
      </c>
      <c r="O14" s="177">
        <f>GETPIVOTDATA("Sum of Ethnic Minority",EthnicityPivot!$A$3,"FisYr",A14,"Type","Support")</f>
        <v>1.2</v>
      </c>
      <c r="P14" s="491">
        <f>GETPIVOTDATA("Sum of Not Stated",EthnicityPivot!$A$3,"FisYr",A14,"Type","Support")</f>
        <v>45.1</v>
      </c>
      <c r="Q14" s="177">
        <f>GETPIVOTDATA("Sum of White",EthnicityPivot!$A$3,"FisYr",A14,"Type","Vol")</f>
        <v>26.7</v>
      </c>
      <c r="R14" s="177">
        <f>GETPIVOTDATA("Sum of Ethnic Minority",EthnicityPivot!$A$3,"FisYr",A14,"Type","Vol")</f>
        <v>0.5</v>
      </c>
      <c r="S14" s="491">
        <f>GETPIVOTDATA("Sum of Not Stated",EthnicityPivot!$A$3,"FisYr",A14,"Type","Vol")</f>
        <v>72.8</v>
      </c>
      <c r="T14" s="179">
        <f>GETPIVOTDATA("Sum of White",EthnicityPivot!$A$3,"FisYr",A14,"Type","Total")</f>
        <v>60.2</v>
      </c>
      <c r="U14" s="179">
        <f>GETPIVOTDATA("Sum of Ethnic Minority",EthnicityPivot!$A$3,"FisYr",A14,"Type","Total")</f>
        <v>0.5</v>
      </c>
      <c r="V14" s="680">
        <f>GETPIVOTDATA("Sum of Not Stated",EthnicityPivot!$A$3,"FisYr",A14,"Type","Total")</f>
        <v>39.299999999999997</v>
      </c>
      <c r="W14" s="180">
        <f>GETPIVOTDATA("Sum of White",EthnicityPivot!$A$3,"FisYr",A14,"Type","Total (ex Vol)")</f>
        <v>61.8</v>
      </c>
      <c r="X14" s="180">
        <f>GETPIVOTDATA("Sum of Ethnic Minority",EthnicityPivot!$A$3,"FisYr",A14,"Type","Total (ex Vol)")</f>
        <v>0.5</v>
      </c>
      <c r="Y14" s="493">
        <f>GETPIVOTDATA("Sum of Not Stated",EthnicityPivot!$A$3,"FisYr",A14,"Type","Total (ex Vol)")</f>
        <v>37.700000000000003</v>
      </c>
    </row>
    <row r="15" spans="1:25" ht="15" customHeight="1" x14ac:dyDescent="0.25">
      <c r="A15" s="637" t="s">
        <v>366</v>
      </c>
      <c r="B15" s="640">
        <f>GETPIVOTDATA("Sum of White",EthnicityPivot!$A$3,"FisYr",A15,"Type","WT")</f>
        <v>53.7</v>
      </c>
      <c r="C15" s="640">
        <f>GETPIVOTDATA("Sum of Ethnic Minority",EthnicityPivot!$A$3,"FisYr",A15,"Type","WT")</f>
        <v>0.5</v>
      </c>
      <c r="D15" s="641">
        <f>GETPIVOTDATA("Sum of Not Stated",EthnicityPivot!$A$3,"FisYr",A15,"Type","WT")</f>
        <v>45.7</v>
      </c>
      <c r="E15" s="820">
        <f>GETPIVOTDATA("Sum of White",EthnicityPivot!$A$3,"FisYr",A15,"Type","RDS")</f>
        <v>60</v>
      </c>
      <c r="F15" s="820">
        <f>GETPIVOTDATA("Sum of Ethnic Minority",EthnicityPivot!$A$3,"FisYr",A15,"Type","RDS")</f>
        <v>0.6</v>
      </c>
      <c r="G15" s="489">
        <f>GETPIVOTDATA("Sum of Not Stated",EthnicityPivot!$A$3,"FisYr",A15,"Type","RDS")</f>
        <v>39.4</v>
      </c>
      <c r="H15" s="820"/>
      <c r="I15" s="820"/>
      <c r="J15" s="489"/>
      <c r="K15" s="177">
        <f>GETPIVOTDATA("Sum of White",EthnicityPivot!$A$3,"FisYr",A15,"Type","Control")</f>
        <v>64</v>
      </c>
      <c r="L15" s="177">
        <f>GETPIVOTDATA("Sum of Ethnic Minority",EthnicityPivot!$A$3,"FisYr",A15,"Type","Control")</f>
        <v>0.5</v>
      </c>
      <c r="M15" s="491">
        <f>GETPIVOTDATA("Sum of Not Stated",EthnicityPivot!$A$3,"FisYr",A15,"Type","Control")</f>
        <v>35.5</v>
      </c>
      <c r="N15" s="177">
        <f>GETPIVOTDATA("Sum of White",EthnicityPivot!$A$3,"FisYr",A15,"Type","Support")</f>
        <v>53.4</v>
      </c>
      <c r="O15" s="177">
        <f>GETPIVOTDATA("Sum of Ethnic Minority",EthnicityPivot!$A$3,"FisYr",A15,"Type","Support")</f>
        <v>0.8</v>
      </c>
      <c r="P15" s="491">
        <f>GETPIVOTDATA("Sum of Not Stated",EthnicityPivot!$A$3,"FisYr",A15,"Type","Support")</f>
        <v>45.8</v>
      </c>
      <c r="Q15" s="177">
        <f>GETPIVOTDATA("Sum of White",EthnicityPivot!$A$3,"FisYr",A15,"Type","Vol")</f>
        <v>32.5</v>
      </c>
      <c r="R15" s="177">
        <f>GETPIVOTDATA("Sum of Ethnic Minority",EthnicityPivot!$A$3,"FisYr",A15,"Type","Vol")</f>
        <v>0.9</v>
      </c>
      <c r="S15" s="491">
        <f>GETPIVOTDATA("Sum of Not Stated",EthnicityPivot!$A$3,"FisYr",A15,"Type","Vol")</f>
        <v>66.7</v>
      </c>
      <c r="T15" s="179">
        <f>GETPIVOTDATA("Sum of White",EthnicityPivot!$A$3,"FisYr",A15,"Type","Total")</f>
        <v>55.3</v>
      </c>
      <c r="U15" s="179">
        <f>GETPIVOTDATA("Sum of Ethnic Minority",EthnicityPivot!$A$3,"FisYr",A15,"Type","Total")</f>
        <v>0.6</v>
      </c>
      <c r="V15" s="680">
        <f>GETPIVOTDATA("Sum of Not Stated",EthnicityPivot!$A$3,"FisYr",A15,"Type","Total")</f>
        <v>44.1</v>
      </c>
      <c r="W15" s="180">
        <f>GETPIVOTDATA("Sum of White",EthnicityPivot!$A$3,"FisYr",A15,"Type","Total (ex Vol)")</f>
        <v>56.3</v>
      </c>
      <c r="X15" s="180">
        <f>GETPIVOTDATA("Sum of Ethnic Minority",EthnicityPivot!$A$3,"FisYr",A15,"Type","Total (ex Vol)")</f>
        <v>0.6</v>
      </c>
      <c r="Y15" s="493">
        <f>GETPIVOTDATA("Sum of Not Stated",EthnicityPivot!$A$3,"FisYr",A15,"Type","Total (ex Vol)")</f>
        <v>43.1</v>
      </c>
    </row>
    <row r="16" spans="1:25" ht="15" customHeight="1" x14ac:dyDescent="0.25">
      <c r="A16" s="637" t="s">
        <v>341</v>
      </c>
      <c r="B16" s="640">
        <f>GETPIVOTDATA("Sum of White",EthnicityPivot!$A$3,"FisYr",A16,"Type","WT")</f>
        <v>51.2</v>
      </c>
      <c r="C16" s="640">
        <f>GETPIVOTDATA("Sum of Ethnic Minority",EthnicityPivot!$A$3,"FisYr",A16,"Type","WT")</f>
        <v>0.5</v>
      </c>
      <c r="D16" s="641">
        <f>GETPIVOTDATA("Sum of Not Stated",EthnicityPivot!$A$3,"FisYr",A16,"Type","WT")</f>
        <v>48.3</v>
      </c>
      <c r="E16" s="820">
        <f>GETPIVOTDATA("Sum of White",EthnicityPivot!$A$3,"FisYr",A16,"Type","RDS")</f>
        <v>58</v>
      </c>
      <c r="F16" s="820">
        <f>GETPIVOTDATA("Sum of Ethnic Minority",EthnicityPivot!$A$3,"FisYr",A16,"Type","RDS")</f>
        <v>0.6</v>
      </c>
      <c r="G16" s="489">
        <f>GETPIVOTDATA("Sum of Not Stated",EthnicityPivot!$A$3,"FisYr",A16,"Type","RDS")</f>
        <v>41.4</v>
      </c>
      <c r="H16" s="820"/>
      <c r="I16" s="820"/>
      <c r="J16" s="489"/>
      <c r="K16" s="177">
        <f>GETPIVOTDATA("Sum of White",EthnicityPivot!$A$3,"FisYr",A16,"Type","Control")</f>
        <v>55.8</v>
      </c>
      <c r="L16" s="177">
        <f>GETPIVOTDATA("Sum of Ethnic Minority",EthnicityPivot!$A$3,"FisYr",A16,"Type","Control")</f>
        <v>0.6</v>
      </c>
      <c r="M16" s="491">
        <f>GETPIVOTDATA("Sum of Not Stated",EthnicityPivot!$A$3,"FisYr",A16,"Type","Control")</f>
        <v>43.6</v>
      </c>
      <c r="N16" s="177">
        <f>GETPIVOTDATA("Sum of White",EthnicityPivot!$A$3,"FisYr",A16,"Type","Support")</f>
        <v>53.9</v>
      </c>
      <c r="O16" s="177">
        <f>GETPIVOTDATA("Sum of Ethnic Minority",EthnicityPivot!$A$3,"FisYr",A16,"Type","Support")</f>
        <v>0.6</v>
      </c>
      <c r="P16" s="491">
        <f>GETPIVOTDATA("Sum of Not Stated",EthnicityPivot!$A$3,"FisYr",A16,"Type","Support")</f>
        <v>45.5</v>
      </c>
      <c r="Q16" s="177">
        <f>GETPIVOTDATA("Sum of White",EthnicityPivot!$A$3,"FisYr",A16,"Type","Vol")</f>
        <v>42.7</v>
      </c>
      <c r="R16" s="177">
        <f>GETPIVOTDATA("Sum of Ethnic Minority",EthnicityPivot!$A$3,"FisYr",A16,"Type","Vol")</f>
        <v>0.3</v>
      </c>
      <c r="S16" s="491">
        <f>GETPIVOTDATA("Sum of Not Stated",EthnicityPivot!$A$3,"FisYr",A16,"Type","Vol")</f>
        <v>57</v>
      </c>
      <c r="T16" s="179">
        <f>GETPIVOTDATA("Sum of White",EthnicityPivot!$A$3,"FisYr",A16,"Type","Total")</f>
        <v>53.7</v>
      </c>
      <c r="U16" s="179">
        <f>GETPIVOTDATA("Sum of Ethnic Minority",EthnicityPivot!$A$3,"FisYr",A16,"Type","Total")</f>
        <v>0.6</v>
      </c>
      <c r="V16" s="680">
        <f>GETPIVOTDATA("Sum of Not Stated",EthnicityPivot!$A$3,"FisYr",A16,"Type","Total")</f>
        <v>45.7</v>
      </c>
      <c r="W16" s="180">
        <f>GETPIVOTDATA("Sum of White",EthnicityPivot!$A$3,"FisYr",A16,"Type","Total (ex Vol)")</f>
        <v>54.2</v>
      </c>
      <c r="X16" s="180">
        <f>GETPIVOTDATA("Sum of Ethnic Minority",EthnicityPivot!$A$3,"FisYr",A16,"Type","Total (ex Vol)")</f>
        <v>0.6</v>
      </c>
      <c r="Y16" s="493">
        <f>GETPIVOTDATA("Sum of Not Stated",EthnicityPivot!$A$3,"FisYr",A16,"Type","Total (ex Vol)")</f>
        <v>45.2</v>
      </c>
    </row>
    <row r="17" spans="1:25" ht="15" customHeight="1" x14ac:dyDescent="0.25">
      <c r="A17" s="637" t="s">
        <v>342</v>
      </c>
      <c r="B17" s="640">
        <f>GETPIVOTDATA("Sum of White",EthnicityPivot!$A$3,"FisYr",A17,"Type","WT")</f>
        <v>55.7</v>
      </c>
      <c r="C17" s="640">
        <f>GETPIVOTDATA("Sum of Ethnic Minority",EthnicityPivot!$A$3,"FisYr",A17,"Type","WT")</f>
        <v>1.2</v>
      </c>
      <c r="D17" s="641">
        <f>GETPIVOTDATA("Sum of Not Stated",EthnicityPivot!$A$3,"FisYr",A17,"Type","WT")</f>
        <v>43.1</v>
      </c>
      <c r="E17" s="820">
        <f>GETPIVOTDATA("Sum of White",EthnicityPivot!$A$3,"FisYr",A17,"Type","RDS")</f>
        <v>65.900000000000006</v>
      </c>
      <c r="F17" s="820">
        <f>GETPIVOTDATA("Sum of Ethnic Minority",EthnicityPivot!$A$3,"FisYr",A17,"Type","RDS")</f>
        <v>1.2</v>
      </c>
      <c r="G17" s="489">
        <f>GETPIVOTDATA("Sum of Not Stated",EthnicityPivot!$A$3,"FisYr",A17,"Type","RDS")</f>
        <v>32.9</v>
      </c>
      <c r="H17" s="820"/>
      <c r="I17" s="820"/>
      <c r="J17" s="489"/>
      <c r="K17" s="177">
        <f>GETPIVOTDATA("Sum of White",EthnicityPivot!$A$3,"FisYr",A17,"Type","Control")</f>
        <v>52.9</v>
      </c>
      <c r="L17" s="177">
        <f>GETPIVOTDATA("Sum of Ethnic Minority",EthnicityPivot!$A$3,"FisYr",A17,"Type","Control")</f>
        <v>0.5</v>
      </c>
      <c r="M17" s="491">
        <f>GETPIVOTDATA("Sum of Not Stated",EthnicityPivot!$A$3,"FisYr",A17,"Type","Control")</f>
        <v>46.6</v>
      </c>
      <c r="N17" s="177">
        <f>GETPIVOTDATA("Sum of White",EthnicityPivot!$A$3,"FisYr",A17,"Type","Support")</f>
        <v>61.2</v>
      </c>
      <c r="O17" s="177">
        <f>GETPIVOTDATA("Sum of Ethnic Minority",EthnicityPivot!$A$3,"FisYr",A17,"Type","Support")</f>
        <v>1.4</v>
      </c>
      <c r="P17" s="491">
        <f>GETPIVOTDATA("Sum of Not Stated",EthnicityPivot!$A$3,"FisYr",A17,"Type","Support")</f>
        <v>37.4</v>
      </c>
      <c r="Q17" s="177">
        <f>GETPIVOTDATA("Sum of White",EthnicityPivot!$A$3,"FisYr",A17,"Type","Vol")</f>
        <v>37.299999999999997</v>
      </c>
      <c r="R17" s="177">
        <f>GETPIVOTDATA("Sum of Ethnic Minority",EthnicityPivot!$A$3,"FisYr",A17,"Type","Vol")</f>
        <v>0.6</v>
      </c>
      <c r="S17" s="491">
        <f>GETPIVOTDATA("Sum of Not Stated",EthnicityPivot!$A$3,"FisYr",A17,"Type","Vol")</f>
        <v>62</v>
      </c>
      <c r="T17" s="179">
        <f>GETPIVOTDATA("Sum of White",EthnicityPivot!$A$3,"FisYr",A17,"Type","Total")</f>
        <v>59.2</v>
      </c>
      <c r="U17" s="179">
        <f>GETPIVOTDATA("Sum of Ethnic Minority",EthnicityPivot!$A$3,"FisYr",A17,"Type","Total")</f>
        <v>1.2</v>
      </c>
      <c r="V17" s="680">
        <f>GETPIVOTDATA("Sum of Not Stated",EthnicityPivot!$A$3,"FisYr",A17,"Type","Total")</f>
        <v>39.6</v>
      </c>
      <c r="W17" s="180">
        <f>GETPIVOTDATA("Sum of White",EthnicityPivot!$A$3,"FisYr",A17,"Type","Total (ex Vol)")</f>
        <v>60.2</v>
      </c>
      <c r="X17" s="180">
        <f>GETPIVOTDATA("Sum of Ethnic Minority",EthnicityPivot!$A$3,"FisYr",A17,"Type","Total (ex Vol)")</f>
        <v>1.2</v>
      </c>
      <c r="Y17" s="493">
        <f>GETPIVOTDATA("Sum of Not Stated",EthnicityPivot!$A$3,"FisYr",A17,"Type","Total (ex Vol)")</f>
        <v>38.6</v>
      </c>
    </row>
    <row r="18" spans="1:25" ht="15" customHeight="1" x14ac:dyDescent="0.25">
      <c r="A18" s="637" t="s">
        <v>213</v>
      </c>
      <c r="B18" s="640">
        <f>GETPIVOTDATA("Sum of White",EthnicityPivot!$A$3,"FisYr",A18,"Type","WT")</f>
        <v>60.406928787462199</v>
      </c>
      <c r="C18" s="640">
        <f>GETPIVOTDATA("Sum of Ethnic Minority",EthnicityPivot!$A$3,"FisYr",A18,"Type","WT")</f>
        <v>1.2372834753918065</v>
      </c>
      <c r="D18" s="641">
        <f>GETPIVOTDATA("Sum of Not Stated",EthnicityPivot!$A$3,"FisYr",A18,"Type","WT")</f>
        <v>38.355787737146002</v>
      </c>
      <c r="E18" s="820">
        <f>GETPIVOTDATA("Sum of White",EthnicityPivot!$A$3,"FisYr",A18,"Type","RDS")</f>
        <v>67.558415171012527</v>
      </c>
      <c r="F18" s="820">
        <f>GETPIVOTDATA("Sum of Ethnic Minority",EthnicityPivot!$A$3,"FisYr",A18,"Type","RDS")</f>
        <v>1.1175076193701321</v>
      </c>
      <c r="G18" s="489">
        <f>GETPIVOTDATA("Sum of Not Stated",EthnicityPivot!$A$3,"FisYr",A18,"Type","RDS")</f>
        <v>31.324077209617339</v>
      </c>
      <c r="H18" s="820"/>
      <c r="I18" s="820"/>
      <c r="J18" s="489"/>
      <c r="K18" s="177">
        <f>GETPIVOTDATA("Sum of White",EthnicityPivot!$A$3,"FisYr",A18,"Type","Control")</f>
        <v>53.623188405797109</v>
      </c>
      <c r="L18" s="177">
        <f>GETPIVOTDATA("Sum of Ethnic Minority",EthnicityPivot!$A$3,"FisYr",A18,"Type","Control")</f>
        <v>0.96618357487922701</v>
      </c>
      <c r="M18" s="491">
        <f>GETPIVOTDATA("Sum of Not Stated",EthnicityPivot!$A$3,"FisYr",A18,"Type","Control")</f>
        <v>45.410628019323674</v>
      </c>
      <c r="N18" s="177">
        <f>GETPIVOTDATA("Sum of White",EthnicityPivot!$A$3,"FisYr",A18,"Type","Support")</f>
        <v>68.055555555555557</v>
      </c>
      <c r="O18" s="177">
        <f>GETPIVOTDATA("Sum of Ethnic Minority",EthnicityPivot!$A$3,"FisYr",A18,"Type","Support")</f>
        <v>1.7676767676767675</v>
      </c>
      <c r="P18" s="491">
        <f>GETPIVOTDATA("Sum of Not Stated",EthnicityPivot!$A$3,"FisYr",A18,"Type","Support")</f>
        <v>30.176767676767675</v>
      </c>
      <c r="Q18" s="177">
        <f>GETPIVOTDATA("Sum of White",EthnicityPivot!$A$3,"FisYr",A18,"Type","Vol")</f>
        <v>36.277602523659311</v>
      </c>
      <c r="R18" s="177">
        <f>GETPIVOTDATA("Sum of Ethnic Minority",EthnicityPivot!$A$3,"FisYr",A18,"Type","Vol")</f>
        <v>0.63091482649842268</v>
      </c>
      <c r="S18" s="491">
        <f>GETPIVOTDATA("Sum of Not Stated",EthnicityPivot!$A$3,"FisYr",A18,"Type","Vol")</f>
        <v>63.09148264984227</v>
      </c>
      <c r="T18" s="179">
        <f>GETPIVOTDATA("Sum of White",EthnicityPivot!$A$3,"FisYr",A18,"Type","Total")</f>
        <v>62.699215785479382</v>
      </c>
      <c r="U18" s="179">
        <f>GETPIVOTDATA("Sum of Ethnic Minority",EthnicityPivot!$A$3,"FisYr",A18,"Type","Total")</f>
        <v>1.2142676448267138</v>
      </c>
      <c r="V18" s="680">
        <f>GETPIVOTDATA("Sum of Not Stated",EthnicityPivot!$A$3,"FisYr",A18,"Type","Total")</f>
        <v>36.086516569693906</v>
      </c>
      <c r="W18" s="180">
        <f>GETPIVOTDATA("Sum of White",EthnicityPivot!$A$3,"FisYr",A18,"Type","Total (ex Vol)")</f>
        <v>63.802872578732369</v>
      </c>
      <c r="X18" s="180">
        <f>GETPIVOTDATA("Sum of Ethnic Minority",EthnicityPivot!$A$3,"FisYr",A18,"Type","Total (ex Vol)")</f>
        <v>1.2386348662537885</v>
      </c>
      <c r="Y18" s="493">
        <f>GETPIVOTDATA("Sum of Not Stated",EthnicityPivot!$A$3,"FisYr",A18,"Type","Total (ex Vol)")</f>
        <v>34.958492555013834</v>
      </c>
    </row>
    <row r="19" spans="1:25" x14ac:dyDescent="0.25">
      <c r="A19" s="637" t="s">
        <v>312</v>
      </c>
      <c r="B19" s="640">
        <f>GETPIVOTDATA("Sum of White",EthnicityPivot!$A$3,"FisYr",A19,"Type","WT")</f>
        <v>60.478547854785482</v>
      </c>
      <c r="C19" s="640">
        <f>GETPIVOTDATA("Sum of Ethnic Minority",EthnicityPivot!$A$3,"FisYr",A19,"Type","WT")</f>
        <v>1.2376237623762376</v>
      </c>
      <c r="D19" s="641">
        <f>GETPIVOTDATA("Sum of Not Stated",EthnicityPivot!$A$3,"FisYr",A19,"Type","WT")</f>
        <v>38.283828382838287</v>
      </c>
      <c r="E19" s="820">
        <f>GETPIVOTDATA("Sum of White",EthnicityPivot!$A$3,"FisYr",A19,"Type","RDS")</f>
        <v>63.534218590398361</v>
      </c>
      <c r="F19" s="820">
        <f>GETPIVOTDATA("Sum of Ethnic Minority",EthnicityPivot!$A$3,"FisYr",A19,"Type","RDS")</f>
        <v>1.0554988083077972</v>
      </c>
      <c r="G19" s="489">
        <f>GETPIVOTDATA("Sum of Not Stated",EthnicityPivot!$A$3,"FisYr",A19,"Type","RDS")</f>
        <v>35.410282601293837</v>
      </c>
      <c r="H19" s="820">
        <f>GETPIVOTDATA("Sum of White",EthnicityPivot!$A$3,"FisYr",A19,"Type","RDS Fulltime")</f>
        <v>86.111111111111114</v>
      </c>
      <c r="I19" s="820">
        <f>GETPIVOTDATA("Sum of Ethnic Minority",EthnicityPivot!$A$3,"FisYr",A19,"Type","RDS Fulltime")</f>
        <v>0</v>
      </c>
      <c r="J19" s="489">
        <f>GETPIVOTDATA("Sum of Not Stated",EthnicityPivot!$A$3,"FisYr",A19,"Type","RDS Fulltime")</f>
        <v>13.888888888888889</v>
      </c>
      <c r="K19" s="177">
        <f>GETPIVOTDATA("Sum of White",EthnicityPivot!$A$3,"FisYr",A19,"Type","Control")</f>
        <v>53.191489361702125</v>
      </c>
      <c r="L19" s="177">
        <f>GETPIVOTDATA("Sum of Ethnic Minority",EthnicityPivot!$A$3,"FisYr",A19,"Type","Control")</f>
        <v>1.0638297872340425</v>
      </c>
      <c r="M19" s="491">
        <f>GETPIVOTDATA("Sum of Not Stated",EthnicityPivot!$A$3,"FisYr",A19,"Type","Control")</f>
        <v>45.744680851063826</v>
      </c>
      <c r="N19" s="177">
        <f>GETPIVOTDATA("Sum of White",EthnicityPivot!$A$3,"FisYr",A19,"Type","Support")</f>
        <v>66.992665036674808</v>
      </c>
      <c r="O19" s="177">
        <f>GETPIVOTDATA("Sum of Ethnic Minority",EthnicityPivot!$A$3,"FisYr",A19,"Type","Support")</f>
        <v>1.5892420537897312</v>
      </c>
      <c r="P19" s="491">
        <f>GETPIVOTDATA("Sum of Not Stated",EthnicityPivot!$A$3,"FisYr",A19,"Type","Support")</f>
        <v>31.418092909535449</v>
      </c>
      <c r="Q19" s="177">
        <f>GETPIVOTDATA("Sum of White",EthnicityPivot!$A$3,"FisYr",A19,"Type","Vol")</f>
        <v>34.603174603174601</v>
      </c>
      <c r="R19" s="177">
        <f>GETPIVOTDATA("Sum of Ethnic Minority",EthnicityPivot!$A$3,"FisYr",A19,"Type","Vol")</f>
        <v>0.63492063492063489</v>
      </c>
      <c r="S19" s="491">
        <f>GETPIVOTDATA("Sum of Not Stated",EthnicityPivot!$A$3,"FisYr",A19,"Type","Vol")</f>
        <v>64.761904761904759</v>
      </c>
      <c r="T19" s="179">
        <f>GETPIVOTDATA("Sum of White",EthnicityPivot!$A$3,"FisYr",A19,"Type","Total")</f>
        <v>61.197982345523329</v>
      </c>
      <c r="U19" s="179">
        <f>GETPIVOTDATA("Sum of Ethnic Minority",EthnicityPivot!$A$3,"FisYr",A19,"Type","Total")</f>
        <v>1.1727616645649432</v>
      </c>
      <c r="V19" s="680">
        <f>GETPIVOTDATA("Sum of Not Stated",EthnicityPivot!$A$3,"FisYr",A19,"Type","Total")</f>
        <v>37.629255989911726</v>
      </c>
      <c r="W19" s="180">
        <f>GETPIVOTDATA("Sum of White",EthnicityPivot!$A$3,"FisYr",A19,"Type","Total (ex Vol)")</f>
        <v>62.298095863427449</v>
      </c>
      <c r="X19" s="180">
        <f>GETPIVOTDATA("Sum of Ethnic Minority",EthnicityPivot!$A$3,"FisYr",A19,"Type","Total (ex Vol)")</f>
        <v>1.1950098489822718</v>
      </c>
      <c r="Y19" s="493">
        <f>GETPIVOTDATA("Sum of Not Stated",EthnicityPivot!$A$3,"FisYr",A19,"Type","Total (ex Vol)")</f>
        <v>36.506894287590278</v>
      </c>
    </row>
    <row r="20" spans="1:25" ht="15" customHeight="1" x14ac:dyDescent="0.25">
      <c r="A20" s="679" t="s">
        <v>318</v>
      </c>
      <c r="B20" s="640">
        <f>GETPIVOTDATA("Sum of White",EthnicityPivot!$A$3,"FisYr",A20,"Type","WT")</f>
        <v>59.5703125</v>
      </c>
      <c r="C20" s="640">
        <f>GETPIVOTDATA("Sum of Ethnic Minority",EthnicityPivot!$A$3,"FisYr",A20,"Type","WT")</f>
        <v>1.3392857142857142</v>
      </c>
      <c r="D20" s="641">
        <f>GETPIVOTDATA("Sum of Not Stated",EthnicityPivot!$A$3,"FisYr",A20,"Type","WT")</f>
        <v>39.090401785714285</v>
      </c>
      <c r="E20" s="820">
        <f>GETPIVOTDATA("Sum of White",EthnicityPivot!$A$3,"FisYr",A20,"Type","RDS")</f>
        <v>61.142061281337043</v>
      </c>
      <c r="F20" s="820">
        <f>GETPIVOTDATA("Sum of Ethnic Minority",EthnicityPivot!$A$3,"FisYr",A20,"Type","RDS")</f>
        <v>0.94011142061281339</v>
      </c>
      <c r="G20" s="489">
        <f>GETPIVOTDATA("Sum of Not Stated",EthnicityPivot!$A$3,"FisYr",A20,"Type","RDS")</f>
        <v>37.917827298050142</v>
      </c>
      <c r="H20" s="820">
        <f>GETPIVOTDATA("Sum of White",EthnicityPivot!$A$3,"FisYr",A20,"Type","RDS Fulltime")</f>
        <v>87.037037037037038</v>
      </c>
      <c r="I20" s="820">
        <f>GETPIVOTDATA("Sum of Ethnic Minority",EthnicityPivot!$A$3,"FisYr",A20,"Type","RDS Fulltime")</f>
        <v>1.8518518518518516</v>
      </c>
      <c r="J20" s="489">
        <f>GETPIVOTDATA("Sum of Not Stated",EthnicityPivot!$A$3,"FisYr",A20,"Type","RDS Fulltime")</f>
        <v>11.111111111111111</v>
      </c>
      <c r="K20" s="177">
        <f>GETPIVOTDATA("Sum of White",EthnicityPivot!$A$3,"FisYr",A20,"Type","Control")</f>
        <v>56.593406593406591</v>
      </c>
      <c r="L20" s="177">
        <f>GETPIVOTDATA("Sum of Ethnic Minority",EthnicityPivot!$A$3,"FisYr",A20,"Type","Control")</f>
        <v>1.098901098901099</v>
      </c>
      <c r="M20" s="491">
        <f>GETPIVOTDATA("Sum of Not Stated",EthnicityPivot!$A$3,"FisYr",A20,"Type","Control")</f>
        <v>42.307692307692307</v>
      </c>
      <c r="N20" s="177">
        <f>GETPIVOTDATA("Sum of White",EthnicityPivot!$A$3,"FisYr",A20,"Type","Support")</f>
        <v>66.746411483253581</v>
      </c>
      <c r="O20" s="177">
        <f>GETPIVOTDATA("Sum of Ethnic Minority",EthnicityPivot!$A$3,"FisYr",A20,"Type","Support")</f>
        <v>1.7942583732057416</v>
      </c>
      <c r="P20" s="491">
        <f>GETPIVOTDATA("Sum of Not Stated",EthnicityPivot!$A$3,"FisYr",A20,"Type","Support")</f>
        <v>31.459330143540669</v>
      </c>
      <c r="Q20" s="177">
        <f>GETPIVOTDATA("Sum of White",EthnicityPivot!$A$3,"FisYr",A20,"Type","Vol")</f>
        <v>35.313531353135311</v>
      </c>
      <c r="R20" s="177">
        <f>GETPIVOTDATA("Sum of Ethnic Minority",EthnicityPivot!$A$3,"FisYr",A20,"Type","Vol")</f>
        <v>0.66006600660066006</v>
      </c>
      <c r="S20" s="491">
        <f>GETPIVOTDATA("Sum of Not Stated",EthnicityPivot!$A$3,"FisYr",A20,"Type","Vol")</f>
        <v>64.026402640264024</v>
      </c>
      <c r="T20" s="179">
        <f>GETPIVOTDATA("Sum of White",EthnicityPivot!$A$3,"FisYr",A20,"Type","Total")</f>
        <v>60.094496232920449</v>
      </c>
      <c r="U20" s="179">
        <f>GETPIVOTDATA("Sum of Ethnic Minority",EthnicityPivot!$A$3,"FisYr",A20,"Type","Total")</f>
        <v>1.2131273145192185</v>
      </c>
      <c r="V20" s="680">
        <f>GETPIVOTDATA("Sum of Not Stated",EthnicityPivot!$A$3,"FisYr",A20,"Type","Total")</f>
        <v>38.692376452560339</v>
      </c>
      <c r="W20" s="180">
        <f>GETPIVOTDATA("Sum of White",EthnicityPivot!$A$3,"FisYr",A20,"Type","Total (ex Vol)")</f>
        <v>61.091923485653567</v>
      </c>
      <c r="X20" s="180">
        <f>GETPIVOTDATA("Sum of Ethnic Minority",EthnicityPivot!$A$3,"FisYr",A20,"Type","Total (ex Vol)")</f>
        <v>1.2353878852284803</v>
      </c>
      <c r="Y20" s="493">
        <f>GETPIVOTDATA("Sum of Not Stated",EthnicityPivot!$A$3,"FisYr",A20,"Type","Total (ex Vol)")</f>
        <v>37.672688629117964</v>
      </c>
    </row>
    <row r="21" spans="1:25" ht="15" customHeight="1" x14ac:dyDescent="0.25">
      <c r="A21" s="679" t="s">
        <v>320</v>
      </c>
      <c r="B21" s="640">
        <f>GETPIVOTDATA("Sum of White",EthnicityPivot!$A$3,"FisYr",A21,"Type","WT")</f>
        <v>58.387369608119535</v>
      </c>
      <c r="C21" s="640">
        <f>GETPIVOTDATA("Sum of Ethnic Minority",EthnicityPivot!$A$3,"FisYr",A21,"Type","WT")</f>
        <v>1.381449111925571</v>
      </c>
      <c r="D21" s="641">
        <f>GETPIVOTDATA("Sum of Not Stated",EthnicityPivot!$A$3,"FisYr",A21,"Type","WT")</f>
        <v>40.231181279954889</v>
      </c>
      <c r="E21" s="820">
        <f>GETPIVOTDATA("Sum of White",EthnicityPivot!$A$3,"FisYr",A21,"Type","RDS")</f>
        <v>58.819268381021374</v>
      </c>
      <c r="F21" s="820">
        <f>GETPIVOTDATA("Sum of Ethnic Minority",EthnicityPivot!$A$3,"FisYr",A21,"Type","RDS")</f>
        <v>0.94168779427743576</v>
      </c>
      <c r="G21" s="489">
        <f>GETPIVOTDATA("Sum of Not Stated",EthnicityPivot!$A$3,"FisYr",A21,"Type","RDS")</f>
        <v>40.239043824701191</v>
      </c>
      <c r="H21" s="820">
        <f>GETPIVOTDATA("Sum of White",EthnicityPivot!$A$3,"FisYr",A21,"Type","RDS Fulltime")</f>
        <v>88.679245283018872</v>
      </c>
      <c r="I21" s="820">
        <f>GETPIVOTDATA("Sum of Ethnic Minority",EthnicityPivot!$A$3,"FisYr",A21,"Type","RDS Fulltime")</f>
        <v>1.8867924528301887</v>
      </c>
      <c r="J21" s="489">
        <f>GETPIVOTDATA("Sum of Not Stated",EthnicityPivot!$A$3,"FisYr",A21,"Type","RDS Fulltime")</f>
        <v>9.433962264150944</v>
      </c>
      <c r="K21" s="177">
        <f>GETPIVOTDATA("Sum of White",EthnicityPivot!$A$3,"FisYr",A21,"Type","Control")</f>
        <v>55.932203389830505</v>
      </c>
      <c r="L21" s="177">
        <f>GETPIVOTDATA("Sum of Ethnic Minority",EthnicityPivot!$A$3,"FisYr",A21,"Type","Control")</f>
        <v>2.2598870056497176</v>
      </c>
      <c r="M21" s="491">
        <f>GETPIVOTDATA("Sum of Not Stated",EthnicityPivot!$A$3,"FisYr",A21,"Type","Control")</f>
        <v>41.807909604519772</v>
      </c>
      <c r="N21" s="177">
        <f>GETPIVOTDATA("Sum of White",EthnicityPivot!$A$3,"FisYr",A21,"Type","Support")</f>
        <v>63.163481953290869</v>
      </c>
      <c r="O21" s="177">
        <f>GETPIVOTDATA("Sum of Ethnic Minority",EthnicityPivot!$A$3,"FisYr",A21,"Type","Support")</f>
        <v>2.335456475583864</v>
      </c>
      <c r="P21" s="491">
        <f>GETPIVOTDATA("Sum of Not Stated",EthnicityPivot!$A$3,"FisYr",A21,"Type","Support")</f>
        <v>34.501061571125263</v>
      </c>
      <c r="Q21" s="177">
        <f>GETPIVOTDATA("Sum of White",EthnicityPivot!$A$3,"FisYr",A21,"Type","Vol")</f>
        <v>36.823104693140799</v>
      </c>
      <c r="R21" s="177">
        <f>GETPIVOTDATA("Sum of Ethnic Minority",EthnicityPivot!$A$3,"FisYr",A21,"Type","Vol")</f>
        <v>0.72202166064981954</v>
      </c>
      <c r="S21" s="491">
        <f>GETPIVOTDATA("Sum of Not Stated",EthnicityPivot!$A$3,"FisYr",A21,"Type","Vol")</f>
        <v>62.454873646209386</v>
      </c>
      <c r="T21" s="179">
        <f>GETPIVOTDATA("Sum of White",EthnicityPivot!$A$3,"FisYr",A21,"Type","Total")</f>
        <v>58.402449917060096</v>
      </c>
      <c r="U21" s="179">
        <f>GETPIVOTDATA("Sum of Ethnic Minority",EthnicityPivot!$A$3,"FisYr",A21,"Type","Total")</f>
        <v>1.327038407553911</v>
      </c>
      <c r="V21" s="680">
        <f>GETPIVOTDATA("Sum of Not Stated",EthnicityPivot!$A$3,"FisYr",A21,"Type","Total")</f>
        <v>40.27051167538599</v>
      </c>
      <c r="W21" s="180">
        <f>GETPIVOTDATA("Sum of White",EthnicityPivot!$A$3,"FisYr",A21,"Type","Total (ex Vol)")</f>
        <v>59.304812834224599</v>
      </c>
      <c r="X21" s="180">
        <f>GETPIVOTDATA("Sum of Ethnic Minority",EthnicityPivot!$A$3,"FisYr",A21,"Type","Total (ex Vol)")</f>
        <v>1.3636363636363635</v>
      </c>
      <c r="Y21" s="493">
        <f>GETPIVOTDATA("Sum of Not Stated",EthnicityPivot!$A$3,"FisYr",A21,"Type","Total (ex Vol)")</f>
        <v>39.331550802139034</v>
      </c>
    </row>
    <row r="22" spans="1:25" ht="15" customHeight="1" x14ac:dyDescent="0.25">
      <c r="A22" s="679" t="s">
        <v>325</v>
      </c>
      <c r="B22" s="640">
        <f>GETPIVOTDATA("Sum of White",EthnicityPivot!$A$3,"FisYr",A22,"Type","WT")</f>
        <v>55.704125177809395</v>
      </c>
      <c r="C22" s="640">
        <f>GETPIVOTDATA("Sum of Ethnic Minority",EthnicityPivot!$A$3,"FisYr",A22,"Type","WT")</f>
        <v>1.3086770981507825</v>
      </c>
      <c r="D22" s="641">
        <f>GETPIVOTDATA("Sum of Not Stated",EthnicityPivot!$A$3,"FisYr",A22,"Type","WT")</f>
        <v>42.987197724039831</v>
      </c>
      <c r="E22" s="820">
        <f>GETPIVOTDATA("Sum of White",EthnicityPivot!$A$3,"FisYr",A22,"Type","RDS")</f>
        <v>55.190058479532169</v>
      </c>
      <c r="F22" s="820">
        <f>GETPIVOTDATA("Sum of Ethnic Minority",EthnicityPivot!$A$3,"FisYr",A22,"Type","RDS")</f>
        <v>1.0599415204678362</v>
      </c>
      <c r="G22" s="489">
        <f>GETPIVOTDATA("Sum of Not Stated",EthnicityPivot!$A$3,"FisYr",A22,"Type","RDS")</f>
        <v>43.75</v>
      </c>
      <c r="H22" s="820">
        <f>GETPIVOTDATA("Sum of White",EthnicityPivot!$A$3,"FisYr",A22,"Type","RDS Fulltime")</f>
        <v>88.888888888888886</v>
      </c>
      <c r="I22" s="820">
        <f>GETPIVOTDATA("Sum of Ethnic Minority",EthnicityPivot!$A$3,"FisYr",A22,"Type","RDS Fulltime")</f>
        <v>1.8518518518518516</v>
      </c>
      <c r="J22" s="489">
        <f>GETPIVOTDATA("Sum of Not Stated",EthnicityPivot!$A$3,"FisYr",A22,"Type","RDS Fulltime")</f>
        <v>9.2592592592592595</v>
      </c>
      <c r="K22" s="177">
        <f>GETPIVOTDATA("Sum of White",EthnicityPivot!$A$3,"FisYr",A22,"Type","Control")</f>
        <v>52.298850574712638</v>
      </c>
      <c r="L22" s="177">
        <f>GETPIVOTDATA("Sum of Ethnic Minority",EthnicityPivot!$A$3,"FisYr",A22,"Type","Control")</f>
        <v>2.2988505747126435</v>
      </c>
      <c r="M22" s="491">
        <f>GETPIVOTDATA("Sum of Not Stated",EthnicityPivot!$A$3,"FisYr",A22,"Type","Control")</f>
        <v>45.402298850574709</v>
      </c>
      <c r="N22" s="177">
        <f>GETPIVOTDATA("Sum of White",EthnicityPivot!$A$3,"FisYr",A22,"Type","Support")</f>
        <v>60.799136069114468</v>
      </c>
      <c r="O22" s="177">
        <f>GETPIVOTDATA("Sum of Ethnic Minority",EthnicityPivot!$A$3,"FisYr",A22,"Type","Support")</f>
        <v>2.2678185745140391</v>
      </c>
      <c r="P22" s="491">
        <f>GETPIVOTDATA("Sum of Not Stated",EthnicityPivot!$A$3,"FisYr",A22,"Type","Support")</f>
        <v>36.933045356371494</v>
      </c>
      <c r="Q22" s="177">
        <f>GETPIVOTDATA("Sum of White",EthnicityPivot!$A$3,"FisYr",A22,"Type","Vol")</f>
        <v>36.84210526315789</v>
      </c>
      <c r="R22" s="177">
        <f>GETPIVOTDATA("Sum of Ethnic Minority",EthnicityPivot!$A$3,"FisYr",A22,"Type","Vol")</f>
        <v>0.37593984962406013</v>
      </c>
      <c r="S22" s="491">
        <f>GETPIVOTDATA("Sum of Not Stated",EthnicityPivot!$A$3,"FisYr",A22,"Type","Vol")</f>
        <v>62.781954887218049</v>
      </c>
      <c r="T22" s="179">
        <f>GETPIVOTDATA("Sum of White",EthnicityPivot!$A$3,"FisYr",A22,"Type","Total")</f>
        <v>55.432969852469526</v>
      </c>
      <c r="U22" s="179">
        <f>GETPIVOTDATA("Sum of Ethnic Minority",EthnicityPivot!$A$3,"FisYr",A22,"Type","Total")</f>
        <v>1.308531109685696</v>
      </c>
      <c r="V22" s="680">
        <f>GETPIVOTDATA("Sum of Not Stated",EthnicityPivot!$A$3,"FisYr",A22,"Type","Total")</f>
        <v>43.258499037844771</v>
      </c>
      <c r="W22" s="180">
        <f>GETPIVOTDATA("Sum of White",EthnicityPivot!$A$3,"FisYr",A22,"Type","Total (ex Vol)")</f>
        <v>56.313301823092509</v>
      </c>
      <c r="X22" s="180">
        <f>GETPIVOTDATA("Sum of Ethnic Minority",EthnicityPivot!$A$3,"FisYr",A22,"Type","Total (ex Vol)")</f>
        <v>1.3639432815665091</v>
      </c>
      <c r="Y22" s="493">
        <f>GETPIVOTDATA("Sum of Not Stated",EthnicityPivot!$A$3,"FisYr",A22,"Type","Total (ex Vol)")</f>
        <v>42.322754895340985</v>
      </c>
    </row>
    <row r="23" spans="1:25" ht="15" customHeight="1" x14ac:dyDescent="0.25">
      <c r="A23" s="679" t="s">
        <v>326</v>
      </c>
      <c r="B23" s="640">
        <f>GETPIVOTDATA("Sum of White",EthnicityPivot!$A$3,"FisYr",A23,"Type","WT")</f>
        <v>54.183614177803605</v>
      </c>
      <c r="C23" s="640">
        <f>GETPIVOTDATA("Sum of Ethnic Minority",EthnicityPivot!$A$3,"FisYr",A23,"Type","WT")</f>
        <v>1.2492736780941311</v>
      </c>
      <c r="D23" s="641">
        <f>GETPIVOTDATA("Sum of Not Stated",EthnicityPivot!$A$3,"FisYr",A23,"Type","WT")</f>
        <v>44.567112144102268</v>
      </c>
      <c r="E23" s="820">
        <f>GETPIVOTDATA("Sum of White",EthnicityPivot!$A$3,"FisYr",A23,"Type","RDS")</f>
        <v>50.994108983799705</v>
      </c>
      <c r="F23" s="820">
        <f>GETPIVOTDATA("Sum of Ethnic Minority",EthnicityPivot!$A$3,"FisYr",A23,"Type","RDS")</f>
        <v>0.81001472754050086</v>
      </c>
      <c r="G23" s="489">
        <f>GETPIVOTDATA("Sum of Not Stated",EthnicityPivot!$A$3,"FisYr",A23,"Type","RDS")</f>
        <v>48.195876288659797</v>
      </c>
      <c r="H23" s="820">
        <f>GETPIVOTDATA("Sum of White",EthnicityPivot!$A$3,"FisYr",A23,"Type","RDS Fulltime")</f>
        <v>88.888888888888886</v>
      </c>
      <c r="I23" s="820">
        <f>GETPIVOTDATA("Sum of Ethnic Minority",EthnicityPivot!$A$3,"FisYr",A23,"Type","RDS Fulltime")</f>
        <v>1.8518518518518516</v>
      </c>
      <c r="J23" s="489">
        <f>GETPIVOTDATA("Sum of Not Stated",EthnicityPivot!$A$3,"FisYr",A23,"Type","RDS Fulltime")</f>
        <v>9.2592592592592595</v>
      </c>
      <c r="K23" s="177">
        <f>GETPIVOTDATA("Sum of White",EthnicityPivot!$A$3,"FisYr",A23,"Type","Control")</f>
        <v>51.445086705202314</v>
      </c>
      <c r="L23" s="177">
        <f>GETPIVOTDATA("Sum of Ethnic Minority",EthnicityPivot!$A$3,"FisYr",A23,"Type","Control")</f>
        <v>2.3121387283236992</v>
      </c>
      <c r="M23" s="491">
        <f>GETPIVOTDATA("Sum of Not Stated",EthnicityPivot!$A$3,"FisYr",A23,"Type","Control")</f>
        <v>46.24277456647399</v>
      </c>
      <c r="N23" s="177">
        <f>GETPIVOTDATA("Sum of White",EthnicityPivot!$A$3,"FisYr",A23,"Type","Support")</f>
        <v>58.681318681318686</v>
      </c>
      <c r="O23" s="177">
        <f>GETPIVOTDATA("Sum of Ethnic Minority",EthnicityPivot!$A$3,"FisYr",A23,"Type","Support")</f>
        <v>2.197802197802198</v>
      </c>
      <c r="P23" s="491">
        <f>GETPIVOTDATA("Sum of Not Stated",EthnicityPivot!$A$3,"FisYr",A23,"Type","Support")</f>
        <v>39.120879120879124</v>
      </c>
      <c r="Q23" s="177">
        <f>GETPIVOTDATA("Sum of White",EthnicityPivot!$A$3,"FisYr",A23,"Type","Vol")</f>
        <v>35.555555555555557</v>
      </c>
      <c r="R23" s="177">
        <f>GETPIVOTDATA("Sum of Ethnic Minority",EthnicityPivot!$A$3,"FisYr",A23,"Type","Vol")</f>
        <v>0.37037037037037041</v>
      </c>
      <c r="S23" s="491">
        <f>GETPIVOTDATA("Sum of Not Stated",EthnicityPivot!$A$3,"FisYr",A23,"Type","Vol")</f>
        <v>64.074074074074076</v>
      </c>
      <c r="T23" s="179">
        <f>GETPIVOTDATA("Sum of White",EthnicityPivot!$A$3,"FisYr",A23,"Type","Total")</f>
        <v>52.832879553999746</v>
      </c>
      <c r="U23" s="179">
        <f>GETPIVOTDATA("Sum of Ethnic Minority",EthnicityPivot!$A$3,"FisYr",A23,"Type","Total")</f>
        <v>1.1798262673408531</v>
      </c>
      <c r="V23" s="680">
        <f>GETPIVOTDATA("Sum of Not Stated",EthnicityPivot!$A$3,"FisYr",A23,"Type","Total")</f>
        <v>45.987294178659404</v>
      </c>
      <c r="W23" s="180">
        <f>GETPIVOTDATA("Sum of White",EthnicityPivot!$A$3,"FisYr",A23,"Type","Total (ex Vol)")</f>
        <v>53.749143248800543</v>
      </c>
      <c r="X23" s="180">
        <f>GETPIVOTDATA("Sum of Ethnic Minority",EthnicityPivot!$A$3,"FisYr",A23,"Type","Total (ex Vol)")</f>
        <v>1.233721727210418</v>
      </c>
      <c r="Y23" s="493">
        <f>GETPIVOTDATA("Sum of Not Stated",EthnicityPivot!$A$3,"FisYr",A23,"Type","Total (ex Vol)")</f>
        <v>45.017135023989034</v>
      </c>
    </row>
    <row r="24" spans="1:25" ht="15" customHeight="1" x14ac:dyDescent="0.25">
      <c r="A24" s="679" t="s">
        <v>328</v>
      </c>
      <c r="B24" s="640">
        <f>GETPIVOTDATA("Sum of White",EthnicityPivot!$A$3,"FisYr",A24,"Type","WT")</f>
        <v>51.611030478955009</v>
      </c>
      <c r="C24" s="640">
        <f>GETPIVOTDATA("Sum of Ethnic Minority",EthnicityPivot!$A$3,"FisYr",A24,"Type","WT")</f>
        <v>1.2481857764876634</v>
      </c>
      <c r="D24" s="641">
        <f>GETPIVOTDATA("Sum of Not Stated",EthnicityPivot!$A$3,"FisYr",A24,"Type","WT")</f>
        <v>47.140783744557332</v>
      </c>
      <c r="E24" s="820">
        <f>GETPIVOTDATA("Sum of White",EthnicityPivot!$A$3,"FisYr",A24,"Type","RDS")</f>
        <v>47.877445551864156</v>
      </c>
      <c r="F24" s="820">
        <f>GETPIVOTDATA("Sum of Ethnic Minority",EthnicityPivot!$A$3,"FisYr",A24,"Type","RDS")</f>
        <v>0.73827980804724991</v>
      </c>
      <c r="G24" s="489">
        <f>GETPIVOTDATA("Sum of Not Stated",EthnicityPivot!$A$3,"FisYr",A24,"Type","RDS")</f>
        <v>51.384274640088591</v>
      </c>
      <c r="H24" s="820">
        <f>GETPIVOTDATA("Sum of White",EthnicityPivot!$A$3,"FisYr",A24,"Type","RDS Fulltime")</f>
        <v>85.245901639344254</v>
      </c>
      <c r="I24" s="820">
        <f>GETPIVOTDATA("Sum of Ethnic Minority",EthnicityPivot!$A$3,"FisYr",A24,"Type","RDS Fulltime")</f>
        <v>1.639344262295082</v>
      </c>
      <c r="J24" s="489">
        <f>GETPIVOTDATA("Sum of Not Stated",EthnicityPivot!$A$3,"FisYr",A24,"Type","RDS Fulltime")</f>
        <v>13.114754098360656</v>
      </c>
      <c r="K24" s="177">
        <f>GETPIVOTDATA("Sum of White",EthnicityPivot!$A$3,"FisYr",A24,"Type","Control")</f>
        <v>47.97687861271676</v>
      </c>
      <c r="L24" s="177">
        <f>GETPIVOTDATA("Sum of Ethnic Minority",EthnicityPivot!$A$3,"FisYr",A24,"Type","Control")</f>
        <v>2.3121387283236992</v>
      </c>
      <c r="M24" s="491">
        <f>GETPIVOTDATA("Sum of Not Stated",EthnicityPivot!$A$3,"FisYr",A24,"Type","Control")</f>
        <v>49.710982658959537</v>
      </c>
      <c r="N24" s="177">
        <f>GETPIVOTDATA("Sum of White",EthnicityPivot!$A$3,"FisYr",A24,"Type","Support")</f>
        <v>56.342494714587744</v>
      </c>
      <c r="O24" s="177">
        <f>GETPIVOTDATA("Sum of Ethnic Minority",EthnicityPivot!$A$3,"FisYr",A24,"Type","Support")</f>
        <v>2.2198731501057085</v>
      </c>
      <c r="P24" s="491">
        <f>GETPIVOTDATA("Sum of Not Stated",EthnicityPivot!$A$3,"FisYr",A24,"Type","Support")</f>
        <v>41.437632135306551</v>
      </c>
      <c r="Q24" s="177">
        <f>GETPIVOTDATA("Sum of White",EthnicityPivot!$A$3,"FisYr",A24,"Type","Vol")</f>
        <v>34.065934065934066</v>
      </c>
      <c r="R24" s="177">
        <f>GETPIVOTDATA("Sum of Ethnic Minority",EthnicityPivot!$A$3,"FisYr",A24,"Type","Vol")</f>
        <v>0.36630036630036628</v>
      </c>
      <c r="S24" s="491">
        <f>GETPIVOTDATA("Sum of Not Stated",EthnicityPivot!$A$3,"FisYr",A24,"Type","Vol")</f>
        <v>65.567765567765562</v>
      </c>
      <c r="T24" s="179">
        <f>GETPIVOTDATA("Sum of White",EthnicityPivot!$A$3,"FisYr",A24,"Type","Total")</f>
        <v>50.148253190666495</v>
      </c>
      <c r="U24" s="179">
        <f>GETPIVOTDATA("Sum of Ethnic Minority",EthnicityPivot!$A$3,"FisYr",A24,"Type","Total")</f>
        <v>1.1731339435348718</v>
      </c>
      <c r="V24" s="680">
        <f>GETPIVOTDATA("Sum of Not Stated",EthnicityPivot!$A$3,"FisYr",A24,"Type","Total")</f>
        <v>48.678612865798634</v>
      </c>
      <c r="W24" s="180">
        <f>GETPIVOTDATA("Sum of White",EthnicityPivot!$A$3,"FisYr",A24,"Type","Total (ex Vol)")</f>
        <v>51.036269430051817</v>
      </c>
      <c r="X24" s="180">
        <f>GETPIVOTDATA("Sum of Ethnic Minority",EthnicityPivot!$A$3,"FisYr",A24,"Type","Total (ex Vol)")</f>
        <v>1.2135260430869921</v>
      </c>
      <c r="Y24" s="493">
        <f>GETPIVOTDATA("Sum of Not Stated",EthnicityPivot!$A$3,"FisYr",A24,"Type","Total (ex Vol)")</f>
        <v>47.750204526861197</v>
      </c>
    </row>
    <row r="25" spans="1:25" ht="15" customHeight="1" x14ac:dyDescent="0.25">
      <c r="A25" s="832" t="s">
        <v>412</v>
      </c>
      <c r="B25" s="981">
        <f>GETPIVOTDATA("Sum of White",EthnicityPivot!$A$3,"FisYr",A25,"Type","WT")</f>
        <v>49.927262147221413</v>
      </c>
      <c r="C25" s="833">
        <f>GETPIVOTDATA("Sum of Ethnic Minority",EthnicityPivot!$A$3,"FisYr",A25,"Type","WT")</f>
        <v>1.3383764911259821</v>
      </c>
      <c r="D25" s="834">
        <f>GETPIVOTDATA("Sum of Not Stated",EthnicityPivot!$A$3,"FisYr",A25,"Type","WT")</f>
        <v>48.734361361652603</v>
      </c>
      <c r="E25" s="835">
        <f>GETPIVOTDATA("Sum of White",EthnicityPivot!$A$3,"FisYr",A25,"Type","RDS")</f>
        <v>44.832605531295485</v>
      </c>
      <c r="F25" s="835">
        <f>GETPIVOTDATA("Sum of Ethnic Minority",EthnicityPivot!$A$3,"FisYr",A25,"Type","RDS")</f>
        <v>0.9097525473071324</v>
      </c>
      <c r="G25" s="836">
        <f>GETPIVOTDATA("Sum of Not Stated",EthnicityPivot!$A$3,"FisYr",A25,"Type","RDS")</f>
        <v>54.257641921397379</v>
      </c>
      <c r="H25" s="1024">
        <f>GETPIVOTDATA("Sum of White",EthnicityPivot!$A$3,"FisYr",A25,"Type","RDS Fulltime")</f>
        <v>83.333333333333343</v>
      </c>
      <c r="I25" s="1024">
        <f>GETPIVOTDATA("Sum of Ethnic Minority",EthnicityPivot!$A$3,"FisYr",A25,"Type","RDS Fulltime")</f>
        <v>1.6666666666666667</v>
      </c>
      <c r="J25" s="1025">
        <f>GETPIVOTDATA("Sum of Not Stated",EthnicityPivot!$A$3,"FisYr",A25,"Type","RDS Fulltime")</f>
        <v>15</v>
      </c>
      <c r="K25" s="497">
        <f>GETPIVOTDATA("Sum of White",EthnicityPivot!$A$3,"FisYr",A25,"Type","Control")</f>
        <v>44.134078212290504</v>
      </c>
      <c r="L25" s="497">
        <f>GETPIVOTDATA("Sum of Ethnic Minority",EthnicityPivot!$A$3,"FisYr",A25,"Type","Control")</f>
        <v>2.7932960893854748</v>
      </c>
      <c r="M25" s="837">
        <f>GETPIVOTDATA("Sum of Not Stated",EthnicityPivot!$A$3,"FisYr",A25,"Type","Control")</f>
        <v>53.072625698324025</v>
      </c>
      <c r="N25" s="497">
        <f>GETPIVOTDATA("Sum of White",EthnicityPivot!$A$3,"FisYr",A25,"Type","Support")</f>
        <v>55.496828752642699</v>
      </c>
      <c r="O25" s="497">
        <f>GETPIVOTDATA("Sum of Ethnic Minority",EthnicityPivot!$A$3,"FisYr",A25,"Type","Support")</f>
        <v>2.4312896405919662</v>
      </c>
      <c r="P25" s="837">
        <f>GETPIVOTDATA("Sum of Not Stated",EthnicityPivot!$A$3,"FisYr",A25,"Type","Support")</f>
        <v>42.071881606765324</v>
      </c>
      <c r="Q25" s="497">
        <f>GETPIVOTDATA("Sum of White",EthnicityPivot!$A$3,"FisYr",A25,"Type","Vol")</f>
        <v>34.126984126984127</v>
      </c>
      <c r="R25" s="497">
        <f>GETPIVOTDATA("Sum of Ethnic Minority",EthnicityPivot!$A$3,"FisYr",A25,"Type","Vol")</f>
        <v>0.3968253968253968</v>
      </c>
      <c r="S25" s="837">
        <f>GETPIVOTDATA("Sum of Not Stated",EthnicityPivot!$A$3,"FisYr",A25,"Type","Vol")</f>
        <v>65.476190476190482</v>
      </c>
      <c r="T25" s="838">
        <f>GETPIVOTDATA("Sum of White",EthnicityPivot!$A$3,"FisYr",A25,"Type","Total")</f>
        <v>47.997946611909654</v>
      </c>
      <c r="U25" s="838">
        <f>GETPIVOTDATA("Sum of Ethnic Minority",EthnicityPivot!$A$3,"FisYr",A25,"Type","Total")</f>
        <v>1.3218685831622177</v>
      </c>
      <c r="V25" s="839">
        <f>GETPIVOTDATA("Sum of Not Stated",EthnicityPivot!$A$3,"FisYr",A25,"Type","Total")</f>
        <v>50.680184804928132</v>
      </c>
      <c r="W25" s="840">
        <f>GETPIVOTDATA("Sum of White",EthnicityPivot!$A$3,"FisYr",A25,"Type","Total (ex Vol)")</f>
        <v>48.873812754409769</v>
      </c>
      <c r="X25" s="840">
        <f>GETPIVOTDATA("Sum of Ethnic Minority",EthnicityPivot!$A$3,"FisYr",A25,"Type","Total (ex Vol)")</f>
        <v>1.3568521031207599</v>
      </c>
      <c r="Y25" s="841">
        <f>GETPIVOTDATA("Sum of Not Stated",EthnicityPivot!$A$3,"FisYr",A25,"Type","Total (ex Vol)")</f>
        <v>49.769335142469473</v>
      </c>
    </row>
    <row r="26" spans="1:25" ht="15" customHeight="1" x14ac:dyDescent="0.25">
      <c r="A26" s="131"/>
      <c r="B26" s="640"/>
      <c r="C26" s="640"/>
      <c r="D26" s="640"/>
      <c r="E26" s="820"/>
      <c r="F26" s="820"/>
      <c r="G26" s="820"/>
      <c r="H26" s="820"/>
      <c r="I26" s="820"/>
      <c r="J26" s="820"/>
      <c r="K26" s="177"/>
      <c r="L26" s="177"/>
      <c r="M26" s="177"/>
      <c r="N26" s="177"/>
      <c r="O26" s="177"/>
      <c r="P26" s="177"/>
      <c r="Q26" s="177"/>
      <c r="R26" s="177"/>
      <c r="S26" s="177"/>
      <c r="T26" s="179"/>
      <c r="U26" s="179"/>
      <c r="V26" s="179"/>
      <c r="W26" s="180"/>
      <c r="X26" s="180"/>
      <c r="Y26" s="180"/>
    </row>
    <row r="27" spans="1:25" ht="14.4" x14ac:dyDescent="0.3">
      <c r="A27" s="334" t="s">
        <v>329</v>
      </c>
      <c r="B27" s="25"/>
      <c r="C27" s="181"/>
      <c r="D27" s="181"/>
      <c r="E27" s="181"/>
      <c r="F27" s="181"/>
      <c r="G27" s="25"/>
      <c r="H27" s="25"/>
      <c r="I27" s="25"/>
      <c r="J27" s="25"/>
      <c r="K27" s="25"/>
      <c r="L27" s="25"/>
      <c r="M27" s="25"/>
      <c r="N27" s="25"/>
      <c r="O27" s="25"/>
      <c r="P27" s="25"/>
      <c r="Q27" s="25"/>
      <c r="R27" s="25"/>
      <c r="S27" s="25"/>
      <c r="T27" s="25"/>
      <c r="U27" s="25"/>
      <c r="V27" s="25"/>
      <c r="W27" s="25"/>
      <c r="X27" s="25"/>
      <c r="Y27" s="25"/>
    </row>
    <row r="28" spans="1:25" ht="14.4" x14ac:dyDescent="0.3">
      <c r="A28" s="339" t="s">
        <v>819</v>
      </c>
      <c r="B28" s="25"/>
      <c r="C28" s="25"/>
      <c r="D28" s="25"/>
      <c r="E28" s="25"/>
      <c r="F28" s="25"/>
      <c r="G28" s="25"/>
      <c r="H28" s="25"/>
      <c r="I28" s="25"/>
      <c r="J28" s="25"/>
      <c r="K28" s="25"/>
      <c r="L28" s="25"/>
      <c r="M28" s="25"/>
      <c r="N28" s="25"/>
      <c r="O28" s="25"/>
      <c r="P28" s="25"/>
      <c r="Q28" s="25"/>
      <c r="R28" s="25"/>
      <c r="S28" s="25"/>
      <c r="T28" s="25"/>
      <c r="U28" s="25"/>
      <c r="W28" s="25"/>
      <c r="X28" s="25"/>
      <c r="Y28" s="25"/>
    </row>
    <row r="29" spans="1:25" ht="14.4" x14ac:dyDescent="0.3">
      <c r="A29" s="339" t="s">
        <v>820</v>
      </c>
      <c r="B29" s="25"/>
      <c r="C29" s="25"/>
      <c r="D29" s="25"/>
      <c r="E29" s="25"/>
      <c r="F29" s="25"/>
      <c r="G29" s="25"/>
      <c r="H29" s="25"/>
      <c r="I29" s="25"/>
      <c r="J29" s="25"/>
      <c r="K29" s="25"/>
      <c r="L29" s="25"/>
      <c r="M29" s="25"/>
      <c r="N29" s="25"/>
      <c r="O29" s="25"/>
      <c r="P29" s="25"/>
      <c r="Q29" s="25"/>
      <c r="R29" s="25"/>
      <c r="S29" s="25"/>
      <c r="T29" s="25"/>
      <c r="U29" s="25"/>
      <c r="V29" s="25"/>
      <c r="W29" s="25"/>
      <c r="X29" s="25"/>
      <c r="Y29" s="25"/>
    </row>
    <row r="30" spans="1:25" ht="30" customHeight="1" x14ac:dyDescent="0.3">
      <c r="A30" s="1066" t="s">
        <v>821</v>
      </c>
      <c r="B30" s="1066"/>
      <c r="C30" s="1066"/>
      <c r="D30" s="1066"/>
      <c r="E30" s="1066"/>
      <c r="F30" s="1066"/>
      <c r="G30" s="1066"/>
      <c r="H30" s="1066"/>
      <c r="I30" s="1066"/>
      <c r="J30" s="1066"/>
      <c r="K30" s="1066"/>
      <c r="L30" s="1066"/>
      <c r="M30" s="1066"/>
      <c r="N30" s="1066"/>
      <c r="O30" s="1066"/>
      <c r="P30" s="1066"/>
      <c r="Q30" s="1066"/>
      <c r="R30" s="1066"/>
      <c r="S30" s="1066"/>
      <c r="T30" s="1066"/>
      <c r="U30" s="1066"/>
      <c r="V30" s="1066"/>
      <c r="W30" s="1066"/>
      <c r="X30" s="1066"/>
      <c r="Y30" s="1066"/>
    </row>
  </sheetData>
  <sheetProtection algorithmName="SHA-512" hashValue="bSiOls2/Fd6T5ifrCAiQscPgWs4cqcLapIyYmpjazTv2GPQgO71BD2S4RWVII8p4wF8JjDqolDU0oubTudl3kw==" saltValue="WtZU2JMU6d5yDnfRqk8+Dw==" spinCount="100000" sheet="1" scenarios="1" formatCells="0" sort="0" autoFilter="0" pivotTables="0"/>
  <mergeCells count="11">
    <mergeCell ref="A1:C1"/>
    <mergeCell ref="A30:Y30"/>
    <mergeCell ref="A4:Y4"/>
    <mergeCell ref="B9:D9"/>
    <mergeCell ref="E9:G9"/>
    <mergeCell ref="K9:M9"/>
    <mergeCell ref="N9:P9"/>
    <mergeCell ref="Q9:S9"/>
    <mergeCell ref="T9:V9"/>
    <mergeCell ref="W9:Y9"/>
    <mergeCell ref="H9:J9"/>
  </mergeCells>
  <phoneticPr fontId="53" type="noConversion"/>
  <hyperlinks>
    <hyperlink ref="A2" location="'Table of Contents'!A1" display="Back to Table of Contents" xr:uid="{00000000-0004-0000-6900-000000000000}"/>
  </hyperlinks>
  <pageMargins left="0.70866141732283472" right="0.70866141732283472" top="0.74803149606299213" bottom="0.74803149606299213" header="0.31496062992125984" footer="0.31496062992125984"/>
  <pageSetup paperSize="9" scale="72" orientation="landscape" r:id="rId1"/>
</worksheet>
</file>

<file path=xl/worksheets/sheet9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C77A8D-1AC3-47D3-8C70-EC5DF04E4BB4}">
  <sheetPr>
    <tabColor theme="9" tint="0.39997558519241921"/>
  </sheetPr>
  <dimension ref="A1:I40"/>
  <sheetViews>
    <sheetView topLeftCell="A7" workbookViewId="0">
      <selection activeCell="D33" sqref="D33"/>
    </sheetView>
  </sheetViews>
  <sheetFormatPr defaultRowHeight="14.4" x14ac:dyDescent="0.3"/>
  <cols>
    <col min="1" max="1" width="12.77734375" bestFit="1" customWidth="1"/>
    <col min="2" max="2" width="28.44140625" bestFit="1" customWidth="1"/>
    <col min="3" max="3" width="26.77734375" bestFit="1" customWidth="1"/>
    <col min="4" max="4" width="23.21875" bestFit="1" customWidth="1"/>
    <col min="5" max="5" width="13.88671875" bestFit="1" customWidth="1"/>
    <col min="6" max="6" width="14.33203125" bestFit="1" customWidth="1"/>
    <col min="7" max="7" width="16.21875" bestFit="1" customWidth="1"/>
    <col min="8" max="8" width="12" bestFit="1" customWidth="1"/>
    <col min="9" max="9" width="31.109375" bestFit="1" customWidth="1"/>
  </cols>
  <sheetData>
    <row r="1" spans="1:9" x14ac:dyDescent="0.3">
      <c r="A1" s="386" t="s">
        <v>350</v>
      </c>
      <c r="B1" t="s">
        <v>604</v>
      </c>
      <c r="C1" t="s">
        <v>506</v>
      </c>
      <c r="D1" t="s">
        <v>822</v>
      </c>
      <c r="E1" t="s">
        <v>508</v>
      </c>
      <c r="F1" t="s">
        <v>509</v>
      </c>
      <c r="G1" t="s">
        <v>355</v>
      </c>
      <c r="H1" t="s">
        <v>356</v>
      </c>
      <c r="I1" t="s">
        <v>823</v>
      </c>
    </row>
    <row r="2" spans="1:9" x14ac:dyDescent="0.3">
      <c r="A2" s="387" t="s">
        <v>362</v>
      </c>
      <c r="B2">
        <v>0.4</v>
      </c>
      <c r="C2">
        <v>0.3</v>
      </c>
      <c r="E2">
        <v>2.1</v>
      </c>
      <c r="F2">
        <v>1.4</v>
      </c>
      <c r="G2">
        <v>0.4</v>
      </c>
      <c r="H2">
        <v>0.6</v>
      </c>
      <c r="I2">
        <v>0.6</v>
      </c>
    </row>
    <row r="3" spans="1:9" x14ac:dyDescent="0.3">
      <c r="A3" s="387" t="s">
        <v>363</v>
      </c>
      <c r="B3">
        <v>0.5</v>
      </c>
      <c r="C3">
        <v>0.3</v>
      </c>
      <c r="E3">
        <v>2.1</v>
      </c>
      <c r="F3">
        <v>1.5</v>
      </c>
      <c r="G3">
        <v>0.5</v>
      </c>
      <c r="H3">
        <v>0.6</v>
      </c>
      <c r="I3">
        <v>0.6</v>
      </c>
    </row>
    <row r="4" spans="1:9" x14ac:dyDescent="0.3">
      <c r="A4" s="387" t="s">
        <v>364</v>
      </c>
      <c r="B4">
        <v>0.2</v>
      </c>
      <c r="C4">
        <v>0.2</v>
      </c>
      <c r="E4">
        <v>1.8</v>
      </c>
      <c r="F4">
        <v>0.7</v>
      </c>
      <c r="H4">
        <v>0.3</v>
      </c>
      <c r="I4">
        <v>0.3</v>
      </c>
    </row>
    <row r="5" spans="1:9" x14ac:dyDescent="0.3">
      <c r="A5" s="387" t="s">
        <v>365</v>
      </c>
      <c r="B5">
        <v>0.2</v>
      </c>
      <c r="C5">
        <v>0.2</v>
      </c>
      <c r="E5">
        <v>2.2000000000000002</v>
      </c>
      <c r="F5">
        <v>0.8</v>
      </c>
      <c r="H5">
        <v>0.3</v>
      </c>
      <c r="I5">
        <v>0.3</v>
      </c>
    </row>
    <row r="6" spans="1:9" x14ac:dyDescent="0.3">
      <c r="A6" s="387" t="s">
        <v>366</v>
      </c>
      <c r="B6">
        <v>0</v>
      </c>
      <c r="C6">
        <v>0.1</v>
      </c>
      <c r="E6">
        <v>0</v>
      </c>
      <c r="F6">
        <v>0.5</v>
      </c>
      <c r="G6">
        <v>0.3</v>
      </c>
      <c r="H6">
        <v>0.1</v>
      </c>
      <c r="I6">
        <v>0.1</v>
      </c>
    </row>
    <row r="7" spans="1:9" x14ac:dyDescent="0.3">
      <c r="A7" s="387" t="s">
        <v>341</v>
      </c>
      <c r="B7">
        <v>0</v>
      </c>
      <c r="C7">
        <v>0.1</v>
      </c>
      <c r="E7">
        <v>0</v>
      </c>
      <c r="F7">
        <v>0.4</v>
      </c>
      <c r="G7">
        <v>0.3</v>
      </c>
      <c r="H7">
        <v>0.1</v>
      </c>
      <c r="I7">
        <v>0.1</v>
      </c>
    </row>
    <row r="8" spans="1:9" x14ac:dyDescent="0.3">
      <c r="A8" s="387" t="s">
        <v>342</v>
      </c>
      <c r="B8">
        <v>0.3</v>
      </c>
      <c r="C8">
        <v>0.3</v>
      </c>
      <c r="E8">
        <v>0</v>
      </c>
      <c r="F8">
        <v>1.2</v>
      </c>
      <c r="G8">
        <v>0.3</v>
      </c>
      <c r="H8">
        <v>0.4</v>
      </c>
      <c r="I8">
        <v>0.4</v>
      </c>
    </row>
    <row r="9" spans="1:9" x14ac:dyDescent="0.3">
      <c r="A9" s="387" t="s">
        <v>213</v>
      </c>
      <c r="B9">
        <v>0.68737970855100361</v>
      </c>
      <c r="C9">
        <v>0.44023027429732475</v>
      </c>
      <c r="D9">
        <v>0</v>
      </c>
      <c r="E9">
        <v>0.48309178743961351</v>
      </c>
      <c r="F9">
        <v>2.1464646464646462</v>
      </c>
      <c r="G9">
        <v>0.31545741324921134</v>
      </c>
      <c r="H9">
        <v>0.7209714141158613</v>
      </c>
      <c r="I9">
        <v>0.73791013308736331</v>
      </c>
    </row>
    <row r="10" spans="1:9" x14ac:dyDescent="0.3">
      <c r="A10" s="387" t="s">
        <v>312</v>
      </c>
      <c r="B10">
        <v>0.74257425742574257</v>
      </c>
      <c r="C10">
        <v>0.40858018386108275</v>
      </c>
      <c r="D10">
        <v>0</v>
      </c>
      <c r="E10">
        <v>0.53191489361702127</v>
      </c>
      <c r="F10">
        <v>2.3227383863080684</v>
      </c>
      <c r="G10">
        <v>0.31746031746031744</v>
      </c>
      <c r="H10">
        <v>0.75662042875157631</v>
      </c>
      <c r="I10">
        <v>0.77478660538411037</v>
      </c>
    </row>
    <row r="11" spans="1:9" x14ac:dyDescent="0.3">
      <c r="A11" s="387" t="s">
        <v>318</v>
      </c>
      <c r="B11">
        <v>0.78125</v>
      </c>
      <c r="C11">
        <v>0.45264623955431754</v>
      </c>
      <c r="D11">
        <v>0</v>
      </c>
      <c r="E11">
        <v>1.098901098901099</v>
      </c>
      <c r="F11">
        <v>3.1100478468899522</v>
      </c>
      <c r="G11">
        <v>0.33003300330033003</v>
      </c>
      <c r="H11">
        <v>0.89388328438258202</v>
      </c>
      <c r="I11">
        <v>0.91657810839532416</v>
      </c>
    </row>
    <row r="12" spans="1:9" x14ac:dyDescent="0.3">
      <c r="A12" s="387" t="s">
        <v>320</v>
      </c>
      <c r="B12">
        <v>0.76120665351000849</v>
      </c>
      <c r="C12">
        <v>0.43462513582035489</v>
      </c>
      <c r="D12">
        <v>0</v>
      </c>
      <c r="E12">
        <v>0.56497175141242939</v>
      </c>
      <c r="F12">
        <v>2.7600849256900215</v>
      </c>
      <c r="G12">
        <v>0.36101083032490977</v>
      </c>
      <c r="H12">
        <v>0.85491897409723094</v>
      </c>
      <c r="I12">
        <v>0.88235294117647056</v>
      </c>
    </row>
    <row r="13" spans="1:9" x14ac:dyDescent="0.3">
      <c r="A13" s="387" t="s">
        <v>325</v>
      </c>
      <c r="B13">
        <v>0.96728307254623047</v>
      </c>
      <c r="C13">
        <v>0.40204678362573099</v>
      </c>
      <c r="D13">
        <v>0</v>
      </c>
      <c r="E13">
        <v>1.1494252873563218</v>
      </c>
      <c r="F13">
        <v>2.5917926565874732</v>
      </c>
      <c r="G13">
        <v>0.37593984962406013</v>
      </c>
      <c r="H13">
        <v>0.92366901860166761</v>
      </c>
      <c r="I13">
        <v>0.95881161377447677</v>
      </c>
    </row>
    <row r="14" spans="1:9" x14ac:dyDescent="0.3">
      <c r="A14" s="387" t="s">
        <v>326</v>
      </c>
      <c r="B14">
        <v>0.92969203951191159</v>
      </c>
      <c r="C14">
        <v>0.33136966126656847</v>
      </c>
      <c r="D14">
        <v>0</v>
      </c>
      <c r="E14">
        <v>1.1560693641618496</v>
      </c>
      <c r="F14">
        <v>2.7472527472527473</v>
      </c>
      <c r="G14">
        <v>0.37037037037037041</v>
      </c>
      <c r="H14">
        <v>0.89459354336833918</v>
      </c>
      <c r="I14">
        <v>0.93214530500342707</v>
      </c>
    </row>
    <row r="15" spans="1:9" x14ac:dyDescent="0.3">
      <c r="A15" s="387" t="s">
        <v>328</v>
      </c>
      <c r="B15">
        <v>0.98693759071117571</v>
      </c>
      <c r="C15">
        <v>0.33222591362126247</v>
      </c>
      <c r="D15">
        <v>0</v>
      </c>
      <c r="E15">
        <v>1.1560693641618496</v>
      </c>
      <c r="F15">
        <v>2.7484143763213531</v>
      </c>
      <c r="G15">
        <v>0.36630036630036628</v>
      </c>
      <c r="H15">
        <v>0.92819388939022818</v>
      </c>
      <c r="I15">
        <v>0.96809380965366776</v>
      </c>
    </row>
    <row r="16" spans="1:9" x14ac:dyDescent="0.3">
      <c r="A16" s="387" t="s">
        <v>412</v>
      </c>
      <c r="B16">
        <v>1.0765202211230724</v>
      </c>
      <c r="C16">
        <v>0.32751091703056767</v>
      </c>
      <c r="D16">
        <v>0</v>
      </c>
      <c r="E16">
        <v>1.6759776536312849</v>
      </c>
      <c r="F16">
        <v>2.6427061310782243</v>
      </c>
      <c r="H16">
        <v>0.9496919917864477</v>
      </c>
      <c r="I16">
        <v>1.0040705563093621</v>
      </c>
    </row>
    <row r="17" spans="1:9" x14ac:dyDescent="0.3">
      <c r="A17" s="387" t="s">
        <v>357</v>
      </c>
      <c r="B17">
        <v>8.5328435433791441</v>
      </c>
      <c r="C17">
        <v>4.629235109077209</v>
      </c>
      <c r="D17">
        <v>0</v>
      </c>
      <c r="E17">
        <v>16.016421200681467</v>
      </c>
      <c r="F17">
        <v>27.569501716592487</v>
      </c>
      <c r="G17">
        <v>4.2365721506295655</v>
      </c>
      <c r="H17">
        <v>9.3225425444939329</v>
      </c>
      <c r="I17">
        <v>9.5747490727842006</v>
      </c>
    </row>
    <row r="27" spans="1:9" x14ac:dyDescent="0.3">
      <c r="A27" s="386" t="s">
        <v>350</v>
      </c>
      <c r="B27" t="s">
        <v>604</v>
      </c>
      <c r="C27" t="s">
        <v>506</v>
      </c>
      <c r="D27" t="s">
        <v>822</v>
      </c>
      <c r="E27" t="s">
        <v>508</v>
      </c>
      <c r="F27" t="s">
        <v>509</v>
      </c>
      <c r="G27" t="s">
        <v>355</v>
      </c>
      <c r="H27" t="s">
        <v>356</v>
      </c>
      <c r="I27" t="s">
        <v>823</v>
      </c>
    </row>
    <row r="28" spans="1:9" x14ac:dyDescent="0.3">
      <c r="A28" s="387" t="s">
        <v>365</v>
      </c>
      <c r="B28">
        <v>80.8</v>
      </c>
      <c r="C28">
        <v>96.9</v>
      </c>
      <c r="E28">
        <v>60.4</v>
      </c>
      <c r="F28">
        <v>77.900000000000006</v>
      </c>
      <c r="G28">
        <v>47.4</v>
      </c>
      <c r="H28">
        <v>84.1</v>
      </c>
      <c r="I28">
        <v>85.9</v>
      </c>
    </row>
    <row r="29" spans="1:9" x14ac:dyDescent="0.3">
      <c r="A29" s="387" t="s">
        <v>366</v>
      </c>
      <c r="B29">
        <v>100</v>
      </c>
      <c r="C29">
        <v>98</v>
      </c>
      <c r="E29">
        <v>100</v>
      </c>
      <c r="F29">
        <v>95</v>
      </c>
      <c r="G29">
        <v>94</v>
      </c>
      <c r="H29">
        <v>99</v>
      </c>
      <c r="I29">
        <v>99</v>
      </c>
    </row>
    <row r="30" spans="1:9" x14ac:dyDescent="0.3">
      <c r="A30" s="387" t="s">
        <v>341</v>
      </c>
      <c r="B30">
        <v>99.5</v>
      </c>
      <c r="C30">
        <v>95.2</v>
      </c>
      <c r="E30">
        <v>99.4</v>
      </c>
      <c r="F30">
        <v>90.9</v>
      </c>
      <c r="G30">
        <v>96.2</v>
      </c>
      <c r="H30">
        <v>96.8</v>
      </c>
      <c r="I30">
        <v>96.9</v>
      </c>
    </row>
    <row r="31" spans="1:9" x14ac:dyDescent="0.3">
      <c r="A31" s="387" t="s">
        <v>342</v>
      </c>
      <c r="B31">
        <v>91.4</v>
      </c>
      <c r="C31">
        <v>80.599999999999994</v>
      </c>
      <c r="E31">
        <v>87.3</v>
      </c>
      <c r="F31">
        <v>75.099999999999994</v>
      </c>
      <c r="G31">
        <v>96.4</v>
      </c>
      <c r="H31">
        <v>85.8</v>
      </c>
      <c r="I31">
        <v>85.3</v>
      </c>
    </row>
    <row r="32" spans="1:9" x14ac:dyDescent="0.3">
      <c r="A32" s="387" t="s">
        <v>213</v>
      </c>
      <c r="B32">
        <v>78.828704976629098</v>
      </c>
      <c r="C32">
        <v>73.789366745682358</v>
      </c>
      <c r="E32">
        <v>78.260869565217391</v>
      </c>
      <c r="F32">
        <v>60.101010101010097</v>
      </c>
      <c r="G32">
        <v>95.899053627760253</v>
      </c>
      <c r="H32">
        <v>75.739944346066281</v>
      </c>
      <c r="I32">
        <v>74.89787850836737</v>
      </c>
    </row>
    <row r="33" spans="1:9" x14ac:dyDescent="0.3">
      <c r="A33" s="387" t="s">
        <v>312</v>
      </c>
      <c r="B33">
        <v>75.880088008800882</v>
      </c>
      <c r="C33">
        <v>74.08920667347634</v>
      </c>
      <c r="D33">
        <v>55.555555555555557</v>
      </c>
      <c r="E33">
        <v>78.723404255319153</v>
      </c>
      <c r="F33">
        <v>59.29095354523227</v>
      </c>
      <c r="G33">
        <v>94.92063492063491</v>
      </c>
      <c r="H33">
        <v>74.237074401008826</v>
      </c>
      <c r="I33">
        <v>73.381483913328964</v>
      </c>
    </row>
    <row r="34" spans="1:9" x14ac:dyDescent="0.3">
      <c r="A34" s="387" t="s">
        <v>318</v>
      </c>
      <c r="B34">
        <v>74.469866071428569</v>
      </c>
      <c r="C34">
        <v>73.850974930362113</v>
      </c>
      <c r="D34">
        <v>59.259259259259252</v>
      </c>
      <c r="E34">
        <v>71.428571428571431</v>
      </c>
      <c r="F34">
        <v>57.41626794258373</v>
      </c>
      <c r="G34">
        <v>94.38943894389439</v>
      </c>
      <c r="H34">
        <v>73.017494572851476</v>
      </c>
      <c r="I34">
        <v>72.157279489904354</v>
      </c>
    </row>
    <row r="35" spans="1:9" x14ac:dyDescent="0.3">
      <c r="A35" s="387" t="s">
        <v>320</v>
      </c>
      <c r="B35">
        <v>72.963067380885263</v>
      </c>
      <c r="C35">
        <v>74.139804418688882</v>
      </c>
      <c r="D35">
        <v>60.377358490566039</v>
      </c>
      <c r="E35">
        <v>67.2316384180791</v>
      </c>
      <c r="F35">
        <v>59.023354564755834</v>
      </c>
      <c r="G35">
        <v>93.501805054151617</v>
      </c>
      <c r="H35">
        <v>71.468674237590918</v>
      </c>
      <c r="I35">
        <v>71.417112299465231</v>
      </c>
    </row>
    <row r="36" spans="1:9" x14ac:dyDescent="0.3">
      <c r="A36" s="387" t="s">
        <v>325</v>
      </c>
      <c r="B36">
        <v>70.981507823613086</v>
      </c>
      <c r="C36">
        <v>74.232456140350877</v>
      </c>
      <c r="D36">
        <v>62.962962962962962</v>
      </c>
      <c r="E36">
        <v>68.965517241379317</v>
      </c>
      <c r="F36">
        <v>60.151187904967607</v>
      </c>
      <c r="G36">
        <v>93.609022556390968</v>
      </c>
      <c r="H36">
        <v>70.378447722899296</v>
      </c>
      <c r="I36">
        <v>70.722484807562452</v>
      </c>
    </row>
    <row r="37" spans="1:9" x14ac:dyDescent="0.3">
      <c r="A37" s="387" t="s">
        <v>326</v>
      </c>
      <c r="B37">
        <v>70.976176641487513</v>
      </c>
      <c r="C37">
        <v>75.662739322533128</v>
      </c>
      <c r="D37">
        <v>64.81481481481481</v>
      </c>
      <c r="E37">
        <v>70.520231213872833</v>
      </c>
      <c r="F37">
        <v>61.208791208791212</v>
      </c>
      <c r="G37">
        <v>93.333333333333329</v>
      </c>
      <c r="H37">
        <v>70.841436535718913</v>
      </c>
      <c r="I37">
        <v>71.446196024674435</v>
      </c>
    </row>
    <row r="38" spans="1:9" x14ac:dyDescent="0.3">
      <c r="A38" s="387" t="s">
        <v>328</v>
      </c>
      <c r="B38">
        <v>71.756168359941938</v>
      </c>
      <c r="C38">
        <v>76.559616094499816</v>
      </c>
      <c r="D38">
        <v>67.213114754098356</v>
      </c>
      <c r="E38">
        <v>70.520231213872833</v>
      </c>
      <c r="F38">
        <v>61.627906976744185</v>
      </c>
      <c r="G38">
        <v>93.040293040293037</v>
      </c>
      <c r="H38">
        <v>71.496712646641754</v>
      </c>
      <c r="I38">
        <v>72.157076629397338</v>
      </c>
    </row>
    <row r="39" spans="1:9" x14ac:dyDescent="0.3">
      <c r="A39" s="387" t="s">
        <v>412</v>
      </c>
      <c r="B39">
        <v>71.632237416351472</v>
      </c>
      <c r="C39">
        <v>77.001455604075687</v>
      </c>
      <c r="D39">
        <v>68.333333333333329</v>
      </c>
      <c r="E39">
        <v>70.391061452513966</v>
      </c>
      <c r="F39">
        <v>61.310782241014792</v>
      </c>
      <c r="G39">
        <v>94.047619047619051</v>
      </c>
      <c r="H39">
        <v>71.380903490759749</v>
      </c>
      <c r="I39">
        <v>72.252374491180461</v>
      </c>
    </row>
    <row r="40" spans="1:9" x14ac:dyDescent="0.3">
      <c r="A40" s="387" t="s">
        <v>357</v>
      </c>
      <c r="B40">
        <v>959.18781667913788</v>
      </c>
      <c r="C40">
        <v>970.02561992966912</v>
      </c>
      <c r="D40">
        <v>438.51639917059026</v>
      </c>
      <c r="E40">
        <v>923.14152478882613</v>
      </c>
      <c r="F40">
        <v>819.0302544850997</v>
      </c>
      <c r="G40">
        <v>1086.7412005240776</v>
      </c>
      <c r="H40">
        <v>944.26068795353717</v>
      </c>
      <c r="I40">
        <v>945.5318861638807</v>
      </c>
    </row>
  </sheetData>
  <pageMargins left="0.7" right="0.7" top="0.75" bottom="0.75" header="0.3" footer="0.3"/>
</worksheet>
</file>

<file path=xl/worksheets/sheet9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76DE45-B9F2-4619-8F89-3A0CF377B2D2}">
  <sheetPr>
    <tabColor theme="9" tint="0.39997558519241921"/>
  </sheetPr>
  <dimension ref="A1:I39"/>
  <sheetViews>
    <sheetView topLeftCell="A4" workbookViewId="0">
      <selection activeCell="J21" sqref="J21"/>
    </sheetView>
  </sheetViews>
  <sheetFormatPr defaultRowHeight="14.4" x14ac:dyDescent="0.3"/>
  <cols>
    <col min="1" max="1" width="7.77734375" bestFit="1" customWidth="1"/>
    <col min="2" max="2" width="24.109375" bestFit="1" customWidth="1"/>
    <col min="3" max="3" width="22.33203125" bestFit="1" customWidth="1"/>
    <col min="4" max="4" width="18.77734375" bestFit="1" customWidth="1"/>
    <col min="5" max="8" width="12.109375" bestFit="1" customWidth="1"/>
    <col min="9" max="9" width="26.6640625" bestFit="1" customWidth="1"/>
  </cols>
  <sheetData>
    <row r="1" spans="1:9" x14ac:dyDescent="0.3">
      <c r="A1" t="s">
        <v>208</v>
      </c>
      <c r="B1" t="s">
        <v>517</v>
      </c>
      <c r="C1" t="s">
        <v>361</v>
      </c>
      <c r="D1" t="s">
        <v>824</v>
      </c>
      <c r="E1" t="s">
        <v>513</v>
      </c>
      <c r="F1" t="s">
        <v>514</v>
      </c>
      <c r="G1" t="s">
        <v>339</v>
      </c>
      <c r="H1" t="s">
        <v>340</v>
      </c>
      <c r="I1" t="s">
        <v>825</v>
      </c>
    </row>
    <row r="2" spans="1:9" x14ac:dyDescent="0.3">
      <c r="A2" t="s">
        <v>362</v>
      </c>
      <c r="B2">
        <v>0.4</v>
      </c>
      <c r="C2">
        <v>0.3</v>
      </c>
      <c r="E2">
        <v>2.1</v>
      </c>
      <c r="F2">
        <v>1.4</v>
      </c>
      <c r="G2">
        <v>0.4</v>
      </c>
      <c r="H2">
        <v>0.6</v>
      </c>
      <c r="I2">
        <v>0.6</v>
      </c>
    </row>
    <row r="3" spans="1:9" x14ac:dyDescent="0.3">
      <c r="A3" t="s">
        <v>363</v>
      </c>
      <c r="B3">
        <v>0.5</v>
      </c>
      <c r="C3">
        <v>0.3</v>
      </c>
      <c r="E3">
        <v>2.1</v>
      </c>
      <c r="F3">
        <v>1.5</v>
      </c>
      <c r="G3">
        <v>0.5</v>
      </c>
      <c r="H3">
        <v>0.6</v>
      </c>
      <c r="I3">
        <v>0.6</v>
      </c>
    </row>
    <row r="4" spans="1:9" x14ac:dyDescent="0.3">
      <c r="A4" t="s">
        <v>364</v>
      </c>
      <c r="B4">
        <v>0.2</v>
      </c>
      <c r="C4">
        <v>0.2</v>
      </c>
      <c r="E4">
        <v>1.8</v>
      </c>
      <c r="F4">
        <v>0.7</v>
      </c>
      <c r="H4">
        <v>0.3</v>
      </c>
      <c r="I4">
        <v>0.3</v>
      </c>
    </row>
    <row r="5" spans="1:9" x14ac:dyDescent="0.3">
      <c r="A5" t="s">
        <v>365</v>
      </c>
      <c r="B5">
        <v>0.2</v>
      </c>
      <c r="C5">
        <v>0.2</v>
      </c>
      <c r="E5">
        <v>2.2000000000000002</v>
      </c>
      <c r="F5">
        <v>0.8</v>
      </c>
      <c r="H5">
        <v>0.3</v>
      </c>
      <c r="I5">
        <v>0.3</v>
      </c>
    </row>
    <row r="6" spans="1:9" x14ac:dyDescent="0.3">
      <c r="A6" t="s">
        <v>366</v>
      </c>
      <c r="B6">
        <v>0</v>
      </c>
      <c r="C6">
        <v>0.1</v>
      </c>
      <c r="E6">
        <v>0</v>
      </c>
      <c r="F6">
        <v>0.5</v>
      </c>
      <c r="G6">
        <v>0.3</v>
      </c>
      <c r="H6">
        <v>0.1</v>
      </c>
      <c r="I6">
        <v>0.1</v>
      </c>
    </row>
    <row r="7" spans="1:9" x14ac:dyDescent="0.3">
      <c r="A7" t="s">
        <v>341</v>
      </c>
      <c r="B7">
        <v>0</v>
      </c>
      <c r="C7">
        <v>0.1</v>
      </c>
      <c r="E7">
        <v>0</v>
      </c>
      <c r="F7">
        <v>0.4</v>
      </c>
      <c r="G7">
        <v>0.3</v>
      </c>
      <c r="H7">
        <v>0.1</v>
      </c>
      <c r="I7">
        <v>0.1</v>
      </c>
    </row>
    <row r="8" spans="1:9" x14ac:dyDescent="0.3">
      <c r="A8" t="s">
        <v>342</v>
      </c>
      <c r="B8">
        <v>0.3</v>
      </c>
      <c r="C8">
        <v>0.3</v>
      </c>
      <c r="E8">
        <v>0</v>
      </c>
      <c r="F8">
        <v>1.2</v>
      </c>
      <c r="G8">
        <v>0.3</v>
      </c>
      <c r="H8">
        <v>0.4</v>
      </c>
      <c r="I8">
        <v>0.4</v>
      </c>
    </row>
    <row r="9" spans="1:9" x14ac:dyDescent="0.3">
      <c r="A9" t="s">
        <v>213</v>
      </c>
      <c r="B9">
        <v>0.68737970855100361</v>
      </c>
      <c r="C9">
        <v>0.44023027429732475</v>
      </c>
      <c r="D9">
        <v>0</v>
      </c>
      <c r="E9">
        <v>0.48309178743961351</v>
      </c>
      <c r="F9">
        <v>2.1464646464646462</v>
      </c>
      <c r="G9">
        <v>0.31545741324921134</v>
      </c>
      <c r="H9">
        <v>0.7209714141158613</v>
      </c>
      <c r="I9">
        <v>0.73791013308736331</v>
      </c>
    </row>
    <row r="10" spans="1:9" x14ac:dyDescent="0.3">
      <c r="A10" t="s">
        <v>312</v>
      </c>
      <c r="B10">
        <v>0.74257425742574257</v>
      </c>
      <c r="C10">
        <v>0.40858018386108275</v>
      </c>
      <c r="D10">
        <v>0</v>
      </c>
      <c r="E10">
        <v>0.53191489361702127</v>
      </c>
      <c r="F10">
        <v>2.3227383863080684</v>
      </c>
      <c r="G10">
        <v>0.31746031746031744</v>
      </c>
      <c r="H10">
        <v>0.75662042875157631</v>
      </c>
      <c r="I10">
        <v>0.77478660538411037</v>
      </c>
    </row>
    <row r="11" spans="1:9" x14ac:dyDescent="0.3">
      <c r="A11" t="s">
        <v>318</v>
      </c>
      <c r="B11">
        <v>0.78125</v>
      </c>
      <c r="C11">
        <v>0.45264623955431754</v>
      </c>
      <c r="D11">
        <v>0</v>
      </c>
      <c r="E11">
        <v>1.098901098901099</v>
      </c>
      <c r="F11">
        <v>3.1100478468899522</v>
      </c>
      <c r="G11">
        <v>0.33003300330033003</v>
      </c>
      <c r="H11">
        <v>0.89388328438258202</v>
      </c>
      <c r="I11">
        <v>0.91657810839532416</v>
      </c>
    </row>
    <row r="12" spans="1:9" x14ac:dyDescent="0.3">
      <c r="A12" t="s">
        <v>320</v>
      </c>
      <c r="B12">
        <v>0.76120665351000849</v>
      </c>
      <c r="C12">
        <v>0.43462513582035489</v>
      </c>
      <c r="D12">
        <v>0</v>
      </c>
      <c r="E12">
        <v>0.56497175141242939</v>
      </c>
      <c r="F12">
        <v>2.7600849256900215</v>
      </c>
      <c r="G12">
        <v>0.36101083032490977</v>
      </c>
      <c r="H12">
        <v>0.85491897409723094</v>
      </c>
      <c r="I12">
        <v>0.88235294117647056</v>
      </c>
    </row>
    <row r="13" spans="1:9" x14ac:dyDescent="0.3">
      <c r="A13" t="s">
        <v>325</v>
      </c>
      <c r="B13">
        <v>0.96728307254623047</v>
      </c>
      <c r="C13">
        <v>0.40204678362573099</v>
      </c>
      <c r="D13">
        <v>0</v>
      </c>
      <c r="E13">
        <v>1.1494252873563218</v>
      </c>
      <c r="F13">
        <v>2.5917926565874732</v>
      </c>
      <c r="G13">
        <v>0.37593984962406013</v>
      </c>
      <c r="H13">
        <v>0.92366901860166761</v>
      </c>
      <c r="I13">
        <v>0.95881161377447677</v>
      </c>
    </row>
    <row r="14" spans="1:9" x14ac:dyDescent="0.3">
      <c r="A14" t="s">
        <v>326</v>
      </c>
      <c r="B14">
        <v>0.92969203951191159</v>
      </c>
      <c r="C14">
        <v>0.33136966126656847</v>
      </c>
      <c r="D14">
        <v>0</v>
      </c>
      <c r="E14">
        <v>1.1560693641618496</v>
      </c>
      <c r="F14">
        <v>2.7472527472527473</v>
      </c>
      <c r="G14">
        <v>0.37037037037037041</v>
      </c>
      <c r="H14">
        <v>0.89459354336833918</v>
      </c>
      <c r="I14">
        <v>0.93214530500342707</v>
      </c>
    </row>
    <row r="15" spans="1:9" x14ac:dyDescent="0.3">
      <c r="A15" t="s">
        <v>328</v>
      </c>
      <c r="B15">
        <v>0.98693759071117571</v>
      </c>
      <c r="C15">
        <v>0.33222591362126247</v>
      </c>
      <c r="D15">
        <v>0</v>
      </c>
      <c r="E15">
        <v>1.1560693641618496</v>
      </c>
      <c r="F15">
        <v>2.7484143763213531</v>
      </c>
      <c r="G15">
        <v>0.36630036630036628</v>
      </c>
      <c r="H15">
        <v>0.92819388939022818</v>
      </c>
      <c r="I15">
        <v>0.96809380965366776</v>
      </c>
    </row>
    <row r="16" spans="1:9" x14ac:dyDescent="0.3">
      <c r="A16" t="s">
        <v>412</v>
      </c>
      <c r="B16">
        <v>1.0765202211230724</v>
      </c>
      <c r="C16">
        <v>0.32751091703056767</v>
      </c>
      <c r="D16">
        <v>0</v>
      </c>
      <c r="E16">
        <v>1.6759776536312849</v>
      </c>
      <c r="F16">
        <v>2.6427061310782243</v>
      </c>
      <c r="H16">
        <v>0.9496919917864477</v>
      </c>
      <c r="I16">
        <v>1.0040705563093621</v>
      </c>
    </row>
    <row r="27" spans="1:9" x14ac:dyDescent="0.3">
      <c r="A27" t="s">
        <v>208</v>
      </c>
      <c r="B27" t="s">
        <v>517</v>
      </c>
      <c r="C27" t="s">
        <v>361</v>
      </c>
      <c r="D27" t="s">
        <v>824</v>
      </c>
      <c r="E27" t="s">
        <v>513</v>
      </c>
      <c r="F27" t="s">
        <v>514</v>
      </c>
      <c r="G27" t="s">
        <v>339</v>
      </c>
      <c r="H27" t="s">
        <v>340</v>
      </c>
      <c r="I27" t="s">
        <v>825</v>
      </c>
    </row>
    <row r="28" spans="1:9" x14ac:dyDescent="0.3">
      <c r="A28" t="s">
        <v>365</v>
      </c>
      <c r="B28">
        <v>80.8</v>
      </c>
      <c r="C28">
        <v>96.9</v>
      </c>
      <c r="E28">
        <v>60.4</v>
      </c>
      <c r="F28">
        <v>77.900000000000006</v>
      </c>
      <c r="G28">
        <v>47.4</v>
      </c>
      <c r="H28">
        <v>84.1</v>
      </c>
      <c r="I28">
        <v>85.9</v>
      </c>
    </row>
    <row r="29" spans="1:9" x14ac:dyDescent="0.3">
      <c r="A29" t="s">
        <v>366</v>
      </c>
      <c r="B29">
        <v>100</v>
      </c>
      <c r="C29">
        <v>98</v>
      </c>
      <c r="E29">
        <v>100</v>
      </c>
      <c r="F29">
        <v>95</v>
      </c>
      <c r="G29">
        <v>94</v>
      </c>
      <c r="H29">
        <v>99</v>
      </c>
      <c r="I29">
        <v>99</v>
      </c>
    </row>
    <row r="30" spans="1:9" x14ac:dyDescent="0.3">
      <c r="A30" t="s">
        <v>341</v>
      </c>
      <c r="B30">
        <v>99.5</v>
      </c>
      <c r="C30">
        <v>95.2</v>
      </c>
      <c r="E30">
        <v>99.4</v>
      </c>
      <c r="F30">
        <v>90.9</v>
      </c>
      <c r="G30">
        <v>96.2</v>
      </c>
      <c r="H30">
        <v>96.8</v>
      </c>
      <c r="I30">
        <v>96.9</v>
      </c>
    </row>
    <row r="31" spans="1:9" x14ac:dyDescent="0.3">
      <c r="A31" t="s">
        <v>342</v>
      </c>
      <c r="B31">
        <v>91.4</v>
      </c>
      <c r="C31">
        <v>80.599999999999994</v>
      </c>
      <c r="E31">
        <v>87.3</v>
      </c>
      <c r="F31">
        <v>75.099999999999994</v>
      </c>
      <c r="G31">
        <v>96.4</v>
      </c>
      <c r="H31">
        <v>85.8</v>
      </c>
      <c r="I31">
        <v>85.3</v>
      </c>
    </row>
    <row r="32" spans="1:9" x14ac:dyDescent="0.3">
      <c r="A32" t="s">
        <v>213</v>
      </c>
      <c r="B32">
        <v>78.828704976629098</v>
      </c>
      <c r="C32">
        <v>73.789366745682358</v>
      </c>
      <c r="E32">
        <v>78.260869565217391</v>
      </c>
      <c r="F32">
        <v>60.101010101010097</v>
      </c>
      <c r="G32">
        <v>95.899053627760253</v>
      </c>
      <c r="H32">
        <v>75.739944346066281</v>
      </c>
      <c r="I32">
        <v>74.89787850836737</v>
      </c>
    </row>
    <row r="33" spans="1:9" x14ac:dyDescent="0.3">
      <c r="A33" t="s">
        <v>312</v>
      </c>
      <c r="B33">
        <v>75.880088008800882</v>
      </c>
      <c r="C33">
        <v>74.08920667347634</v>
      </c>
      <c r="D33">
        <v>55.555555555555557</v>
      </c>
      <c r="E33">
        <v>78.723404255319153</v>
      </c>
      <c r="F33">
        <v>59.29095354523227</v>
      </c>
      <c r="G33">
        <v>94.92063492063491</v>
      </c>
      <c r="H33">
        <v>74.237074401008826</v>
      </c>
      <c r="I33">
        <v>73.381483913328964</v>
      </c>
    </row>
    <row r="34" spans="1:9" x14ac:dyDescent="0.3">
      <c r="A34" t="s">
        <v>318</v>
      </c>
      <c r="B34">
        <v>74.469866071428569</v>
      </c>
      <c r="C34">
        <v>73.850974930362113</v>
      </c>
      <c r="D34">
        <v>59.259259259259252</v>
      </c>
      <c r="E34">
        <v>71.428571428571431</v>
      </c>
      <c r="F34">
        <v>57.41626794258373</v>
      </c>
      <c r="G34">
        <v>94.38943894389439</v>
      </c>
      <c r="H34">
        <v>73.017494572851476</v>
      </c>
      <c r="I34">
        <v>72.157279489904354</v>
      </c>
    </row>
    <row r="35" spans="1:9" x14ac:dyDescent="0.3">
      <c r="A35" t="s">
        <v>320</v>
      </c>
      <c r="B35">
        <v>72.963067380885263</v>
      </c>
      <c r="C35">
        <v>74.139804418688882</v>
      </c>
      <c r="D35">
        <v>60.377358490566039</v>
      </c>
      <c r="E35">
        <v>67.2316384180791</v>
      </c>
      <c r="F35">
        <v>59.023354564755834</v>
      </c>
      <c r="G35">
        <v>93.501805054151617</v>
      </c>
      <c r="H35">
        <v>71.468674237590918</v>
      </c>
      <c r="I35">
        <v>71.417112299465231</v>
      </c>
    </row>
    <row r="36" spans="1:9" x14ac:dyDescent="0.3">
      <c r="A36" t="s">
        <v>325</v>
      </c>
      <c r="B36">
        <v>70.981507823613086</v>
      </c>
      <c r="C36">
        <v>74.232456140350877</v>
      </c>
      <c r="D36">
        <v>62.962962962962962</v>
      </c>
      <c r="E36">
        <v>68.965517241379317</v>
      </c>
      <c r="F36">
        <v>60.151187904967607</v>
      </c>
      <c r="G36">
        <v>93.609022556390968</v>
      </c>
      <c r="H36">
        <v>70.378447722899296</v>
      </c>
      <c r="I36">
        <v>70.722484807562452</v>
      </c>
    </row>
    <row r="37" spans="1:9" x14ac:dyDescent="0.3">
      <c r="A37" t="s">
        <v>326</v>
      </c>
      <c r="B37">
        <v>70.976176641487513</v>
      </c>
      <c r="C37">
        <v>75.662739322533128</v>
      </c>
      <c r="D37">
        <v>64.81481481481481</v>
      </c>
      <c r="E37">
        <v>70.520231213872833</v>
      </c>
      <c r="F37">
        <v>61.208791208791212</v>
      </c>
      <c r="G37">
        <v>93.333333333333329</v>
      </c>
      <c r="H37">
        <v>70.841436535718913</v>
      </c>
      <c r="I37">
        <v>71.446196024674435</v>
      </c>
    </row>
    <row r="38" spans="1:9" x14ac:dyDescent="0.3">
      <c r="A38" t="s">
        <v>328</v>
      </c>
      <c r="B38">
        <v>71.756168359941938</v>
      </c>
      <c r="C38">
        <v>76.559616094499816</v>
      </c>
      <c r="D38">
        <v>67.213114754098356</v>
      </c>
      <c r="E38">
        <v>70.520231213872833</v>
      </c>
      <c r="F38">
        <v>61.627906976744185</v>
      </c>
      <c r="G38">
        <v>93.040293040293037</v>
      </c>
      <c r="H38">
        <v>71.496712646641754</v>
      </c>
      <c r="I38">
        <v>72.157076629397338</v>
      </c>
    </row>
    <row r="39" spans="1:9" x14ac:dyDescent="0.3">
      <c r="A39" t="s">
        <v>412</v>
      </c>
      <c r="B39">
        <v>71.632237416351472</v>
      </c>
      <c r="C39">
        <v>77.001455604075687</v>
      </c>
      <c r="D39">
        <v>68.333333333333329</v>
      </c>
      <c r="E39">
        <v>70.391061452513966</v>
      </c>
      <c r="F39">
        <v>61.310782241014792</v>
      </c>
      <c r="G39">
        <v>94.047619047619051</v>
      </c>
      <c r="H39">
        <v>71.380903490759749</v>
      </c>
      <c r="I39">
        <v>72.252374491180461</v>
      </c>
    </row>
  </sheetData>
  <pageMargins left="0.7" right="0.7" top="0.75" bottom="0.75" header="0.3" footer="0.3"/>
  <tableParts count="2">
    <tablePart r:id="rId1"/>
    <tablePart r:id="rId2"/>
  </tableParts>
</worksheet>
</file>

<file path=xl/worksheets/sheet9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Sheet20">
    <tabColor theme="9" tint="0.39997558519241921"/>
    <pageSetUpPr fitToPage="1"/>
  </sheetPr>
  <dimension ref="A1:L51"/>
  <sheetViews>
    <sheetView showGridLines="0" zoomScaleNormal="100" workbookViewId="0">
      <pane ySplit="2" topLeftCell="A3" activePane="bottomLeft" state="frozen"/>
      <selection pane="bottomLeft" sqref="A1:C1"/>
    </sheetView>
  </sheetViews>
  <sheetFormatPr defaultRowHeight="14.4" x14ac:dyDescent="0.3"/>
  <cols>
    <col min="1" max="1" width="18" customWidth="1"/>
    <col min="2" max="2" width="21.5546875" bestFit="1" customWidth="1"/>
    <col min="3" max="3" width="19.6640625" bestFit="1" customWidth="1"/>
    <col min="4" max="4" width="18.33203125" customWidth="1"/>
    <col min="5" max="5" width="7.109375" bestFit="1" customWidth="1"/>
    <col min="6" max="6" width="7.5546875" bestFit="1" customWidth="1"/>
    <col min="7" max="7" width="9.5546875" bestFit="1" customWidth="1"/>
    <col min="8" max="8" width="8.44140625" customWidth="1"/>
    <col min="9" max="9" width="24" bestFit="1" customWidth="1"/>
  </cols>
  <sheetData>
    <row r="1" spans="1:12" ht="15.6" x14ac:dyDescent="0.3">
      <c r="A1" s="1030" t="s">
        <v>515</v>
      </c>
      <c r="B1" s="1030"/>
      <c r="C1" s="1030"/>
      <c r="D1" s="440"/>
    </row>
    <row r="2" spans="1:12" x14ac:dyDescent="0.3">
      <c r="A2" s="498" t="s">
        <v>202</v>
      </c>
    </row>
    <row r="3" spans="1:12" x14ac:dyDescent="0.3">
      <c r="A3" s="25"/>
      <c r="B3" s="25"/>
      <c r="C3" s="25"/>
      <c r="D3" s="25"/>
      <c r="E3" s="25"/>
      <c r="F3" s="25"/>
      <c r="G3" s="25"/>
      <c r="H3" s="25"/>
      <c r="I3" s="25"/>
    </row>
    <row r="4" spans="1:12" ht="15.75" customHeight="1" x14ac:dyDescent="0.3">
      <c r="A4" s="1031" t="s">
        <v>826</v>
      </c>
      <c r="B4" s="1031"/>
      <c r="C4" s="1031"/>
      <c r="D4" s="1031"/>
      <c r="E4" s="1031"/>
      <c r="F4" s="1031"/>
      <c r="G4" s="1031"/>
      <c r="H4" s="1031"/>
      <c r="I4" s="1031"/>
    </row>
    <row r="5" spans="1:12" ht="15.75" customHeight="1" x14ac:dyDescent="0.3">
      <c r="A5" t="s">
        <v>203</v>
      </c>
      <c r="B5" t="s">
        <v>102</v>
      </c>
      <c r="C5" s="233"/>
      <c r="D5" s="233"/>
      <c r="E5" s="233"/>
      <c r="F5" s="233"/>
      <c r="G5" s="233"/>
      <c r="H5" s="233"/>
      <c r="I5" s="233"/>
    </row>
    <row r="6" spans="1:12" ht="15.75" customHeight="1" x14ac:dyDescent="0.3">
      <c r="A6" t="s">
        <v>204</v>
      </c>
      <c r="B6" t="s">
        <v>205</v>
      </c>
      <c r="C6" s="233"/>
      <c r="D6" s="25"/>
      <c r="E6" s="25"/>
      <c r="F6" s="25"/>
      <c r="G6" s="25"/>
      <c r="H6" s="25"/>
      <c r="I6" s="25"/>
      <c r="J6" s="25"/>
      <c r="K6" s="25"/>
      <c r="L6" s="25"/>
    </row>
    <row r="7" spans="1:12" ht="15.75" customHeight="1" x14ac:dyDescent="0.3">
      <c r="A7" t="s">
        <v>206</v>
      </c>
      <c r="B7" t="s">
        <v>207</v>
      </c>
      <c r="C7" s="233"/>
      <c r="D7" s="233"/>
      <c r="E7" s="233"/>
      <c r="F7" s="233"/>
      <c r="G7" s="233"/>
      <c r="H7" s="233"/>
      <c r="I7" s="233"/>
    </row>
    <row r="8" spans="1:12" ht="15.6" x14ac:dyDescent="0.3">
      <c r="A8" s="233"/>
      <c r="B8" s="233"/>
      <c r="C8" s="233"/>
      <c r="D8" s="233"/>
      <c r="E8" s="233"/>
      <c r="F8" s="233"/>
      <c r="G8" s="233"/>
      <c r="H8" s="233"/>
      <c r="I8" s="824" t="s">
        <v>94</v>
      </c>
    </row>
    <row r="9" spans="1:12" x14ac:dyDescent="0.3">
      <c r="A9" s="662" t="s">
        <v>208</v>
      </c>
      <c r="B9" s="662" t="s">
        <v>517</v>
      </c>
      <c r="C9" s="662" t="s">
        <v>361</v>
      </c>
      <c r="D9" s="662" t="s">
        <v>518</v>
      </c>
      <c r="E9" s="662" t="s">
        <v>513</v>
      </c>
      <c r="F9" s="662" t="s">
        <v>514</v>
      </c>
      <c r="G9" s="662" t="s">
        <v>339</v>
      </c>
      <c r="H9" s="662" t="s">
        <v>340</v>
      </c>
      <c r="I9" s="662" t="s">
        <v>732</v>
      </c>
    </row>
    <row r="10" spans="1:12" x14ac:dyDescent="0.3">
      <c r="A10" s="312" t="s">
        <v>362</v>
      </c>
      <c r="B10" s="751">
        <f>GETPIVOTDATA("Sum of Wholetime Operational",DisabilityPivot!$A$1,"Year",A10)</f>
        <v>0.4</v>
      </c>
      <c r="C10" s="751">
        <f>GETPIVOTDATA("Sum of Retained Duty System",DisabilityPivot!$A$1,"Year",A10)</f>
        <v>0.3</v>
      </c>
      <c r="D10" s="751"/>
      <c r="E10" s="751">
        <f>GETPIVOTDATA("Sum of Control",DisabilityPivot!$A$1,"Year",A10)</f>
        <v>2.1</v>
      </c>
      <c r="F10" s="751">
        <f>GETPIVOTDATA("Sum of Support",DisabilityPivot!$A$1,"Year",A10)</f>
        <v>1.4</v>
      </c>
      <c r="G10" s="751">
        <f>GETPIVOTDATA("Sum of Volunteer",DisabilityPivot!$A$1,"Year",A10)</f>
        <v>0.4</v>
      </c>
      <c r="H10" s="751">
        <f>GETPIVOTDATA("Sum of Total",DisabilityPivot!$A$1,"Year",A10)</f>
        <v>0.6</v>
      </c>
      <c r="I10" s="751">
        <f>GETPIVOTDATA("Sum of Total (excluding volunters)",DisabilityPivot!$A$1,"Year",A10)</f>
        <v>0.6</v>
      </c>
    </row>
    <row r="11" spans="1:12" x14ac:dyDescent="0.3">
      <c r="A11" s="312" t="s">
        <v>363</v>
      </c>
      <c r="B11" s="751">
        <f>GETPIVOTDATA("Sum of Wholetime Operational",DisabilityPivot!$A$1,"Year",A11)</f>
        <v>0.5</v>
      </c>
      <c r="C11" s="751">
        <f>GETPIVOTDATA("Sum of Retained Duty System",DisabilityPivot!$A$1,"Year",A11)</f>
        <v>0.3</v>
      </c>
      <c r="D11" s="751"/>
      <c r="E11" s="751">
        <f>GETPIVOTDATA("Sum of Control",DisabilityPivot!$A$1,"Year",A11)</f>
        <v>2.1</v>
      </c>
      <c r="F11" s="751">
        <f>GETPIVOTDATA("Sum of Support",DisabilityPivot!$A$1,"Year",A11)</f>
        <v>1.5</v>
      </c>
      <c r="G11" s="751">
        <f>GETPIVOTDATA("Sum of Volunteer",DisabilityPivot!$A$1,"Year",A11)</f>
        <v>0.5</v>
      </c>
      <c r="H11" s="751">
        <f>GETPIVOTDATA("Sum of Total",DisabilityPivot!$A$1,"Year",A11)</f>
        <v>0.6</v>
      </c>
      <c r="I11" s="751">
        <f>GETPIVOTDATA("Sum of Total (excluding volunters)",DisabilityPivot!$A$1,"Year",A11)</f>
        <v>0.6</v>
      </c>
    </row>
    <row r="12" spans="1:12" x14ac:dyDescent="0.3">
      <c r="A12" s="312" t="s">
        <v>364</v>
      </c>
      <c r="B12" s="751">
        <f>GETPIVOTDATA("Sum of Wholetime Operational",DisabilityPivot!$A$1,"Year",A12)</f>
        <v>0.2</v>
      </c>
      <c r="C12" s="751">
        <f>GETPIVOTDATA("Sum of Retained Duty System",DisabilityPivot!$A$1,"Year",A12)</f>
        <v>0.2</v>
      </c>
      <c r="D12" s="751"/>
      <c r="E12" s="751">
        <f>GETPIVOTDATA("Sum of Control",DisabilityPivot!$A$1,"Year",A12)</f>
        <v>1.8</v>
      </c>
      <c r="F12" s="751">
        <f>GETPIVOTDATA("Sum of Support",DisabilityPivot!$A$1,"Year",A12)</f>
        <v>0.7</v>
      </c>
      <c r="G12" s="751">
        <f>GETPIVOTDATA("Sum of Volunteer",DisabilityPivot!$A$1,"Year",A12)</f>
        <v>0</v>
      </c>
      <c r="H12" s="751">
        <f>GETPIVOTDATA("Sum of Total",DisabilityPivot!$A$1,"Year",A12)</f>
        <v>0.3</v>
      </c>
      <c r="I12" s="751">
        <f>GETPIVOTDATA("Sum of Total (excluding volunters)",DisabilityPivot!$A$1,"Year",A12)</f>
        <v>0.3</v>
      </c>
    </row>
    <row r="13" spans="1:12" x14ac:dyDescent="0.3">
      <c r="A13" s="312" t="s">
        <v>365</v>
      </c>
      <c r="B13" s="751">
        <f>GETPIVOTDATA("Sum of Wholetime Operational",DisabilityPivot!$A$1,"Year",A13)</f>
        <v>0.2</v>
      </c>
      <c r="C13" s="751">
        <f>GETPIVOTDATA("Sum of Retained Duty System",DisabilityPivot!$A$1,"Year",A13)</f>
        <v>0.2</v>
      </c>
      <c r="D13" s="751"/>
      <c r="E13" s="751">
        <f>GETPIVOTDATA("Sum of Control",DisabilityPivot!$A$1,"Year",A13)</f>
        <v>2.2000000000000002</v>
      </c>
      <c r="F13" s="751">
        <f>GETPIVOTDATA("Sum of Support",DisabilityPivot!$A$1,"Year",A13)</f>
        <v>0.8</v>
      </c>
      <c r="G13" s="751">
        <f>GETPIVOTDATA("Sum of Volunteer",DisabilityPivot!$A$1,"Year",A13)</f>
        <v>0</v>
      </c>
      <c r="H13" s="751">
        <f>GETPIVOTDATA("Sum of Total",DisabilityPivot!$A$1,"Year",A13)</f>
        <v>0.3</v>
      </c>
      <c r="I13" s="751">
        <f>GETPIVOTDATA("Sum of Total (excluding volunters)",DisabilityPivot!$A$1,"Year",A13)</f>
        <v>0.3</v>
      </c>
    </row>
    <row r="14" spans="1:12" x14ac:dyDescent="0.3">
      <c r="A14" s="312" t="s">
        <v>366</v>
      </c>
      <c r="B14" s="751">
        <f>GETPIVOTDATA("Sum of Wholetime Operational",DisabilityPivot!$A$1,"Year",A14)</f>
        <v>0</v>
      </c>
      <c r="C14" s="751">
        <f>GETPIVOTDATA("Sum of Retained Duty System",DisabilityPivot!$A$1,"Year",A14)</f>
        <v>0.1</v>
      </c>
      <c r="D14" s="751"/>
      <c r="E14" s="751">
        <f>GETPIVOTDATA("Sum of Control",DisabilityPivot!$A$1,"Year",A14)</f>
        <v>0</v>
      </c>
      <c r="F14" s="751">
        <f>GETPIVOTDATA("Sum of Support",DisabilityPivot!$A$1,"Year",A14)</f>
        <v>0.5</v>
      </c>
      <c r="G14" s="751">
        <f>GETPIVOTDATA("Sum of Volunteer",DisabilityPivot!$A$1,"Year",A14)</f>
        <v>0.3</v>
      </c>
      <c r="H14" s="751">
        <f>GETPIVOTDATA("Sum of Total",DisabilityPivot!$A$1,"Year",A14)</f>
        <v>0.1</v>
      </c>
      <c r="I14" s="751">
        <f>GETPIVOTDATA("Sum of Total (excluding volunters)",DisabilityPivot!$A$1,"Year",A14)</f>
        <v>0.1</v>
      </c>
    </row>
    <row r="15" spans="1:12" x14ac:dyDescent="0.3">
      <c r="A15" s="312" t="s">
        <v>341</v>
      </c>
      <c r="B15" s="751">
        <f>GETPIVOTDATA("Sum of Wholetime Operational",DisabilityPivot!$A$1,"Year",A15)</f>
        <v>0</v>
      </c>
      <c r="C15" s="751">
        <f>GETPIVOTDATA("Sum of Retained Duty System",DisabilityPivot!$A$1,"Year",A15)</f>
        <v>0.1</v>
      </c>
      <c r="D15" s="751"/>
      <c r="E15" s="751">
        <f>GETPIVOTDATA("Sum of Control",DisabilityPivot!$A$1,"Year",A15)</f>
        <v>0</v>
      </c>
      <c r="F15" s="751">
        <f>GETPIVOTDATA("Sum of Support",DisabilityPivot!$A$1,"Year",A15)</f>
        <v>0.4</v>
      </c>
      <c r="G15" s="751">
        <f>GETPIVOTDATA("Sum of Volunteer",DisabilityPivot!$A$1,"Year",A15)</f>
        <v>0.3</v>
      </c>
      <c r="H15" s="751">
        <f>GETPIVOTDATA("Sum of Total",DisabilityPivot!$A$1,"Year",A15)</f>
        <v>0.1</v>
      </c>
      <c r="I15" s="751">
        <f>GETPIVOTDATA("Sum of Total (excluding volunters)",DisabilityPivot!$A$1,"Year",A15)</f>
        <v>0.1</v>
      </c>
    </row>
    <row r="16" spans="1:12" x14ac:dyDescent="0.3">
      <c r="A16" s="312" t="s">
        <v>342</v>
      </c>
      <c r="B16" s="751">
        <f>GETPIVOTDATA("Sum of Wholetime Operational",DisabilityPivot!$A$1,"Year",A16)</f>
        <v>0.3</v>
      </c>
      <c r="C16" s="751">
        <f>GETPIVOTDATA("Sum of Retained Duty System",DisabilityPivot!$A$1,"Year",A16)</f>
        <v>0.3</v>
      </c>
      <c r="D16" s="751"/>
      <c r="E16" s="751">
        <f>GETPIVOTDATA("Sum of Control",DisabilityPivot!$A$1,"Year",A16)</f>
        <v>0</v>
      </c>
      <c r="F16" s="751">
        <f>GETPIVOTDATA("Sum of Support",DisabilityPivot!$A$1,"Year",A16)</f>
        <v>1.2</v>
      </c>
      <c r="G16" s="751">
        <f>GETPIVOTDATA("Sum of Volunteer",DisabilityPivot!$A$1,"Year",A16)</f>
        <v>0.3</v>
      </c>
      <c r="H16" s="751">
        <f>GETPIVOTDATA("Sum of Total",DisabilityPivot!$A$1,"Year",A16)</f>
        <v>0.4</v>
      </c>
      <c r="I16" s="751">
        <f>GETPIVOTDATA("Sum of Total (excluding volunters)",DisabilityPivot!$A$1,"Year",A16)</f>
        <v>0.4</v>
      </c>
    </row>
    <row r="17" spans="1:9" x14ac:dyDescent="0.3">
      <c r="A17" s="312" t="s">
        <v>213</v>
      </c>
      <c r="B17" s="751">
        <f>GETPIVOTDATA("Sum of Wholetime Operational",DisabilityPivot!$A$1,"Year",A17)</f>
        <v>0.68737970855100361</v>
      </c>
      <c r="C17" s="751">
        <f>GETPIVOTDATA("Sum of Retained Duty System",DisabilityPivot!$A$1,"Year",A17)</f>
        <v>0.44023027429732475</v>
      </c>
      <c r="D17" s="751"/>
      <c r="E17" s="751">
        <f>GETPIVOTDATA("Sum of Control",DisabilityPivot!$A$1,"Year",A17)</f>
        <v>0.48309178743961351</v>
      </c>
      <c r="F17" s="751">
        <f>GETPIVOTDATA("Sum of Support",DisabilityPivot!$A$1,"Year",A17)</f>
        <v>2.1464646464646462</v>
      </c>
      <c r="G17" s="751">
        <f>GETPIVOTDATA("Sum of Volunteer",DisabilityPivot!$A$1,"Year",A17)</f>
        <v>0.31545741324921134</v>
      </c>
      <c r="H17" s="751">
        <f>GETPIVOTDATA("Sum of Total",DisabilityPivot!$A$1,"Year",A17)</f>
        <v>0.7209714141158613</v>
      </c>
      <c r="I17" s="751">
        <f>GETPIVOTDATA("Sum of Total (excluding volunters)",DisabilityPivot!$A$1,"Year",A17)</f>
        <v>0.73791013308736331</v>
      </c>
    </row>
    <row r="18" spans="1:9" x14ac:dyDescent="0.3">
      <c r="A18" s="312" t="s">
        <v>312</v>
      </c>
      <c r="B18" s="751">
        <f>GETPIVOTDATA("Sum of Wholetime Operational",DisabilityPivot!$A$1,"Year",A18)</f>
        <v>0.74257425742574257</v>
      </c>
      <c r="C18" s="751">
        <f>GETPIVOTDATA("Sum of Retained Duty System",DisabilityPivot!$A$1,"Year",A18)</f>
        <v>0.40858018386108275</v>
      </c>
      <c r="D18" s="751">
        <f>GETPIVOTDATA("Sum of Retained Fulltime",DisabilityPivot!$A$1,"Year",A18)</f>
        <v>0</v>
      </c>
      <c r="E18" s="751">
        <f>GETPIVOTDATA("Sum of Control",DisabilityPivot!$A$1,"Year",A18)</f>
        <v>0.53191489361702127</v>
      </c>
      <c r="F18" s="751">
        <f>GETPIVOTDATA("Sum of Support",DisabilityPivot!$A$1,"Year",A18)</f>
        <v>2.3227383863080684</v>
      </c>
      <c r="G18" s="751">
        <f>GETPIVOTDATA("Sum of Volunteer",DisabilityPivot!$A$1,"Year",A18)</f>
        <v>0.31746031746031744</v>
      </c>
      <c r="H18" s="751">
        <f>GETPIVOTDATA("Sum of Total",DisabilityPivot!$A$1,"Year",A18)</f>
        <v>0.75662042875157631</v>
      </c>
      <c r="I18" s="751">
        <f>GETPIVOTDATA("Sum of Total (excluding volunters)",DisabilityPivot!$A$1,"Year",A18)</f>
        <v>0.77478660538411037</v>
      </c>
    </row>
    <row r="19" spans="1:9" x14ac:dyDescent="0.3">
      <c r="A19" s="312" t="s">
        <v>318</v>
      </c>
      <c r="B19" s="751">
        <f>GETPIVOTDATA("Sum of Wholetime Operational",DisabilityPivot!$A$1,"Year",A19)</f>
        <v>0.78125</v>
      </c>
      <c r="C19" s="751">
        <f>GETPIVOTDATA("Sum of Retained Duty System",DisabilityPivot!$A$1,"Year",A19)</f>
        <v>0.45264623955431754</v>
      </c>
      <c r="D19" s="751">
        <f>GETPIVOTDATA("Sum of Retained Fulltime",DisabilityPivot!$A$1,"Year",A19)</f>
        <v>0</v>
      </c>
      <c r="E19" s="751">
        <f>GETPIVOTDATA("Sum of Control",DisabilityPivot!$A$1,"Year",A19)</f>
        <v>1.098901098901099</v>
      </c>
      <c r="F19" s="751">
        <f>GETPIVOTDATA("Sum of Support",DisabilityPivot!$A$1,"Year",A19)</f>
        <v>3.1100478468899522</v>
      </c>
      <c r="G19" s="751">
        <f>GETPIVOTDATA("Sum of Volunteer",DisabilityPivot!$A$1,"Year",A19)</f>
        <v>0.33003300330033003</v>
      </c>
      <c r="H19" s="751">
        <f>GETPIVOTDATA("Sum of Total",DisabilityPivot!$A$1,"Year",A19)</f>
        <v>0.89388328438258202</v>
      </c>
      <c r="I19" s="751">
        <f>GETPIVOTDATA("Sum of Total (excluding volunters)",DisabilityPivot!$A$1,"Year",A19)</f>
        <v>0.91657810839532416</v>
      </c>
    </row>
    <row r="20" spans="1:9" x14ac:dyDescent="0.3">
      <c r="A20" s="312" t="s">
        <v>320</v>
      </c>
      <c r="B20" s="751">
        <f>GETPIVOTDATA("Sum of Wholetime Operational",DisabilityPivot!$A$1,"Year",A20)</f>
        <v>0.76120665351000849</v>
      </c>
      <c r="C20" s="751">
        <f>GETPIVOTDATA("Sum of Retained Duty System",DisabilityPivot!$A$1,"Year",A20)</f>
        <v>0.43462513582035489</v>
      </c>
      <c r="D20" s="751">
        <f>GETPIVOTDATA("Sum of Retained Fulltime",DisabilityPivot!$A$1,"Year",A20)</f>
        <v>0</v>
      </c>
      <c r="E20" s="751">
        <f>GETPIVOTDATA("Sum of Control",DisabilityPivot!$A$1,"Year",A20)</f>
        <v>0.56497175141242939</v>
      </c>
      <c r="F20" s="751">
        <f>GETPIVOTDATA("Sum of Support",DisabilityPivot!$A$1,"Year",A20)</f>
        <v>2.7600849256900215</v>
      </c>
      <c r="G20" s="751">
        <f>GETPIVOTDATA("Sum of Volunteer",DisabilityPivot!$A$1,"Year",A20)</f>
        <v>0.36101083032490977</v>
      </c>
      <c r="H20" s="751">
        <f>GETPIVOTDATA("Sum of Total",DisabilityPivot!$A$1,"Year",A20)</f>
        <v>0.85491897409723094</v>
      </c>
      <c r="I20" s="751">
        <f>GETPIVOTDATA("Sum of Total (excluding volunters)",DisabilityPivot!$A$1,"Year",A20)</f>
        <v>0.88235294117647056</v>
      </c>
    </row>
    <row r="21" spans="1:9" x14ac:dyDescent="0.3">
      <c r="A21" s="312" t="s">
        <v>325</v>
      </c>
      <c r="B21" s="751">
        <f>GETPIVOTDATA("Sum of Wholetime Operational",DisabilityPivot!$A$1,"Year",A21)</f>
        <v>0.96728307254623047</v>
      </c>
      <c r="C21" s="751">
        <f>GETPIVOTDATA("Sum of Retained Duty System",DisabilityPivot!$A$1,"Year",A21)</f>
        <v>0.40204678362573099</v>
      </c>
      <c r="D21" s="751">
        <f>GETPIVOTDATA("Sum of Retained Fulltime",DisabilityPivot!$A$1,"Year",A21)</f>
        <v>0</v>
      </c>
      <c r="E21" s="751">
        <f>GETPIVOTDATA("Sum of Control",DisabilityPivot!$A$1,"Year",A21)</f>
        <v>1.1494252873563218</v>
      </c>
      <c r="F21" s="751">
        <f>GETPIVOTDATA("Sum of Support",DisabilityPivot!$A$1,"Year",A21)</f>
        <v>2.5917926565874732</v>
      </c>
      <c r="G21" s="751">
        <f>GETPIVOTDATA("Sum of Volunteer",DisabilityPivot!$A$1,"Year",A21)</f>
        <v>0.37593984962406013</v>
      </c>
      <c r="H21" s="751">
        <f>GETPIVOTDATA("Sum of Total",DisabilityPivot!$A$1,"Year",A21)</f>
        <v>0.92366901860166761</v>
      </c>
      <c r="I21" s="751">
        <f>GETPIVOTDATA("Sum of Total (excluding volunters)",DisabilityPivot!$A$1,"Year",A21)</f>
        <v>0.95881161377447677</v>
      </c>
    </row>
    <row r="22" spans="1:9" ht="15" customHeight="1" x14ac:dyDescent="0.3">
      <c r="A22" s="334" t="s">
        <v>326</v>
      </c>
      <c r="B22" s="751">
        <f>GETPIVOTDATA("Sum of Wholetime Operational",DisabilityPivot!$A$1,"Year",A22)</f>
        <v>0.92969203951191159</v>
      </c>
      <c r="C22" s="751">
        <f>GETPIVOTDATA("Sum of Retained Duty System",DisabilityPivot!$A$1,"Year",A22)</f>
        <v>0.33136966126656847</v>
      </c>
      <c r="D22" s="751">
        <f>GETPIVOTDATA("Sum of Retained Fulltime",DisabilityPivot!$A$1,"Year",A22)</f>
        <v>0</v>
      </c>
      <c r="E22" s="751">
        <f>GETPIVOTDATA("Sum of Control",DisabilityPivot!$A$1,"Year",A22)</f>
        <v>1.1560693641618496</v>
      </c>
      <c r="F22" s="751">
        <f>GETPIVOTDATA("Sum of Support",DisabilityPivot!$A$1,"Year",A22)</f>
        <v>2.7472527472527473</v>
      </c>
      <c r="G22" s="751">
        <f>GETPIVOTDATA("Sum of Volunteer",DisabilityPivot!$A$1,"Year",A22)</f>
        <v>0.37037037037037041</v>
      </c>
      <c r="H22" s="751">
        <f>GETPIVOTDATA("Sum of Total",DisabilityPivot!$A$1,"Year",A22)</f>
        <v>0.89459354336833918</v>
      </c>
      <c r="I22" s="751">
        <f>GETPIVOTDATA("Sum of Total (excluding volunters)",DisabilityPivot!$A$1,"Year",A22)</f>
        <v>0.93214530500342707</v>
      </c>
    </row>
    <row r="23" spans="1:9" ht="18.600000000000001" customHeight="1" x14ac:dyDescent="0.3">
      <c r="A23" s="334" t="s">
        <v>328</v>
      </c>
      <c r="B23" s="751">
        <f>GETPIVOTDATA("Sum of Wholetime Operational",DisabilityPivot!$A$1,"Year",A23)</f>
        <v>0.98693759071117571</v>
      </c>
      <c r="C23" s="751">
        <f>GETPIVOTDATA("Sum of Retained Duty System",DisabilityPivot!$A$1,"Year",A23)</f>
        <v>0.33222591362126247</v>
      </c>
      <c r="D23" s="751">
        <f>GETPIVOTDATA("Sum of Retained Fulltime",DisabilityPivot!$A$1,"Year",A23)</f>
        <v>0</v>
      </c>
      <c r="E23" s="751">
        <f>GETPIVOTDATA("Sum of Control",DisabilityPivot!$A$1,"Year",A23)</f>
        <v>1.1560693641618496</v>
      </c>
      <c r="F23" s="751">
        <f>GETPIVOTDATA("Sum of Support",DisabilityPivot!$A$1,"Year",A23)</f>
        <v>2.7484143763213531</v>
      </c>
      <c r="G23" s="751">
        <f>GETPIVOTDATA("Sum of Volunteer",DisabilityPivot!$A$1,"Year",A23)</f>
        <v>0.36630036630036628</v>
      </c>
      <c r="H23" s="751">
        <f>GETPIVOTDATA("Sum of Total",DisabilityPivot!$A$1,"Year",A23)</f>
        <v>0.92819388939022818</v>
      </c>
      <c r="I23" s="751">
        <f>GETPIVOTDATA("Sum of Total (excluding volunters)",DisabilityPivot!$A$1,"Year",A23)</f>
        <v>0.96809380965366776</v>
      </c>
    </row>
    <row r="24" spans="1:9" ht="18.600000000000001" customHeight="1" thickBot="1" x14ac:dyDescent="0.35">
      <c r="A24" s="842" t="s">
        <v>412</v>
      </c>
      <c r="B24" s="753">
        <f>GETPIVOTDATA("Sum of Wholetime Operational",DisabilityPivot!$A$1,"Year",A24)</f>
        <v>1.0765202211230724</v>
      </c>
      <c r="C24" s="753">
        <f>GETPIVOTDATA("Sum of Retained Duty System",DisabilityPivot!$A$1,"Year",A24)</f>
        <v>0.32751091703056767</v>
      </c>
      <c r="D24" s="753">
        <f>GETPIVOTDATA("Sum of Retained Fulltime",DisabilityPivot!$A$1,"Year",A24)</f>
        <v>0</v>
      </c>
      <c r="E24" s="753">
        <f>GETPIVOTDATA("Sum of Control",DisabilityPivot!$A$1,"Year",A24)</f>
        <v>1.6759776536312849</v>
      </c>
      <c r="F24" s="753">
        <f>GETPIVOTDATA("Sum of Support",DisabilityPivot!$A$1,"Year",A24)</f>
        <v>2.6427061310782243</v>
      </c>
      <c r="G24" s="753">
        <f>GETPIVOTDATA("Sum of Volunteer",DisabilityPivot!$A$1,"Year",A24)</f>
        <v>0</v>
      </c>
      <c r="H24" s="753">
        <f>GETPIVOTDATA("Sum of Total",DisabilityPivot!$A$1,"Year",A24)</f>
        <v>0.9496919917864477</v>
      </c>
      <c r="I24" s="753">
        <f>GETPIVOTDATA("Sum of Total (excluding volunters)",DisabilityPivot!$A$1,"Year",A24)</f>
        <v>1.0040705563093621</v>
      </c>
    </row>
    <row r="25" spans="1:9" ht="15" customHeight="1" x14ac:dyDescent="0.3">
      <c r="A25" s="25"/>
      <c r="B25" s="25"/>
      <c r="C25" s="25"/>
      <c r="D25" s="25"/>
      <c r="E25" s="25"/>
      <c r="F25" s="25"/>
      <c r="G25" s="25"/>
      <c r="H25" s="25"/>
      <c r="I25" s="25"/>
    </row>
    <row r="26" spans="1:9" ht="15" customHeight="1" x14ac:dyDescent="0.3">
      <c r="A26" s="334" t="s">
        <v>329</v>
      </c>
      <c r="B26" s="25"/>
      <c r="C26" s="25"/>
      <c r="D26" s="25"/>
      <c r="E26" s="25"/>
      <c r="F26" s="25"/>
      <c r="G26" s="25"/>
      <c r="H26" s="25"/>
      <c r="I26" s="25"/>
    </row>
    <row r="27" spans="1:9" x14ac:dyDescent="0.3">
      <c r="A27" s="1070" t="s">
        <v>827</v>
      </c>
      <c r="B27" s="1070"/>
      <c r="C27" s="1070"/>
      <c r="D27" s="1070"/>
      <c r="E27" s="1070"/>
      <c r="F27" s="1070"/>
      <c r="G27" s="1070"/>
      <c r="H27" s="1070"/>
      <c r="I27" s="1070"/>
    </row>
    <row r="28" spans="1:9" ht="15.75" customHeight="1" x14ac:dyDescent="0.3">
      <c r="A28" s="339" t="s">
        <v>828</v>
      </c>
      <c r="B28" s="569"/>
      <c r="C28" s="569"/>
      <c r="D28" s="569"/>
      <c r="E28" s="569"/>
      <c r="F28" s="569"/>
      <c r="G28" s="569"/>
      <c r="H28" s="569"/>
      <c r="I28" s="569"/>
    </row>
    <row r="29" spans="1:9" ht="15.75" customHeight="1" x14ac:dyDescent="0.3">
      <c r="A29" s="370"/>
      <c r="B29" s="25"/>
      <c r="C29" s="25"/>
      <c r="D29" s="25"/>
      <c r="E29" s="25"/>
      <c r="F29" s="25"/>
      <c r="G29" s="25"/>
      <c r="H29" s="25"/>
      <c r="I29" s="25"/>
    </row>
    <row r="30" spans="1:9" ht="15.75" customHeight="1" x14ac:dyDescent="0.3">
      <c r="A30" s="1062" t="s">
        <v>829</v>
      </c>
      <c r="B30" s="1062"/>
      <c r="C30" s="1062"/>
      <c r="D30" s="1062"/>
      <c r="E30" s="1062"/>
      <c r="F30" s="1062"/>
      <c r="G30" s="1062"/>
      <c r="H30" s="1062"/>
      <c r="I30" s="1062"/>
    </row>
    <row r="31" spans="1:9" ht="15.75" customHeight="1" x14ac:dyDescent="0.3">
      <c r="A31" t="s">
        <v>203</v>
      </c>
      <c r="B31" t="s">
        <v>104</v>
      </c>
      <c r="C31" s="297"/>
      <c r="D31" s="297"/>
      <c r="E31" s="297"/>
      <c r="F31" s="297"/>
      <c r="G31" s="297"/>
      <c r="H31" s="297"/>
      <c r="I31" s="297"/>
    </row>
    <row r="32" spans="1:9" ht="15.6" x14ac:dyDescent="0.3">
      <c r="A32" t="s">
        <v>204</v>
      </c>
      <c r="B32" t="s">
        <v>205</v>
      </c>
      <c r="C32" s="297"/>
      <c r="D32" s="297"/>
      <c r="E32" s="297"/>
      <c r="F32" s="297"/>
      <c r="G32" s="297"/>
      <c r="H32" s="297"/>
      <c r="I32" s="297"/>
    </row>
    <row r="33" spans="1:9" ht="15.6" x14ac:dyDescent="0.3">
      <c r="A33" t="s">
        <v>206</v>
      </c>
      <c r="B33" t="s">
        <v>207</v>
      </c>
      <c r="C33" s="297"/>
      <c r="D33" s="297"/>
      <c r="E33" s="297"/>
      <c r="F33" s="297"/>
      <c r="G33" s="297"/>
      <c r="H33" s="297"/>
      <c r="I33" s="297"/>
    </row>
    <row r="34" spans="1:9" ht="15.6" x14ac:dyDescent="0.3">
      <c r="C34" s="233"/>
      <c r="D34" s="233"/>
      <c r="E34" s="233"/>
      <c r="F34" s="233"/>
      <c r="G34" s="233"/>
      <c r="H34" s="233"/>
      <c r="I34" s="824" t="s">
        <v>94</v>
      </c>
    </row>
    <row r="35" spans="1:9" x14ac:dyDescent="0.3">
      <c r="A35" s="662" t="s">
        <v>208</v>
      </c>
      <c r="B35" s="662" t="s">
        <v>517</v>
      </c>
      <c r="C35" s="662" t="s">
        <v>361</v>
      </c>
      <c r="D35" s="662" t="s">
        <v>518</v>
      </c>
      <c r="E35" s="662" t="s">
        <v>513</v>
      </c>
      <c r="F35" s="662" t="s">
        <v>514</v>
      </c>
      <c r="G35" s="662" t="s">
        <v>339</v>
      </c>
      <c r="H35" s="662" t="s">
        <v>340</v>
      </c>
      <c r="I35" s="662" t="s">
        <v>830</v>
      </c>
    </row>
    <row r="36" spans="1:9" x14ac:dyDescent="0.3">
      <c r="A36" s="312" t="s">
        <v>365</v>
      </c>
      <c r="B36" s="751">
        <f>GETPIVOTDATA("Sum of Wholetime Operational",DisabilityPivot!$A$27,"Year",A36)</f>
        <v>80.8</v>
      </c>
      <c r="C36" s="751">
        <f>GETPIVOTDATA("Sum of Retained Duty System",DisabilityPivot!$A$27,"Year",A36)</f>
        <v>96.9</v>
      </c>
      <c r="D36" s="751"/>
      <c r="E36" s="751">
        <f>GETPIVOTDATA("Sum of Control",DisabilityPivot!$A$27,"Year",A36)</f>
        <v>60.4</v>
      </c>
      <c r="F36" s="751">
        <f>GETPIVOTDATA("Sum of Control",DisabilityPivot!$A$27,"Year",A36)</f>
        <v>60.4</v>
      </c>
      <c r="G36" s="751">
        <f>GETPIVOTDATA("Sum of Volunteer",DisabilityPivot!$A$27,"Year",A36)</f>
        <v>47.4</v>
      </c>
      <c r="H36" s="752">
        <f>GETPIVOTDATA("Sum of Total",DisabilityPivot!$A$27,"Year",A36)</f>
        <v>84.1</v>
      </c>
      <c r="I36" s="752">
        <f>GETPIVOTDATA("Sum of Total (excluding volunters)",DisabilityPivot!$A$27,"Year",A36)</f>
        <v>85.9</v>
      </c>
    </row>
    <row r="37" spans="1:9" x14ac:dyDescent="0.3">
      <c r="A37" s="312" t="s">
        <v>366</v>
      </c>
      <c r="B37" s="751">
        <f>GETPIVOTDATA("Sum of Wholetime Operational",DisabilityPivot!$A$27,"Year",A37)</f>
        <v>100</v>
      </c>
      <c r="C37" s="751">
        <f>GETPIVOTDATA("Sum of Retained Duty System",DisabilityPivot!$A$27,"Year",A37)</f>
        <v>98</v>
      </c>
      <c r="D37" s="751"/>
      <c r="E37" s="751">
        <f>GETPIVOTDATA("Sum of Control",DisabilityPivot!$A$27,"Year",A37)</f>
        <v>100</v>
      </c>
      <c r="F37" s="751">
        <f>GETPIVOTDATA("Sum of Control",DisabilityPivot!$A$27,"Year",A37)</f>
        <v>100</v>
      </c>
      <c r="G37" s="751">
        <f>GETPIVOTDATA("Sum of Volunteer",DisabilityPivot!$A$27,"Year",A37)</f>
        <v>94</v>
      </c>
      <c r="H37" s="752">
        <f>GETPIVOTDATA("Sum of Total",DisabilityPivot!$A$27,"Year",A37)</f>
        <v>99</v>
      </c>
      <c r="I37" s="752">
        <f>GETPIVOTDATA("Sum of Total (excluding volunters)",DisabilityPivot!$A$27,"Year",A37)</f>
        <v>99</v>
      </c>
    </row>
    <row r="38" spans="1:9" x14ac:dyDescent="0.3">
      <c r="A38" s="312" t="s">
        <v>341</v>
      </c>
      <c r="B38" s="751">
        <f>GETPIVOTDATA("Sum of Wholetime Operational",DisabilityPivot!$A$27,"Year",A38)</f>
        <v>99.5</v>
      </c>
      <c r="C38" s="751">
        <f>GETPIVOTDATA("Sum of Retained Duty System",DisabilityPivot!$A$27,"Year",A38)</f>
        <v>95.2</v>
      </c>
      <c r="D38" s="751"/>
      <c r="E38" s="751">
        <f>GETPIVOTDATA("Sum of Control",DisabilityPivot!$A$27,"Year",A38)</f>
        <v>99.4</v>
      </c>
      <c r="F38" s="751">
        <f>GETPIVOTDATA("Sum of Control",DisabilityPivot!$A$27,"Year",A38)</f>
        <v>99.4</v>
      </c>
      <c r="G38" s="751">
        <f>GETPIVOTDATA("Sum of Volunteer",DisabilityPivot!$A$27,"Year",A38)</f>
        <v>96.2</v>
      </c>
      <c r="H38" s="752">
        <f>GETPIVOTDATA("Sum of Total",DisabilityPivot!$A$27,"Year",A38)</f>
        <v>96.8</v>
      </c>
      <c r="I38" s="752">
        <f>GETPIVOTDATA("Sum of Total (excluding volunters)",DisabilityPivot!$A$27,"Year",A38)</f>
        <v>96.9</v>
      </c>
    </row>
    <row r="39" spans="1:9" x14ac:dyDescent="0.3">
      <c r="A39" s="312" t="s">
        <v>342</v>
      </c>
      <c r="B39" s="751">
        <f>GETPIVOTDATA("Sum of Wholetime Operational",DisabilityPivot!$A$27,"Year",A39)</f>
        <v>91.4</v>
      </c>
      <c r="C39" s="751">
        <f>GETPIVOTDATA("Sum of Retained Duty System",DisabilityPivot!$A$27,"Year",A39)</f>
        <v>80.599999999999994</v>
      </c>
      <c r="D39" s="751"/>
      <c r="E39" s="751">
        <f>GETPIVOTDATA("Sum of Control",DisabilityPivot!$A$27,"Year",A39)</f>
        <v>87.3</v>
      </c>
      <c r="F39" s="751">
        <f>GETPIVOTDATA("Sum of Control",DisabilityPivot!$A$27,"Year",A39)</f>
        <v>87.3</v>
      </c>
      <c r="G39" s="751">
        <f>GETPIVOTDATA("Sum of Volunteer",DisabilityPivot!$A$27,"Year",A39)</f>
        <v>96.4</v>
      </c>
      <c r="H39" s="752">
        <f>GETPIVOTDATA("Sum of Total",DisabilityPivot!$A$27,"Year",A39)</f>
        <v>85.8</v>
      </c>
      <c r="I39" s="752">
        <f>GETPIVOTDATA("Sum of Total (excluding volunters)",DisabilityPivot!$A$27,"Year",A39)</f>
        <v>85.3</v>
      </c>
    </row>
    <row r="40" spans="1:9" x14ac:dyDescent="0.3">
      <c r="A40" s="312" t="s">
        <v>213</v>
      </c>
      <c r="B40" s="751">
        <f>GETPIVOTDATA("Sum of Wholetime Operational",DisabilityPivot!$A$27,"Year",A40)</f>
        <v>78.828704976629098</v>
      </c>
      <c r="C40" s="751">
        <f>GETPIVOTDATA("Sum of Retained Duty System",DisabilityPivot!$A$27,"Year",A40)</f>
        <v>73.789366745682358</v>
      </c>
      <c r="D40" s="751"/>
      <c r="E40" s="751">
        <f>GETPIVOTDATA("Sum of Control",DisabilityPivot!$A$27,"Year",A40)</f>
        <v>78.260869565217391</v>
      </c>
      <c r="F40" s="751">
        <f>GETPIVOTDATA("Sum of Control",DisabilityPivot!$A$27,"Year",A40)</f>
        <v>78.260869565217391</v>
      </c>
      <c r="G40" s="751">
        <f>GETPIVOTDATA("Sum of Volunteer",DisabilityPivot!$A$27,"Year",A40)</f>
        <v>95.899053627760253</v>
      </c>
      <c r="H40" s="752">
        <f>GETPIVOTDATA("Sum of Total",DisabilityPivot!$A$27,"Year",A40)</f>
        <v>75.739944346066281</v>
      </c>
      <c r="I40" s="752">
        <f>GETPIVOTDATA("Sum of Total (excluding volunters)",DisabilityPivot!$A$27,"Year",A40)</f>
        <v>74.89787850836737</v>
      </c>
    </row>
    <row r="41" spans="1:9" x14ac:dyDescent="0.3">
      <c r="A41" s="312" t="s">
        <v>312</v>
      </c>
      <c r="B41" s="751">
        <f>GETPIVOTDATA("Sum of Wholetime Operational",DisabilityPivot!$A$27,"Year",A41)</f>
        <v>75.880088008800882</v>
      </c>
      <c r="C41" s="751">
        <f>GETPIVOTDATA("Sum of Retained Duty System",DisabilityPivot!$A$27,"Year",A41)</f>
        <v>74.08920667347634</v>
      </c>
      <c r="D41" s="751">
        <f>GETPIVOTDATA("Sum of Retained Fulltime",DisabilityPivot!$A$27,"Year",A41)</f>
        <v>55.555555555555557</v>
      </c>
      <c r="E41" s="751">
        <f>GETPIVOTDATA("Sum of Control",DisabilityPivot!$A$27,"Year",A41)</f>
        <v>78.723404255319153</v>
      </c>
      <c r="F41" s="751">
        <f>GETPIVOTDATA("Sum of Control",DisabilityPivot!$A$27,"Year",A41)</f>
        <v>78.723404255319153</v>
      </c>
      <c r="G41" s="751">
        <f>GETPIVOTDATA("Sum of Volunteer",DisabilityPivot!$A$27,"Year",A41)</f>
        <v>94.92063492063491</v>
      </c>
      <c r="H41" s="752">
        <f>GETPIVOTDATA("Sum of Total",DisabilityPivot!$A$27,"Year",A41)</f>
        <v>74.237074401008826</v>
      </c>
      <c r="I41" s="752">
        <f>GETPIVOTDATA("Sum of Total (excluding volunters)",DisabilityPivot!$A$27,"Year",A41)</f>
        <v>73.381483913328964</v>
      </c>
    </row>
    <row r="42" spans="1:9" x14ac:dyDescent="0.3">
      <c r="A42" s="312" t="s">
        <v>318</v>
      </c>
      <c r="B42" s="751">
        <f>GETPIVOTDATA("Sum of Wholetime Operational",DisabilityPivot!$A$27,"Year",A42)</f>
        <v>74.469866071428569</v>
      </c>
      <c r="C42" s="751">
        <f>GETPIVOTDATA("Sum of Retained Duty System",DisabilityPivot!$A$27,"Year",A42)</f>
        <v>73.850974930362113</v>
      </c>
      <c r="D42" s="751">
        <f>GETPIVOTDATA("Sum of Retained Fulltime",DisabilityPivot!$A$27,"Year",A42)</f>
        <v>59.259259259259252</v>
      </c>
      <c r="E42" s="751">
        <f>GETPIVOTDATA("Sum of Control",DisabilityPivot!$A$27,"Year",A42)</f>
        <v>71.428571428571431</v>
      </c>
      <c r="F42" s="751">
        <f>GETPIVOTDATA("Sum of Control",DisabilityPivot!$A$27,"Year",A42)</f>
        <v>71.428571428571431</v>
      </c>
      <c r="G42" s="751">
        <f>GETPIVOTDATA("Sum of Volunteer",DisabilityPivot!$A$27,"Year",A42)</f>
        <v>94.38943894389439</v>
      </c>
      <c r="H42" s="752">
        <f>GETPIVOTDATA("Sum of Total",DisabilityPivot!$A$27,"Year",A42)</f>
        <v>73.017494572851476</v>
      </c>
      <c r="I42" s="752">
        <f>GETPIVOTDATA("Sum of Total (excluding volunters)",DisabilityPivot!$A$27,"Year",A42)</f>
        <v>72.157279489904354</v>
      </c>
    </row>
    <row r="43" spans="1:9" x14ac:dyDescent="0.3">
      <c r="A43" s="312" t="s">
        <v>320</v>
      </c>
      <c r="B43" s="751">
        <f>GETPIVOTDATA("Sum of Wholetime Operational",DisabilityPivot!$A$27,"Year",A43)</f>
        <v>72.963067380885263</v>
      </c>
      <c r="C43" s="751">
        <f>GETPIVOTDATA("Sum of Retained Duty System",DisabilityPivot!$A$27,"Year",A43)</f>
        <v>74.139804418688882</v>
      </c>
      <c r="D43" s="751">
        <f>GETPIVOTDATA("Sum of Retained Fulltime",DisabilityPivot!$A$27,"Year",A43)</f>
        <v>60.377358490566039</v>
      </c>
      <c r="E43" s="751">
        <f>GETPIVOTDATA("Sum of Control",DisabilityPivot!$A$27,"Year",A43)</f>
        <v>67.2316384180791</v>
      </c>
      <c r="F43" s="751">
        <f>GETPIVOTDATA("Sum of Control",DisabilityPivot!$A$27,"Year",A43)</f>
        <v>67.2316384180791</v>
      </c>
      <c r="G43" s="751">
        <f>GETPIVOTDATA("Sum of Volunteer",DisabilityPivot!$A$27,"Year",A43)</f>
        <v>93.501805054151617</v>
      </c>
      <c r="H43" s="752">
        <f>GETPIVOTDATA("Sum of Total",DisabilityPivot!$A$27,"Year",A43)</f>
        <v>71.468674237590918</v>
      </c>
      <c r="I43" s="752">
        <f>GETPIVOTDATA("Sum of Total (excluding volunters)",DisabilityPivot!$A$27,"Year",A43)</f>
        <v>71.417112299465231</v>
      </c>
    </row>
    <row r="44" spans="1:9" x14ac:dyDescent="0.3">
      <c r="A44" s="312" t="s">
        <v>325</v>
      </c>
      <c r="B44" s="751">
        <f>GETPIVOTDATA("Sum of Wholetime Operational",DisabilityPivot!$A$27,"Year",A44)</f>
        <v>70.981507823613086</v>
      </c>
      <c r="C44" s="751">
        <f>GETPIVOTDATA("Sum of Retained Duty System",DisabilityPivot!$A$27,"Year",A44)</f>
        <v>74.232456140350877</v>
      </c>
      <c r="D44" s="751">
        <f>GETPIVOTDATA("Sum of Retained Fulltime",DisabilityPivot!$A$27,"Year",A44)</f>
        <v>62.962962962962962</v>
      </c>
      <c r="E44" s="751">
        <f>GETPIVOTDATA("Sum of Control",DisabilityPivot!$A$27,"Year",A44)</f>
        <v>68.965517241379317</v>
      </c>
      <c r="F44" s="751">
        <f>GETPIVOTDATA("Sum of Control",DisabilityPivot!$A$27,"Year",A44)</f>
        <v>68.965517241379317</v>
      </c>
      <c r="G44" s="751">
        <f>GETPIVOTDATA("Sum of Volunteer",DisabilityPivot!$A$27,"Year",A44)</f>
        <v>93.609022556390968</v>
      </c>
      <c r="H44" s="752">
        <f>GETPIVOTDATA("Sum of Total",DisabilityPivot!$A$27,"Year",A44)</f>
        <v>70.378447722899296</v>
      </c>
      <c r="I44" s="752">
        <f>GETPIVOTDATA("Sum of Total (excluding volunters)",DisabilityPivot!$A$27,"Year",A44)</f>
        <v>70.722484807562452</v>
      </c>
    </row>
    <row r="45" spans="1:9" x14ac:dyDescent="0.3">
      <c r="A45" s="185" t="s">
        <v>326</v>
      </c>
      <c r="B45" s="982">
        <f>GETPIVOTDATA("Sum of Wholetime Operational",DisabilityPivot!$A$27,"Year",A45)</f>
        <v>70.976176641487513</v>
      </c>
      <c r="C45" s="982">
        <f>GETPIVOTDATA("Sum of Retained Duty System",DisabilityPivot!$A$27,"Year",A45)</f>
        <v>75.662739322533128</v>
      </c>
      <c r="D45" s="751">
        <f>GETPIVOTDATA("Sum of Retained Fulltime",DisabilityPivot!$A$27,"Year",A45)</f>
        <v>64.81481481481481</v>
      </c>
      <c r="E45" s="982">
        <f>GETPIVOTDATA("Sum of Control",DisabilityPivot!$A$27,"Year",A45)</f>
        <v>70.520231213872833</v>
      </c>
      <c r="F45" s="982">
        <f>GETPIVOTDATA("Sum of Control",DisabilityPivot!$A$27,"Year",A45)</f>
        <v>70.520231213872833</v>
      </c>
      <c r="G45" s="982">
        <f>GETPIVOTDATA("Sum of Volunteer",DisabilityPivot!$A$27,"Year",A45)</f>
        <v>93.333333333333329</v>
      </c>
      <c r="H45" s="983">
        <f>GETPIVOTDATA("Sum of Total",DisabilityPivot!$A$27,"Year",A45)</f>
        <v>70.841436535718913</v>
      </c>
      <c r="I45" s="983">
        <f>GETPIVOTDATA("Sum of Total (excluding volunters)",DisabilityPivot!$A$27,"Year",A45)</f>
        <v>71.446196024674435</v>
      </c>
    </row>
    <row r="46" spans="1:9" x14ac:dyDescent="0.3">
      <c r="A46" s="185" t="s">
        <v>328</v>
      </c>
      <c r="B46" s="982">
        <f>GETPIVOTDATA("Sum of Wholetime Operational",DisabilityPivot!$A$27,"Year",A46)</f>
        <v>71.756168359941938</v>
      </c>
      <c r="C46" s="982">
        <f>GETPIVOTDATA("Sum of Retained Duty System",DisabilityPivot!$A$27,"Year",A46)</f>
        <v>76.559616094499816</v>
      </c>
      <c r="D46" s="751">
        <f>GETPIVOTDATA("Sum of Retained Fulltime",DisabilityPivot!$A$27,"Year",A46)</f>
        <v>67.213114754098356</v>
      </c>
      <c r="E46" s="982">
        <f>GETPIVOTDATA("Sum of Control",DisabilityPivot!$A$27,"Year",A46)</f>
        <v>70.520231213872833</v>
      </c>
      <c r="F46" s="982">
        <f>GETPIVOTDATA("Sum of Control",DisabilityPivot!$A$27,"Year",A46)</f>
        <v>70.520231213872833</v>
      </c>
      <c r="G46" s="982">
        <f>GETPIVOTDATA("Sum of Volunteer",DisabilityPivot!$A$27,"Year",A46)</f>
        <v>93.040293040293037</v>
      </c>
      <c r="H46" s="983">
        <f>GETPIVOTDATA("Sum of Total",DisabilityPivot!$A$27,"Year",A46)</f>
        <v>71.496712646641754</v>
      </c>
      <c r="I46" s="983">
        <f>GETPIVOTDATA("Sum of Total (excluding volunters)",DisabilityPivot!$A$27,"Year",A46)</f>
        <v>72.157076629397338</v>
      </c>
    </row>
    <row r="47" spans="1:9" ht="15" thickBot="1" x14ac:dyDescent="0.35">
      <c r="A47" s="843" t="s">
        <v>412</v>
      </c>
      <c r="B47" s="844">
        <f>GETPIVOTDATA("Sum of Wholetime Operational",DisabilityPivot!$A$27,"Year",A47)</f>
        <v>71.632237416351472</v>
      </c>
      <c r="C47" s="844">
        <f>GETPIVOTDATA("Sum of Retained Duty System",DisabilityPivot!$A$27,"Year",A47)</f>
        <v>77.001455604075687</v>
      </c>
      <c r="D47" s="753">
        <f>GETPIVOTDATA("Sum of Retained Fulltime",DisabilityPivot!$A$27,"Year",A47)</f>
        <v>68.333333333333329</v>
      </c>
      <c r="E47" s="844">
        <f>GETPIVOTDATA("Sum of Control",DisabilityPivot!$A$27,"Year",A47)</f>
        <v>70.391061452513966</v>
      </c>
      <c r="F47" s="844">
        <f>GETPIVOTDATA("Sum of Control",DisabilityPivot!$A$27,"Year",A47)</f>
        <v>70.391061452513966</v>
      </c>
      <c r="G47" s="844">
        <f>GETPIVOTDATA("Sum of Volunteer",DisabilityPivot!$A$27,"Year",A47)</f>
        <v>94.047619047619051</v>
      </c>
      <c r="H47" s="845">
        <f>GETPIVOTDATA("Sum of Total",DisabilityPivot!$A$27,"Year",A47)</f>
        <v>71.380903490759749</v>
      </c>
      <c r="I47" s="845">
        <f>GETPIVOTDATA("Sum of Total (excluding volunters)",DisabilityPivot!$A$27,"Year",A47)</f>
        <v>72.252374491180461</v>
      </c>
    </row>
    <row r="48" spans="1:9" x14ac:dyDescent="0.3">
      <c r="A48" s="185"/>
      <c r="B48" s="186"/>
      <c r="C48" s="186"/>
      <c r="D48" s="186"/>
      <c r="E48" s="186"/>
      <c r="F48" s="186"/>
      <c r="G48" s="186"/>
      <c r="H48" s="186"/>
      <c r="I48" s="186"/>
    </row>
    <row r="49" spans="1:9" x14ac:dyDescent="0.3">
      <c r="A49" s="335" t="s">
        <v>329</v>
      </c>
      <c r="B49" s="186"/>
      <c r="C49" s="186"/>
      <c r="D49" s="186"/>
      <c r="E49" s="186"/>
      <c r="F49" s="186"/>
      <c r="G49" s="186"/>
      <c r="H49" s="186"/>
      <c r="I49" s="186"/>
    </row>
    <row r="50" spans="1:9" x14ac:dyDescent="0.3">
      <c r="A50" s="1070" t="s">
        <v>831</v>
      </c>
      <c r="B50" s="1070"/>
      <c r="C50" s="1070"/>
      <c r="D50" s="1070"/>
      <c r="E50" s="1070"/>
      <c r="F50" s="1070"/>
      <c r="G50" s="1070"/>
      <c r="H50" s="1070"/>
      <c r="I50" s="1070"/>
    </row>
    <row r="51" spans="1:9" x14ac:dyDescent="0.3">
      <c r="A51" s="1070" t="s">
        <v>828</v>
      </c>
      <c r="B51" s="1070"/>
      <c r="C51" s="1070"/>
      <c r="D51" s="1070"/>
      <c r="E51" s="1070"/>
      <c r="F51" s="1070"/>
      <c r="G51" s="1070"/>
      <c r="H51" s="1070"/>
      <c r="I51" s="1070"/>
    </row>
  </sheetData>
  <sheetProtection algorithmName="SHA-512" hashValue="4xQ49jtS41Q4driSQzHVB2in5Om72NJVaxXYPY7y7ZO+1LMyGi9dYWCE1FckIyX7XT4gcWmRPG13yhi+64s7zQ==" saltValue="vKjefeNre2qVmqRC4A9cBw==" spinCount="100000" sheet="1" formatCells="0" sort="0" autoFilter="0" pivotTables="0"/>
  <mergeCells count="6">
    <mergeCell ref="A1:C1"/>
    <mergeCell ref="A51:I51"/>
    <mergeCell ref="A4:I4"/>
    <mergeCell ref="A30:I30"/>
    <mergeCell ref="A27:I27"/>
    <mergeCell ref="A50:I50"/>
  </mergeCells>
  <phoneticPr fontId="53" type="noConversion"/>
  <hyperlinks>
    <hyperlink ref="A2" location="'Table of Contents'!A1" display="Back to Table of Contents" xr:uid="{00000000-0004-0000-6B00-000000000000}"/>
  </hyperlinks>
  <pageMargins left="0.70866141732283472" right="0.70866141732283472" top="0.74803149606299213" bottom="0.74803149606299213" header="0.31496062992125984" footer="0.31496062992125984"/>
  <pageSetup scale="83" orientation="portrait" r:id="rId1"/>
  <tableParts count="1">
    <tablePart r:id="rId2"/>
  </tableParts>
</worksheet>
</file>

<file path=xl/worksheets/sheet10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55B12E3-0CA8-4E9A-A64A-99921B0B4B0C}">
  <sheetPr>
    <tabColor theme="9" tint="0.39997558519241921"/>
  </sheetPr>
  <dimension ref="A1:I63"/>
  <sheetViews>
    <sheetView topLeftCell="A25" workbookViewId="0">
      <selection activeCell="C14" sqref="C14"/>
    </sheetView>
  </sheetViews>
  <sheetFormatPr defaultRowHeight="14.4" x14ac:dyDescent="0.3"/>
  <cols>
    <col min="1" max="1" width="7.6640625" bestFit="1" customWidth="1"/>
    <col min="2" max="2" width="30.109375" bestFit="1" customWidth="1"/>
    <col min="3" max="3" width="24.109375" bestFit="1" customWidth="1"/>
    <col min="4" max="4" width="22.33203125" bestFit="1" customWidth="1"/>
    <col min="5" max="5" width="19.5546875" bestFit="1" customWidth="1"/>
    <col min="6" max="6" width="9.5546875" bestFit="1" customWidth="1"/>
    <col min="7" max="7" width="10" bestFit="1" customWidth="1"/>
    <col min="8" max="8" width="12.77734375" bestFit="1" customWidth="1"/>
    <col min="9" max="9" width="7.44140625" bestFit="1" customWidth="1"/>
  </cols>
  <sheetData>
    <row r="1" spans="1:9" x14ac:dyDescent="0.3">
      <c r="A1" t="s">
        <v>208</v>
      </c>
      <c r="B1" t="s">
        <v>111</v>
      </c>
      <c r="C1" t="s">
        <v>517</v>
      </c>
      <c r="D1" t="s">
        <v>361</v>
      </c>
      <c r="E1" t="s">
        <v>518</v>
      </c>
      <c r="F1" t="s">
        <v>513</v>
      </c>
      <c r="G1" t="s">
        <v>514</v>
      </c>
      <c r="H1" t="s">
        <v>832</v>
      </c>
      <c r="I1" t="s">
        <v>340</v>
      </c>
    </row>
    <row r="2" spans="1:9" x14ac:dyDescent="0.3">
      <c r="A2" t="s">
        <v>213</v>
      </c>
      <c r="B2" t="s">
        <v>833</v>
      </c>
      <c r="C2">
        <v>3</v>
      </c>
      <c r="D2">
        <v>8</v>
      </c>
      <c r="E2">
        <v>0</v>
      </c>
      <c r="F2">
        <v>0</v>
      </c>
      <c r="G2">
        <v>2</v>
      </c>
      <c r="H2">
        <v>0</v>
      </c>
      <c r="I2">
        <v>13</v>
      </c>
    </row>
    <row r="3" spans="1:9" x14ac:dyDescent="0.3">
      <c r="A3" t="s">
        <v>213</v>
      </c>
      <c r="B3" t="s">
        <v>834</v>
      </c>
      <c r="C3">
        <v>0</v>
      </c>
      <c r="D3">
        <v>0</v>
      </c>
      <c r="E3">
        <v>0</v>
      </c>
      <c r="F3">
        <v>0</v>
      </c>
      <c r="G3">
        <v>4</v>
      </c>
      <c r="H3">
        <v>0</v>
      </c>
      <c r="I3">
        <v>4</v>
      </c>
    </row>
    <row r="4" spans="1:9" x14ac:dyDescent="0.3">
      <c r="A4" t="s">
        <v>213</v>
      </c>
      <c r="B4" t="s">
        <v>475</v>
      </c>
      <c r="C4">
        <v>4</v>
      </c>
      <c r="D4">
        <v>2</v>
      </c>
      <c r="E4">
        <v>0</v>
      </c>
      <c r="F4">
        <v>0</v>
      </c>
      <c r="G4">
        <v>1</v>
      </c>
      <c r="H4">
        <v>0</v>
      </c>
      <c r="I4">
        <v>7</v>
      </c>
    </row>
    <row r="5" spans="1:9" x14ac:dyDescent="0.3">
      <c r="A5" t="s">
        <v>213</v>
      </c>
      <c r="B5" t="s">
        <v>835</v>
      </c>
      <c r="C5">
        <v>13</v>
      </c>
      <c r="D5">
        <v>144</v>
      </c>
      <c r="E5">
        <v>0</v>
      </c>
      <c r="F5">
        <v>9</v>
      </c>
      <c r="G5">
        <v>49</v>
      </c>
      <c r="H5">
        <v>32</v>
      </c>
      <c r="I5">
        <v>247</v>
      </c>
    </row>
    <row r="6" spans="1:9" x14ac:dyDescent="0.3">
      <c r="A6" t="s">
        <v>213</v>
      </c>
      <c r="B6" t="s">
        <v>836</v>
      </c>
      <c r="C6">
        <v>46</v>
      </c>
      <c r="D6">
        <v>12</v>
      </c>
      <c r="E6">
        <v>0</v>
      </c>
      <c r="F6">
        <v>1</v>
      </c>
      <c r="G6">
        <v>3</v>
      </c>
      <c r="H6">
        <v>3</v>
      </c>
      <c r="I6">
        <v>65</v>
      </c>
    </row>
    <row r="7" spans="1:9" x14ac:dyDescent="0.3">
      <c r="A7" t="s">
        <v>213</v>
      </c>
      <c r="B7" t="s">
        <v>837</v>
      </c>
      <c r="C7">
        <v>110</v>
      </c>
      <c r="D7">
        <v>18</v>
      </c>
      <c r="E7">
        <v>0</v>
      </c>
      <c r="F7">
        <v>4</v>
      </c>
      <c r="G7">
        <v>12</v>
      </c>
      <c r="H7">
        <v>3</v>
      </c>
      <c r="I7">
        <v>147</v>
      </c>
    </row>
    <row r="8" spans="1:9" x14ac:dyDescent="0.3">
      <c r="A8" t="s">
        <v>213</v>
      </c>
      <c r="B8" t="s">
        <v>838</v>
      </c>
      <c r="C8">
        <v>0</v>
      </c>
      <c r="D8">
        <v>0</v>
      </c>
      <c r="E8">
        <v>0</v>
      </c>
      <c r="F8">
        <v>0</v>
      </c>
      <c r="G8">
        <v>12</v>
      </c>
      <c r="H8">
        <v>0</v>
      </c>
      <c r="I8">
        <v>12</v>
      </c>
    </row>
    <row r="9" spans="1:9" x14ac:dyDescent="0.3">
      <c r="A9" t="s">
        <v>213</v>
      </c>
      <c r="B9" t="s">
        <v>839</v>
      </c>
      <c r="C9">
        <v>8</v>
      </c>
      <c r="D9">
        <v>4</v>
      </c>
      <c r="E9">
        <v>0</v>
      </c>
      <c r="F9">
        <v>0</v>
      </c>
      <c r="G9">
        <v>1</v>
      </c>
      <c r="H9">
        <v>0</v>
      </c>
      <c r="I9">
        <v>13</v>
      </c>
    </row>
    <row r="10" spans="1:9" x14ac:dyDescent="0.3">
      <c r="A10" t="s">
        <v>213</v>
      </c>
      <c r="B10" t="s">
        <v>840</v>
      </c>
      <c r="C10">
        <v>2</v>
      </c>
      <c r="D10">
        <v>0</v>
      </c>
      <c r="E10">
        <v>0</v>
      </c>
      <c r="F10">
        <v>0</v>
      </c>
      <c r="G10">
        <v>0</v>
      </c>
      <c r="H10">
        <v>0</v>
      </c>
      <c r="I10">
        <v>2</v>
      </c>
    </row>
    <row r="11" spans="1:9" x14ac:dyDescent="0.3">
      <c r="A11" t="s">
        <v>213</v>
      </c>
      <c r="B11" t="s">
        <v>841</v>
      </c>
      <c r="C11">
        <v>0</v>
      </c>
      <c r="D11">
        <v>0</v>
      </c>
      <c r="E11">
        <v>0</v>
      </c>
      <c r="F11">
        <v>0</v>
      </c>
      <c r="G11">
        <v>47</v>
      </c>
      <c r="H11">
        <v>0</v>
      </c>
      <c r="I11">
        <v>47</v>
      </c>
    </row>
    <row r="12" spans="1:9" x14ac:dyDescent="0.3">
      <c r="A12" t="s">
        <v>213</v>
      </c>
      <c r="B12" t="s">
        <v>842</v>
      </c>
      <c r="C12">
        <v>0</v>
      </c>
      <c r="D12">
        <v>0</v>
      </c>
      <c r="E12">
        <v>0</v>
      </c>
      <c r="F12">
        <v>0</v>
      </c>
      <c r="G12">
        <v>17</v>
      </c>
      <c r="H12">
        <v>0</v>
      </c>
      <c r="I12">
        <v>17</v>
      </c>
    </row>
    <row r="13" spans="1:9" x14ac:dyDescent="0.3">
      <c r="A13" t="s">
        <v>312</v>
      </c>
      <c r="B13" t="s">
        <v>833</v>
      </c>
      <c r="C13">
        <v>4</v>
      </c>
      <c r="D13">
        <v>2</v>
      </c>
      <c r="E13">
        <v>0</v>
      </c>
      <c r="F13">
        <v>0</v>
      </c>
      <c r="G13">
        <v>1</v>
      </c>
      <c r="H13">
        <v>0</v>
      </c>
      <c r="I13">
        <v>7</v>
      </c>
    </row>
    <row r="14" spans="1:9" x14ac:dyDescent="0.3">
      <c r="A14" t="s">
        <v>312</v>
      </c>
      <c r="B14" t="s">
        <v>834</v>
      </c>
      <c r="C14">
        <v>0</v>
      </c>
      <c r="D14">
        <v>0</v>
      </c>
      <c r="E14">
        <v>0</v>
      </c>
      <c r="F14">
        <v>0</v>
      </c>
      <c r="G14">
        <v>7</v>
      </c>
      <c r="H14">
        <v>0</v>
      </c>
      <c r="I14">
        <v>7</v>
      </c>
    </row>
    <row r="15" spans="1:9" x14ac:dyDescent="0.3">
      <c r="A15" t="s">
        <v>312</v>
      </c>
      <c r="B15" t="s">
        <v>475</v>
      </c>
      <c r="C15">
        <v>2</v>
      </c>
      <c r="D15">
        <v>4</v>
      </c>
      <c r="E15">
        <v>0</v>
      </c>
      <c r="F15">
        <v>1</v>
      </c>
      <c r="G15">
        <v>0</v>
      </c>
      <c r="H15">
        <v>2</v>
      </c>
      <c r="I15">
        <v>9</v>
      </c>
    </row>
    <row r="16" spans="1:9" x14ac:dyDescent="0.3">
      <c r="A16" t="s">
        <v>312</v>
      </c>
      <c r="B16" t="s">
        <v>835</v>
      </c>
      <c r="C16">
        <v>21</v>
      </c>
      <c r="D16">
        <v>163</v>
      </c>
      <c r="E16">
        <v>0</v>
      </c>
      <c r="F16">
        <v>5</v>
      </c>
      <c r="G16">
        <v>29</v>
      </c>
      <c r="H16">
        <v>18</v>
      </c>
      <c r="I16">
        <v>236</v>
      </c>
    </row>
    <row r="17" spans="1:9" x14ac:dyDescent="0.3">
      <c r="A17" t="s">
        <v>312</v>
      </c>
      <c r="B17" t="s">
        <v>836</v>
      </c>
      <c r="C17">
        <v>16</v>
      </c>
      <c r="D17">
        <v>3</v>
      </c>
      <c r="E17">
        <v>0</v>
      </c>
      <c r="F17">
        <v>0</v>
      </c>
      <c r="G17">
        <v>1</v>
      </c>
      <c r="H17">
        <v>1</v>
      </c>
      <c r="I17">
        <v>21</v>
      </c>
    </row>
    <row r="18" spans="1:9" x14ac:dyDescent="0.3">
      <c r="A18" t="s">
        <v>312</v>
      </c>
      <c r="B18" t="s">
        <v>837</v>
      </c>
      <c r="C18">
        <v>152</v>
      </c>
      <c r="D18">
        <v>41</v>
      </c>
      <c r="E18">
        <v>0</v>
      </c>
      <c r="F18">
        <v>6</v>
      </c>
      <c r="G18">
        <v>14</v>
      </c>
      <c r="H18">
        <v>4</v>
      </c>
      <c r="I18">
        <v>217</v>
      </c>
    </row>
    <row r="19" spans="1:9" x14ac:dyDescent="0.3">
      <c r="A19" t="s">
        <v>312</v>
      </c>
      <c r="B19" t="s">
        <v>839</v>
      </c>
      <c r="C19">
        <v>7</v>
      </c>
      <c r="D19">
        <v>5</v>
      </c>
      <c r="E19">
        <v>0</v>
      </c>
      <c r="F19">
        <v>1</v>
      </c>
      <c r="G19">
        <v>1</v>
      </c>
      <c r="H19">
        <v>0</v>
      </c>
      <c r="I19">
        <v>14</v>
      </c>
    </row>
    <row r="20" spans="1:9" x14ac:dyDescent="0.3">
      <c r="A20" t="s">
        <v>318</v>
      </c>
      <c r="B20" t="s">
        <v>833</v>
      </c>
      <c r="C20">
        <v>3</v>
      </c>
      <c r="D20">
        <v>6</v>
      </c>
      <c r="E20">
        <v>0</v>
      </c>
      <c r="F20">
        <v>2</v>
      </c>
      <c r="G20">
        <v>1</v>
      </c>
      <c r="H20">
        <v>0</v>
      </c>
      <c r="I20">
        <v>12</v>
      </c>
    </row>
    <row r="21" spans="1:9" x14ac:dyDescent="0.3">
      <c r="A21" t="s">
        <v>318</v>
      </c>
      <c r="B21" t="s">
        <v>834</v>
      </c>
      <c r="C21">
        <v>0</v>
      </c>
      <c r="D21">
        <v>0</v>
      </c>
      <c r="E21">
        <v>0</v>
      </c>
      <c r="F21">
        <v>2</v>
      </c>
      <c r="G21">
        <v>7</v>
      </c>
      <c r="H21">
        <v>0</v>
      </c>
      <c r="I21">
        <v>9</v>
      </c>
    </row>
    <row r="22" spans="1:9" x14ac:dyDescent="0.3">
      <c r="A22" t="s">
        <v>318</v>
      </c>
      <c r="B22" t="s">
        <v>475</v>
      </c>
      <c r="C22">
        <v>2</v>
      </c>
      <c r="D22">
        <v>3</v>
      </c>
      <c r="E22">
        <v>0</v>
      </c>
      <c r="F22">
        <v>0</v>
      </c>
      <c r="G22">
        <v>2</v>
      </c>
      <c r="H22">
        <v>0</v>
      </c>
      <c r="I22">
        <v>7</v>
      </c>
    </row>
    <row r="23" spans="1:9" x14ac:dyDescent="0.3">
      <c r="A23" t="s">
        <v>318</v>
      </c>
      <c r="B23" t="s">
        <v>835</v>
      </c>
      <c r="C23">
        <v>8</v>
      </c>
      <c r="D23">
        <v>130</v>
      </c>
      <c r="E23">
        <v>0</v>
      </c>
      <c r="F23">
        <v>0</v>
      </c>
      <c r="G23">
        <v>20</v>
      </c>
      <c r="H23">
        <v>17</v>
      </c>
      <c r="I23">
        <v>175</v>
      </c>
    </row>
    <row r="24" spans="1:9" x14ac:dyDescent="0.3">
      <c r="A24" t="s">
        <v>318</v>
      </c>
      <c r="B24" t="s">
        <v>837</v>
      </c>
      <c r="C24">
        <v>175</v>
      </c>
      <c r="D24">
        <v>44</v>
      </c>
      <c r="E24">
        <v>0</v>
      </c>
      <c r="F24">
        <v>5</v>
      </c>
      <c r="G24">
        <v>13</v>
      </c>
      <c r="H24">
        <v>2</v>
      </c>
      <c r="I24">
        <v>239</v>
      </c>
    </row>
    <row r="25" spans="1:9" x14ac:dyDescent="0.3">
      <c r="A25" t="s">
        <v>318</v>
      </c>
      <c r="B25" t="s">
        <v>838</v>
      </c>
      <c r="C25">
        <v>0</v>
      </c>
      <c r="D25">
        <v>1</v>
      </c>
      <c r="E25">
        <v>0</v>
      </c>
      <c r="F25">
        <v>0</v>
      </c>
      <c r="G25">
        <v>0</v>
      </c>
      <c r="H25">
        <v>1</v>
      </c>
      <c r="I25">
        <v>2</v>
      </c>
    </row>
    <row r="26" spans="1:9" x14ac:dyDescent="0.3">
      <c r="A26" t="s">
        <v>318</v>
      </c>
      <c r="B26" t="s">
        <v>839</v>
      </c>
      <c r="C26">
        <v>5</v>
      </c>
      <c r="D26">
        <v>5</v>
      </c>
      <c r="E26">
        <v>0</v>
      </c>
      <c r="F26">
        <v>1</v>
      </c>
      <c r="G26">
        <v>1</v>
      </c>
      <c r="H26">
        <v>0</v>
      </c>
      <c r="I26">
        <v>12</v>
      </c>
    </row>
    <row r="27" spans="1:9" x14ac:dyDescent="0.3">
      <c r="A27" t="s">
        <v>320</v>
      </c>
      <c r="B27" t="s">
        <v>833</v>
      </c>
      <c r="C27">
        <v>1</v>
      </c>
      <c r="D27">
        <v>9</v>
      </c>
      <c r="E27">
        <v>0</v>
      </c>
      <c r="F27">
        <v>0</v>
      </c>
      <c r="G27">
        <v>1</v>
      </c>
      <c r="H27">
        <v>0</v>
      </c>
      <c r="I27">
        <v>11</v>
      </c>
    </row>
    <row r="28" spans="1:9" x14ac:dyDescent="0.3">
      <c r="A28" t="s">
        <v>320</v>
      </c>
      <c r="B28" t="s">
        <v>834</v>
      </c>
      <c r="C28">
        <v>1</v>
      </c>
      <c r="D28">
        <v>0</v>
      </c>
      <c r="E28">
        <v>0</v>
      </c>
      <c r="F28">
        <v>1</v>
      </c>
      <c r="G28">
        <v>12</v>
      </c>
      <c r="H28">
        <v>0</v>
      </c>
      <c r="I28">
        <v>14</v>
      </c>
    </row>
    <row r="29" spans="1:9" x14ac:dyDescent="0.3">
      <c r="A29" t="s">
        <v>320</v>
      </c>
      <c r="B29" t="s">
        <v>475</v>
      </c>
      <c r="C29">
        <v>2</v>
      </c>
      <c r="D29">
        <v>2</v>
      </c>
      <c r="E29">
        <v>0</v>
      </c>
      <c r="F29">
        <v>0</v>
      </c>
      <c r="G29">
        <v>2</v>
      </c>
      <c r="H29">
        <v>0</v>
      </c>
      <c r="I29">
        <v>6</v>
      </c>
    </row>
    <row r="30" spans="1:9" x14ac:dyDescent="0.3">
      <c r="A30" t="s">
        <v>320</v>
      </c>
      <c r="B30" t="s">
        <v>835</v>
      </c>
      <c r="C30">
        <v>19</v>
      </c>
      <c r="D30">
        <v>174</v>
      </c>
      <c r="E30">
        <v>0</v>
      </c>
      <c r="F30">
        <v>10</v>
      </c>
      <c r="G30">
        <v>42</v>
      </c>
      <c r="H30">
        <v>26</v>
      </c>
      <c r="I30">
        <v>271</v>
      </c>
    </row>
    <row r="31" spans="1:9" x14ac:dyDescent="0.3">
      <c r="A31" t="s">
        <v>320</v>
      </c>
      <c r="B31" t="s">
        <v>837</v>
      </c>
      <c r="C31">
        <v>173</v>
      </c>
      <c r="D31">
        <v>61</v>
      </c>
      <c r="E31">
        <v>0</v>
      </c>
      <c r="F31">
        <v>8</v>
      </c>
      <c r="G31">
        <v>15</v>
      </c>
      <c r="H31">
        <v>6</v>
      </c>
      <c r="I31">
        <v>263</v>
      </c>
    </row>
    <row r="32" spans="1:9" x14ac:dyDescent="0.3">
      <c r="A32" t="s">
        <v>320</v>
      </c>
      <c r="B32" t="s">
        <v>839</v>
      </c>
      <c r="C32">
        <v>3</v>
      </c>
      <c r="D32">
        <v>2</v>
      </c>
      <c r="E32">
        <v>0</v>
      </c>
      <c r="F32">
        <v>1</v>
      </c>
      <c r="G32">
        <v>4</v>
      </c>
      <c r="H32">
        <v>0</v>
      </c>
      <c r="I32">
        <v>10</v>
      </c>
    </row>
    <row r="33" spans="1:9" x14ac:dyDescent="0.3">
      <c r="A33" t="s">
        <v>320</v>
      </c>
      <c r="B33" t="s">
        <v>840</v>
      </c>
      <c r="C33">
        <v>2</v>
      </c>
      <c r="D33">
        <v>0</v>
      </c>
      <c r="E33">
        <v>0</v>
      </c>
      <c r="F33">
        <v>0</v>
      </c>
      <c r="G33">
        <v>0</v>
      </c>
      <c r="H33">
        <v>0</v>
      </c>
      <c r="I33">
        <v>2</v>
      </c>
    </row>
    <row r="34" spans="1:9" x14ac:dyDescent="0.3">
      <c r="A34" t="s">
        <v>325</v>
      </c>
      <c r="B34" t="s">
        <v>833</v>
      </c>
      <c r="C34">
        <v>2</v>
      </c>
      <c r="D34">
        <v>5</v>
      </c>
      <c r="E34">
        <v>0</v>
      </c>
      <c r="F34">
        <v>1</v>
      </c>
      <c r="G34">
        <v>3</v>
      </c>
      <c r="H34">
        <v>0</v>
      </c>
      <c r="I34">
        <v>11</v>
      </c>
    </row>
    <row r="35" spans="1:9" x14ac:dyDescent="0.3">
      <c r="A35" t="s">
        <v>325</v>
      </c>
      <c r="B35" t="s">
        <v>834</v>
      </c>
      <c r="C35">
        <v>0</v>
      </c>
      <c r="D35">
        <v>0</v>
      </c>
      <c r="E35">
        <v>0</v>
      </c>
      <c r="F35">
        <v>1</v>
      </c>
      <c r="G35">
        <v>3</v>
      </c>
      <c r="H35">
        <v>0</v>
      </c>
      <c r="I35">
        <v>4</v>
      </c>
    </row>
    <row r="36" spans="1:9" x14ac:dyDescent="0.3">
      <c r="A36" t="s">
        <v>325</v>
      </c>
      <c r="B36" t="s">
        <v>475</v>
      </c>
      <c r="C36">
        <v>3</v>
      </c>
      <c r="D36">
        <v>3</v>
      </c>
      <c r="E36">
        <v>0</v>
      </c>
      <c r="F36">
        <v>1</v>
      </c>
      <c r="G36">
        <v>2</v>
      </c>
      <c r="H36">
        <v>0</v>
      </c>
      <c r="I36">
        <v>9</v>
      </c>
    </row>
    <row r="37" spans="1:9" x14ac:dyDescent="0.3">
      <c r="A37" t="s">
        <v>325</v>
      </c>
      <c r="B37" t="s">
        <v>835</v>
      </c>
      <c r="C37">
        <v>39</v>
      </c>
      <c r="D37">
        <v>145</v>
      </c>
      <c r="E37">
        <v>2</v>
      </c>
      <c r="F37">
        <v>18</v>
      </c>
      <c r="G37">
        <v>67</v>
      </c>
      <c r="H37">
        <v>25</v>
      </c>
      <c r="I37">
        <v>296</v>
      </c>
    </row>
    <row r="38" spans="1:9" x14ac:dyDescent="0.3">
      <c r="A38" t="s">
        <v>325</v>
      </c>
      <c r="B38" t="s">
        <v>837</v>
      </c>
      <c r="C38">
        <v>289</v>
      </c>
      <c r="D38">
        <v>56</v>
      </c>
      <c r="E38">
        <v>0</v>
      </c>
      <c r="F38">
        <v>7</v>
      </c>
      <c r="G38">
        <v>17</v>
      </c>
      <c r="H38">
        <v>3</v>
      </c>
      <c r="I38">
        <v>372</v>
      </c>
    </row>
    <row r="39" spans="1:9" x14ac:dyDescent="0.3">
      <c r="A39" t="s">
        <v>325</v>
      </c>
      <c r="B39" t="s">
        <v>838</v>
      </c>
      <c r="C39">
        <v>0</v>
      </c>
      <c r="D39">
        <v>0</v>
      </c>
      <c r="E39">
        <v>0</v>
      </c>
      <c r="F39">
        <v>0</v>
      </c>
      <c r="G39">
        <v>1</v>
      </c>
      <c r="H39">
        <v>0</v>
      </c>
      <c r="I39">
        <v>1</v>
      </c>
    </row>
    <row r="40" spans="1:9" x14ac:dyDescent="0.3">
      <c r="A40" t="s">
        <v>325</v>
      </c>
      <c r="B40" t="s">
        <v>839</v>
      </c>
      <c r="C40">
        <v>2</v>
      </c>
      <c r="D40">
        <v>7</v>
      </c>
      <c r="E40">
        <v>0</v>
      </c>
      <c r="F40">
        <v>0</v>
      </c>
      <c r="G40">
        <v>0</v>
      </c>
      <c r="H40">
        <v>0</v>
      </c>
      <c r="I40">
        <v>9</v>
      </c>
    </row>
    <row r="41" spans="1:9" x14ac:dyDescent="0.3">
      <c r="A41" t="s">
        <v>325</v>
      </c>
      <c r="B41" t="s">
        <v>840</v>
      </c>
      <c r="C41">
        <v>1</v>
      </c>
      <c r="D41">
        <v>0</v>
      </c>
      <c r="E41">
        <v>0</v>
      </c>
      <c r="F41">
        <v>0</v>
      </c>
      <c r="G41">
        <v>0</v>
      </c>
      <c r="H41">
        <v>0</v>
      </c>
      <c r="I41">
        <v>1</v>
      </c>
    </row>
    <row r="42" spans="1:9" x14ac:dyDescent="0.3">
      <c r="A42" t="s">
        <v>326</v>
      </c>
      <c r="B42" t="s">
        <v>833</v>
      </c>
      <c r="C42">
        <v>4</v>
      </c>
      <c r="D42">
        <v>5</v>
      </c>
      <c r="E42">
        <v>1</v>
      </c>
      <c r="F42">
        <v>0</v>
      </c>
      <c r="G42">
        <v>1</v>
      </c>
      <c r="H42">
        <v>0</v>
      </c>
      <c r="I42">
        <v>11</v>
      </c>
    </row>
    <row r="43" spans="1:9" x14ac:dyDescent="0.3">
      <c r="A43" t="s">
        <v>326</v>
      </c>
      <c r="B43" t="s">
        <v>834</v>
      </c>
      <c r="C43">
        <v>0</v>
      </c>
      <c r="D43">
        <v>0</v>
      </c>
      <c r="E43">
        <v>0</v>
      </c>
      <c r="F43">
        <v>0</v>
      </c>
      <c r="G43">
        <v>16</v>
      </c>
      <c r="H43">
        <v>0</v>
      </c>
      <c r="I43">
        <v>16</v>
      </c>
    </row>
    <row r="44" spans="1:9" x14ac:dyDescent="0.3">
      <c r="A44" t="s">
        <v>326</v>
      </c>
      <c r="B44" t="s">
        <v>475</v>
      </c>
      <c r="C44">
        <v>3</v>
      </c>
      <c r="D44">
        <v>2</v>
      </c>
      <c r="E44">
        <v>0</v>
      </c>
      <c r="F44">
        <v>0</v>
      </c>
      <c r="G44">
        <v>0</v>
      </c>
      <c r="H44">
        <v>0</v>
      </c>
      <c r="I44">
        <v>5</v>
      </c>
    </row>
    <row r="45" spans="1:9" x14ac:dyDescent="0.3">
      <c r="A45" t="s">
        <v>326</v>
      </c>
      <c r="B45" t="s">
        <v>843</v>
      </c>
      <c r="C45">
        <v>0</v>
      </c>
      <c r="D45">
        <v>0</v>
      </c>
      <c r="E45">
        <v>0</v>
      </c>
      <c r="F45">
        <v>0</v>
      </c>
      <c r="G45">
        <v>0</v>
      </c>
      <c r="H45">
        <v>2</v>
      </c>
      <c r="I45">
        <v>2</v>
      </c>
    </row>
    <row r="46" spans="1:9" x14ac:dyDescent="0.3">
      <c r="A46" t="s">
        <v>326</v>
      </c>
      <c r="B46" t="s">
        <v>835</v>
      </c>
      <c r="C46">
        <v>28</v>
      </c>
      <c r="D46">
        <v>175</v>
      </c>
      <c r="E46">
        <v>1</v>
      </c>
      <c r="F46">
        <v>13</v>
      </c>
      <c r="G46">
        <v>39</v>
      </c>
      <c r="H46">
        <v>13</v>
      </c>
      <c r="I46">
        <v>269</v>
      </c>
    </row>
    <row r="47" spans="1:9" x14ac:dyDescent="0.3">
      <c r="A47" t="s">
        <v>326</v>
      </c>
      <c r="B47" t="s">
        <v>836</v>
      </c>
      <c r="C47">
        <v>0</v>
      </c>
      <c r="D47">
        <v>1</v>
      </c>
      <c r="E47">
        <v>0</v>
      </c>
      <c r="F47">
        <v>0</v>
      </c>
      <c r="G47">
        <v>0</v>
      </c>
      <c r="H47">
        <v>0</v>
      </c>
      <c r="I47">
        <v>1</v>
      </c>
    </row>
    <row r="48" spans="1:9" x14ac:dyDescent="0.3">
      <c r="A48" t="s">
        <v>326</v>
      </c>
      <c r="B48" t="s">
        <v>837</v>
      </c>
      <c r="C48">
        <v>117</v>
      </c>
      <c r="D48">
        <v>57</v>
      </c>
      <c r="E48">
        <v>0</v>
      </c>
      <c r="F48">
        <v>1</v>
      </c>
      <c r="G48">
        <v>20</v>
      </c>
      <c r="H48">
        <v>2</v>
      </c>
      <c r="I48">
        <v>197</v>
      </c>
    </row>
    <row r="49" spans="1:9" x14ac:dyDescent="0.3">
      <c r="A49" t="s">
        <v>326</v>
      </c>
      <c r="B49" t="s">
        <v>839</v>
      </c>
      <c r="C49">
        <v>4</v>
      </c>
      <c r="D49">
        <v>3</v>
      </c>
      <c r="E49">
        <v>0</v>
      </c>
      <c r="F49">
        <v>0</v>
      </c>
      <c r="G49">
        <v>0</v>
      </c>
      <c r="H49">
        <v>0</v>
      </c>
      <c r="I49">
        <v>7</v>
      </c>
    </row>
    <row r="50" spans="1:9" x14ac:dyDescent="0.3">
      <c r="A50" t="s">
        <v>326</v>
      </c>
      <c r="B50" t="s">
        <v>840</v>
      </c>
      <c r="C50">
        <v>2</v>
      </c>
      <c r="D50">
        <v>0</v>
      </c>
      <c r="E50">
        <v>0</v>
      </c>
      <c r="F50">
        <v>0</v>
      </c>
      <c r="G50">
        <v>0</v>
      </c>
      <c r="H50">
        <v>0</v>
      </c>
      <c r="I50">
        <v>2</v>
      </c>
    </row>
    <row r="51" spans="1:9" x14ac:dyDescent="0.3">
      <c r="A51" t="s">
        <v>328</v>
      </c>
      <c r="B51" t="s">
        <v>833</v>
      </c>
      <c r="C51">
        <v>6</v>
      </c>
      <c r="D51">
        <v>2</v>
      </c>
      <c r="E51">
        <v>0</v>
      </c>
      <c r="F51">
        <v>1</v>
      </c>
      <c r="G51">
        <v>2</v>
      </c>
      <c r="H51">
        <v>0</v>
      </c>
      <c r="I51">
        <v>11</v>
      </c>
    </row>
    <row r="52" spans="1:9" x14ac:dyDescent="0.3">
      <c r="A52" t="s">
        <v>328</v>
      </c>
      <c r="B52" t="s">
        <v>834</v>
      </c>
      <c r="C52">
        <v>0</v>
      </c>
      <c r="D52">
        <v>1</v>
      </c>
      <c r="E52">
        <v>0</v>
      </c>
      <c r="F52">
        <v>0</v>
      </c>
      <c r="G52">
        <v>8</v>
      </c>
      <c r="H52">
        <v>0</v>
      </c>
      <c r="I52">
        <v>9</v>
      </c>
    </row>
    <row r="53" spans="1:9" x14ac:dyDescent="0.3">
      <c r="A53" t="s">
        <v>328</v>
      </c>
      <c r="B53" t="s">
        <v>475</v>
      </c>
      <c r="C53">
        <v>2</v>
      </c>
      <c r="D53">
        <v>2</v>
      </c>
      <c r="E53">
        <v>0</v>
      </c>
      <c r="F53">
        <v>0</v>
      </c>
      <c r="G53">
        <v>0</v>
      </c>
      <c r="H53">
        <v>0</v>
      </c>
      <c r="I53">
        <v>4</v>
      </c>
    </row>
    <row r="54" spans="1:9" x14ac:dyDescent="0.3">
      <c r="A54" t="s">
        <v>328</v>
      </c>
      <c r="B54" t="s">
        <v>835</v>
      </c>
      <c r="C54">
        <v>37</v>
      </c>
      <c r="D54">
        <v>154</v>
      </c>
      <c r="E54">
        <v>1</v>
      </c>
      <c r="F54">
        <v>7</v>
      </c>
      <c r="G54">
        <v>31</v>
      </c>
      <c r="H54">
        <v>15</v>
      </c>
      <c r="I54">
        <v>245</v>
      </c>
    </row>
    <row r="55" spans="1:9" x14ac:dyDescent="0.3">
      <c r="A55" t="s">
        <v>328</v>
      </c>
      <c r="B55" t="s">
        <v>836</v>
      </c>
      <c r="C55">
        <v>1</v>
      </c>
      <c r="D55">
        <v>0</v>
      </c>
      <c r="E55">
        <v>0</v>
      </c>
      <c r="F55">
        <v>0</v>
      </c>
      <c r="G55">
        <v>0</v>
      </c>
      <c r="H55">
        <v>0</v>
      </c>
      <c r="I55">
        <v>1</v>
      </c>
    </row>
    <row r="56" spans="1:9" x14ac:dyDescent="0.3">
      <c r="A56" t="s">
        <v>328</v>
      </c>
      <c r="B56" t="s">
        <v>837</v>
      </c>
      <c r="C56">
        <v>132</v>
      </c>
      <c r="D56">
        <v>62</v>
      </c>
      <c r="E56">
        <v>0</v>
      </c>
      <c r="F56">
        <v>7</v>
      </c>
      <c r="G56">
        <v>22</v>
      </c>
      <c r="H56">
        <v>3</v>
      </c>
      <c r="I56">
        <v>226</v>
      </c>
    </row>
    <row r="57" spans="1:9" x14ac:dyDescent="0.3">
      <c r="A57" t="s">
        <v>328</v>
      </c>
      <c r="B57" t="s">
        <v>839</v>
      </c>
      <c r="C57">
        <v>1</v>
      </c>
      <c r="D57">
        <v>4</v>
      </c>
      <c r="E57">
        <v>1</v>
      </c>
      <c r="F57">
        <v>0</v>
      </c>
      <c r="G57">
        <v>1</v>
      </c>
      <c r="H57">
        <v>0</v>
      </c>
      <c r="I57">
        <v>7</v>
      </c>
    </row>
    <row r="58" spans="1:9" x14ac:dyDescent="0.3">
      <c r="A58" t="s">
        <v>412</v>
      </c>
      <c r="B58" t="s">
        <v>833</v>
      </c>
      <c r="C58">
        <v>3</v>
      </c>
      <c r="D58">
        <v>8</v>
      </c>
      <c r="E58">
        <v>0</v>
      </c>
      <c r="F58">
        <v>0</v>
      </c>
      <c r="G58">
        <v>1</v>
      </c>
      <c r="H58">
        <v>0</v>
      </c>
      <c r="I58">
        <v>12</v>
      </c>
    </row>
    <row r="59" spans="1:9" x14ac:dyDescent="0.3">
      <c r="A59" t="s">
        <v>412</v>
      </c>
      <c r="B59" t="s">
        <v>834</v>
      </c>
      <c r="C59">
        <v>0</v>
      </c>
      <c r="D59">
        <v>0</v>
      </c>
      <c r="E59">
        <v>0</v>
      </c>
      <c r="F59">
        <v>0</v>
      </c>
      <c r="G59">
        <v>11</v>
      </c>
      <c r="H59">
        <v>0</v>
      </c>
      <c r="I59">
        <v>11</v>
      </c>
    </row>
    <row r="60" spans="1:9" x14ac:dyDescent="0.3">
      <c r="A60" t="s">
        <v>412</v>
      </c>
      <c r="B60" t="s">
        <v>475</v>
      </c>
      <c r="C60">
        <v>5</v>
      </c>
      <c r="D60">
        <v>1</v>
      </c>
      <c r="E60">
        <v>0</v>
      </c>
      <c r="F60">
        <v>0</v>
      </c>
      <c r="G60">
        <v>3</v>
      </c>
      <c r="H60">
        <v>1</v>
      </c>
      <c r="I60">
        <v>10</v>
      </c>
    </row>
    <row r="61" spans="1:9" x14ac:dyDescent="0.3">
      <c r="A61" t="s">
        <v>412</v>
      </c>
      <c r="B61" t="s">
        <v>835</v>
      </c>
      <c r="C61">
        <v>27</v>
      </c>
      <c r="D61">
        <v>134</v>
      </c>
      <c r="E61">
        <v>0</v>
      </c>
      <c r="F61">
        <v>10</v>
      </c>
      <c r="G61">
        <v>21</v>
      </c>
      <c r="H61">
        <v>16</v>
      </c>
      <c r="I61">
        <v>208</v>
      </c>
    </row>
    <row r="62" spans="1:9" x14ac:dyDescent="0.3">
      <c r="A62" t="s">
        <v>412</v>
      </c>
      <c r="B62" t="s">
        <v>837</v>
      </c>
      <c r="C62">
        <v>94</v>
      </c>
      <c r="D62">
        <v>46</v>
      </c>
      <c r="E62">
        <v>1</v>
      </c>
      <c r="F62">
        <v>6</v>
      </c>
      <c r="G62">
        <v>31</v>
      </c>
      <c r="H62">
        <v>7</v>
      </c>
      <c r="I62">
        <v>185</v>
      </c>
    </row>
    <row r="63" spans="1:9" x14ac:dyDescent="0.3">
      <c r="A63" t="s">
        <v>412</v>
      </c>
      <c r="B63" t="s">
        <v>839</v>
      </c>
      <c r="C63">
        <v>4</v>
      </c>
      <c r="D63">
        <v>1</v>
      </c>
      <c r="E63">
        <v>0</v>
      </c>
      <c r="F63">
        <v>1</v>
      </c>
      <c r="G63">
        <v>1</v>
      </c>
      <c r="H63">
        <v>0</v>
      </c>
      <c r="I63">
        <v>7</v>
      </c>
    </row>
  </sheetData>
  <pageMargins left="0.7" right="0.7" top="0.75" bottom="0.75" header="0.3" footer="0.3"/>
  <tableParts count="1">
    <tablePart r:id="rId1"/>
  </tableParts>
</worksheet>
</file>

<file path=xl/worksheets/sheet10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tabColor theme="9" tint="0.39997558519241921"/>
  </sheetPr>
  <dimension ref="A1:G10"/>
  <sheetViews>
    <sheetView workbookViewId="0">
      <selection activeCell="B7" sqref="B7"/>
    </sheetView>
  </sheetViews>
  <sheetFormatPr defaultRowHeight="14.4" x14ac:dyDescent="0.3"/>
  <cols>
    <col min="1" max="1" width="17.21875" bestFit="1" customWidth="1"/>
    <col min="2" max="2" width="27.44140625" bestFit="1" customWidth="1"/>
    <col min="3" max="3" width="26.33203125" bestFit="1" customWidth="1"/>
    <col min="4" max="4" width="23" bestFit="1" customWidth="1"/>
    <col min="5" max="5" width="13.77734375" bestFit="1" customWidth="1"/>
    <col min="6" max="6" width="14.33203125" bestFit="1" customWidth="1"/>
    <col min="7" max="7" width="16.6640625" bestFit="1" customWidth="1"/>
  </cols>
  <sheetData>
    <row r="1" spans="1:7" x14ac:dyDescent="0.3">
      <c r="A1" s="386" t="s">
        <v>208</v>
      </c>
      <c r="B1" t="s">
        <v>412</v>
      </c>
    </row>
    <row r="3" spans="1:7" x14ac:dyDescent="0.3">
      <c r="A3" s="386" t="s">
        <v>350</v>
      </c>
      <c r="B3" t="s">
        <v>604</v>
      </c>
      <c r="C3" t="s">
        <v>506</v>
      </c>
      <c r="D3" t="s">
        <v>766</v>
      </c>
      <c r="E3" t="s">
        <v>508</v>
      </c>
      <c r="F3" t="s">
        <v>509</v>
      </c>
      <c r="G3" t="s">
        <v>844</v>
      </c>
    </row>
    <row r="4" spans="1:7" x14ac:dyDescent="0.3">
      <c r="A4" s="387" t="s">
        <v>833</v>
      </c>
      <c r="B4">
        <v>3</v>
      </c>
      <c r="C4">
        <v>8</v>
      </c>
      <c r="D4">
        <v>0</v>
      </c>
      <c r="E4">
        <v>0</v>
      </c>
      <c r="F4">
        <v>1</v>
      </c>
      <c r="G4">
        <v>0</v>
      </c>
    </row>
    <row r="5" spans="1:7" x14ac:dyDescent="0.3">
      <c r="A5" s="387" t="s">
        <v>834</v>
      </c>
      <c r="B5">
        <v>0</v>
      </c>
      <c r="C5">
        <v>0</v>
      </c>
      <c r="D5">
        <v>0</v>
      </c>
      <c r="E5">
        <v>0</v>
      </c>
      <c r="F5">
        <v>11</v>
      </c>
      <c r="G5">
        <v>0</v>
      </c>
    </row>
    <row r="6" spans="1:7" x14ac:dyDescent="0.3">
      <c r="A6" s="387" t="s">
        <v>475</v>
      </c>
      <c r="B6">
        <v>5</v>
      </c>
      <c r="C6">
        <v>1</v>
      </c>
      <c r="D6">
        <v>0</v>
      </c>
      <c r="E6">
        <v>0</v>
      </c>
      <c r="F6">
        <v>3</v>
      </c>
      <c r="G6">
        <v>1</v>
      </c>
    </row>
    <row r="7" spans="1:7" x14ac:dyDescent="0.3">
      <c r="A7" s="387" t="s">
        <v>835</v>
      </c>
      <c r="B7">
        <v>27</v>
      </c>
      <c r="C7">
        <v>134</v>
      </c>
      <c r="D7">
        <v>0</v>
      </c>
      <c r="E7">
        <v>10</v>
      </c>
      <c r="F7">
        <v>21</v>
      </c>
      <c r="G7">
        <v>16</v>
      </c>
    </row>
    <row r="8" spans="1:7" x14ac:dyDescent="0.3">
      <c r="A8" s="387" t="s">
        <v>837</v>
      </c>
      <c r="B8">
        <v>94</v>
      </c>
      <c r="C8">
        <v>46</v>
      </c>
      <c r="D8">
        <v>1</v>
      </c>
      <c r="E8">
        <v>6</v>
      </c>
      <c r="F8">
        <v>31</v>
      </c>
      <c r="G8">
        <v>7</v>
      </c>
    </row>
    <row r="9" spans="1:7" x14ac:dyDescent="0.3">
      <c r="A9" s="387" t="s">
        <v>839</v>
      </c>
      <c r="B9">
        <v>4</v>
      </c>
      <c r="C9">
        <v>1</v>
      </c>
      <c r="D9">
        <v>0</v>
      </c>
      <c r="E9">
        <v>1</v>
      </c>
      <c r="F9">
        <v>1</v>
      </c>
      <c r="G9">
        <v>0</v>
      </c>
    </row>
    <row r="10" spans="1:7" x14ac:dyDescent="0.3">
      <c r="A10" s="387" t="s">
        <v>357</v>
      </c>
      <c r="B10">
        <v>133</v>
      </c>
      <c r="C10">
        <v>190</v>
      </c>
      <c r="D10">
        <v>1</v>
      </c>
      <c r="E10">
        <v>17</v>
      </c>
      <c r="F10">
        <v>68</v>
      </c>
      <c r="G10">
        <v>24</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10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tabColor theme="9" tint="0.39997558519241921"/>
  </sheetPr>
  <dimension ref="A1:N30"/>
  <sheetViews>
    <sheetView showGridLines="0" zoomScaleNormal="100" workbookViewId="0">
      <pane ySplit="2" topLeftCell="A3" activePane="bottomLeft" state="frozen"/>
      <selection pane="bottomLeft" sqref="A1:C1"/>
    </sheetView>
  </sheetViews>
  <sheetFormatPr defaultRowHeight="14.4" x14ac:dyDescent="0.3"/>
  <cols>
    <col min="1" max="1" width="35.88671875" customWidth="1"/>
    <col min="2" max="2" width="12.5546875" customWidth="1"/>
    <col min="3" max="3" width="13.6640625" customWidth="1"/>
    <col min="4" max="4" width="13.109375" customWidth="1"/>
    <col min="5" max="14" width="12.109375" customWidth="1"/>
  </cols>
  <sheetData>
    <row r="1" spans="1:14" ht="15.6" x14ac:dyDescent="0.3">
      <c r="A1" s="1030" t="s">
        <v>515</v>
      </c>
      <c r="B1" s="1030"/>
      <c r="C1" s="1030"/>
      <c r="D1" s="440"/>
    </row>
    <row r="2" spans="1:14" ht="15.6" x14ac:dyDescent="0.3">
      <c r="A2" s="498" t="s">
        <v>202</v>
      </c>
      <c r="B2" s="440"/>
      <c r="C2" s="440"/>
      <c r="D2" s="440"/>
    </row>
    <row r="4" spans="1:14" ht="15.6" x14ac:dyDescent="0.3">
      <c r="A4" s="1031" t="s">
        <v>845</v>
      </c>
      <c r="B4" s="1031"/>
      <c r="C4" s="1031"/>
      <c r="D4" s="1031"/>
      <c r="E4" s="1031"/>
      <c r="F4" s="1031"/>
      <c r="G4" s="1031"/>
      <c r="H4" s="1031"/>
      <c r="I4" s="1031"/>
    </row>
    <row r="5" spans="1:14" ht="15.6" x14ac:dyDescent="0.3">
      <c r="A5" t="s">
        <v>203</v>
      </c>
      <c r="B5" t="s">
        <v>112</v>
      </c>
      <c r="C5" s="233"/>
      <c r="D5" s="233"/>
      <c r="E5" s="233"/>
      <c r="F5" s="233"/>
      <c r="G5" s="233"/>
      <c r="H5" s="233"/>
      <c r="I5" s="233"/>
    </row>
    <row r="6" spans="1:14" ht="15.6" x14ac:dyDescent="0.3">
      <c r="A6" t="s">
        <v>204</v>
      </c>
      <c r="B6" t="s">
        <v>205</v>
      </c>
      <c r="C6" s="233"/>
      <c r="D6" s="233"/>
      <c r="E6" s="233"/>
      <c r="F6" s="233"/>
      <c r="G6" s="233"/>
      <c r="H6" s="233"/>
      <c r="I6" s="233"/>
    </row>
    <row r="7" spans="1:14" x14ac:dyDescent="0.3">
      <c r="A7" t="s">
        <v>206</v>
      </c>
      <c r="B7" t="s">
        <v>207</v>
      </c>
    </row>
    <row r="9" spans="1:14" x14ac:dyDescent="0.3">
      <c r="A9" s="312" t="s">
        <v>208</v>
      </c>
    </row>
    <row r="10" spans="1:14" x14ac:dyDescent="0.3">
      <c r="A10" s="312" t="str">
        <f>leaverspivot!$B$1</f>
        <v>2025-26</v>
      </c>
    </row>
    <row r="11" spans="1:14" s="459" customFormat="1" ht="28.8" x14ac:dyDescent="0.3">
      <c r="A11" s="495" t="s">
        <v>111</v>
      </c>
      <c r="B11" s="643" t="s">
        <v>517</v>
      </c>
      <c r="C11" s="643" t="s">
        <v>361</v>
      </c>
      <c r="D11" s="643" t="s">
        <v>518</v>
      </c>
      <c r="E11" s="643" t="s">
        <v>513</v>
      </c>
      <c r="F11" s="643" t="s">
        <v>514</v>
      </c>
      <c r="G11" s="643" t="s">
        <v>832</v>
      </c>
      <c r="H11" s="643" t="s">
        <v>608</v>
      </c>
      <c r="I11"/>
      <c r="J11"/>
      <c r="K11"/>
      <c r="L11"/>
      <c r="M11"/>
      <c r="N11"/>
    </row>
    <row r="12" spans="1:14" x14ac:dyDescent="0.3">
      <c r="A12" s="312" t="s">
        <v>833</v>
      </c>
      <c r="B12" s="609">
        <f>IFERROR(GETPIVOTDATA("Sum of Wholetime Operational",leaverspivot!$A$3,"Reason for Leaving","Dismissal"),"-")</f>
        <v>3</v>
      </c>
      <c r="C12" s="609">
        <f>IFERROR(GETPIVOTDATA("Sum of Retained Duty System",leaverspivot!$A$3,"Reason for Leaving","Dismissal"),"-")</f>
        <v>8</v>
      </c>
      <c r="D12" s="609">
        <f>GETPIVOTDATA("Sum of Retained Full-time",leaverspivot!$A$3,"Reason for Leaving","Dismissal")</f>
        <v>0</v>
      </c>
      <c r="E12" s="609">
        <f>IFERROR(GETPIVOTDATA("Sum of Control",leaverspivot!$A$3,"Reason for Leaving","Dismissal"),"-")</f>
        <v>0</v>
      </c>
      <c r="F12" s="609">
        <f>IFERROR(GETPIVOTDATA("Sum of Support",leaverspivot!$A$3,"Reason for Leaving","Dismissal"),"-")</f>
        <v>1</v>
      </c>
      <c r="G12" s="609">
        <f>IFERROR(GETPIVOTDATA("Sum of Volunteers",leaverspivot!$A$3,"Reason for Leaving","Dismissal"),"-")</f>
        <v>0</v>
      </c>
      <c r="H12" s="610">
        <f>SUM(B12:G12)</f>
        <v>12</v>
      </c>
    </row>
    <row r="13" spans="1:14" x14ac:dyDescent="0.3">
      <c r="A13" s="312" t="s">
        <v>834</v>
      </c>
      <c r="B13" s="609">
        <f>IFERROR(GETPIVOTDATA("Sum of Wholetime Operational",leaverspivot!$A$3,"Reason for Leaving","End of contract"),"-")</f>
        <v>0</v>
      </c>
      <c r="C13" s="609">
        <f>IFERROR(GETPIVOTDATA("Sum of Retained Duty System",leaverspivot!$A$3,"Reason for Leaving","End of contract"),"-")</f>
        <v>0</v>
      </c>
      <c r="D13" s="609">
        <f>GETPIVOTDATA("Sum of Retained Full-time",leaverspivot!$A$3,"Reason for Leaving","End of contract")</f>
        <v>0</v>
      </c>
      <c r="E13" s="609">
        <f>IFERROR(GETPIVOTDATA("Sum of Control",leaverspivot!$A$3,"Reason for Leaving","End of contract"),"-")</f>
        <v>0</v>
      </c>
      <c r="F13" s="609">
        <f>IFERROR(GETPIVOTDATA("Sum of Support",leaverspivot!$A$3,"Reason for Leaving","End of contract"),"-")</f>
        <v>11</v>
      </c>
      <c r="G13" s="609">
        <f>IFERROR(GETPIVOTDATA("Sum of Volunteers",leaverspivot!$A$3,"Reason for Leaving","End of contract"),"-")</f>
        <v>0</v>
      </c>
      <c r="H13" s="610">
        <f t="shared" ref="H13:H22" si="0">SUM(B13:G13)</f>
        <v>11</v>
      </c>
    </row>
    <row r="14" spans="1:14" x14ac:dyDescent="0.3">
      <c r="A14" s="312" t="s">
        <v>475</v>
      </c>
      <c r="B14" s="609">
        <f>IFERROR(GETPIVOTDATA("Sum of Wholetime Operational",leaverspivot!$A$3,"Reason for Leaving","Other"),"-")</f>
        <v>5</v>
      </c>
      <c r="C14" s="609">
        <f>IFERROR(GETPIVOTDATA("Sum of Retained Duty System",leaverspivot!$A$3,"Reason for Leaving","Other"),"-")</f>
        <v>1</v>
      </c>
      <c r="D14" s="609">
        <f>GETPIVOTDATA("Sum of Retained Full-time",leaverspivot!$A$3,"Reason for Leaving","Other")</f>
        <v>0</v>
      </c>
      <c r="E14" s="609">
        <f>IFERROR(GETPIVOTDATA("Sum of Control",leaverspivot!$A$3,"Reason for Leaving","Other"),"-")</f>
        <v>0</v>
      </c>
      <c r="F14" s="609">
        <f>IFERROR(GETPIVOTDATA("Sum of Support",leaverspivot!$A$3,"Reason for Leaving","Other"),"-")</f>
        <v>3</v>
      </c>
      <c r="G14" s="609">
        <f>IFERROR(GETPIVOTDATA("Sum of Volunteers",leaverspivot!$A$3,"Reason for Leaving","Other"),"-")</f>
        <v>1</v>
      </c>
      <c r="H14" s="610">
        <f t="shared" si="0"/>
        <v>10</v>
      </c>
    </row>
    <row r="15" spans="1:14" x14ac:dyDescent="0.3">
      <c r="A15" s="312" t="s">
        <v>835</v>
      </c>
      <c r="B15" s="609">
        <f>IFERROR(GETPIVOTDATA("Sum of Wholetime Operational",leaverspivot!$A$3,"Reason for Leaving","Resignation"),"-")</f>
        <v>27</v>
      </c>
      <c r="C15" s="609">
        <f>IFERROR(GETPIVOTDATA("Sum of Retained Duty System",leaverspivot!$A$3,"Reason for Leaving","Resignation"),"-")</f>
        <v>134</v>
      </c>
      <c r="D15" s="609">
        <f>GETPIVOTDATA("Sum of Retained Full-time",leaverspivot!$A$3,"Reason for Leaving","Resignation")</f>
        <v>0</v>
      </c>
      <c r="E15" s="609">
        <f>IFERROR(GETPIVOTDATA("Sum of Control",leaverspivot!$A$3,"Reason for Leaving","Resignation"),"-")</f>
        <v>10</v>
      </c>
      <c r="F15" s="609">
        <f>IFERROR(GETPIVOTDATA("Sum of Support",leaverspivot!$A$3,"Reason for Leaving","Resignation"),"-")</f>
        <v>21</v>
      </c>
      <c r="G15" s="609">
        <f>IFERROR(GETPIVOTDATA("Sum of Volunteers",leaverspivot!$A$3,"Reason for Leaving","Resignation"),"-")</f>
        <v>16</v>
      </c>
      <c r="H15" s="610">
        <f t="shared" si="0"/>
        <v>208</v>
      </c>
    </row>
    <row r="16" spans="1:14" x14ac:dyDescent="0.3">
      <c r="A16" s="312" t="s">
        <v>836</v>
      </c>
      <c r="B16" s="609" t="str">
        <f>IFERROR(GETPIVOTDATA("Sum of Wholetime Operational",leaverspivot!$A$3,"Reason for Leaving","Retirement - 30 Years Service"),"-")</f>
        <v>-</v>
      </c>
      <c r="C16" s="609" t="str">
        <f>IFERROR(GETPIVOTDATA("Sum of Retained Duty System",leaverspivot!$A$3,"Reason for Leaving","Retirement - 30 Years Service"),"-")</f>
        <v>-</v>
      </c>
      <c r="D16" s="609">
        <f>GETPIVOTDATA("Sum of Retained Full-time",leaverspivot!$A$3,"Reason for Leaving","Retirement - Age")</f>
        <v>1</v>
      </c>
      <c r="E16" s="609" t="str">
        <f>IFERROR(GETPIVOTDATA("Sum of Control",leaverspivot!$A$3,"Reason for Leaving","Retirement - 30 Years Service"),"-")</f>
        <v>-</v>
      </c>
      <c r="F16" s="609" t="str">
        <f>IFERROR(GETPIVOTDATA("Sum of Support",leaverspivot!$A$3,"Reason for Leaving","Retirement - 30 Years Service"),"-")</f>
        <v>-</v>
      </c>
      <c r="G16" s="609" t="str">
        <f>IFERROR(GETPIVOTDATA("Sum of Volunteers",leaverspivot!$A$3,"Reason for Leaving","Retirement - 30 Years Service"),"-")</f>
        <v>-</v>
      </c>
      <c r="H16" s="610">
        <f t="shared" si="0"/>
        <v>1</v>
      </c>
    </row>
    <row r="17" spans="1:14" x14ac:dyDescent="0.3">
      <c r="A17" s="312" t="s">
        <v>837</v>
      </c>
      <c r="B17" s="609">
        <f>IFERROR(GETPIVOTDATA("Sum of Wholetime Operational",leaverspivot!$A$3,"Reason for Leaving","Retirement - Age"),"-")</f>
        <v>94</v>
      </c>
      <c r="C17" s="609">
        <f>IFERROR(GETPIVOTDATA("Sum of Retained Duty System",leaverspivot!$A$3,"Reason for Leaving","Retirement - Age"),"-")</f>
        <v>46</v>
      </c>
      <c r="D17" s="609">
        <f>GETPIVOTDATA("Sum of Retained Full-time",leaverspivot!$A$3,"Reason for Leaving","Retirement - Age")</f>
        <v>1</v>
      </c>
      <c r="E17" s="609">
        <f>IFERROR(GETPIVOTDATA("Sum of Control",leaverspivot!$A$3,"Reason for Leaving","Retirement - Age"),"-")</f>
        <v>6</v>
      </c>
      <c r="F17" s="609">
        <f>IFERROR(GETPIVOTDATA("Sum of Support",leaverspivot!$A$3,"Reason for Leaving","Retirement - Age"),"-")</f>
        <v>31</v>
      </c>
      <c r="G17" s="609">
        <f>IFERROR(GETPIVOTDATA("Sum of Volunteers",leaverspivot!$A$3,"Reason for Leaving","Retirement - Age"),"-")</f>
        <v>7</v>
      </c>
      <c r="H17" s="610">
        <f t="shared" si="0"/>
        <v>185</v>
      </c>
    </row>
    <row r="18" spans="1:14" x14ac:dyDescent="0.3">
      <c r="A18" s="312" t="s">
        <v>838</v>
      </c>
      <c r="B18" s="609" t="str">
        <f>IFERROR(GETPIVOTDATA("Sum of Wholetime Operational",leaverspivot!$A$3,"Reason for Leaving","Retirement - Early"),"-")</f>
        <v>-</v>
      </c>
      <c r="C18" s="609" t="str">
        <f>IFERROR(GETPIVOTDATA("Sum of Retained Duty System",leaverspivot!$A$3,"Reason for Leaving","Retirement - Early"),"-")</f>
        <v>-</v>
      </c>
      <c r="D18" s="609" t="str">
        <f>IFERROR("-", GETPIVOTDATA("Sum of Retained Full-time",leaverspivot!$A$3,"Reason for Leaving","Retirement - Early"))</f>
        <v>-</v>
      </c>
      <c r="E18" s="609" t="str">
        <f>IFERROR(GETPIVOTDATA("Sum of Control",leaverspivot!$A$3,"Reason for Leaving","Retirement - Early"),"-")</f>
        <v>-</v>
      </c>
      <c r="F18" s="609" t="str">
        <f>IFERROR(GETPIVOTDATA("Sum of Support",leaverspivot!$A$3,"Reason for Leaving","Retirement - Early"),"-")</f>
        <v>-</v>
      </c>
      <c r="G18" s="609" t="str">
        <f>IFERROR(GETPIVOTDATA("Sum of Volunteers",leaverspivot!$A$3,"Reason for Leaving","Retirement - Early"),"-")</f>
        <v>-</v>
      </c>
      <c r="H18" s="610">
        <f t="shared" si="0"/>
        <v>0</v>
      </c>
    </row>
    <row r="19" spans="1:14" x14ac:dyDescent="0.3">
      <c r="A19" s="312" t="s">
        <v>839</v>
      </c>
      <c r="B19" s="609">
        <f>IFERROR(GETPIVOTDATA("Sum of Wholetime Operational",leaverspivot!$A$3,"Reason for Leaving","Retirement - Health"),"-")</f>
        <v>4</v>
      </c>
      <c r="C19" s="609">
        <f>IFERROR(GETPIVOTDATA("Sum of Retained Duty System",leaverspivot!$A$3,"Reason for Leaving","Retirement - Health"),"-")</f>
        <v>1</v>
      </c>
      <c r="D19" s="609">
        <f>GETPIVOTDATA("Sum of Retained Full-time",leaverspivot!$A$3,"Reason for Leaving","Retirement - Health")</f>
        <v>0</v>
      </c>
      <c r="E19" s="609">
        <f>IFERROR(GETPIVOTDATA("Sum of Control",leaverspivot!$A$3,"Reason for Leaving","Retirement - Health"),"-")</f>
        <v>1</v>
      </c>
      <c r="F19" s="609">
        <f>IFERROR(GETPIVOTDATA("Sum of Support",leaverspivot!$A$3,"Reason for Leaving","Retirement - Health"),"-")</f>
        <v>1</v>
      </c>
      <c r="G19" s="609">
        <f>IFERROR(GETPIVOTDATA("Sum of Volunteers",leaverspivot!$A$3,"Reason for Leaving","Retirement - Health"),"-")</f>
        <v>0</v>
      </c>
      <c r="H19" s="610">
        <f t="shared" si="0"/>
        <v>7</v>
      </c>
    </row>
    <row r="20" spans="1:14" x14ac:dyDescent="0.3">
      <c r="A20" s="312" t="s">
        <v>840</v>
      </c>
      <c r="B20" s="609" t="str">
        <f>IFERROR(GETPIVOTDATA("Sum of Wholetime Operational",leaverspivot!$A$3,"Reason for Leaving","Transfer - To another F&amp;R Service"),"-")</f>
        <v>-</v>
      </c>
      <c r="C20" s="609" t="str">
        <f>IFERROR(GETPIVOTDATA("Sum of Retained Duty System",leaverspivot!$A$3,"Reason for Leaving","Transfer - To another F&amp;R Service"),"-")</f>
        <v>-</v>
      </c>
      <c r="D20" s="609" t="str">
        <f>IFERROR("-", GETPIVOTDATA("Sum of Retained Full-time",leaverspivot!$A$3,"Reason for Leaving","Transfer - To another F&amp;R Service"))</f>
        <v>-</v>
      </c>
      <c r="E20" s="609" t="str">
        <f>IFERROR(GETPIVOTDATA("Sum of Control",leaverspivot!$A$3,"Reason for Leaving","Transfer - To another F&amp;R Service"),"-")</f>
        <v>-</v>
      </c>
      <c r="F20" s="609" t="str">
        <f>IFERROR(GETPIVOTDATA("Sum of Support",leaverspivot!$A$3,"Reason for Leaving","Transfer - To another F&amp;R Service"),"-")</f>
        <v>-</v>
      </c>
      <c r="G20" s="609" t="str">
        <f>IFERROR(GETPIVOTDATA("Sum of Volunteers",leaverspivot!$A$3,"Reason for Leaving","Transfer - To another F&amp;R Service"),"-")</f>
        <v>-</v>
      </c>
      <c r="H20" s="610">
        <f t="shared" si="0"/>
        <v>0</v>
      </c>
    </row>
    <row r="21" spans="1:14" x14ac:dyDescent="0.3">
      <c r="A21" s="312" t="s">
        <v>841</v>
      </c>
      <c r="B21" s="609" t="str">
        <f>IFERROR(GETPIVOTDATA("Sum of Wholetime Operational",leaverspivot!$A$3,"Reason for Leaving","TUPE Transfer"),"-")</f>
        <v>-</v>
      </c>
      <c r="C21" s="609" t="str">
        <f>IFERROR(GETPIVOTDATA("Sum of Retained Duty System",leaverspivot!$A$3,"Reason for Leaving","TUPE Transfer"),"-")</f>
        <v>-</v>
      </c>
      <c r="D21" s="609" t="str">
        <f>IFERROR(GETPIVOTDATA("Sum of Retained Full-time",leaverspivot!$A$3,"Reason for Leaving","TUPE Transfer"),"-")</f>
        <v>-</v>
      </c>
      <c r="E21" s="609" t="str">
        <f>IFERROR(GETPIVOTDATA("Sum of Control",leaverspivot!$A$3,"Reason for Leaving","TUPE Transfer"),"-")</f>
        <v>-</v>
      </c>
      <c r="F21" s="609" t="str">
        <f>IFERROR(GETPIVOTDATA("Sum of Support",leaverspivot!$A$3,"Reason for Leaving","TUPE Transfer"),"-")</f>
        <v>-</v>
      </c>
      <c r="G21" s="609" t="str">
        <f>IFERROR(GETPIVOTDATA("Sum of Volunteers",leaverspivot!$A$3,"Reason for Leaving","TUPE Transfer"),"-")</f>
        <v>-</v>
      </c>
      <c r="H21" s="610">
        <f t="shared" si="0"/>
        <v>0</v>
      </c>
    </row>
    <row r="22" spans="1:14" x14ac:dyDescent="0.3">
      <c r="A22" s="312" t="s">
        <v>842</v>
      </c>
      <c r="B22" s="609" t="str">
        <f>IFERROR(GETPIVOTDATA("Sum of Wholetime Operational",leaverspivot!$A$3,"Reason for Leaving","Voluntary Severance"),"-")</f>
        <v>-</v>
      </c>
      <c r="C22" s="609" t="str">
        <f>IFERROR(GETPIVOTDATA("Sum of Retained Duty System",leaverspivot!$A$3,"Reason for Leaving","Voluntary Severance"),"-")</f>
        <v>-</v>
      </c>
      <c r="D22" s="609" t="str">
        <f>IFERROR(GETPIVOTDATA("Sum of Retained Full-time",leaverspivot!$A$3,"Reason for Leaving","Voluntary Severance"),"-")</f>
        <v>-</v>
      </c>
      <c r="E22" s="609" t="str">
        <f>IFERROR(GETPIVOTDATA("Sum of Control",leaverspivot!$A$3,"Reason for Leaving","Voluntary Severance"),"-")</f>
        <v>-</v>
      </c>
      <c r="F22" s="609" t="str">
        <f>IFERROR(GETPIVOTDATA("Sum of Support",leaverspivot!$A$3,"Reason for Leaving","Voluntary Severance"),"-")</f>
        <v>-</v>
      </c>
      <c r="G22" s="609" t="str">
        <f>IFERROR(GETPIVOTDATA("Sum of Volunteers",leaverspivot!$A$3,"Reason for Leaving","Voluntary Severance"),"-")</f>
        <v>-</v>
      </c>
      <c r="H22" s="610">
        <f t="shared" si="0"/>
        <v>0</v>
      </c>
    </row>
    <row r="23" spans="1:14" ht="15" thickBot="1" x14ac:dyDescent="0.35">
      <c r="A23" s="494" t="s">
        <v>846</v>
      </c>
      <c r="B23" s="494">
        <f t="shared" ref="B23:H23" si="1">SUM(B12:B22)</f>
        <v>133</v>
      </c>
      <c r="C23" s="494">
        <f t="shared" si="1"/>
        <v>190</v>
      </c>
      <c r="D23" s="494">
        <f t="shared" si="1"/>
        <v>2</v>
      </c>
      <c r="E23" s="494">
        <f t="shared" si="1"/>
        <v>17</v>
      </c>
      <c r="F23" s="494">
        <f>SUM(F12:F22)</f>
        <v>68</v>
      </c>
      <c r="G23" s="494">
        <f>SUM(G12:G22)</f>
        <v>24</v>
      </c>
      <c r="H23" s="494">
        <f t="shared" si="1"/>
        <v>434</v>
      </c>
    </row>
    <row r="25" spans="1:14" x14ac:dyDescent="0.3">
      <c r="A25" s="334" t="s">
        <v>329</v>
      </c>
    </row>
    <row r="26" spans="1:14" ht="31.5" customHeight="1" x14ac:dyDescent="0.3">
      <c r="A26" s="1071" t="s">
        <v>1311</v>
      </c>
      <c r="B26" s="1071"/>
      <c r="C26" s="1071"/>
      <c r="D26" s="1071"/>
      <c r="E26" s="1071"/>
      <c r="F26" s="1071"/>
      <c r="G26" s="1071"/>
      <c r="H26" s="1071"/>
      <c r="I26" s="1071"/>
      <c r="J26" s="1071"/>
      <c r="K26" s="789"/>
      <c r="L26" s="789"/>
      <c r="M26" s="789"/>
      <c r="N26" s="789"/>
    </row>
    <row r="28" spans="1:14" ht="15" customHeight="1" x14ac:dyDescent="0.3"/>
    <row r="30" spans="1:14" x14ac:dyDescent="0.3">
      <c r="B30" s="558"/>
      <c r="C30" s="558"/>
      <c r="D30" s="558"/>
      <c r="E30" s="558"/>
      <c r="F30" s="558"/>
      <c r="G30" s="558"/>
      <c r="H30" s="558"/>
      <c r="I30" s="558"/>
    </row>
  </sheetData>
  <sheetProtection algorithmName="SHA-512" hashValue="UERjHYORy5IuFCLaX+j8OJptQ/ncwOoixTLFFIHcGqgJdJanVeMDd/gr4tI4sS7vHhdokTQSwYiCcQdAfWNdqg==" saltValue="j43g5fZCeoxTBAs6cLGYXQ==" spinCount="100000" sheet="1" scenarios="1" formatCells="0" sort="0" autoFilter="0" pivotTables="0"/>
  <mergeCells count="3">
    <mergeCell ref="A1:C1"/>
    <mergeCell ref="A4:I4"/>
    <mergeCell ref="A26:J26"/>
  </mergeCells>
  <hyperlinks>
    <hyperlink ref="A2" location="'Table of Contents'!A1" display="Back to Table of Contents" xr:uid="{00000000-0004-0000-7200-000000000000}"/>
  </hyperlinks>
  <pageMargins left="0.7" right="0.7" top="0.75" bottom="0.75" header="0.3" footer="0.3"/>
  <pageSetup paperSize="9" orientation="portrait" r:id="rId1"/>
  <drawing r:id="rId2"/>
  <extLst>
    <ext xmlns:x14="http://schemas.microsoft.com/office/spreadsheetml/2009/9/main" uri="{A8765BA9-456A-4dab-B4F3-ACF838C121DE}">
      <x14:slicerList>
        <x14:slicer r:id="rId3"/>
      </x14:slicerList>
    </ext>
  </extLst>
</worksheet>
</file>

<file path=xl/worksheets/sheet10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dimension ref="A1:G53"/>
  <sheetViews>
    <sheetView topLeftCell="A19" workbookViewId="0">
      <selection activeCell="P26" sqref="P26"/>
    </sheetView>
  </sheetViews>
  <sheetFormatPr defaultRowHeight="14.4" x14ac:dyDescent="0.3"/>
  <cols>
    <col min="1" max="1" width="12.77734375" bestFit="1" customWidth="1"/>
    <col min="2" max="2" width="28.44140625" bestFit="1" customWidth="1"/>
    <col min="3" max="3" width="26.77734375" bestFit="1" customWidth="1"/>
    <col min="4" max="4" width="13.88671875" bestFit="1" customWidth="1"/>
    <col min="5" max="5" width="14.33203125" bestFit="1" customWidth="1"/>
    <col min="6" max="6" width="17.21875" bestFit="1" customWidth="1"/>
    <col min="7" max="7" width="11.6640625" bestFit="1" customWidth="1"/>
  </cols>
  <sheetData>
    <row r="1" spans="1:7" x14ac:dyDescent="0.3">
      <c r="A1" s="386" t="s">
        <v>208</v>
      </c>
      <c r="B1" t="s">
        <v>412</v>
      </c>
    </row>
    <row r="3" spans="1:7" x14ac:dyDescent="0.3">
      <c r="A3" s="386" t="s">
        <v>350</v>
      </c>
      <c r="B3" t="s">
        <v>604</v>
      </c>
      <c r="C3" t="s">
        <v>506</v>
      </c>
      <c r="D3" t="s">
        <v>508</v>
      </c>
      <c r="E3" t="s">
        <v>509</v>
      </c>
      <c r="F3" t="s">
        <v>844</v>
      </c>
      <c r="G3" t="s">
        <v>356</v>
      </c>
    </row>
    <row r="4" spans="1:7" x14ac:dyDescent="0.3">
      <c r="A4" s="387" t="s">
        <v>733</v>
      </c>
      <c r="B4">
        <v>11</v>
      </c>
      <c r="C4">
        <v>25</v>
      </c>
      <c r="D4">
        <v>10</v>
      </c>
      <c r="E4">
        <v>25</v>
      </c>
      <c r="F4">
        <v>0</v>
      </c>
      <c r="G4">
        <v>71</v>
      </c>
    </row>
    <row r="5" spans="1:7" x14ac:dyDescent="0.3">
      <c r="A5" s="387" t="s">
        <v>734</v>
      </c>
      <c r="B5">
        <v>69</v>
      </c>
      <c r="C5">
        <v>204</v>
      </c>
      <c r="D5">
        <v>8</v>
      </c>
      <c r="E5">
        <v>43</v>
      </c>
      <c r="F5">
        <v>5</v>
      </c>
      <c r="G5">
        <v>329</v>
      </c>
    </row>
    <row r="6" spans="1:7" x14ac:dyDescent="0.3">
      <c r="A6" s="387" t="s">
        <v>357</v>
      </c>
      <c r="B6">
        <v>80</v>
      </c>
      <c r="C6">
        <v>229</v>
      </c>
      <c r="D6">
        <v>18</v>
      </c>
      <c r="E6">
        <v>68</v>
      </c>
      <c r="F6">
        <v>5</v>
      </c>
      <c r="G6">
        <v>400</v>
      </c>
    </row>
    <row r="15" spans="1:7" x14ac:dyDescent="0.3">
      <c r="A15" s="386" t="s">
        <v>208</v>
      </c>
      <c r="B15" t="s">
        <v>412</v>
      </c>
    </row>
    <row r="17" spans="1:7" x14ac:dyDescent="0.3">
      <c r="A17" s="386" t="s">
        <v>350</v>
      </c>
      <c r="B17" t="s">
        <v>604</v>
      </c>
      <c r="C17" t="s">
        <v>506</v>
      </c>
      <c r="D17" t="s">
        <v>508</v>
      </c>
      <c r="E17" t="s">
        <v>509</v>
      </c>
      <c r="F17" t="s">
        <v>844</v>
      </c>
      <c r="G17" t="s">
        <v>356</v>
      </c>
    </row>
    <row r="18" spans="1:7" x14ac:dyDescent="0.3">
      <c r="A18" s="387" t="s">
        <v>768</v>
      </c>
      <c r="B18">
        <v>13</v>
      </c>
      <c r="C18">
        <v>42</v>
      </c>
      <c r="D18">
        <v>1</v>
      </c>
      <c r="E18">
        <v>5</v>
      </c>
      <c r="F18">
        <v>1</v>
      </c>
      <c r="G18">
        <v>62</v>
      </c>
    </row>
    <row r="19" spans="1:7" x14ac:dyDescent="0.3">
      <c r="A19" s="387" t="s">
        <v>769</v>
      </c>
      <c r="B19">
        <v>31</v>
      </c>
      <c r="C19">
        <v>43</v>
      </c>
      <c r="D19">
        <v>9</v>
      </c>
      <c r="E19">
        <v>5</v>
      </c>
      <c r="F19">
        <v>0</v>
      </c>
      <c r="G19">
        <v>88</v>
      </c>
    </row>
    <row r="20" spans="1:7" x14ac:dyDescent="0.3">
      <c r="A20" s="387" t="s">
        <v>770</v>
      </c>
      <c r="B20">
        <v>17</v>
      </c>
      <c r="C20">
        <v>44</v>
      </c>
      <c r="D20">
        <v>3</v>
      </c>
      <c r="E20">
        <v>5</v>
      </c>
      <c r="F20">
        <v>0</v>
      </c>
      <c r="G20">
        <v>69</v>
      </c>
    </row>
    <row r="21" spans="1:7" x14ac:dyDescent="0.3">
      <c r="A21" s="387" t="s">
        <v>771</v>
      </c>
      <c r="B21">
        <v>14</v>
      </c>
      <c r="C21">
        <v>29</v>
      </c>
      <c r="D21">
        <v>4</v>
      </c>
      <c r="E21">
        <v>7</v>
      </c>
      <c r="F21">
        <v>1</v>
      </c>
      <c r="G21">
        <v>55</v>
      </c>
    </row>
    <row r="22" spans="1:7" x14ac:dyDescent="0.3">
      <c r="A22" s="387" t="s">
        <v>772</v>
      </c>
      <c r="B22">
        <v>4</v>
      </c>
      <c r="C22">
        <v>37</v>
      </c>
      <c r="D22">
        <v>0</v>
      </c>
      <c r="E22">
        <v>8</v>
      </c>
      <c r="F22">
        <v>1</v>
      </c>
      <c r="G22">
        <v>50</v>
      </c>
    </row>
    <row r="23" spans="1:7" x14ac:dyDescent="0.3">
      <c r="A23" s="387" t="s">
        <v>773</v>
      </c>
      <c r="B23">
        <v>0</v>
      </c>
      <c r="C23">
        <v>12</v>
      </c>
      <c r="D23">
        <v>0</v>
      </c>
      <c r="E23">
        <v>5</v>
      </c>
      <c r="F23">
        <v>1</v>
      </c>
      <c r="G23">
        <v>18</v>
      </c>
    </row>
    <row r="24" spans="1:7" x14ac:dyDescent="0.3">
      <c r="A24" s="387" t="s">
        <v>774</v>
      </c>
      <c r="B24">
        <v>0</v>
      </c>
      <c r="C24">
        <v>12</v>
      </c>
      <c r="D24">
        <v>1</v>
      </c>
      <c r="E24">
        <v>10</v>
      </c>
      <c r="F24">
        <v>1</v>
      </c>
      <c r="G24">
        <v>24</v>
      </c>
    </row>
    <row r="25" spans="1:7" x14ac:dyDescent="0.3">
      <c r="A25" s="387" t="s">
        <v>775</v>
      </c>
      <c r="B25">
        <v>1</v>
      </c>
      <c r="C25">
        <v>0</v>
      </c>
      <c r="D25">
        <v>0</v>
      </c>
      <c r="E25">
        <v>16</v>
      </c>
      <c r="F25">
        <v>0</v>
      </c>
      <c r="G25">
        <v>17</v>
      </c>
    </row>
    <row r="26" spans="1:7" x14ac:dyDescent="0.3">
      <c r="A26" s="387" t="s">
        <v>776</v>
      </c>
      <c r="B26">
        <v>0</v>
      </c>
      <c r="C26">
        <v>1</v>
      </c>
      <c r="D26">
        <v>0</v>
      </c>
      <c r="E26">
        <v>3</v>
      </c>
      <c r="F26">
        <v>0</v>
      </c>
      <c r="G26">
        <v>4</v>
      </c>
    </row>
    <row r="27" spans="1:7" x14ac:dyDescent="0.3">
      <c r="A27" s="387" t="s">
        <v>780</v>
      </c>
      <c r="B27">
        <v>0</v>
      </c>
      <c r="C27">
        <v>9</v>
      </c>
      <c r="D27">
        <v>0</v>
      </c>
      <c r="E27">
        <v>3</v>
      </c>
      <c r="F27">
        <v>0</v>
      </c>
      <c r="G27">
        <v>12</v>
      </c>
    </row>
    <row r="28" spans="1:7" x14ac:dyDescent="0.3">
      <c r="A28" s="387" t="s">
        <v>778</v>
      </c>
      <c r="B28">
        <v>0</v>
      </c>
      <c r="C28">
        <v>0</v>
      </c>
      <c r="D28">
        <v>0</v>
      </c>
      <c r="E28">
        <v>1</v>
      </c>
      <c r="F28">
        <v>0</v>
      </c>
      <c r="G28">
        <v>1</v>
      </c>
    </row>
    <row r="29" spans="1:7" x14ac:dyDescent="0.3">
      <c r="A29" s="387" t="s">
        <v>357</v>
      </c>
      <c r="B29">
        <v>80</v>
      </c>
      <c r="C29">
        <v>229</v>
      </c>
      <c r="D29">
        <v>18</v>
      </c>
      <c r="E29">
        <v>68</v>
      </c>
      <c r="F29">
        <v>5</v>
      </c>
      <c r="G29">
        <v>400</v>
      </c>
    </row>
    <row r="34" spans="1:6" x14ac:dyDescent="0.3">
      <c r="A34" s="386" t="s">
        <v>847</v>
      </c>
      <c r="B34" t="s">
        <v>412</v>
      </c>
    </row>
    <row r="36" spans="1:6" x14ac:dyDescent="0.3">
      <c r="A36" s="386" t="s">
        <v>350</v>
      </c>
      <c r="B36" t="s">
        <v>605</v>
      </c>
      <c r="C36" t="s">
        <v>848</v>
      </c>
      <c r="D36" t="s">
        <v>508</v>
      </c>
      <c r="E36" t="s">
        <v>509</v>
      </c>
      <c r="F36" t="s">
        <v>849</v>
      </c>
    </row>
    <row r="37" spans="1:6" x14ac:dyDescent="0.3">
      <c r="A37" s="387" t="s">
        <v>808</v>
      </c>
      <c r="B37">
        <v>0.43668122270742354</v>
      </c>
      <c r="E37">
        <v>4.4117647058823533</v>
      </c>
    </row>
    <row r="38" spans="1:6" x14ac:dyDescent="0.3">
      <c r="A38" s="387" t="s">
        <v>809</v>
      </c>
      <c r="B38">
        <v>94.32314410480349</v>
      </c>
      <c r="C38">
        <v>93.589743589743591</v>
      </c>
      <c r="D38">
        <v>100</v>
      </c>
      <c r="E38">
        <v>75</v>
      </c>
      <c r="F38">
        <v>100</v>
      </c>
    </row>
    <row r="39" spans="1:6" x14ac:dyDescent="0.3">
      <c r="A39" s="387" t="s">
        <v>807</v>
      </c>
      <c r="B39">
        <v>5.2401746724890828</v>
      </c>
      <c r="C39">
        <v>6.4102564102564097</v>
      </c>
      <c r="E39">
        <v>20.588235294117645</v>
      </c>
    </row>
    <row r="40" spans="1:6" x14ac:dyDescent="0.3">
      <c r="A40" s="387" t="s">
        <v>357</v>
      </c>
      <c r="B40">
        <v>100</v>
      </c>
      <c r="C40">
        <v>100</v>
      </c>
      <c r="D40">
        <v>100</v>
      </c>
      <c r="E40">
        <v>100</v>
      </c>
      <c r="F40">
        <v>100</v>
      </c>
    </row>
    <row r="48" spans="1:6" x14ac:dyDescent="0.3">
      <c r="A48" s="386" t="s">
        <v>847</v>
      </c>
      <c r="B48" t="s">
        <v>412</v>
      </c>
    </row>
    <row r="50" spans="1:6" x14ac:dyDescent="0.3">
      <c r="A50" s="386" t="s">
        <v>350</v>
      </c>
      <c r="B50" t="s">
        <v>509</v>
      </c>
      <c r="C50" t="s">
        <v>848</v>
      </c>
      <c r="D50" t="s">
        <v>605</v>
      </c>
      <c r="E50" t="s">
        <v>508</v>
      </c>
      <c r="F50" t="s">
        <v>849</v>
      </c>
    </row>
    <row r="51" spans="1:6" x14ac:dyDescent="0.3">
      <c r="A51" s="387" t="s">
        <v>855</v>
      </c>
      <c r="B51">
        <v>16.176470588235293</v>
      </c>
      <c r="C51">
        <v>6.4102564102564097</v>
      </c>
      <c r="D51">
        <v>4.3668122270742353</v>
      </c>
    </row>
    <row r="52" spans="1:6" x14ac:dyDescent="0.3">
      <c r="A52" s="387" t="s">
        <v>850</v>
      </c>
      <c r="B52">
        <v>83.82352941176471</v>
      </c>
      <c r="C52">
        <v>93.589743589743591</v>
      </c>
      <c r="D52">
        <v>95.633187772925766</v>
      </c>
      <c r="E52">
        <v>100</v>
      </c>
      <c r="F52">
        <v>100</v>
      </c>
    </row>
    <row r="53" spans="1:6" x14ac:dyDescent="0.3">
      <c r="A53" s="387" t="s">
        <v>357</v>
      </c>
      <c r="B53">
        <v>100</v>
      </c>
      <c r="C53">
        <v>100</v>
      </c>
      <c r="D53">
        <v>100</v>
      </c>
      <c r="E53">
        <v>100</v>
      </c>
      <c r="F53">
        <v>100</v>
      </c>
    </row>
  </sheetData>
  <pageMargins left="0.7" right="0.7" top="0.75" bottom="0.75" header="0.3" footer="0.3"/>
  <drawing r:id="rId5"/>
  <extLst>
    <ext xmlns:x14="http://schemas.microsoft.com/office/spreadsheetml/2009/9/main" uri="{A8765BA9-456A-4dab-B4F3-ACF838C121DE}">
      <x14:slicerList>
        <x14:slicer r:id="rId6"/>
      </x14:slicerList>
    </ext>
  </extLst>
</worksheet>
</file>

<file path=xl/worksheets/sheet10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dimension ref="A1:Q112"/>
  <sheetViews>
    <sheetView zoomScale="80" zoomScaleNormal="80" workbookViewId="0">
      <selection activeCell="L33" sqref="L33"/>
    </sheetView>
  </sheetViews>
  <sheetFormatPr defaultRowHeight="14.4" x14ac:dyDescent="0.3"/>
  <cols>
    <col min="1" max="1" width="10.5546875" bestFit="1" customWidth="1"/>
    <col min="2" max="2" width="14" bestFit="1" customWidth="1"/>
    <col min="3" max="6" width="12.77734375" bestFit="1" customWidth="1"/>
    <col min="7" max="7" width="6.77734375" bestFit="1" customWidth="1"/>
    <col min="10" max="10" width="8.33203125" bestFit="1" customWidth="1"/>
    <col min="11" max="11" width="13.21875" bestFit="1" customWidth="1"/>
    <col min="12" max="12" width="24.44140625" bestFit="1" customWidth="1"/>
    <col min="13" max="13" width="23.5546875" bestFit="1" customWidth="1"/>
    <col min="14" max="14" width="10" bestFit="1" customWidth="1"/>
    <col min="15" max="15" width="10.5546875" bestFit="1" customWidth="1"/>
    <col min="16" max="16" width="13.21875" bestFit="1" customWidth="1"/>
    <col min="17" max="17" width="8.33203125" bestFit="1" customWidth="1"/>
  </cols>
  <sheetData>
    <row r="1" spans="1:17" x14ac:dyDescent="0.3">
      <c r="A1" t="s">
        <v>847</v>
      </c>
      <c r="B1" t="s">
        <v>851</v>
      </c>
      <c r="C1" t="s">
        <v>629</v>
      </c>
      <c r="D1" t="s">
        <v>606</v>
      </c>
      <c r="E1" t="s">
        <v>513</v>
      </c>
      <c r="F1" t="s">
        <v>514</v>
      </c>
      <c r="G1" t="s">
        <v>628</v>
      </c>
      <c r="J1" t="s">
        <v>208</v>
      </c>
      <c r="K1" t="s">
        <v>852</v>
      </c>
      <c r="L1" t="s">
        <v>517</v>
      </c>
      <c r="M1" t="s">
        <v>361</v>
      </c>
      <c r="N1" t="s">
        <v>513</v>
      </c>
      <c r="O1" t="s">
        <v>514</v>
      </c>
      <c r="P1" t="s">
        <v>832</v>
      </c>
      <c r="Q1" t="s">
        <v>340</v>
      </c>
    </row>
    <row r="2" spans="1:17" x14ac:dyDescent="0.3">
      <c r="A2" t="s">
        <v>213</v>
      </c>
      <c r="B2" t="s">
        <v>808</v>
      </c>
      <c r="D2">
        <v>1.6194331983805668</v>
      </c>
      <c r="F2">
        <v>2.1739130434782608</v>
      </c>
      <c r="J2" t="s">
        <v>213</v>
      </c>
      <c r="K2" t="s">
        <v>733</v>
      </c>
      <c r="L2">
        <v>14</v>
      </c>
      <c r="M2">
        <v>38</v>
      </c>
      <c r="N2">
        <v>24</v>
      </c>
      <c r="O2">
        <v>38</v>
      </c>
      <c r="P2">
        <v>8</v>
      </c>
      <c r="Q2">
        <v>122</v>
      </c>
    </row>
    <row r="3" spans="1:17" x14ac:dyDescent="0.3">
      <c r="A3" t="s">
        <v>312</v>
      </c>
      <c r="B3" t="s">
        <v>808</v>
      </c>
      <c r="D3">
        <v>0.89686098654708524</v>
      </c>
      <c r="J3" t="s">
        <v>213</v>
      </c>
      <c r="K3" t="s">
        <v>734</v>
      </c>
      <c r="L3">
        <v>180</v>
      </c>
      <c r="M3">
        <v>209</v>
      </c>
      <c r="N3">
        <v>5</v>
      </c>
      <c r="O3">
        <v>54</v>
      </c>
      <c r="P3">
        <v>16</v>
      </c>
      <c r="Q3">
        <v>464</v>
      </c>
    </row>
    <row r="4" spans="1:17" x14ac:dyDescent="0.3">
      <c r="A4" t="s">
        <v>318</v>
      </c>
      <c r="B4" t="s">
        <v>808</v>
      </c>
      <c r="C4">
        <v>0.92592592592592582</v>
      </c>
      <c r="D4">
        <v>0.75187969924812026</v>
      </c>
      <c r="F4">
        <v>5.3571428571428568</v>
      </c>
      <c r="J4" t="s">
        <v>312</v>
      </c>
      <c r="K4" t="s">
        <v>733</v>
      </c>
      <c r="L4">
        <v>21</v>
      </c>
      <c r="M4">
        <v>23</v>
      </c>
      <c r="N4">
        <v>0</v>
      </c>
      <c r="O4">
        <v>38</v>
      </c>
      <c r="P4">
        <v>6</v>
      </c>
      <c r="Q4">
        <v>88</v>
      </c>
    </row>
    <row r="5" spans="1:17" x14ac:dyDescent="0.3">
      <c r="A5" t="s">
        <v>320</v>
      </c>
      <c r="B5" t="s">
        <v>808</v>
      </c>
      <c r="C5">
        <v>1.4705882352941175</v>
      </c>
      <c r="D5">
        <v>0.6211180124223602</v>
      </c>
      <c r="F5">
        <v>6.0150375939849621</v>
      </c>
      <c r="J5" t="s">
        <v>312</v>
      </c>
      <c r="K5" t="s">
        <v>734</v>
      </c>
      <c r="L5">
        <v>98</v>
      </c>
      <c r="M5">
        <v>200</v>
      </c>
      <c r="N5">
        <v>0</v>
      </c>
      <c r="O5">
        <v>29</v>
      </c>
      <c r="P5">
        <v>15</v>
      </c>
      <c r="Q5">
        <v>342</v>
      </c>
    </row>
    <row r="6" spans="1:17" x14ac:dyDescent="0.3">
      <c r="A6" t="s">
        <v>326</v>
      </c>
      <c r="B6" t="s">
        <v>808</v>
      </c>
      <c r="F6">
        <v>2.7397260273972601</v>
      </c>
      <c r="J6" t="s">
        <v>318</v>
      </c>
      <c r="K6" t="s">
        <v>733</v>
      </c>
      <c r="L6">
        <v>3</v>
      </c>
      <c r="M6">
        <v>7</v>
      </c>
      <c r="N6">
        <v>4</v>
      </c>
      <c r="O6">
        <v>33</v>
      </c>
      <c r="P6">
        <v>1</v>
      </c>
      <c r="Q6">
        <v>48</v>
      </c>
    </row>
    <row r="7" spans="1:17" x14ac:dyDescent="0.3">
      <c r="A7" t="s">
        <v>412</v>
      </c>
      <c r="B7" t="s">
        <v>808</v>
      </c>
      <c r="D7">
        <v>0.43668122270742354</v>
      </c>
      <c r="F7">
        <v>4.4117647058823533</v>
      </c>
      <c r="J7" t="s">
        <v>318</v>
      </c>
      <c r="K7" t="s">
        <v>734</v>
      </c>
      <c r="L7">
        <v>106</v>
      </c>
      <c r="M7">
        <v>126</v>
      </c>
      <c r="N7">
        <v>0</v>
      </c>
      <c r="O7">
        <v>23</v>
      </c>
      <c r="P7">
        <v>7</v>
      </c>
      <c r="Q7">
        <v>262</v>
      </c>
    </row>
    <row r="8" spans="1:17" x14ac:dyDescent="0.3">
      <c r="A8" t="s">
        <v>213</v>
      </c>
      <c r="B8" t="s">
        <v>809</v>
      </c>
      <c r="C8">
        <v>59.27835051546392</v>
      </c>
      <c r="D8">
        <v>44.534412955465584</v>
      </c>
      <c r="E8">
        <v>62.068965517241381</v>
      </c>
      <c r="F8">
        <v>43.478260869565219</v>
      </c>
      <c r="G8">
        <v>100</v>
      </c>
      <c r="J8" t="s">
        <v>320</v>
      </c>
      <c r="K8" t="s">
        <v>733</v>
      </c>
      <c r="L8">
        <v>10</v>
      </c>
      <c r="M8">
        <v>21</v>
      </c>
      <c r="N8">
        <v>7</v>
      </c>
      <c r="O8">
        <v>69</v>
      </c>
      <c r="P8">
        <v>2</v>
      </c>
      <c r="Q8">
        <v>109</v>
      </c>
    </row>
    <row r="9" spans="1:17" x14ac:dyDescent="0.3">
      <c r="A9" t="s">
        <v>312</v>
      </c>
      <c r="B9" t="s">
        <v>809</v>
      </c>
      <c r="C9">
        <v>85.714285714285708</v>
      </c>
      <c r="D9">
        <v>88.340807174887885</v>
      </c>
      <c r="F9">
        <v>62.68656716417911</v>
      </c>
      <c r="G9">
        <v>95.238095238095227</v>
      </c>
      <c r="J9" t="s">
        <v>320</v>
      </c>
      <c r="K9" t="s">
        <v>734</v>
      </c>
      <c r="L9">
        <v>124</v>
      </c>
      <c r="M9">
        <v>140</v>
      </c>
      <c r="N9">
        <v>2</v>
      </c>
      <c r="O9">
        <v>66</v>
      </c>
      <c r="P9">
        <v>8</v>
      </c>
      <c r="Q9">
        <v>340</v>
      </c>
    </row>
    <row r="10" spans="1:17" x14ac:dyDescent="0.3">
      <c r="A10" t="s">
        <v>318</v>
      </c>
      <c r="B10" t="s">
        <v>809</v>
      </c>
      <c r="C10">
        <v>77.777777777777786</v>
      </c>
      <c r="D10">
        <v>90.977443609022558</v>
      </c>
      <c r="E10">
        <v>40</v>
      </c>
      <c r="F10">
        <v>55.357142857142854</v>
      </c>
      <c r="G10">
        <v>100</v>
      </c>
      <c r="J10" t="s">
        <v>325</v>
      </c>
      <c r="K10" t="s">
        <v>733</v>
      </c>
      <c r="L10">
        <v>14</v>
      </c>
      <c r="M10">
        <v>16</v>
      </c>
      <c r="N10">
        <v>12</v>
      </c>
      <c r="O10">
        <v>29</v>
      </c>
      <c r="P10">
        <v>0</v>
      </c>
      <c r="Q10">
        <v>71</v>
      </c>
    </row>
    <row r="11" spans="1:17" x14ac:dyDescent="0.3">
      <c r="A11" t="s">
        <v>320</v>
      </c>
      <c r="B11" t="s">
        <v>809</v>
      </c>
      <c r="C11">
        <v>81.617647058823522</v>
      </c>
      <c r="D11">
        <v>94.409937888198755</v>
      </c>
      <c r="E11">
        <v>77.777777777777786</v>
      </c>
      <c r="F11">
        <v>58.646616541353382</v>
      </c>
      <c r="G11">
        <v>100</v>
      </c>
      <c r="J11" t="s">
        <v>325</v>
      </c>
      <c r="K11" t="s">
        <v>734</v>
      </c>
      <c r="L11">
        <v>212</v>
      </c>
      <c r="M11">
        <v>183</v>
      </c>
      <c r="N11">
        <v>6</v>
      </c>
      <c r="O11">
        <v>35</v>
      </c>
      <c r="P11">
        <v>15</v>
      </c>
      <c r="Q11">
        <v>451</v>
      </c>
    </row>
    <row r="12" spans="1:17" x14ac:dyDescent="0.3">
      <c r="A12" t="s">
        <v>325</v>
      </c>
      <c r="B12" t="s">
        <v>809</v>
      </c>
      <c r="C12">
        <v>82.222222222222214</v>
      </c>
      <c r="D12">
        <v>92.964824120603012</v>
      </c>
      <c r="E12">
        <v>90</v>
      </c>
      <c r="F12">
        <v>73.015873015873012</v>
      </c>
      <c r="G12">
        <v>93.333333333333329</v>
      </c>
      <c r="J12" t="s">
        <v>326</v>
      </c>
      <c r="K12" t="s">
        <v>733</v>
      </c>
      <c r="L12">
        <v>13</v>
      </c>
      <c r="M12">
        <v>26</v>
      </c>
      <c r="N12">
        <v>1</v>
      </c>
      <c r="O12">
        <v>32</v>
      </c>
      <c r="P12">
        <v>3</v>
      </c>
      <c r="Q12">
        <v>75</v>
      </c>
    </row>
    <row r="13" spans="1:17" x14ac:dyDescent="0.3">
      <c r="A13" t="s">
        <v>326</v>
      </c>
      <c r="B13" t="s">
        <v>809</v>
      </c>
      <c r="C13">
        <v>95.061728395061735</v>
      </c>
      <c r="D13">
        <v>94.354838709677423</v>
      </c>
      <c r="E13">
        <v>100</v>
      </c>
      <c r="F13">
        <v>69.863013698630141</v>
      </c>
      <c r="G13">
        <v>100</v>
      </c>
      <c r="J13" t="s">
        <v>326</v>
      </c>
      <c r="K13" t="s">
        <v>734</v>
      </c>
      <c r="L13">
        <v>79</v>
      </c>
      <c r="M13">
        <v>222</v>
      </c>
      <c r="N13">
        <v>0</v>
      </c>
      <c r="O13">
        <v>41</v>
      </c>
      <c r="P13">
        <v>15</v>
      </c>
      <c r="Q13">
        <v>357</v>
      </c>
    </row>
    <row r="14" spans="1:17" x14ac:dyDescent="0.3">
      <c r="A14" t="s">
        <v>328</v>
      </c>
      <c r="B14" t="s">
        <v>809</v>
      </c>
      <c r="C14">
        <v>100</v>
      </c>
      <c r="D14">
        <v>100</v>
      </c>
      <c r="E14">
        <v>100</v>
      </c>
      <c r="F14">
        <v>100</v>
      </c>
      <c r="G14">
        <v>100</v>
      </c>
      <c r="J14" t="s">
        <v>328</v>
      </c>
      <c r="K14" t="s">
        <v>733</v>
      </c>
      <c r="L14">
        <v>10</v>
      </c>
      <c r="M14">
        <v>27</v>
      </c>
      <c r="N14">
        <v>8</v>
      </c>
      <c r="O14">
        <v>22</v>
      </c>
      <c r="P14">
        <v>5</v>
      </c>
      <c r="Q14">
        <v>72</v>
      </c>
    </row>
    <row r="15" spans="1:17" x14ac:dyDescent="0.3">
      <c r="A15" t="s">
        <v>412</v>
      </c>
      <c r="B15" t="s">
        <v>809</v>
      </c>
      <c r="C15">
        <v>93.589743589743591</v>
      </c>
      <c r="D15">
        <v>94.32314410480349</v>
      </c>
      <c r="E15">
        <v>100</v>
      </c>
      <c r="F15">
        <v>75</v>
      </c>
      <c r="G15">
        <v>100</v>
      </c>
      <c r="J15" t="s">
        <v>328</v>
      </c>
      <c r="K15" t="s">
        <v>734</v>
      </c>
      <c r="L15">
        <v>122</v>
      </c>
      <c r="M15">
        <v>179</v>
      </c>
      <c r="N15">
        <v>2</v>
      </c>
      <c r="O15">
        <v>33</v>
      </c>
      <c r="P15">
        <v>17</v>
      </c>
      <c r="Q15">
        <v>353</v>
      </c>
    </row>
    <row r="16" spans="1:17" x14ac:dyDescent="0.3">
      <c r="A16" t="s">
        <v>213</v>
      </c>
      <c r="B16" t="s">
        <v>807</v>
      </c>
      <c r="C16">
        <v>40.72164948453608</v>
      </c>
      <c r="D16">
        <v>53.846153846153847</v>
      </c>
      <c r="E16">
        <v>37.931034482758619</v>
      </c>
      <c r="F16">
        <v>54.347826086956516</v>
      </c>
      <c r="J16" t="s">
        <v>412</v>
      </c>
      <c r="K16" t="s">
        <v>733</v>
      </c>
      <c r="L16">
        <v>11</v>
      </c>
      <c r="M16">
        <v>25</v>
      </c>
      <c r="N16">
        <v>10</v>
      </c>
      <c r="O16">
        <v>25</v>
      </c>
      <c r="P16">
        <v>0</v>
      </c>
      <c r="Q16">
        <v>71</v>
      </c>
    </row>
    <row r="17" spans="1:17" x14ac:dyDescent="0.3">
      <c r="A17" t="s">
        <v>312</v>
      </c>
      <c r="B17" t="s">
        <v>807</v>
      </c>
      <c r="C17">
        <v>14.285714285714285</v>
      </c>
      <c r="D17">
        <v>10.762331838565023</v>
      </c>
      <c r="F17">
        <v>37.313432835820898</v>
      </c>
      <c r="G17">
        <v>4.7619047619047619</v>
      </c>
      <c r="J17" t="s">
        <v>412</v>
      </c>
      <c r="K17" t="s">
        <v>734</v>
      </c>
      <c r="L17">
        <v>69</v>
      </c>
      <c r="M17">
        <v>204</v>
      </c>
      <c r="N17">
        <v>8</v>
      </c>
      <c r="O17">
        <v>43</v>
      </c>
      <c r="P17">
        <v>5</v>
      </c>
      <c r="Q17">
        <v>329</v>
      </c>
    </row>
    <row r="18" spans="1:17" x14ac:dyDescent="0.3">
      <c r="A18" t="s">
        <v>318</v>
      </c>
      <c r="B18" t="s">
        <v>807</v>
      </c>
      <c r="C18">
        <v>21.296296296296298</v>
      </c>
      <c r="D18">
        <v>8.2706766917293226</v>
      </c>
      <c r="E18">
        <v>60</v>
      </c>
      <c r="F18">
        <v>39.285714285714285</v>
      </c>
    </row>
    <row r="19" spans="1:17" x14ac:dyDescent="0.3">
      <c r="A19" t="s">
        <v>320</v>
      </c>
      <c r="B19" t="s">
        <v>807</v>
      </c>
      <c r="C19">
        <v>16.911764705882355</v>
      </c>
      <c r="D19">
        <v>4.9689440993788816</v>
      </c>
      <c r="E19">
        <v>22.222222222222221</v>
      </c>
      <c r="F19">
        <v>35.338345864661655</v>
      </c>
    </row>
    <row r="20" spans="1:17" x14ac:dyDescent="0.3">
      <c r="A20" t="s">
        <v>325</v>
      </c>
      <c r="B20" t="s">
        <v>807</v>
      </c>
      <c r="C20">
        <v>17.777777777777779</v>
      </c>
      <c r="D20">
        <v>7.0351758793969852</v>
      </c>
      <c r="E20">
        <v>10</v>
      </c>
      <c r="F20">
        <v>26.984126984126984</v>
      </c>
      <c r="G20">
        <v>6.666666666666667</v>
      </c>
    </row>
    <row r="21" spans="1:17" x14ac:dyDescent="0.3">
      <c r="A21" t="s">
        <v>326</v>
      </c>
      <c r="B21" t="s">
        <v>807</v>
      </c>
      <c r="C21">
        <v>4.9382716049382713</v>
      </c>
      <c r="D21">
        <v>5.6451612903225801</v>
      </c>
      <c r="F21">
        <v>27.397260273972602</v>
      </c>
    </row>
    <row r="22" spans="1:17" x14ac:dyDescent="0.3">
      <c r="A22" t="s">
        <v>412</v>
      </c>
      <c r="B22" t="s">
        <v>807</v>
      </c>
      <c r="C22">
        <v>6.4102564102564097</v>
      </c>
      <c r="D22">
        <v>5.2401746724890828</v>
      </c>
      <c r="F22">
        <v>20.588235294117645</v>
      </c>
    </row>
    <row r="26" spans="1:17" x14ac:dyDescent="0.3">
      <c r="J26" t="s">
        <v>208</v>
      </c>
      <c r="K26" t="s">
        <v>92</v>
      </c>
      <c r="L26" t="s">
        <v>517</v>
      </c>
      <c r="M26" t="s">
        <v>361</v>
      </c>
      <c r="N26" t="s">
        <v>513</v>
      </c>
      <c r="O26" t="s">
        <v>514</v>
      </c>
      <c r="P26" t="s">
        <v>832</v>
      </c>
      <c r="Q26" t="s">
        <v>340</v>
      </c>
    </row>
    <row r="27" spans="1:17" x14ac:dyDescent="0.3">
      <c r="J27" t="s">
        <v>213</v>
      </c>
      <c r="K27" t="s">
        <v>768</v>
      </c>
      <c r="L27">
        <v>26</v>
      </c>
      <c r="M27">
        <v>56</v>
      </c>
      <c r="N27">
        <v>8</v>
      </c>
      <c r="O27">
        <v>11</v>
      </c>
      <c r="P27">
        <v>4</v>
      </c>
      <c r="Q27">
        <v>105</v>
      </c>
    </row>
    <row r="28" spans="1:17" x14ac:dyDescent="0.3">
      <c r="A28" t="s">
        <v>847</v>
      </c>
      <c r="B28" t="s">
        <v>853</v>
      </c>
      <c r="C28" t="s">
        <v>629</v>
      </c>
      <c r="D28" t="s">
        <v>606</v>
      </c>
      <c r="E28" t="s">
        <v>513</v>
      </c>
      <c r="F28" t="s">
        <v>514</v>
      </c>
      <c r="G28" t="s">
        <v>628</v>
      </c>
      <c r="J28" t="s">
        <v>213</v>
      </c>
      <c r="K28" t="s">
        <v>769</v>
      </c>
      <c r="L28">
        <v>61</v>
      </c>
      <c r="M28">
        <v>50</v>
      </c>
      <c r="N28">
        <v>9</v>
      </c>
      <c r="O28">
        <v>12</v>
      </c>
      <c r="P28">
        <v>5</v>
      </c>
      <c r="Q28">
        <v>137</v>
      </c>
    </row>
    <row r="29" spans="1:17" x14ac:dyDescent="0.3">
      <c r="A29" t="s">
        <v>213</v>
      </c>
      <c r="B29" t="s">
        <v>854</v>
      </c>
      <c r="C29">
        <v>3.608247422680412</v>
      </c>
      <c r="D29">
        <v>1.214574898785425</v>
      </c>
      <c r="F29">
        <v>2.1739130434782608</v>
      </c>
      <c r="J29" t="s">
        <v>213</v>
      </c>
      <c r="K29" t="s">
        <v>770</v>
      </c>
      <c r="L29">
        <v>61</v>
      </c>
      <c r="M29">
        <v>50</v>
      </c>
      <c r="N29">
        <v>7</v>
      </c>
      <c r="O29">
        <v>8</v>
      </c>
      <c r="P29">
        <v>3</v>
      </c>
      <c r="Q29">
        <v>129</v>
      </c>
    </row>
    <row r="30" spans="1:17" x14ac:dyDescent="0.3">
      <c r="A30" t="s">
        <v>312</v>
      </c>
      <c r="B30" t="s">
        <v>854</v>
      </c>
      <c r="C30">
        <v>0.84033613445378152</v>
      </c>
      <c r="D30">
        <v>0.44843049327354262</v>
      </c>
      <c r="F30">
        <v>4.4776119402985071</v>
      </c>
      <c r="J30" t="s">
        <v>213</v>
      </c>
      <c r="K30" t="s">
        <v>771</v>
      </c>
      <c r="L30">
        <v>25</v>
      </c>
      <c r="M30">
        <v>30</v>
      </c>
      <c r="N30">
        <v>5</v>
      </c>
      <c r="O30">
        <v>7</v>
      </c>
      <c r="P30">
        <v>3</v>
      </c>
      <c r="Q30">
        <v>70</v>
      </c>
    </row>
    <row r="31" spans="1:17" x14ac:dyDescent="0.3">
      <c r="A31" t="s">
        <v>318</v>
      </c>
      <c r="B31" t="s">
        <v>854</v>
      </c>
      <c r="F31">
        <v>3.5714285714285712</v>
      </c>
      <c r="J31" t="s">
        <v>213</v>
      </c>
      <c r="K31" t="s">
        <v>772</v>
      </c>
      <c r="L31">
        <v>13</v>
      </c>
      <c r="M31">
        <v>28</v>
      </c>
      <c r="N31">
        <v>0</v>
      </c>
      <c r="O31">
        <v>12</v>
      </c>
      <c r="P31">
        <v>2</v>
      </c>
      <c r="Q31">
        <v>55</v>
      </c>
    </row>
    <row r="32" spans="1:17" x14ac:dyDescent="0.3">
      <c r="A32" t="s">
        <v>325</v>
      </c>
      <c r="B32" t="s">
        <v>854</v>
      </c>
      <c r="C32">
        <v>1.3333333333333335</v>
      </c>
      <c r="J32" t="s">
        <v>213</v>
      </c>
      <c r="K32" t="s">
        <v>773</v>
      </c>
      <c r="L32">
        <v>7</v>
      </c>
      <c r="M32">
        <v>16</v>
      </c>
      <c r="N32">
        <v>0</v>
      </c>
      <c r="O32">
        <v>13</v>
      </c>
      <c r="P32">
        <v>3</v>
      </c>
      <c r="Q32">
        <v>39</v>
      </c>
    </row>
    <row r="33" spans="1:17" x14ac:dyDescent="0.3">
      <c r="A33" t="s">
        <v>326</v>
      </c>
      <c r="B33" t="s">
        <v>854</v>
      </c>
      <c r="F33">
        <v>2.7397260273972601</v>
      </c>
      <c r="J33" t="s">
        <v>213</v>
      </c>
      <c r="K33" t="s">
        <v>774</v>
      </c>
      <c r="L33">
        <v>1</v>
      </c>
      <c r="M33">
        <v>11</v>
      </c>
      <c r="N33">
        <v>0</v>
      </c>
      <c r="O33">
        <v>9</v>
      </c>
      <c r="P33">
        <v>3</v>
      </c>
      <c r="Q33">
        <v>24</v>
      </c>
    </row>
    <row r="34" spans="1:17" x14ac:dyDescent="0.3">
      <c r="A34" t="s">
        <v>213</v>
      </c>
      <c r="B34" t="s">
        <v>855</v>
      </c>
      <c r="C34">
        <v>38.144329896907216</v>
      </c>
      <c r="D34">
        <v>54.251012145748987</v>
      </c>
      <c r="E34">
        <v>34.482758620689658</v>
      </c>
      <c r="F34">
        <v>48.913043478260867</v>
      </c>
      <c r="J34" t="s">
        <v>213</v>
      </c>
      <c r="K34" t="s">
        <v>775</v>
      </c>
      <c r="L34">
        <v>0</v>
      </c>
      <c r="M34">
        <v>2</v>
      </c>
      <c r="N34">
        <v>0</v>
      </c>
      <c r="O34">
        <v>11</v>
      </c>
      <c r="P34">
        <v>0</v>
      </c>
      <c r="Q34">
        <v>13</v>
      </c>
    </row>
    <row r="35" spans="1:17" x14ac:dyDescent="0.3">
      <c r="A35" t="s">
        <v>312</v>
      </c>
      <c r="B35" t="s">
        <v>855</v>
      </c>
      <c r="C35">
        <v>9.2436974789915975</v>
      </c>
      <c r="D35">
        <v>8.5201793721973083</v>
      </c>
      <c r="F35">
        <v>23.880597014925371</v>
      </c>
      <c r="J35" t="s">
        <v>213</v>
      </c>
      <c r="K35" t="s">
        <v>776</v>
      </c>
      <c r="L35">
        <v>0</v>
      </c>
      <c r="M35">
        <v>0</v>
      </c>
      <c r="N35">
        <v>0</v>
      </c>
      <c r="O35">
        <v>6</v>
      </c>
      <c r="P35">
        <v>0</v>
      </c>
      <c r="Q35">
        <v>6</v>
      </c>
    </row>
    <row r="36" spans="1:17" x14ac:dyDescent="0.3">
      <c r="A36" t="s">
        <v>318</v>
      </c>
      <c r="B36" t="s">
        <v>855</v>
      </c>
      <c r="C36">
        <v>15.74074074074074</v>
      </c>
      <c r="D36">
        <v>7.518796992481203</v>
      </c>
      <c r="E36">
        <v>60</v>
      </c>
      <c r="F36">
        <v>30.357142857142854</v>
      </c>
      <c r="J36" t="s">
        <v>213</v>
      </c>
      <c r="K36" t="s">
        <v>777</v>
      </c>
      <c r="L36">
        <v>0</v>
      </c>
      <c r="M36">
        <v>0</v>
      </c>
      <c r="N36">
        <v>0</v>
      </c>
      <c r="O36">
        <v>1</v>
      </c>
      <c r="P36">
        <v>1</v>
      </c>
      <c r="Q36">
        <v>2</v>
      </c>
    </row>
    <row r="37" spans="1:17" x14ac:dyDescent="0.3">
      <c r="A37" t="s">
        <v>320</v>
      </c>
      <c r="B37" t="s">
        <v>855</v>
      </c>
      <c r="C37">
        <v>16.911764705882355</v>
      </c>
      <c r="D37">
        <v>3.7267080745341614</v>
      </c>
      <c r="E37">
        <v>22.222222222222221</v>
      </c>
      <c r="F37">
        <v>31.578947368421051</v>
      </c>
      <c r="J37" t="s">
        <v>213</v>
      </c>
      <c r="K37" t="s">
        <v>780</v>
      </c>
      <c r="L37">
        <v>0</v>
      </c>
      <c r="M37">
        <v>4</v>
      </c>
      <c r="N37">
        <v>0</v>
      </c>
      <c r="O37">
        <v>2</v>
      </c>
      <c r="P37">
        <v>0</v>
      </c>
      <c r="Q37">
        <v>6</v>
      </c>
    </row>
    <row r="38" spans="1:17" x14ac:dyDescent="0.3">
      <c r="A38" t="s">
        <v>325</v>
      </c>
      <c r="B38" t="s">
        <v>855</v>
      </c>
      <c r="C38">
        <v>16</v>
      </c>
      <c r="D38">
        <v>4.5226130653266337</v>
      </c>
      <c r="E38">
        <v>10</v>
      </c>
      <c r="F38">
        <v>20.634920634920633</v>
      </c>
      <c r="J38" t="s">
        <v>312</v>
      </c>
      <c r="K38" t="s">
        <v>768</v>
      </c>
      <c r="L38">
        <v>7</v>
      </c>
      <c r="M38">
        <v>52</v>
      </c>
      <c r="N38">
        <v>0</v>
      </c>
      <c r="O38">
        <v>6</v>
      </c>
      <c r="P38">
        <v>4</v>
      </c>
      <c r="Q38">
        <v>69</v>
      </c>
    </row>
    <row r="39" spans="1:17" x14ac:dyDescent="0.3">
      <c r="A39" t="s">
        <v>326</v>
      </c>
      <c r="B39" t="s">
        <v>855</v>
      </c>
      <c r="C39">
        <v>4.9382716049382713</v>
      </c>
      <c r="D39">
        <v>3.225806451612903</v>
      </c>
      <c r="F39">
        <v>16.43835616438356</v>
      </c>
      <c r="J39" t="s">
        <v>312</v>
      </c>
      <c r="K39" t="s">
        <v>769</v>
      </c>
      <c r="L39">
        <v>41</v>
      </c>
      <c r="M39">
        <v>43</v>
      </c>
      <c r="N39">
        <v>0</v>
      </c>
      <c r="O39">
        <v>14</v>
      </c>
      <c r="P39">
        <v>2</v>
      </c>
      <c r="Q39">
        <v>100</v>
      </c>
    </row>
    <row r="40" spans="1:17" x14ac:dyDescent="0.3">
      <c r="A40" t="s">
        <v>412</v>
      </c>
      <c r="B40" t="s">
        <v>855</v>
      </c>
      <c r="C40">
        <v>6.4102564102564097</v>
      </c>
      <c r="D40">
        <v>4.3668122270742353</v>
      </c>
      <c r="F40">
        <v>16.176470588235293</v>
      </c>
      <c r="J40" t="s">
        <v>312</v>
      </c>
      <c r="K40" t="s">
        <v>770</v>
      </c>
      <c r="L40">
        <v>43</v>
      </c>
      <c r="M40">
        <v>42</v>
      </c>
      <c r="N40">
        <v>0</v>
      </c>
      <c r="O40">
        <v>5</v>
      </c>
      <c r="P40">
        <v>6</v>
      </c>
      <c r="Q40">
        <v>96</v>
      </c>
    </row>
    <row r="41" spans="1:17" x14ac:dyDescent="0.3">
      <c r="A41" t="s">
        <v>213</v>
      </c>
      <c r="B41" t="s">
        <v>850</v>
      </c>
      <c r="C41">
        <v>58.247422680412377</v>
      </c>
      <c r="D41">
        <v>44.534412955465584</v>
      </c>
      <c r="E41">
        <v>65.517241379310349</v>
      </c>
      <c r="F41">
        <v>48.913043478260867</v>
      </c>
      <c r="G41">
        <v>100</v>
      </c>
      <c r="J41" t="s">
        <v>312</v>
      </c>
      <c r="K41" t="s">
        <v>771</v>
      </c>
      <c r="L41">
        <v>14</v>
      </c>
      <c r="M41">
        <v>40</v>
      </c>
      <c r="N41">
        <v>0</v>
      </c>
      <c r="O41">
        <v>10</v>
      </c>
      <c r="P41">
        <v>2</v>
      </c>
      <c r="Q41">
        <v>66</v>
      </c>
    </row>
    <row r="42" spans="1:17" x14ac:dyDescent="0.3">
      <c r="A42" t="s">
        <v>312</v>
      </c>
      <c r="B42" t="s">
        <v>850</v>
      </c>
      <c r="C42">
        <v>89.915966386554629</v>
      </c>
      <c r="D42">
        <v>91.031390134529147</v>
      </c>
      <c r="F42">
        <v>71.641791044776113</v>
      </c>
      <c r="G42">
        <v>100</v>
      </c>
      <c r="J42" t="s">
        <v>312</v>
      </c>
      <c r="K42" t="s">
        <v>772</v>
      </c>
      <c r="L42">
        <v>9</v>
      </c>
      <c r="M42">
        <v>11</v>
      </c>
      <c r="N42">
        <v>0</v>
      </c>
      <c r="O42">
        <v>10</v>
      </c>
      <c r="P42">
        <v>1</v>
      </c>
      <c r="Q42">
        <v>31</v>
      </c>
    </row>
    <row r="43" spans="1:17" x14ac:dyDescent="0.3">
      <c r="A43" t="s">
        <v>318</v>
      </c>
      <c r="B43" t="s">
        <v>850</v>
      </c>
      <c r="C43">
        <v>84.259259259259252</v>
      </c>
      <c r="D43">
        <v>92.481203007518801</v>
      </c>
      <c r="E43">
        <v>40</v>
      </c>
      <c r="F43">
        <v>66.071428571428569</v>
      </c>
      <c r="G43">
        <v>100</v>
      </c>
      <c r="J43" t="s">
        <v>312</v>
      </c>
      <c r="K43" t="s">
        <v>773</v>
      </c>
      <c r="L43">
        <v>3</v>
      </c>
      <c r="M43">
        <v>16</v>
      </c>
      <c r="N43">
        <v>0</v>
      </c>
      <c r="O43">
        <v>5</v>
      </c>
      <c r="P43">
        <v>3</v>
      </c>
      <c r="Q43">
        <v>27</v>
      </c>
    </row>
    <row r="44" spans="1:17" x14ac:dyDescent="0.3">
      <c r="A44" t="s">
        <v>320</v>
      </c>
      <c r="B44" t="s">
        <v>850</v>
      </c>
      <c r="C44">
        <v>83.088235294117652</v>
      </c>
      <c r="D44">
        <v>96.273291925465841</v>
      </c>
      <c r="E44">
        <v>77.777777777777786</v>
      </c>
      <c r="F44">
        <v>68.421052631578945</v>
      </c>
      <c r="G44">
        <v>100</v>
      </c>
      <c r="J44" t="s">
        <v>312</v>
      </c>
      <c r="K44" t="s">
        <v>774</v>
      </c>
      <c r="L44">
        <v>1</v>
      </c>
      <c r="M44">
        <v>8</v>
      </c>
      <c r="N44">
        <v>0</v>
      </c>
      <c r="O44">
        <v>7</v>
      </c>
      <c r="P44">
        <v>3</v>
      </c>
      <c r="Q44">
        <v>19</v>
      </c>
    </row>
    <row r="45" spans="1:17" x14ac:dyDescent="0.3">
      <c r="A45" t="s">
        <v>325</v>
      </c>
      <c r="B45" t="s">
        <v>850</v>
      </c>
      <c r="C45">
        <v>82.666666666666671</v>
      </c>
      <c r="D45">
        <v>95.477386934673376</v>
      </c>
      <c r="E45">
        <v>90</v>
      </c>
      <c r="F45">
        <v>79.365079365079367</v>
      </c>
      <c r="G45">
        <v>100</v>
      </c>
      <c r="J45" t="s">
        <v>312</v>
      </c>
      <c r="K45" t="s">
        <v>775</v>
      </c>
      <c r="L45">
        <v>1</v>
      </c>
      <c r="M45">
        <v>3</v>
      </c>
      <c r="N45">
        <v>0</v>
      </c>
      <c r="O45">
        <v>6</v>
      </c>
      <c r="P45">
        <v>0</v>
      </c>
      <c r="Q45">
        <v>10</v>
      </c>
    </row>
    <row r="46" spans="1:17" x14ac:dyDescent="0.3">
      <c r="A46" t="s">
        <v>326</v>
      </c>
      <c r="B46" t="s">
        <v>850</v>
      </c>
      <c r="C46">
        <v>95.061728395061735</v>
      </c>
      <c r="D46">
        <v>96.774193548387103</v>
      </c>
      <c r="E46">
        <v>100</v>
      </c>
      <c r="F46">
        <v>80.821917808219183</v>
      </c>
      <c r="G46">
        <v>100</v>
      </c>
      <c r="J46" t="s">
        <v>312</v>
      </c>
      <c r="K46" t="s">
        <v>776</v>
      </c>
      <c r="L46">
        <v>0</v>
      </c>
      <c r="M46">
        <v>0</v>
      </c>
      <c r="N46">
        <v>0</v>
      </c>
      <c r="O46">
        <v>1</v>
      </c>
      <c r="P46">
        <v>0</v>
      </c>
      <c r="Q46">
        <v>1</v>
      </c>
    </row>
    <row r="47" spans="1:17" x14ac:dyDescent="0.3">
      <c r="A47" t="s">
        <v>328</v>
      </c>
      <c r="B47" t="s">
        <v>850</v>
      </c>
      <c r="C47">
        <v>100</v>
      </c>
      <c r="D47">
        <v>100</v>
      </c>
      <c r="E47">
        <v>100</v>
      </c>
      <c r="F47">
        <v>100</v>
      </c>
      <c r="G47">
        <v>100</v>
      </c>
      <c r="J47" t="s">
        <v>312</v>
      </c>
      <c r="K47" t="s">
        <v>780</v>
      </c>
      <c r="L47">
        <v>0</v>
      </c>
      <c r="M47">
        <v>8</v>
      </c>
      <c r="N47">
        <v>0</v>
      </c>
      <c r="O47">
        <v>3</v>
      </c>
      <c r="P47">
        <v>0</v>
      </c>
      <c r="Q47">
        <v>11</v>
      </c>
    </row>
    <row r="48" spans="1:17" x14ac:dyDescent="0.3">
      <c r="A48" t="s">
        <v>412</v>
      </c>
      <c r="B48" t="s">
        <v>850</v>
      </c>
      <c r="C48">
        <v>93.589743589743591</v>
      </c>
      <c r="D48">
        <v>95.633187772925766</v>
      </c>
      <c r="E48">
        <v>100</v>
      </c>
      <c r="F48">
        <v>83.82352941176471</v>
      </c>
      <c r="G48">
        <v>100</v>
      </c>
      <c r="J48" t="s">
        <v>318</v>
      </c>
      <c r="K48" t="s">
        <v>768</v>
      </c>
      <c r="L48">
        <v>11</v>
      </c>
      <c r="M48">
        <v>26</v>
      </c>
      <c r="N48">
        <v>1</v>
      </c>
      <c r="O48">
        <v>4</v>
      </c>
      <c r="P48">
        <v>0</v>
      </c>
      <c r="Q48">
        <v>42</v>
      </c>
    </row>
    <row r="49" spans="10:17" x14ac:dyDescent="0.3">
      <c r="J49" t="s">
        <v>318</v>
      </c>
      <c r="K49" t="s">
        <v>769</v>
      </c>
      <c r="L49">
        <v>37</v>
      </c>
      <c r="M49">
        <v>33</v>
      </c>
      <c r="N49">
        <v>0</v>
      </c>
      <c r="O49">
        <v>8</v>
      </c>
      <c r="P49">
        <v>2</v>
      </c>
      <c r="Q49">
        <v>80</v>
      </c>
    </row>
    <row r="50" spans="10:17" x14ac:dyDescent="0.3">
      <c r="J50" t="s">
        <v>318</v>
      </c>
      <c r="K50" t="s">
        <v>770</v>
      </c>
      <c r="L50">
        <v>35</v>
      </c>
      <c r="M50">
        <v>31</v>
      </c>
      <c r="N50">
        <v>1</v>
      </c>
      <c r="O50">
        <v>13</v>
      </c>
      <c r="P50">
        <v>2</v>
      </c>
      <c r="Q50">
        <v>82</v>
      </c>
    </row>
    <row r="51" spans="10:17" x14ac:dyDescent="0.3">
      <c r="J51" t="s">
        <v>318</v>
      </c>
      <c r="K51" t="s">
        <v>771</v>
      </c>
      <c r="L51">
        <v>17</v>
      </c>
      <c r="M51">
        <v>22</v>
      </c>
      <c r="N51">
        <v>0</v>
      </c>
      <c r="O51">
        <v>6</v>
      </c>
      <c r="P51">
        <v>1</v>
      </c>
      <c r="Q51">
        <v>46</v>
      </c>
    </row>
    <row r="52" spans="10:17" x14ac:dyDescent="0.3">
      <c r="J52" t="s">
        <v>318</v>
      </c>
      <c r="K52" t="s">
        <v>772</v>
      </c>
      <c r="L52">
        <v>6</v>
      </c>
      <c r="M52">
        <v>5</v>
      </c>
      <c r="N52">
        <v>1</v>
      </c>
      <c r="O52">
        <v>3</v>
      </c>
      <c r="P52">
        <v>0</v>
      </c>
      <c r="Q52">
        <v>15</v>
      </c>
    </row>
    <row r="53" spans="10:17" x14ac:dyDescent="0.3">
      <c r="J53" t="s">
        <v>318</v>
      </c>
      <c r="K53" t="s">
        <v>773</v>
      </c>
      <c r="L53">
        <v>2</v>
      </c>
      <c r="M53">
        <v>6</v>
      </c>
      <c r="N53">
        <v>0</v>
      </c>
      <c r="O53">
        <v>3</v>
      </c>
      <c r="P53">
        <v>2</v>
      </c>
      <c r="Q53">
        <v>13</v>
      </c>
    </row>
    <row r="54" spans="10:17" x14ac:dyDescent="0.3">
      <c r="J54" t="s">
        <v>318</v>
      </c>
      <c r="K54" t="s">
        <v>774</v>
      </c>
      <c r="L54">
        <v>0</v>
      </c>
      <c r="M54">
        <v>6</v>
      </c>
      <c r="N54">
        <v>0</v>
      </c>
      <c r="O54">
        <v>8</v>
      </c>
      <c r="P54">
        <v>0</v>
      </c>
      <c r="Q54">
        <v>14</v>
      </c>
    </row>
    <row r="55" spans="10:17" x14ac:dyDescent="0.3">
      <c r="J55" t="s">
        <v>318</v>
      </c>
      <c r="K55" t="s">
        <v>775</v>
      </c>
      <c r="L55">
        <v>1</v>
      </c>
      <c r="M55">
        <v>3</v>
      </c>
      <c r="N55">
        <v>0</v>
      </c>
      <c r="O55">
        <v>6</v>
      </c>
      <c r="P55">
        <v>1</v>
      </c>
      <c r="Q55">
        <v>11</v>
      </c>
    </row>
    <row r="56" spans="10:17" x14ac:dyDescent="0.3">
      <c r="J56" t="s">
        <v>318</v>
      </c>
      <c r="K56" t="s">
        <v>776</v>
      </c>
      <c r="L56">
        <v>0</v>
      </c>
      <c r="M56">
        <v>0</v>
      </c>
      <c r="N56">
        <v>1</v>
      </c>
      <c r="O56">
        <v>4</v>
      </c>
      <c r="P56">
        <v>0</v>
      </c>
      <c r="Q56">
        <v>5</v>
      </c>
    </row>
    <row r="57" spans="10:17" x14ac:dyDescent="0.3">
      <c r="J57" t="s">
        <v>318</v>
      </c>
      <c r="K57" t="s">
        <v>780</v>
      </c>
      <c r="L57">
        <v>0</v>
      </c>
      <c r="M57">
        <v>1</v>
      </c>
      <c r="N57">
        <v>0</v>
      </c>
      <c r="O57">
        <v>1</v>
      </c>
      <c r="P57">
        <v>0</v>
      </c>
      <c r="Q57">
        <v>2</v>
      </c>
    </row>
    <row r="58" spans="10:17" x14ac:dyDescent="0.3">
      <c r="J58" t="s">
        <v>320</v>
      </c>
      <c r="K58" t="s">
        <v>768</v>
      </c>
      <c r="L58">
        <v>17</v>
      </c>
      <c r="M58">
        <v>39</v>
      </c>
      <c r="N58">
        <v>3</v>
      </c>
      <c r="O58">
        <v>14</v>
      </c>
      <c r="P58">
        <v>0</v>
      </c>
      <c r="Q58">
        <v>73</v>
      </c>
    </row>
    <row r="59" spans="10:17" x14ac:dyDescent="0.3">
      <c r="J59" t="s">
        <v>320</v>
      </c>
      <c r="K59" t="s">
        <v>769</v>
      </c>
      <c r="L59">
        <v>44</v>
      </c>
      <c r="M59">
        <v>38</v>
      </c>
      <c r="N59">
        <v>2</v>
      </c>
      <c r="O59">
        <v>18</v>
      </c>
      <c r="P59">
        <v>1</v>
      </c>
      <c r="Q59">
        <v>103</v>
      </c>
    </row>
    <row r="60" spans="10:17" x14ac:dyDescent="0.3">
      <c r="J60" t="s">
        <v>320</v>
      </c>
      <c r="K60" t="s">
        <v>770</v>
      </c>
      <c r="L60">
        <v>44</v>
      </c>
      <c r="M60">
        <v>35</v>
      </c>
      <c r="N60">
        <v>2</v>
      </c>
      <c r="O60">
        <v>16</v>
      </c>
      <c r="P60">
        <v>2</v>
      </c>
      <c r="Q60">
        <v>99</v>
      </c>
    </row>
    <row r="61" spans="10:17" x14ac:dyDescent="0.3">
      <c r="J61" t="s">
        <v>320</v>
      </c>
      <c r="K61" t="s">
        <v>771</v>
      </c>
      <c r="L61">
        <v>17</v>
      </c>
      <c r="M61">
        <v>16</v>
      </c>
      <c r="N61">
        <v>2</v>
      </c>
      <c r="O61">
        <v>9</v>
      </c>
      <c r="P61">
        <v>2</v>
      </c>
      <c r="Q61">
        <v>46</v>
      </c>
    </row>
    <row r="62" spans="10:17" x14ac:dyDescent="0.3">
      <c r="J62" t="s">
        <v>320</v>
      </c>
      <c r="K62" t="s">
        <v>772</v>
      </c>
      <c r="L62">
        <v>8</v>
      </c>
      <c r="M62">
        <v>14</v>
      </c>
      <c r="N62">
        <v>0</v>
      </c>
      <c r="O62">
        <v>15</v>
      </c>
      <c r="P62">
        <v>3</v>
      </c>
      <c r="Q62">
        <v>40</v>
      </c>
    </row>
    <row r="63" spans="10:17" x14ac:dyDescent="0.3">
      <c r="J63" t="s">
        <v>320</v>
      </c>
      <c r="K63" t="s">
        <v>773</v>
      </c>
      <c r="L63">
        <v>3</v>
      </c>
      <c r="M63">
        <v>9</v>
      </c>
      <c r="N63">
        <v>0</v>
      </c>
      <c r="O63">
        <v>12</v>
      </c>
      <c r="P63">
        <v>0</v>
      </c>
      <c r="Q63">
        <v>24</v>
      </c>
    </row>
    <row r="64" spans="10:17" x14ac:dyDescent="0.3">
      <c r="J64" t="s">
        <v>320</v>
      </c>
      <c r="K64" t="s">
        <v>774</v>
      </c>
      <c r="L64">
        <v>1</v>
      </c>
      <c r="M64">
        <v>5</v>
      </c>
      <c r="N64">
        <v>0</v>
      </c>
      <c r="O64">
        <v>14</v>
      </c>
      <c r="P64">
        <v>2</v>
      </c>
      <c r="Q64">
        <v>22</v>
      </c>
    </row>
    <row r="65" spans="10:17" x14ac:dyDescent="0.3">
      <c r="J65" t="s">
        <v>320</v>
      </c>
      <c r="K65" t="s">
        <v>775</v>
      </c>
      <c r="L65">
        <v>0</v>
      </c>
      <c r="M65">
        <v>1</v>
      </c>
      <c r="N65">
        <v>0</v>
      </c>
      <c r="O65">
        <v>21</v>
      </c>
      <c r="P65">
        <v>0</v>
      </c>
      <c r="Q65">
        <v>22</v>
      </c>
    </row>
    <row r="66" spans="10:17" x14ac:dyDescent="0.3">
      <c r="J66" t="s">
        <v>320</v>
      </c>
      <c r="K66" t="s">
        <v>776</v>
      </c>
      <c r="L66">
        <v>0</v>
      </c>
      <c r="M66">
        <v>1</v>
      </c>
      <c r="N66">
        <v>0</v>
      </c>
      <c r="O66">
        <v>14</v>
      </c>
      <c r="P66">
        <v>0</v>
      </c>
      <c r="Q66">
        <v>15</v>
      </c>
    </row>
    <row r="67" spans="10:17" x14ac:dyDescent="0.3">
      <c r="J67" t="s">
        <v>320</v>
      </c>
      <c r="K67" t="s">
        <v>777</v>
      </c>
      <c r="L67">
        <v>0</v>
      </c>
      <c r="M67">
        <v>0</v>
      </c>
      <c r="N67">
        <v>0</v>
      </c>
      <c r="O67">
        <v>2</v>
      </c>
      <c r="P67">
        <v>0</v>
      </c>
      <c r="Q67">
        <v>2</v>
      </c>
    </row>
    <row r="68" spans="10:17" x14ac:dyDescent="0.3">
      <c r="J68" t="s">
        <v>320</v>
      </c>
      <c r="K68" t="s">
        <v>780</v>
      </c>
      <c r="L68">
        <v>0</v>
      </c>
      <c r="M68">
        <v>3</v>
      </c>
      <c r="N68">
        <v>0</v>
      </c>
      <c r="O68">
        <v>0</v>
      </c>
      <c r="P68">
        <v>0</v>
      </c>
      <c r="Q68">
        <v>3</v>
      </c>
    </row>
    <row r="69" spans="10:17" x14ac:dyDescent="0.3">
      <c r="J69" t="s">
        <v>325</v>
      </c>
      <c r="K69" t="s">
        <v>768</v>
      </c>
      <c r="L69">
        <v>27</v>
      </c>
      <c r="M69">
        <v>39</v>
      </c>
      <c r="N69">
        <v>1</v>
      </c>
      <c r="O69">
        <v>3</v>
      </c>
      <c r="P69">
        <v>3</v>
      </c>
      <c r="Q69">
        <v>73</v>
      </c>
    </row>
    <row r="70" spans="10:17" x14ac:dyDescent="0.3">
      <c r="J70" t="s">
        <v>325</v>
      </c>
      <c r="K70" t="s">
        <v>769</v>
      </c>
      <c r="L70">
        <v>67</v>
      </c>
      <c r="M70">
        <v>39</v>
      </c>
      <c r="N70">
        <v>6</v>
      </c>
      <c r="O70">
        <v>8</v>
      </c>
      <c r="P70">
        <v>1</v>
      </c>
      <c r="Q70">
        <v>121</v>
      </c>
    </row>
    <row r="71" spans="10:17" x14ac:dyDescent="0.3">
      <c r="J71" t="s">
        <v>325</v>
      </c>
      <c r="K71" t="s">
        <v>770</v>
      </c>
      <c r="L71">
        <v>68</v>
      </c>
      <c r="M71">
        <v>44</v>
      </c>
      <c r="N71">
        <v>5</v>
      </c>
      <c r="O71">
        <v>16</v>
      </c>
      <c r="P71">
        <v>2</v>
      </c>
      <c r="Q71">
        <v>135</v>
      </c>
    </row>
    <row r="72" spans="10:17" x14ac:dyDescent="0.3">
      <c r="J72" t="s">
        <v>325</v>
      </c>
      <c r="K72" t="s">
        <v>771</v>
      </c>
      <c r="L72">
        <v>41</v>
      </c>
      <c r="M72">
        <v>29</v>
      </c>
      <c r="N72">
        <v>2</v>
      </c>
      <c r="O72">
        <v>7</v>
      </c>
      <c r="P72">
        <v>2</v>
      </c>
      <c r="Q72">
        <v>81</v>
      </c>
    </row>
    <row r="73" spans="10:17" x14ac:dyDescent="0.3">
      <c r="J73" t="s">
        <v>325</v>
      </c>
      <c r="K73" t="s">
        <v>772</v>
      </c>
      <c r="L73">
        <v>16</v>
      </c>
      <c r="M73">
        <v>21</v>
      </c>
      <c r="N73">
        <v>2</v>
      </c>
      <c r="O73">
        <v>4</v>
      </c>
      <c r="P73">
        <v>2</v>
      </c>
      <c r="Q73">
        <v>45</v>
      </c>
    </row>
    <row r="74" spans="10:17" x14ac:dyDescent="0.3">
      <c r="J74" t="s">
        <v>325</v>
      </c>
      <c r="K74" t="s">
        <v>773</v>
      </c>
      <c r="L74">
        <v>3</v>
      </c>
      <c r="M74">
        <v>5</v>
      </c>
      <c r="N74">
        <v>1</v>
      </c>
      <c r="O74">
        <v>3</v>
      </c>
      <c r="P74">
        <v>1</v>
      </c>
      <c r="Q74">
        <v>13</v>
      </c>
    </row>
    <row r="75" spans="10:17" x14ac:dyDescent="0.3">
      <c r="J75" t="s">
        <v>325</v>
      </c>
      <c r="K75" t="s">
        <v>774</v>
      </c>
      <c r="L75">
        <v>3</v>
      </c>
      <c r="M75">
        <v>6</v>
      </c>
      <c r="N75">
        <v>1</v>
      </c>
      <c r="O75">
        <v>11</v>
      </c>
      <c r="P75">
        <v>1</v>
      </c>
      <c r="Q75">
        <v>22</v>
      </c>
    </row>
    <row r="76" spans="10:17" x14ac:dyDescent="0.3">
      <c r="J76" t="s">
        <v>325</v>
      </c>
      <c r="K76" t="s">
        <v>775</v>
      </c>
      <c r="L76">
        <v>1</v>
      </c>
      <c r="M76">
        <v>11</v>
      </c>
      <c r="N76">
        <v>0</v>
      </c>
      <c r="O76">
        <v>10</v>
      </c>
      <c r="P76">
        <v>3</v>
      </c>
      <c r="Q76">
        <v>25</v>
      </c>
    </row>
    <row r="77" spans="10:17" x14ac:dyDescent="0.3">
      <c r="J77" t="s">
        <v>325</v>
      </c>
      <c r="K77" t="s">
        <v>776</v>
      </c>
      <c r="L77">
        <v>0</v>
      </c>
      <c r="M77">
        <v>2</v>
      </c>
      <c r="N77">
        <v>0</v>
      </c>
      <c r="O77">
        <v>1</v>
      </c>
      <c r="P77">
        <v>0</v>
      </c>
      <c r="Q77">
        <v>3</v>
      </c>
    </row>
    <row r="78" spans="10:17" x14ac:dyDescent="0.3">
      <c r="J78" t="s">
        <v>325</v>
      </c>
      <c r="K78" t="s">
        <v>777</v>
      </c>
      <c r="L78">
        <v>0</v>
      </c>
      <c r="M78">
        <v>0</v>
      </c>
      <c r="N78">
        <v>0</v>
      </c>
      <c r="O78">
        <v>1</v>
      </c>
      <c r="P78">
        <v>0</v>
      </c>
      <c r="Q78">
        <v>1</v>
      </c>
    </row>
    <row r="79" spans="10:17" x14ac:dyDescent="0.3">
      <c r="J79" t="s">
        <v>325</v>
      </c>
      <c r="K79" t="s">
        <v>780</v>
      </c>
      <c r="L79">
        <v>0</v>
      </c>
      <c r="M79">
        <v>3</v>
      </c>
      <c r="N79">
        <v>0</v>
      </c>
      <c r="O79">
        <v>0</v>
      </c>
      <c r="P79">
        <v>0</v>
      </c>
      <c r="Q79">
        <v>3</v>
      </c>
    </row>
    <row r="80" spans="10:17" x14ac:dyDescent="0.3">
      <c r="J80" t="s">
        <v>326</v>
      </c>
      <c r="K80" t="s">
        <v>768</v>
      </c>
      <c r="L80">
        <v>10</v>
      </c>
      <c r="M80">
        <v>58</v>
      </c>
      <c r="N80">
        <v>1</v>
      </c>
      <c r="O80">
        <v>2</v>
      </c>
      <c r="P80">
        <v>1</v>
      </c>
      <c r="Q80">
        <v>72</v>
      </c>
    </row>
    <row r="81" spans="10:17" x14ac:dyDescent="0.3">
      <c r="J81" t="s">
        <v>326</v>
      </c>
      <c r="K81" t="s">
        <v>769</v>
      </c>
      <c r="L81">
        <v>34</v>
      </c>
      <c r="M81">
        <v>51</v>
      </c>
      <c r="N81">
        <v>0</v>
      </c>
      <c r="O81">
        <v>8</v>
      </c>
      <c r="P81">
        <v>4</v>
      </c>
      <c r="Q81">
        <v>97</v>
      </c>
    </row>
    <row r="82" spans="10:17" x14ac:dyDescent="0.3">
      <c r="J82" t="s">
        <v>326</v>
      </c>
      <c r="K82" t="s">
        <v>770</v>
      </c>
      <c r="L82">
        <v>20</v>
      </c>
      <c r="M82">
        <v>44</v>
      </c>
      <c r="N82">
        <v>0</v>
      </c>
      <c r="O82">
        <v>10</v>
      </c>
      <c r="P82">
        <v>1</v>
      </c>
      <c r="Q82">
        <v>75</v>
      </c>
    </row>
    <row r="83" spans="10:17" x14ac:dyDescent="0.3">
      <c r="J83" t="s">
        <v>326</v>
      </c>
      <c r="K83" t="s">
        <v>771</v>
      </c>
      <c r="L83">
        <v>17</v>
      </c>
      <c r="M83">
        <v>34</v>
      </c>
      <c r="N83">
        <v>0</v>
      </c>
      <c r="O83">
        <v>6</v>
      </c>
      <c r="P83">
        <v>2</v>
      </c>
      <c r="Q83">
        <v>59</v>
      </c>
    </row>
    <row r="84" spans="10:17" x14ac:dyDescent="0.3">
      <c r="J84" t="s">
        <v>326</v>
      </c>
      <c r="K84" t="s">
        <v>772</v>
      </c>
      <c r="L84">
        <v>4</v>
      </c>
      <c r="M84">
        <v>23</v>
      </c>
      <c r="N84">
        <v>0</v>
      </c>
      <c r="O84">
        <v>6</v>
      </c>
      <c r="P84">
        <v>2</v>
      </c>
      <c r="Q84">
        <v>35</v>
      </c>
    </row>
    <row r="85" spans="10:17" x14ac:dyDescent="0.3">
      <c r="J85" t="s">
        <v>326</v>
      </c>
      <c r="K85" t="s">
        <v>773</v>
      </c>
      <c r="L85">
        <v>2</v>
      </c>
      <c r="M85">
        <v>16</v>
      </c>
      <c r="N85">
        <v>0</v>
      </c>
      <c r="O85">
        <v>11</v>
      </c>
      <c r="P85">
        <v>4</v>
      </c>
      <c r="Q85">
        <v>33</v>
      </c>
    </row>
    <row r="86" spans="10:17" x14ac:dyDescent="0.3">
      <c r="J86" t="s">
        <v>326</v>
      </c>
      <c r="K86" t="s">
        <v>774</v>
      </c>
      <c r="L86">
        <v>4</v>
      </c>
      <c r="M86">
        <v>6</v>
      </c>
      <c r="N86">
        <v>0</v>
      </c>
      <c r="O86">
        <v>10</v>
      </c>
      <c r="P86">
        <v>2</v>
      </c>
      <c r="Q86">
        <v>22</v>
      </c>
    </row>
    <row r="87" spans="10:17" x14ac:dyDescent="0.3">
      <c r="J87" t="s">
        <v>326</v>
      </c>
      <c r="K87" t="s">
        <v>775</v>
      </c>
      <c r="L87">
        <v>1</v>
      </c>
      <c r="M87">
        <v>4</v>
      </c>
      <c r="N87">
        <v>0</v>
      </c>
      <c r="O87">
        <v>15</v>
      </c>
      <c r="P87">
        <v>2</v>
      </c>
      <c r="Q87">
        <v>22</v>
      </c>
    </row>
    <row r="88" spans="10:17" x14ac:dyDescent="0.3">
      <c r="J88" t="s">
        <v>326</v>
      </c>
      <c r="K88" t="s">
        <v>776</v>
      </c>
      <c r="L88">
        <v>0</v>
      </c>
      <c r="M88">
        <v>1</v>
      </c>
      <c r="N88">
        <v>0</v>
      </c>
      <c r="O88">
        <v>2</v>
      </c>
      <c r="P88">
        <v>0</v>
      </c>
      <c r="Q88">
        <v>3</v>
      </c>
    </row>
    <row r="89" spans="10:17" x14ac:dyDescent="0.3">
      <c r="J89" t="s">
        <v>326</v>
      </c>
      <c r="K89" t="s">
        <v>777</v>
      </c>
      <c r="L89">
        <v>0</v>
      </c>
      <c r="M89">
        <v>1</v>
      </c>
      <c r="N89">
        <v>0</v>
      </c>
      <c r="O89">
        <v>0</v>
      </c>
      <c r="P89">
        <v>0</v>
      </c>
      <c r="Q89">
        <v>1</v>
      </c>
    </row>
    <row r="90" spans="10:17" x14ac:dyDescent="0.3">
      <c r="J90" t="s">
        <v>326</v>
      </c>
      <c r="K90" t="s">
        <v>778</v>
      </c>
      <c r="L90">
        <v>0</v>
      </c>
      <c r="M90">
        <v>1</v>
      </c>
      <c r="N90">
        <v>0</v>
      </c>
      <c r="O90">
        <v>0</v>
      </c>
      <c r="P90">
        <v>0</v>
      </c>
      <c r="Q90">
        <v>1</v>
      </c>
    </row>
    <row r="91" spans="10:17" x14ac:dyDescent="0.3">
      <c r="J91" t="s">
        <v>326</v>
      </c>
      <c r="K91" t="s">
        <v>780</v>
      </c>
      <c r="L91">
        <v>0</v>
      </c>
      <c r="M91">
        <v>9</v>
      </c>
      <c r="N91">
        <v>0</v>
      </c>
      <c r="O91">
        <v>3</v>
      </c>
      <c r="P91">
        <v>0</v>
      </c>
      <c r="Q91">
        <v>12</v>
      </c>
    </row>
    <row r="92" spans="10:17" x14ac:dyDescent="0.3">
      <c r="J92" t="s">
        <v>328</v>
      </c>
      <c r="K92" t="s">
        <v>768</v>
      </c>
      <c r="L92">
        <v>12</v>
      </c>
      <c r="M92">
        <v>56</v>
      </c>
      <c r="N92">
        <v>3</v>
      </c>
      <c r="O92">
        <v>5</v>
      </c>
      <c r="P92">
        <v>3</v>
      </c>
      <c r="Q92">
        <v>79</v>
      </c>
    </row>
    <row r="93" spans="10:17" x14ac:dyDescent="0.3">
      <c r="J93" t="s">
        <v>328</v>
      </c>
      <c r="K93" t="s">
        <v>769</v>
      </c>
      <c r="L93">
        <v>45</v>
      </c>
      <c r="M93">
        <v>36</v>
      </c>
      <c r="N93">
        <v>1</v>
      </c>
      <c r="O93">
        <v>10</v>
      </c>
      <c r="P93">
        <v>1</v>
      </c>
      <c r="Q93">
        <v>93</v>
      </c>
    </row>
    <row r="94" spans="10:17" x14ac:dyDescent="0.3">
      <c r="J94" t="s">
        <v>328</v>
      </c>
      <c r="K94" t="s">
        <v>770</v>
      </c>
      <c r="L94">
        <v>34</v>
      </c>
      <c r="M94">
        <v>29</v>
      </c>
      <c r="N94">
        <v>1</v>
      </c>
      <c r="O94">
        <v>5</v>
      </c>
      <c r="P94">
        <v>1</v>
      </c>
      <c r="Q94">
        <v>70</v>
      </c>
    </row>
    <row r="95" spans="10:17" x14ac:dyDescent="0.3">
      <c r="J95" t="s">
        <v>328</v>
      </c>
      <c r="K95" t="s">
        <v>771</v>
      </c>
      <c r="L95">
        <v>26</v>
      </c>
      <c r="M95">
        <v>41</v>
      </c>
      <c r="N95">
        <v>2</v>
      </c>
      <c r="O95">
        <v>5</v>
      </c>
      <c r="P95">
        <v>5</v>
      </c>
      <c r="Q95">
        <v>79</v>
      </c>
    </row>
    <row r="96" spans="10:17" x14ac:dyDescent="0.3">
      <c r="J96" t="s">
        <v>328</v>
      </c>
      <c r="K96" t="s">
        <v>772</v>
      </c>
      <c r="L96">
        <v>15</v>
      </c>
      <c r="M96">
        <v>12</v>
      </c>
      <c r="N96">
        <v>0</v>
      </c>
      <c r="O96">
        <v>6</v>
      </c>
      <c r="P96">
        <v>4</v>
      </c>
      <c r="Q96">
        <v>37</v>
      </c>
    </row>
    <row r="97" spans="10:17" x14ac:dyDescent="0.3">
      <c r="J97" t="s">
        <v>328</v>
      </c>
      <c r="K97" t="s">
        <v>773</v>
      </c>
      <c r="L97">
        <v>0</v>
      </c>
      <c r="M97">
        <v>12</v>
      </c>
      <c r="N97">
        <v>1</v>
      </c>
      <c r="O97">
        <v>5</v>
      </c>
      <c r="P97">
        <v>1</v>
      </c>
      <c r="Q97">
        <v>19</v>
      </c>
    </row>
    <row r="98" spans="10:17" x14ac:dyDescent="0.3">
      <c r="J98" t="s">
        <v>328</v>
      </c>
      <c r="K98" t="s">
        <v>774</v>
      </c>
      <c r="L98">
        <v>0</v>
      </c>
      <c r="M98">
        <v>5</v>
      </c>
      <c r="N98">
        <v>0</v>
      </c>
      <c r="O98">
        <v>7</v>
      </c>
      <c r="P98">
        <v>4</v>
      </c>
      <c r="Q98">
        <v>16</v>
      </c>
    </row>
    <row r="99" spans="10:17" x14ac:dyDescent="0.3">
      <c r="J99" t="s">
        <v>328</v>
      </c>
      <c r="K99" t="s">
        <v>775</v>
      </c>
      <c r="L99">
        <v>0</v>
      </c>
      <c r="M99">
        <v>7</v>
      </c>
      <c r="N99">
        <v>1</v>
      </c>
      <c r="O99">
        <v>8</v>
      </c>
      <c r="P99">
        <v>2</v>
      </c>
      <c r="Q99">
        <v>18</v>
      </c>
    </row>
    <row r="100" spans="10:17" x14ac:dyDescent="0.3">
      <c r="J100" t="s">
        <v>328</v>
      </c>
      <c r="K100" t="s">
        <v>776</v>
      </c>
      <c r="L100">
        <v>0</v>
      </c>
      <c r="M100">
        <v>3</v>
      </c>
      <c r="N100">
        <v>0</v>
      </c>
      <c r="O100">
        <v>2</v>
      </c>
      <c r="P100">
        <v>1</v>
      </c>
      <c r="Q100">
        <v>6</v>
      </c>
    </row>
    <row r="101" spans="10:17" x14ac:dyDescent="0.3">
      <c r="J101" t="s">
        <v>328</v>
      </c>
      <c r="K101" t="s">
        <v>780</v>
      </c>
      <c r="L101">
        <v>0</v>
      </c>
      <c r="M101">
        <v>5</v>
      </c>
      <c r="N101">
        <v>1</v>
      </c>
      <c r="O101">
        <v>2</v>
      </c>
      <c r="P101">
        <v>0</v>
      </c>
      <c r="Q101">
        <v>8</v>
      </c>
    </row>
    <row r="102" spans="10:17" x14ac:dyDescent="0.3">
      <c r="J102" t="s">
        <v>412</v>
      </c>
      <c r="K102" t="s">
        <v>768</v>
      </c>
      <c r="L102">
        <v>13</v>
      </c>
      <c r="M102">
        <v>42</v>
      </c>
      <c r="N102">
        <v>1</v>
      </c>
      <c r="O102">
        <v>5</v>
      </c>
      <c r="P102">
        <v>1</v>
      </c>
      <c r="Q102">
        <v>62</v>
      </c>
    </row>
    <row r="103" spans="10:17" x14ac:dyDescent="0.3">
      <c r="J103" t="s">
        <v>412</v>
      </c>
      <c r="K103" t="s">
        <v>769</v>
      </c>
      <c r="L103">
        <v>31</v>
      </c>
      <c r="M103">
        <v>43</v>
      </c>
      <c r="N103">
        <v>9</v>
      </c>
      <c r="O103">
        <v>5</v>
      </c>
      <c r="P103">
        <v>0</v>
      </c>
      <c r="Q103">
        <v>88</v>
      </c>
    </row>
    <row r="104" spans="10:17" x14ac:dyDescent="0.3">
      <c r="J104" t="s">
        <v>412</v>
      </c>
      <c r="K104" t="s">
        <v>770</v>
      </c>
      <c r="L104">
        <v>17</v>
      </c>
      <c r="M104">
        <v>44</v>
      </c>
      <c r="N104">
        <v>3</v>
      </c>
      <c r="O104">
        <v>5</v>
      </c>
      <c r="P104">
        <v>0</v>
      </c>
      <c r="Q104">
        <v>69</v>
      </c>
    </row>
    <row r="105" spans="10:17" x14ac:dyDescent="0.3">
      <c r="J105" t="s">
        <v>412</v>
      </c>
      <c r="K105" t="s">
        <v>771</v>
      </c>
      <c r="L105">
        <v>14</v>
      </c>
      <c r="M105">
        <v>29</v>
      </c>
      <c r="N105">
        <v>4</v>
      </c>
      <c r="O105">
        <v>7</v>
      </c>
      <c r="P105">
        <v>1</v>
      </c>
      <c r="Q105">
        <v>55</v>
      </c>
    </row>
    <row r="106" spans="10:17" x14ac:dyDescent="0.3">
      <c r="J106" t="s">
        <v>412</v>
      </c>
      <c r="K106" t="s">
        <v>772</v>
      </c>
      <c r="L106">
        <v>4</v>
      </c>
      <c r="M106">
        <v>37</v>
      </c>
      <c r="N106">
        <v>0</v>
      </c>
      <c r="O106">
        <v>8</v>
      </c>
      <c r="P106">
        <v>1</v>
      </c>
      <c r="Q106">
        <v>50</v>
      </c>
    </row>
    <row r="107" spans="10:17" x14ac:dyDescent="0.3">
      <c r="J107" t="s">
        <v>412</v>
      </c>
      <c r="K107" t="s">
        <v>773</v>
      </c>
      <c r="L107">
        <v>0</v>
      </c>
      <c r="M107">
        <v>12</v>
      </c>
      <c r="N107">
        <v>0</v>
      </c>
      <c r="O107">
        <v>5</v>
      </c>
      <c r="P107">
        <v>1</v>
      </c>
      <c r="Q107">
        <v>18</v>
      </c>
    </row>
    <row r="108" spans="10:17" x14ac:dyDescent="0.3">
      <c r="J108" t="s">
        <v>412</v>
      </c>
      <c r="K108" t="s">
        <v>774</v>
      </c>
      <c r="L108">
        <v>0</v>
      </c>
      <c r="M108">
        <v>12</v>
      </c>
      <c r="N108">
        <v>1</v>
      </c>
      <c r="O108">
        <v>10</v>
      </c>
      <c r="P108">
        <v>1</v>
      </c>
      <c r="Q108">
        <v>24</v>
      </c>
    </row>
    <row r="109" spans="10:17" x14ac:dyDescent="0.3">
      <c r="J109" t="s">
        <v>412</v>
      </c>
      <c r="K109" t="s">
        <v>775</v>
      </c>
      <c r="L109">
        <v>1</v>
      </c>
      <c r="M109">
        <v>0</v>
      </c>
      <c r="N109">
        <v>0</v>
      </c>
      <c r="O109">
        <v>16</v>
      </c>
      <c r="P109">
        <v>0</v>
      </c>
      <c r="Q109">
        <v>17</v>
      </c>
    </row>
    <row r="110" spans="10:17" x14ac:dyDescent="0.3">
      <c r="J110" t="s">
        <v>412</v>
      </c>
      <c r="K110" t="s">
        <v>776</v>
      </c>
      <c r="L110">
        <v>0</v>
      </c>
      <c r="M110">
        <v>1</v>
      </c>
      <c r="N110">
        <v>0</v>
      </c>
      <c r="O110">
        <v>3</v>
      </c>
      <c r="P110">
        <v>0</v>
      </c>
      <c r="Q110">
        <v>4</v>
      </c>
    </row>
    <row r="111" spans="10:17" x14ac:dyDescent="0.3">
      <c r="J111" t="s">
        <v>412</v>
      </c>
      <c r="K111" t="s">
        <v>778</v>
      </c>
      <c r="L111">
        <v>0</v>
      </c>
      <c r="M111">
        <v>0</v>
      </c>
      <c r="N111">
        <v>0</v>
      </c>
      <c r="O111">
        <v>1</v>
      </c>
      <c r="P111">
        <v>0</v>
      </c>
      <c r="Q111">
        <v>1</v>
      </c>
    </row>
    <row r="112" spans="10:17" x14ac:dyDescent="0.3">
      <c r="J112" t="s">
        <v>412</v>
      </c>
      <c r="K112" t="s">
        <v>780</v>
      </c>
      <c r="L112">
        <v>0</v>
      </c>
      <c r="M112">
        <v>9</v>
      </c>
      <c r="N112">
        <v>0</v>
      </c>
      <c r="O112">
        <v>3</v>
      </c>
      <c r="P112">
        <v>0</v>
      </c>
      <c r="Q112">
        <v>12</v>
      </c>
    </row>
  </sheetData>
  <pageMargins left="0.7" right="0.7" top="0.75" bottom="0.75" header="0.3" footer="0.3"/>
  <tableParts count="4">
    <tablePart r:id="rId1"/>
    <tablePart r:id="rId2"/>
    <tablePart r:id="rId3"/>
    <tablePart r:id="rId4"/>
  </tableParts>
</worksheet>
</file>

<file path=xl/worksheets/sheet10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tabColor theme="9" tint="0.39997558519241921"/>
  </sheetPr>
  <dimension ref="A1:AH75"/>
  <sheetViews>
    <sheetView showGridLines="0" zoomScaleNormal="100" workbookViewId="0">
      <pane ySplit="2" topLeftCell="A3" activePane="bottomLeft" state="frozen"/>
      <selection pane="bottomLeft" sqref="A1:C1"/>
    </sheetView>
  </sheetViews>
  <sheetFormatPr defaultRowHeight="14.4" x14ac:dyDescent="0.3"/>
  <cols>
    <col min="1" max="1" width="17.5546875" customWidth="1"/>
    <col min="2" max="2" width="24" customWidth="1"/>
    <col min="3" max="3" width="23" bestFit="1" customWidth="1"/>
    <col min="4" max="4" width="21.5546875" bestFit="1" customWidth="1"/>
    <col min="5" max="5" width="9.44140625" bestFit="1" customWidth="1"/>
    <col min="6" max="6" width="10.88671875" customWidth="1"/>
    <col min="7" max="7" width="12.33203125" bestFit="1" customWidth="1"/>
    <col min="8" max="8" width="12.88671875" customWidth="1"/>
    <col min="9" max="9" width="25.109375" bestFit="1" customWidth="1"/>
    <col min="10" max="17" width="12.5546875" customWidth="1"/>
    <col min="18" max="18" width="14.5546875" bestFit="1" customWidth="1"/>
    <col min="19" max="19" width="12.44140625" bestFit="1" customWidth="1"/>
  </cols>
  <sheetData>
    <row r="1" spans="1:16" ht="15.6" x14ac:dyDescent="0.3">
      <c r="A1" s="1030" t="s">
        <v>515</v>
      </c>
      <c r="B1" s="1030"/>
      <c r="C1" s="1030"/>
      <c r="I1" s="1030"/>
      <c r="J1" s="1030"/>
      <c r="K1" s="1030"/>
    </row>
    <row r="2" spans="1:16" x14ac:dyDescent="0.3">
      <c r="A2" s="498" t="s">
        <v>202</v>
      </c>
      <c r="I2" s="498"/>
    </row>
    <row r="3" spans="1:16" x14ac:dyDescent="0.3">
      <c r="A3" s="25"/>
      <c r="B3" s="25"/>
      <c r="C3" s="25"/>
      <c r="D3" s="25"/>
      <c r="E3" s="25"/>
      <c r="F3" s="25"/>
      <c r="G3" s="25"/>
      <c r="H3" s="25"/>
      <c r="I3" s="25"/>
      <c r="J3" s="25"/>
      <c r="K3" s="25"/>
      <c r="L3" s="25"/>
      <c r="M3" s="25"/>
      <c r="N3" s="25"/>
      <c r="O3" s="25"/>
      <c r="P3" s="25"/>
    </row>
    <row r="4" spans="1:16" ht="15.6" x14ac:dyDescent="0.3">
      <c r="A4" s="1031" t="s">
        <v>856</v>
      </c>
      <c r="B4" s="1031"/>
      <c r="C4" s="1031"/>
      <c r="D4" s="1031"/>
      <c r="E4" s="1031"/>
      <c r="F4" s="1031"/>
      <c r="G4" s="1031"/>
      <c r="H4" s="1031"/>
      <c r="I4" s="1031"/>
      <c r="J4" s="1031"/>
      <c r="K4" s="1031"/>
      <c r="L4" s="1031"/>
      <c r="M4" s="1031"/>
      <c r="N4" s="1031"/>
      <c r="O4" s="1031"/>
      <c r="P4" s="1031"/>
    </row>
    <row r="5" spans="1:16" ht="15.6" x14ac:dyDescent="0.3">
      <c r="A5" t="s">
        <v>203</v>
      </c>
      <c r="B5" t="s">
        <v>106</v>
      </c>
      <c r="C5" s="233"/>
      <c r="D5" s="233"/>
      <c r="E5" s="233"/>
      <c r="F5" s="233"/>
      <c r="G5" s="233"/>
      <c r="H5" s="233"/>
      <c r="K5" s="233"/>
      <c r="L5" s="233"/>
      <c r="M5" s="233"/>
      <c r="N5" s="233"/>
      <c r="O5" s="233"/>
      <c r="P5" s="233"/>
    </row>
    <row r="6" spans="1:16" ht="15.6" x14ac:dyDescent="0.3">
      <c r="A6" t="s">
        <v>204</v>
      </c>
      <c r="B6" t="s">
        <v>205</v>
      </c>
      <c r="C6" s="233"/>
      <c r="D6" s="233"/>
      <c r="E6" s="233"/>
      <c r="F6" s="233"/>
      <c r="G6" s="233"/>
      <c r="H6" s="233"/>
      <c r="K6" s="233"/>
      <c r="L6" s="233"/>
      <c r="M6" s="233"/>
      <c r="N6" s="233"/>
      <c r="O6" s="233"/>
      <c r="P6" s="233"/>
    </row>
    <row r="7" spans="1:16" x14ac:dyDescent="0.3">
      <c r="A7" t="s">
        <v>206</v>
      </c>
      <c r="B7" t="s">
        <v>207</v>
      </c>
    </row>
    <row r="8" spans="1:16" x14ac:dyDescent="0.3">
      <c r="A8" s="312"/>
      <c r="I8" s="312"/>
    </row>
    <row r="9" spans="1:16" x14ac:dyDescent="0.3">
      <c r="A9" s="312" t="s">
        <v>208</v>
      </c>
      <c r="B9" s="312" t="str">
        <f>EntrantsPivot!$B$15</f>
        <v>2025-26</v>
      </c>
      <c r="I9" s="312"/>
    </row>
    <row r="10" spans="1:16" x14ac:dyDescent="0.3">
      <c r="A10" s="312"/>
      <c r="B10" s="312"/>
      <c r="I10" s="312"/>
    </row>
    <row r="11" spans="1:16" s="459" customFormat="1" x14ac:dyDescent="0.3">
      <c r="A11" s="495" t="s">
        <v>92</v>
      </c>
      <c r="B11" s="502" t="s">
        <v>517</v>
      </c>
      <c r="C11" s="502" t="s">
        <v>361</v>
      </c>
      <c r="D11" s="502" t="s">
        <v>513</v>
      </c>
      <c r="E11" s="1021" t="s">
        <v>514</v>
      </c>
      <c r="F11" s="502" t="s">
        <v>339</v>
      </c>
      <c r="G11" s="502" t="s">
        <v>608</v>
      </c>
      <c r="H11"/>
      <c r="I11"/>
      <c r="J11"/>
      <c r="K11"/>
      <c r="L11"/>
      <c r="M11"/>
      <c r="N11"/>
    </row>
    <row r="12" spans="1:16" x14ac:dyDescent="0.3">
      <c r="A12" s="312" t="s">
        <v>780</v>
      </c>
      <c r="B12" s="368">
        <f>GETPIVOTDATA("Sum of Wholetime Operational",EntrantsPivot!$A$17,"Age Range","Under 20")</f>
        <v>0</v>
      </c>
      <c r="C12" s="368">
        <f>GETPIVOTDATA("Sum of Retained Duty System",EntrantsPivot!$A$17,"Age Range","Under 20")</f>
        <v>9</v>
      </c>
      <c r="D12" s="368">
        <f>GETPIVOTDATA("Sum of Control",EntrantsPivot!$A$17,"Age Range","Under 20")</f>
        <v>0</v>
      </c>
      <c r="E12" s="1022">
        <f>GETPIVOTDATA("Sum of Support",EntrantsPivot!$A$17,"Age Range","Under 20")</f>
        <v>3</v>
      </c>
      <c r="F12" s="368">
        <f>GETPIVOTDATA("Sum of Volunteers",EntrantsPivot!$A$17,"Age Range","Under 20")</f>
        <v>0</v>
      </c>
      <c r="G12" s="749">
        <f>SUM(B12:F12)</f>
        <v>12</v>
      </c>
    </row>
    <row r="13" spans="1:16" x14ac:dyDescent="0.3">
      <c r="A13" s="312" t="s">
        <v>768</v>
      </c>
      <c r="B13" s="368">
        <f>GETPIVOTDATA("Sum of Wholetime Operational",EntrantsPivot!$A$17,"Age Range","20-24")</f>
        <v>13</v>
      </c>
      <c r="C13" s="368">
        <f>GETPIVOTDATA("Sum of Retained Duty System",EntrantsPivot!$A$17,"Age Range","20-24")</f>
        <v>42</v>
      </c>
      <c r="D13" s="368">
        <f>GETPIVOTDATA("Sum of Control",EntrantsPivot!$A$17,"Age Range","20-24")</f>
        <v>1</v>
      </c>
      <c r="E13" s="1022">
        <f>GETPIVOTDATA("Sum of Support",EntrantsPivot!$A$17,"Age Range","20-24")</f>
        <v>5</v>
      </c>
      <c r="F13" s="368">
        <f>GETPIVOTDATA("Sum of Volunteers",EntrantsPivot!$A$17,"Age Range","20-24")</f>
        <v>1</v>
      </c>
      <c r="G13" s="749">
        <f t="shared" ref="G13:G23" si="0">SUM(B13:F13)</f>
        <v>62</v>
      </c>
    </row>
    <row r="14" spans="1:16" x14ac:dyDescent="0.3">
      <c r="A14" s="312" t="s">
        <v>769</v>
      </c>
      <c r="B14" s="368">
        <f>GETPIVOTDATA("Sum of Wholetime Operational",EntrantsPivot!$A$17,"Age Range","25-29")</f>
        <v>31</v>
      </c>
      <c r="C14" s="368">
        <f>GETPIVOTDATA("Sum of Retained Duty System",EntrantsPivot!$A$17,"Age Range","25-29")</f>
        <v>43</v>
      </c>
      <c r="D14" s="368">
        <f>GETPIVOTDATA("Sum of Control",EntrantsPivot!$A$17,"Age Range","25-29")</f>
        <v>9</v>
      </c>
      <c r="E14" s="1022">
        <f>GETPIVOTDATA("Sum of Support",EntrantsPivot!$A$17,"Age Range","25-29")</f>
        <v>5</v>
      </c>
      <c r="F14" s="368">
        <f>GETPIVOTDATA("Sum of Volunteers",EntrantsPivot!$A$17,"Age Range","25-29")</f>
        <v>0</v>
      </c>
      <c r="G14" s="749">
        <f t="shared" si="0"/>
        <v>88</v>
      </c>
    </row>
    <row r="15" spans="1:16" x14ac:dyDescent="0.3">
      <c r="A15" s="312" t="s">
        <v>770</v>
      </c>
      <c r="B15" s="368">
        <f>GETPIVOTDATA("Sum of Wholetime Operational",EntrantsPivot!$A$17,"Age Range","30-34")</f>
        <v>17</v>
      </c>
      <c r="C15" s="368">
        <f>GETPIVOTDATA("Sum of Retained Duty System",EntrantsPivot!$A$17,"Age Range","30-34")</f>
        <v>44</v>
      </c>
      <c r="D15" s="368">
        <f>GETPIVOTDATA("Sum of Control",EntrantsPivot!$A$17,"Age Range","30-34")</f>
        <v>3</v>
      </c>
      <c r="E15" s="1022">
        <f>GETPIVOTDATA("Sum of Support",EntrantsPivot!$A$17,"Age Range","30-34")</f>
        <v>5</v>
      </c>
      <c r="F15" s="368">
        <f>GETPIVOTDATA("Sum of Volunteers",EntrantsPivot!$A$17,"Age Range","30-34")</f>
        <v>0</v>
      </c>
      <c r="G15" s="749">
        <f t="shared" si="0"/>
        <v>69</v>
      </c>
    </row>
    <row r="16" spans="1:16" x14ac:dyDescent="0.3">
      <c r="A16" s="312" t="s">
        <v>771</v>
      </c>
      <c r="B16" s="368">
        <f>GETPIVOTDATA("Sum of Wholetime Operational",EntrantsPivot!$A$17,"Age Range","35-39")</f>
        <v>14</v>
      </c>
      <c r="C16" s="368">
        <f>GETPIVOTDATA("Sum of Retained Duty System",EntrantsPivot!$A$17,"Age Range","35-39")</f>
        <v>29</v>
      </c>
      <c r="D16" s="368">
        <f>GETPIVOTDATA("Sum of Control",EntrantsPivot!$A$17,"Age Range","35-39")</f>
        <v>4</v>
      </c>
      <c r="E16" s="1022">
        <f>GETPIVOTDATA("Sum of Support",EntrantsPivot!$A$17,"Age Range","35-39")</f>
        <v>7</v>
      </c>
      <c r="F16" s="368">
        <f>GETPIVOTDATA("Sum of Volunteers",EntrantsPivot!$A$17,"Age Range","35-39")</f>
        <v>1</v>
      </c>
      <c r="G16" s="749">
        <f t="shared" si="0"/>
        <v>55</v>
      </c>
    </row>
    <row r="17" spans="1:15" x14ac:dyDescent="0.3">
      <c r="A17" s="312" t="s">
        <v>772</v>
      </c>
      <c r="B17" s="368">
        <f>GETPIVOTDATA("Sum of Wholetime Operational",EntrantsPivot!$A$17,"Age Range","40-44")</f>
        <v>4</v>
      </c>
      <c r="C17" s="368">
        <f>GETPIVOTDATA("Sum of Retained Duty System",EntrantsPivot!$A$17,"Age Range","40-44")</f>
        <v>37</v>
      </c>
      <c r="D17" s="368">
        <f>GETPIVOTDATA("Sum of Control",EntrantsPivot!$A$17,"Age Range","40-44")</f>
        <v>0</v>
      </c>
      <c r="E17" s="1022">
        <f>GETPIVOTDATA("Sum of Support",EntrantsPivot!$A$17,"Age Range","40-44")</f>
        <v>8</v>
      </c>
      <c r="F17" s="368">
        <f>GETPIVOTDATA("Sum of Volunteers",EntrantsPivot!$A$17,"Age Range","40-44")</f>
        <v>1</v>
      </c>
      <c r="G17" s="749">
        <f t="shared" si="0"/>
        <v>50</v>
      </c>
    </row>
    <row r="18" spans="1:15" x14ac:dyDescent="0.3">
      <c r="A18" s="312" t="s">
        <v>773</v>
      </c>
      <c r="B18" s="368">
        <f>GETPIVOTDATA("Sum of Wholetime Operational",EntrantsPivot!$A$17,"Age Range","45-49")</f>
        <v>0</v>
      </c>
      <c r="C18" s="368">
        <f>GETPIVOTDATA("Sum of Retained Duty System",EntrantsPivot!$A$17,"Age Range","45-49")</f>
        <v>12</v>
      </c>
      <c r="D18" s="368">
        <f>GETPIVOTDATA("Sum of Control",EntrantsPivot!$A$17,"Age Range","45-49")</f>
        <v>0</v>
      </c>
      <c r="E18" s="1022">
        <f>GETPIVOTDATA("Sum of Support",EntrantsPivot!$A$17,"Age Range","45-49")</f>
        <v>5</v>
      </c>
      <c r="F18" s="368">
        <f>GETPIVOTDATA("Sum of Volunteers",EntrantsPivot!$A$17,"Age Range","45-49")</f>
        <v>1</v>
      </c>
      <c r="G18" s="749">
        <f t="shared" si="0"/>
        <v>18</v>
      </c>
    </row>
    <row r="19" spans="1:15" x14ac:dyDescent="0.3">
      <c r="A19" s="312" t="s">
        <v>774</v>
      </c>
      <c r="B19" s="368">
        <f>GETPIVOTDATA("Sum of Wholetime Operational",EntrantsPivot!$A$17,"Age Range","50-54")</f>
        <v>0</v>
      </c>
      <c r="C19" s="368">
        <f>GETPIVOTDATA("Sum of Retained Duty System",EntrantsPivot!$A$17,"Age Range","50-54")</f>
        <v>12</v>
      </c>
      <c r="D19" s="368">
        <f>GETPIVOTDATA("Sum of Control",EntrantsPivot!$A$17,"Age Range","50-54")</f>
        <v>1</v>
      </c>
      <c r="E19" s="1022">
        <f>GETPIVOTDATA("Sum of Support",EntrantsPivot!$A$17,"Age Range","50-54")</f>
        <v>10</v>
      </c>
      <c r="F19" s="368">
        <f>GETPIVOTDATA("Sum of Volunteers",EntrantsPivot!$A$17,"Age Range","50-54")</f>
        <v>1</v>
      </c>
      <c r="G19" s="749">
        <f t="shared" si="0"/>
        <v>24</v>
      </c>
    </row>
    <row r="20" spans="1:15" x14ac:dyDescent="0.3">
      <c r="A20" s="312" t="s">
        <v>775</v>
      </c>
      <c r="B20" s="368">
        <f>GETPIVOTDATA("Sum of Wholetime Operational",EntrantsPivot!$A$17,"Age Range","55-59")</f>
        <v>1</v>
      </c>
      <c r="C20" s="368">
        <f>GETPIVOTDATA("Sum of Retained Duty System",EntrantsPivot!$A$17,"Age Range","55-59")</f>
        <v>0</v>
      </c>
      <c r="D20" s="368">
        <f>GETPIVOTDATA("Sum of Control",EntrantsPivot!$A$17,"Age Range","55-59")</f>
        <v>0</v>
      </c>
      <c r="E20" s="1022">
        <f>GETPIVOTDATA("Sum of Support",EntrantsPivot!$A$17,"Age Range","55-59")</f>
        <v>16</v>
      </c>
      <c r="F20" s="368">
        <f>GETPIVOTDATA("Sum of Volunteers",EntrantsPivot!$A$17,"Age Range","55-59")</f>
        <v>0</v>
      </c>
      <c r="G20" s="749">
        <f t="shared" si="0"/>
        <v>17</v>
      </c>
    </row>
    <row r="21" spans="1:15" x14ac:dyDescent="0.3">
      <c r="A21" s="312" t="s">
        <v>776</v>
      </c>
      <c r="B21" s="368">
        <f>GETPIVOTDATA("Sum of Wholetime Operational",EntrantsPivot!$A$17,"Age Range","60-64")</f>
        <v>0</v>
      </c>
      <c r="C21" s="368">
        <f>GETPIVOTDATA("Sum of Retained Duty System",EntrantsPivot!$A$17,"Age Range","60-64")</f>
        <v>1</v>
      </c>
      <c r="D21" s="368">
        <f>GETPIVOTDATA("Sum of Control",EntrantsPivot!$A$17,"Age Range","60-64")</f>
        <v>0</v>
      </c>
      <c r="E21" s="1022">
        <f>GETPIVOTDATA("Sum of Support",EntrantsPivot!$A$17,"Age Range","60-64")</f>
        <v>3</v>
      </c>
      <c r="F21" s="368">
        <f>GETPIVOTDATA("Sum of Volunteers",EntrantsPivot!$A$17,"Age Range","60-64")</f>
        <v>0</v>
      </c>
      <c r="G21" s="749">
        <f t="shared" si="0"/>
        <v>4</v>
      </c>
    </row>
    <row r="22" spans="1:15" x14ac:dyDescent="0.3">
      <c r="A22" s="312" t="s">
        <v>777</v>
      </c>
      <c r="B22" s="368" t="str">
        <f>IFERROR(GETPIVOTDATA("Sum of Wholetime Operational",EntrantsPivot!$A$17,"Age Range","65-69"), "-")</f>
        <v>-</v>
      </c>
      <c r="C22" s="368" t="str">
        <f>IFERROR(GETPIVOTDATA("Sum of Retained Duty System",EntrantsPivot!$A$17,"Age Range","65-69"), "-")</f>
        <v>-</v>
      </c>
      <c r="D22" s="368" t="str">
        <f>IFERROR(GETPIVOTDATA("Sum of Control",EntrantsPivot!$A$17,"Age Range","65-69"), "-")</f>
        <v>-</v>
      </c>
      <c r="E22" s="1022" t="str">
        <f>IFERROR(GETPIVOTDATA("Sum of Support",EntrantsPivot!$A$17,"Age Range","65-69"), "-")</f>
        <v>-</v>
      </c>
      <c r="F22" s="368" t="str">
        <f>IFERROR(GETPIVOTDATA("Sum of Volunteers",EntrantsPivot!$A$17,"Age Range","65-69"), "-")</f>
        <v>-</v>
      </c>
      <c r="G22" s="749">
        <f t="shared" si="0"/>
        <v>0</v>
      </c>
    </row>
    <row r="23" spans="1:15" x14ac:dyDescent="0.3">
      <c r="A23" s="312" t="s">
        <v>778</v>
      </c>
      <c r="B23" s="847">
        <f>IFERROR(GETPIVOTDATA("Sum of Wholetime Operational",EntrantsPivot!$A$17,"Age Range","70-74"), "-")</f>
        <v>0</v>
      </c>
      <c r="C23" s="847">
        <f>IFERROR(GETPIVOTDATA("Sum of Retained Duty System",EntrantsPivot!$A$17,"Age Range","70-74"), "-")</f>
        <v>0</v>
      </c>
      <c r="D23" s="847">
        <f>IFERROR(GETPIVOTDATA("Sum of Control",EntrantsPivot!$A$17,"Age Range","70-74"), "-")</f>
        <v>0</v>
      </c>
      <c r="E23" s="1023">
        <f>IFERROR(GETPIVOTDATA("Sum of Support",EntrantsPivot!$A$17,"Age Range","70-74"), "-")</f>
        <v>1</v>
      </c>
      <c r="F23" s="847">
        <f>IFERROR(GETPIVOTDATA("Sum of Volunteers",EntrantsPivot!$A$17,"Age Range","70-74"), "-")</f>
        <v>0</v>
      </c>
      <c r="G23" s="749">
        <f t="shared" si="0"/>
        <v>1</v>
      </c>
    </row>
    <row r="24" spans="1:15" ht="15" thickBot="1" x14ac:dyDescent="0.35">
      <c r="A24" s="494" t="s">
        <v>846</v>
      </c>
      <c r="B24" s="848">
        <f>SUM(B12:B23)</f>
        <v>80</v>
      </c>
      <c r="C24" s="848">
        <f t="shared" ref="C24:G24" si="1">SUM(C12:C23)</f>
        <v>229</v>
      </c>
      <c r="D24" s="848">
        <f t="shared" si="1"/>
        <v>18</v>
      </c>
      <c r="E24" s="848">
        <f t="shared" si="1"/>
        <v>68</v>
      </c>
      <c r="F24" s="848">
        <f t="shared" si="1"/>
        <v>5</v>
      </c>
      <c r="G24" s="848">
        <f t="shared" si="1"/>
        <v>400</v>
      </c>
    </row>
    <row r="25" spans="1:15" x14ac:dyDescent="0.3">
      <c r="I25" s="312"/>
      <c r="J25" s="312"/>
      <c r="K25" s="312"/>
      <c r="L25" s="312"/>
      <c r="M25" s="312"/>
      <c r="N25" s="312"/>
      <c r="O25" s="312"/>
    </row>
    <row r="26" spans="1:15" ht="15" customHeight="1" x14ac:dyDescent="0.3">
      <c r="A26" s="334" t="s">
        <v>329</v>
      </c>
      <c r="B26" s="312"/>
      <c r="C26" s="312"/>
      <c r="D26" s="312"/>
      <c r="E26" s="312"/>
      <c r="F26" s="312"/>
      <c r="G26" s="312"/>
    </row>
    <row r="27" spans="1:15" ht="45" customHeight="1" x14ac:dyDescent="0.3">
      <c r="A27" s="1033" t="s">
        <v>857</v>
      </c>
      <c r="B27" s="1033"/>
      <c r="C27" s="1033"/>
      <c r="D27" s="1033"/>
      <c r="E27" s="1033"/>
      <c r="F27" s="1033"/>
      <c r="G27" s="1033"/>
      <c r="H27" s="1033"/>
    </row>
    <row r="28" spans="1:15" ht="15" customHeight="1" x14ac:dyDescent="0.3"/>
    <row r="29" spans="1:15" ht="15.6" customHeight="1" x14ac:dyDescent="0.3">
      <c r="A29" s="1031" t="s">
        <v>858</v>
      </c>
      <c r="B29" s="1031"/>
      <c r="C29" s="1031"/>
      <c r="D29" s="1031"/>
      <c r="E29" s="1031"/>
      <c r="F29" s="1031"/>
      <c r="G29" s="1031"/>
      <c r="H29" s="1031"/>
    </row>
    <row r="30" spans="1:15" ht="15.6" x14ac:dyDescent="0.3">
      <c r="A30" t="s">
        <v>203</v>
      </c>
      <c r="B30" t="s">
        <v>107</v>
      </c>
      <c r="C30" s="233"/>
      <c r="D30" s="233"/>
      <c r="E30" s="233"/>
      <c r="F30" s="233"/>
      <c r="G30" s="233"/>
      <c r="H30" s="233"/>
    </row>
    <row r="31" spans="1:15" ht="15.6" x14ac:dyDescent="0.3">
      <c r="A31" t="s">
        <v>204</v>
      </c>
      <c r="B31" t="s">
        <v>205</v>
      </c>
      <c r="C31" s="233"/>
      <c r="D31" s="233"/>
      <c r="E31" s="233"/>
      <c r="F31" s="233"/>
      <c r="G31" s="233"/>
      <c r="H31" s="233"/>
    </row>
    <row r="32" spans="1:15" x14ac:dyDescent="0.3">
      <c r="A32" t="s">
        <v>206</v>
      </c>
      <c r="B32" t="s">
        <v>207</v>
      </c>
    </row>
    <row r="34" spans="1:34" x14ac:dyDescent="0.3">
      <c r="A34" s="312" t="s">
        <v>208</v>
      </c>
      <c r="B34" s="312" t="str">
        <f>EntrantsPivot!$B$1</f>
        <v>2025-26</v>
      </c>
    </row>
    <row r="35" spans="1:34" ht="45" customHeight="1" x14ac:dyDescent="0.3">
      <c r="A35" s="525" t="s">
        <v>208</v>
      </c>
      <c r="B35" s="502" t="s">
        <v>517</v>
      </c>
      <c r="C35" s="502" t="s">
        <v>361</v>
      </c>
      <c r="D35" s="502" t="s">
        <v>513</v>
      </c>
      <c r="E35" s="502" t="s">
        <v>514</v>
      </c>
      <c r="F35" s="502" t="s">
        <v>832</v>
      </c>
      <c r="G35" s="502" t="s">
        <v>340</v>
      </c>
    </row>
    <row r="36" spans="1:34" x14ac:dyDescent="0.3">
      <c r="A36" s="312" t="s">
        <v>733</v>
      </c>
      <c r="B36" s="601">
        <f>GETPIVOTDATA("Sum of Wholetime Operational",EntrantsPivot!$A$3,"Gender","Female")</f>
        <v>11</v>
      </c>
      <c r="C36" s="601">
        <f>GETPIVOTDATA("Sum of Retained Duty System",EntrantsPivot!$A$3,"Gender","Female")</f>
        <v>25</v>
      </c>
      <c r="D36" s="601">
        <f>GETPIVOTDATA("Sum of Control",EntrantsPivot!$A$3,"Gender","Female")</f>
        <v>10</v>
      </c>
      <c r="E36" s="601">
        <f>GETPIVOTDATA("Sum of Support",EntrantsPivot!$A$3,"Gender","Female")</f>
        <v>25</v>
      </c>
      <c r="F36" s="601">
        <f>GETPIVOTDATA("Sum of Volunteers",EntrantsPivot!$A$3,"Gender","Female")</f>
        <v>0</v>
      </c>
      <c r="G36" s="601">
        <f>GETPIVOTDATA("Sum of Total",EntrantsPivot!$A$3,"Gender","Female")</f>
        <v>71</v>
      </c>
      <c r="H36" s="459"/>
    </row>
    <row r="37" spans="1:34" x14ac:dyDescent="0.3">
      <c r="A37" s="525" t="s">
        <v>859</v>
      </c>
      <c r="B37" s="601">
        <f>GETPIVOTDATA("Sum of Wholetime Operational",EntrantsPivot!$A$3,"Gender","Male")</f>
        <v>69</v>
      </c>
      <c r="C37" s="601">
        <f>GETPIVOTDATA("Sum of Retained Duty System",EntrantsPivot!$A$3,"Gender","Male")</f>
        <v>204</v>
      </c>
      <c r="D37" s="601">
        <f>GETPIVOTDATA("Sum of Control",EntrantsPivot!$A$3,"Gender","Male")</f>
        <v>8</v>
      </c>
      <c r="E37" s="601">
        <f>GETPIVOTDATA("Sum of Support",EntrantsPivot!$A$3,"Gender","Male")</f>
        <v>43</v>
      </c>
      <c r="F37" s="601">
        <f>GETPIVOTDATA("Sum of Volunteers",EntrantsPivot!$A$3,"Gender","Male")</f>
        <v>5</v>
      </c>
      <c r="G37" s="601">
        <f>GETPIVOTDATA("Sum of Total",EntrantsPivot!$A$3,"Gender","Male")</f>
        <v>329</v>
      </c>
    </row>
    <row r="38" spans="1:34" ht="15" thickBot="1" x14ac:dyDescent="0.35">
      <c r="A38" s="494" t="s">
        <v>340</v>
      </c>
      <c r="B38" s="678">
        <f>SUM(B36:B37)</f>
        <v>80</v>
      </c>
      <c r="C38" s="678">
        <f t="shared" ref="C38:G38" si="2">SUM(C36:C37)</f>
        <v>229</v>
      </c>
      <c r="D38" s="678">
        <f t="shared" si="2"/>
        <v>18</v>
      </c>
      <c r="E38" s="678">
        <f t="shared" si="2"/>
        <v>68</v>
      </c>
      <c r="F38" s="678">
        <f t="shared" si="2"/>
        <v>5</v>
      </c>
      <c r="G38" s="678">
        <f t="shared" si="2"/>
        <v>400</v>
      </c>
      <c r="AH38" t="s">
        <v>860</v>
      </c>
    </row>
    <row r="40" spans="1:34" x14ac:dyDescent="0.3">
      <c r="A40" s="312"/>
      <c r="B40" s="312"/>
      <c r="C40" s="312"/>
      <c r="D40" s="312"/>
      <c r="E40" s="312"/>
      <c r="F40" s="312"/>
      <c r="G40" s="312"/>
    </row>
    <row r="41" spans="1:34" ht="15.75" customHeight="1" x14ac:dyDescent="0.3">
      <c r="A41" s="334" t="s">
        <v>329</v>
      </c>
      <c r="B41" s="312"/>
      <c r="C41" s="312"/>
      <c r="D41" s="312"/>
      <c r="E41" s="312"/>
      <c r="F41" s="312"/>
      <c r="G41" s="312"/>
    </row>
    <row r="42" spans="1:34" ht="45.6" customHeight="1" x14ac:dyDescent="0.3">
      <c r="A42" s="1033" t="s">
        <v>857</v>
      </c>
      <c r="B42" s="1033"/>
      <c r="C42" s="1033"/>
      <c r="D42" s="1033"/>
      <c r="E42" s="1033"/>
      <c r="F42" s="1033"/>
      <c r="G42" s="1033"/>
      <c r="H42" s="1033"/>
    </row>
    <row r="43" spans="1:34" x14ac:dyDescent="0.3">
      <c r="A43" s="334"/>
    </row>
    <row r="44" spans="1:34" ht="15.6" x14ac:dyDescent="0.3">
      <c r="A44" s="1031" t="s">
        <v>861</v>
      </c>
      <c r="B44" s="1031"/>
      <c r="C44" s="1031"/>
      <c r="D44" s="1031"/>
      <c r="E44" s="1031"/>
      <c r="F44" s="1031"/>
      <c r="G44" s="1031"/>
      <c r="H44" s="1031"/>
    </row>
    <row r="45" spans="1:34" ht="15.6" x14ac:dyDescent="0.3">
      <c r="A45" t="s">
        <v>203</v>
      </c>
      <c r="B45" t="s">
        <v>108</v>
      </c>
      <c r="C45" s="233"/>
      <c r="D45" s="233"/>
      <c r="E45" s="233"/>
      <c r="F45" s="233"/>
      <c r="G45" s="233"/>
      <c r="H45" s="233"/>
    </row>
    <row r="46" spans="1:34" ht="15.6" x14ac:dyDescent="0.3">
      <c r="A46" t="s">
        <v>204</v>
      </c>
      <c r="B46" t="s">
        <v>205</v>
      </c>
      <c r="C46" s="233"/>
      <c r="D46" s="233"/>
      <c r="E46" s="233"/>
      <c r="F46" s="233"/>
      <c r="G46" s="233"/>
    </row>
    <row r="47" spans="1:34" x14ac:dyDescent="0.3">
      <c r="A47" t="s">
        <v>206</v>
      </c>
      <c r="B47" t="s">
        <v>207</v>
      </c>
    </row>
    <row r="48" spans="1:34" ht="14.4" customHeight="1" x14ac:dyDescent="0.3"/>
    <row r="49" spans="1:8" ht="14.4" customHeight="1" x14ac:dyDescent="0.3">
      <c r="A49" s="312" t="s">
        <v>208</v>
      </c>
      <c r="B49" s="312" t="str">
        <f>EntrantsPivot!$B$34</f>
        <v>2025-26</v>
      </c>
    </row>
    <row r="50" spans="1:8" x14ac:dyDescent="0.3">
      <c r="F50" s="496" t="s">
        <v>94</v>
      </c>
      <c r="H50" s="496"/>
    </row>
    <row r="51" spans="1:8" ht="24.9" customHeight="1" x14ac:dyDescent="0.3">
      <c r="A51" s="131" t="s">
        <v>99</v>
      </c>
      <c r="B51" s="503" t="s">
        <v>517</v>
      </c>
      <c r="C51" s="503" t="s">
        <v>361</v>
      </c>
      <c r="D51" s="503" t="s">
        <v>513</v>
      </c>
      <c r="E51" s="503" t="s">
        <v>514</v>
      </c>
      <c r="F51" s="503" t="s">
        <v>339</v>
      </c>
      <c r="G51" s="426"/>
      <c r="H51" s="426"/>
    </row>
    <row r="52" spans="1:8" x14ac:dyDescent="0.3">
      <c r="A52" s="217" t="s">
        <v>808</v>
      </c>
      <c r="B52" s="311">
        <f>IFERROR(GETPIVOTDATA("Sum of WT",EntrantsPivot!$A$36,"EthStat","Ethnic Minority"), "0.0")</f>
        <v>0</v>
      </c>
      <c r="C52" s="311">
        <f>IFERROR(GETPIVOTDATA("Sum of RDS",EntrantsPivot!$A$36,"EthStat","Ethnic Minority"), "0.0")</f>
        <v>0.43668122270742354</v>
      </c>
      <c r="D52" s="311">
        <f>IFERROR(GETPIVOTDATA("Sum of Control",EntrantsPivot!$A$36,"EthStat","Ethnic Minority"), "0.0")</f>
        <v>0</v>
      </c>
      <c r="E52" s="311">
        <f>IFERROR(GETPIVOTDATA("Sum of Support",EntrantsPivot!$A$36,"EthStat","Ethnic Minority"), "0.0")</f>
        <v>4.4117647058823533</v>
      </c>
      <c r="F52" s="311">
        <f>IFERROR(GETPIVOTDATA("Sum of Vol",EntrantsPivot!$A$36,"EthStat","Ethnic Minority"), "0.0")</f>
        <v>0</v>
      </c>
      <c r="G52" s="179"/>
      <c r="H52" s="179"/>
    </row>
    <row r="53" spans="1:8" x14ac:dyDescent="0.3">
      <c r="A53" s="176" t="s">
        <v>807</v>
      </c>
      <c r="B53" s="177">
        <f>IFERROR(GETPIVOTDATA("Sum of WT",EntrantsPivot!$A$36,"EthStat","White"), "0.0")</f>
        <v>6.4102564102564097</v>
      </c>
      <c r="C53" s="177">
        <f>IFERROR(GETPIVOTDATA("Sum of RDS",EntrantsPivot!$A$36,"EthStat","White"), "0.0")</f>
        <v>5.2401746724890828</v>
      </c>
      <c r="D53" s="177">
        <f>IFERROR(IF($B$49 = "2019-20", "-", GETPIVOTDATA("Sum of Control",EntrantsPivot!$A$36,"EthStat","White")), "0.0")</f>
        <v>0</v>
      </c>
      <c r="E53" s="177">
        <f>IFERROR(GETPIVOTDATA("Sum of Support",EntrantsPivot!$A$36,"EthStat","White"), "0.0")</f>
        <v>20.588235294117645</v>
      </c>
      <c r="F53" s="177">
        <f>IFERROR(GETPIVOTDATA("Sum of Vol",EntrantsPivot!$A$36,"EthStat","White"), "0.0")</f>
        <v>0</v>
      </c>
      <c r="G53" s="179"/>
      <c r="H53" s="179"/>
    </row>
    <row r="54" spans="1:8" x14ac:dyDescent="0.3">
      <c r="A54" s="398" t="s">
        <v>809</v>
      </c>
      <c r="B54" s="497">
        <f>GETPIVOTDATA("Sum of WT",EntrantsPivot!$A$36,"EthStat","Not Stated")</f>
        <v>93.589743589743591</v>
      </c>
      <c r="C54" s="497">
        <f>GETPIVOTDATA("Sum of RDS",EntrantsPivot!$A$36,"EthStat","Not Stated")</f>
        <v>94.32314410480349</v>
      </c>
      <c r="D54" s="497">
        <f>IF($B$49 = "2019-20", "-", GETPIVOTDATA("Sum of Control",EntrantsPivot!$A$36,"EthStat","Not Stated"))</f>
        <v>100</v>
      </c>
      <c r="E54" s="497">
        <f>GETPIVOTDATA("Sum of Support",EntrantsPivot!$A$36,"EthStat","Not Stated")</f>
        <v>75</v>
      </c>
      <c r="F54" s="497">
        <f>GETPIVOTDATA("Sum of Vol",EntrantsPivot!$A$36,"EthStat","Not Stated")</f>
        <v>100</v>
      </c>
      <c r="G54" s="179"/>
      <c r="H54" s="179"/>
    </row>
    <row r="56" spans="1:8" x14ac:dyDescent="0.3">
      <c r="A56" s="334" t="s">
        <v>329</v>
      </c>
      <c r="B56" s="25"/>
      <c r="C56" s="25"/>
      <c r="D56" s="25"/>
      <c r="E56" s="25"/>
      <c r="F56" s="25"/>
      <c r="G56" s="25"/>
      <c r="H56" s="25"/>
    </row>
    <row r="57" spans="1:8" x14ac:dyDescent="0.3">
      <c r="A57" s="1070" t="s">
        <v>862</v>
      </c>
      <c r="B57" s="1070"/>
      <c r="C57" s="1070"/>
      <c r="D57" s="1070"/>
      <c r="E57" s="1070"/>
      <c r="F57" s="1070"/>
      <c r="G57" s="1070"/>
      <c r="H57" s="1070"/>
    </row>
    <row r="58" spans="1:8" x14ac:dyDescent="0.3">
      <c r="A58" s="1070" t="s">
        <v>863</v>
      </c>
      <c r="B58" s="1070"/>
      <c r="C58" s="1070"/>
      <c r="D58" s="1070"/>
      <c r="E58" s="1070"/>
      <c r="F58" s="1070"/>
      <c r="G58" s="1070"/>
      <c r="H58" s="1070"/>
    </row>
    <row r="59" spans="1:8" x14ac:dyDescent="0.3">
      <c r="A59" s="569"/>
      <c r="B59" s="569"/>
      <c r="C59" s="569"/>
      <c r="D59" s="569"/>
      <c r="E59" s="569"/>
      <c r="F59" s="569"/>
      <c r="G59" s="569"/>
      <c r="H59" s="569"/>
    </row>
    <row r="60" spans="1:8" ht="15.6" x14ac:dyDescent="0.3">
      <c r="A60" s="1031" t="s">
        <v>864</v>
      </c>
      <c r="B60" s="1031"/>
      <c r="C60" s="1031"/>
      <c r="D60" s="1031"/>
      <c r="E60" s="1031"/>
      <c r="F60" s="1031"/>
      <c r="G60" s="1031"/>
      <c r="H60" s="1031"/>
    </row>
    <row r="61" spans="1:8" ht="15.6" x14ac:dyDescent="0.3">
      <c r="A61" t="s">
        <v>203</v>
      </c>
      <c r="B61" t="s">
        <v>109</v>
      </c>
      <c r="C61" s="233"/>
      <c r="D61" s="231"/>
      <c r="F61" s="233"/>
      <c r="G61" s="233"/>
      <c r="H61" s="233"/>
    </row>
    <row r="62" spans="1:8" ht="15.6" x14ac:dyDescent="0.3">
      <c r="A62" t="s">
        <v>204</v>
      </c>
      <c r="B62" t="s">
        <v>205</v>
      </c>
      <c r="C62" s="233"/>
      <c r="D62" s="233"/>
      <c r="E62" s="233"/>
      <c r="F62" s="233"/>
      <c r="G62" s="233"/>
    </row>
    <row r="63" spans="1:8" ht="14.4" customHeight="1" x14ac:dyDescent="0.3">
      <c r="A63" t="s">
        <v>206</v>
      </c>
      <c r="B63" t="s">
        <v>207</v>
      </c>
    </row>
    <row r="64" spans="1:8" ht="14.4" customHeight="1" x14ac:dyDescent="0.3"/>
    <row r="65" spans="1:8" ht="14.4" customHeight="1" x14ac:dyDescent="0.3">
      <c r="A65" s="312" t="s">
        <v>208</v>
      </c>
      <c r="B65" s="312" t="str">
        <f>EntrantsPivot!$B$48</f>
        <v>2025-26</v>
      </c>
    </row>
    <row r="66" spans="1:8" ht="14.4" customHeight="1" x14ac:dyDescent="0.3">
      <c r="A66" s="312"/>
      <c r="F66" s="496" t="s">
        <v>94</v>
      </c>
    </row>
    <row r="67" spans="1:8" x14ac:dyDescent="0.3">
      <c r="A67" s="183"/>
      <c r="B67" s="720" t="s">
        <v>517</v>
      </c>
      <c r="C67" s="720" t="s">
        <v>361</v>
      </c>
      <c r="D67" s="720" t="s">
        <v>513</v>
      </c>
      <c r="E67" s="720" t="s">
        <v>514</v>
      </c>
      <c r="F67" s="720" t="s">
        <v>339</v>
      </c>
    </row>
    <row r="68" spans="1:8" x14ac:dyDescent="0.3">
      <c r="A68" s="131" t="s">
        <v>854</v>
      </c>
      <c r="B68" s="721" t="str">
        <f>IFERROR(GETPIVOTDATA("Sum of WT",EntrantsPivot!$A$50,"DisStat","Disabled"), "0.0")</f>
        <v>0.0</v>
      </c>
      <c r="C68" s="721" t="str">
        <f>IFERROR(GETPIVOTDATA("Sum of RDS",EntrantsPivot!$A$50,"DisStat","Disabled"),"0.0")</f>
        <v>0.0</v>
      </c>
      <c r="D68" s="721" t="str">
        <f>IF(B65 = "2019-20", "-", IFERROR(GETPIVOTDATA("Sum of Control",EntrantsPivot!$A$50,"DisStat","Disabled"), "0.0"))</f>
        <v>0.0</v>
      </c>
      <c r="E68" s="721" t="str">
        <f>IFERROR(GETPIVOTDATA("Sum of Support",EntrantsPivot!$A$50,"DisStat","Disabled"), "0.0")</f>
        <v>0.0</v>
      </c>
      <c r="F68" s="721" t="str">
        <f>IFERROR(GETPIVOTDATA("Sum of Vol",EntrantsPivot!$A$50,"DisStat","Disabled"), "0.0")</f>
        <v>0.0</v>
      </c>
    </row>
    <row r="69" spans="1:8" x14ac:dyDescent="0.3">
      <c r="A69" s="176" t="s">
        <v>855</v>
      </c>
      <c r="B69" s="721">
        <f>IFERROR(GETPIVOTDATA("Sum of WT",EntrantsPivot!$A$50,"DisStat","Not Disabled"), "0.0")</f>
        <v>6.4102564102564097</v>
      </c>
      <c r="C69" s="721">
        <f>IFERROR(GETPIVOTDATA("Sum of RDS",EntrantsPivot!$A$50,"DisStat","Not Disabled"), "0.0")</f>
        <v>4.3668122270742353</v>
      </c>
      <c r="D69" s="721">
        <f>IFERROR(IF(B65 = "2019-20", "-", IFERROR(GETPIVOTDATA("Sum of Control",EntrantsPivot!$A$50,"DisStat","Not Disabled"), "-")), "0.0")</f>
        <v>0</v>
      </c>
      <c r="E69" s="721">
        <f>IFERROR(GETPIVOTDATA("Sum of Support",EntrantsPivot!$A$50,"DisStat","Not Disabled"), "0.0")</f>
        <v>16.176470588235293</v>
      </c>
      <c r="F69" s="721">
        <f>IFERROR(GETPIVOTDATA("Sum of Vol",EntrantsPivot!$A$50,"DisStat","Not Disabled"), "0.0")</f>
        <v>0</v>
      </c>
    </row>
    <row r="70" spans="1:8" x14ac:dyDescent="0.3">
      <c r="A70" s="398" t="s">
        <v>850</v>
      </c>
      <c r="B70" s="722">
        <f>GETPIVOTDATA("Sum of WT",EntrantsPivot!$A$50,"DisStat","Not Known")</f>
        <v>93.589743589743591</v>
      </c>
      <c r="C70" s="722">
        <f>GETPIVOTDATA("Sum of RDS",EntrantsPivot!$A$50,"DisStat","Not Known")</f>
        <v>95.633187772925766</v>
      </c>
      <c r="D70" s="722">
        <f>IF(B65 = "2019-20", "-", IFERROR(GETPIVOTDATA("Sum of Control",EntrantsPivot!$A$50,"DisStat","Not Known"), "-"))</f>
        <v>100</v>
      </c>
      <c r="E70" s="722">
        <f>GETPIVOTDATA("Sum of Support",EntrantsPivot!$A$50,"DisStat","Not Known")</f>
        <v>83.82352941176471</v>
      </c>
      <c r="F70" s="722">
        <f>GETPIVOTDATA("Sum of Vol",EntrantsPivot!$A$50,"DisStat","Not Known")</f>
        <v>100</v>
      </c>
    </row>
    <row r="71" spans="1:8" x14ac:dyDescent="0.3">
      <c r="A71" s="176"/>
    </row>
    <row r="73" spans="1:8" x14ac:dyDescent="0.3">
      <c r="A73" s="334" t="s">
        <v>329</v>
      </c>
      <c r="B73" s="25"/>
      <c r="C73" s="25"/>
      <c r="D73" s="25"/>
      <c r="E73" s="25"/>
      <c r="F73" s="25"/>
      <c r="G73" s="25"/>
      <c r="H73" s="25"/>
    </row>
    <row r="74" spans="1:8" x14ac:dyDescent="0.3">
      <c r="A74" s="1070" t="s">
        <v>862</v>
      </c>
      <c r="B74" s="1070"/>
      <c r="C74" s="1070"/>
      <c r="D74" s="1070"/>
      <c r="E74" s="1070"/>
      <c r="F74" s="1070"/>
      <c r="G74" s="1070"/>
      <c r="H74" s="1070"/>
    </row>
    <row r="75" spans="1:8" ht="29.4" customHeight="1" x14ac:dyDescent="0.3">
      <c r="A75" s="1070" t="s">
        <v>863</v>
      </c>
      <c r="B75" s="1070"/>
      <c r="C75" s="1070"/>
      <c r="D75" s="1070"/>
      <c r="E75" s="1070"/>
      <c r="F75" s="1070"/>
      <c r="G75" s="1070"/>
      <c r="H75" s="1070"/>
    </row>
  </sheetData>
  <sheetProtection algorithmName="SHA-512" hashValue="DlZP/nLNrT4j4cD18tb3REhu55OiCfwFl5xv5GgWLrPS7v3j9ioke1gURju6YkvEGjlStj0Wob5ygkIZQixu8Q==" saltValue="dnVXRiwmLPMh3Mw6AJ+3xQ==" spinCount="100000" sheet="1" scenarios="1" formatCells="0" sort="0" autoFilter="0" pivotTables="0"/>
  <mergeCells count="13">
    <mergeCell ref="A75:H75"/>
    <mergeCell ref="A27:H27"/>
    <mergeCell ref="A29:H29"/>
    <mergeCell ref="A42:H42"/>
    <mergeCell ref="A44:H44"/>
    <mergeCell ref="A57:H57"/>
    <mergeCell ref="A58:H58"/>
    <mergeCell ref="A60:H60"/>
    <mergeCell ref="A1:C1"/>
    <mergeCell ref="A4:H4"/>
    <mergeCell ref="I1:K1"/>
    <mergeCell ref="I4:P4"/>
    <mergeCell ref="A74:H74"/>
  </mergeCells>
  <hyperlinks>
    <hyperlink ref="A2" location="'Table of Contents'!A1" display="Back to Table of Contents" xr:uid="{00000000-0004-0000-6C00-000000000000}"/>
  </hyperlinks>
  <pageMargins left="0.7" right="0.7" top="0.75" bottom="0.75" header="0.3" footer="0.3"/>
  <pageSetup paperSize="9" orientation="portrait" r:id="rId1"/>
  <drawing r:id="rId2"/>
  <extLst>
    <ext xmlns:x14="http://schemas.microsoft.com/office/spreadsheetml/2009/9/main" uri="{A8765BA9-456A-4dab-B4F3-ACF838C121DE}">
      <x14:slicerList>
        <x14:slicer r:id="rId3"/>
      </x14:slicerList>
    </ext>
  </extLst>
</worksheet>
</file>

<file path=xl/worksheets/sheet10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tabColor theme="9" tint="0.39997558519241921"/>
    <pageSetUpPr fitToPage="1"/>
  </sheetPr>
  <dimension ref="A1:H6"/>
  <sheetViews>
    <sheetView showGridLines="0" zoomScaleNormal="100" workbookViewId="0">
      <pane ySplit="2" topLeftCell="A3" activePane="bottomLeft" state="frozen"/>
      <selection pane="bottomLeft" sqref="A1:C1"/>
    </sheetView>
  </sheetViews>
  <sheetFormatPr defaultRowHeight="14.4" x14ac:dyDescent="0.3"/>
  <sheetData>
    <row r="1" spans="1:8" ht="15.6" x14ac:dyDescent="0.3">
      <c r="A1" s="1030" t="s">
        <v>515</v>
      </c>
      <c r="B1" s="1030"/>
      <c r="C1" s="1030"/>
    </row>
    <row r="2" spans="1:8" ht="15.6" x14ac:dyDescent="0.3">
      <c r="A2" s="498" t="s">
        <v>202</v>
      </c>
      <c r="B2" s="440"/>
      <c r="C2" s="440"/>
    </row>
    <row r="4" spans="1:8" ht="15.6" x14ac:dyDescent="0.3">
      <c r="A4" s="1031" t="s">
        <v>1312</v>
      </c>
      <c r="B4" s="1031"/>
      <c r="C4" s="1031"/>
      <c r="D4" s="1031"/>
      <c r="E4" s="1031"/>
      <c r="F4" s="1031"/>
      <c r="G4" s="1031"/>
      <c r="H4" s="1031"/>
    </row>
    <row r="5" spans="1:8" x14ac:dyDescent="0.3">
      <c r="A5" s="560" t="s">
        <v>454</v>
      </c>
    </row>
    <row r="6" spans="1:8" x14ac:dyDescent="0.3">
      <c r="A6" s="560" t="s">
        <v>114</v>
      </c>
    </row>
  </sheetData>
  <sheetProtection algorithmName="SHA-512" hashValue="2gXA3Qo6YhL6YD2hBJM3GvzmR02/GEGpRTZeQA3d3pncnS6puw9j/wMLxNRIXfSA08f7LfA5fVpT9BiGrWD0aA==" saltValue="LT3Wj3ohGARJVHN2b6eD0g==" spinCount="100000" sheet="1" formatCells="0" sort="0" autoFilter="0" pivotTables="0"/>
  <mergeCells count="2">
    <mergeCell ref="A1:C1"/>
    <mergeCell ref="A4:H4"/>
  </mergeCells>
  <hyperlinks>
    <hyperlink ref="A2" location="'Table of Contents'!A1" display="Back to Table of Contents" xr:uid="{00000000-0004-0000-7400-000000000000}"/>
  </hyperlinks>
  <pageMargins left="0.70866141732283472" right="0.70866141732283472" top="0.74803149606299213" bottom="0.74803149606299213" header="0.31496062992125984" footer="0.31496062992125984"/>
  <pageSetup paperSize="9" scale="63" orientation="portrait" r:id="rId1"/>
  <drawing r:id="rId2"/>
</worksheet>
</file>

<file path=xl/worksheets/sheet10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tabColor theme="9" tint="0.39997558519241921"/>
  </sheetPr>
  <dimension ref="A1:H6"/>
  <sheetViews>
    <sheetView showGridLines="0" zoomScale="115" zoomScaleNormal="115" workbookViewId="0">
      <pane ySplit="2" topLeftCell="A3" activePane="bottomLeft" state="frozen"/>
      <selection pane="bottomLeft" sqref="A1:C1"/>
    </sheetView>
  </sheetViews>
  <sheetFormatPr defaultRowHeight="14.4" x14ac:dyDescent="0.3"/>
  <sheetData>
    <row r="1" spans="1:8" ht="15.6" x14ac:dyDescent="0.3">
      <c r="A1" s="1030" t="s">
        <v>515</v>
      </c>
      <c r="B1" s="1030"/>
      <c r="C1" s="1030"/>
    </row>
    <row r="2" spans="1:8" ht="15.6" x14ac:dyDescent="0.3">
      <c r="A2" s="498" t="s">
        <v>202</v>
      </c>
      <c r="B2" s="440"/>
      <c r="C2" s="440"/>
    </row>
    <row r="4" spans="1:8" ht="15.6" x14ac:dyDescent="0.3">
      <c r="A4" s="1031" t="s">
        <v>865</v>
      </c>
      <c r="B4" s="1031"/>
      <c r="C4" s="1031"/>
      <c r="D4" s="1031"/>
      <c r="E4" s="1031"/>
      <c r="F4" s="1031"/>
      <c r="G4" s="1031"/>
      <c r="H4" s="1031"/>
    </row>
    <row r="5" spans="1:8" x14ac:dyDescent="0.3">
      <c r="A5" s="560" t="s">
        <v>454</v>
      </c>
    </row>
    <row r="6" spans="1:8" x14ac:dyDescent="0.3">
      <c r="A6" s="560" t="s">
        <v>115</v>
      </c>
    </row>
  </sheetData>
  <sheetProtection algorithmName="SHA-512" hashValue="IBG8XdzbLTm844EzdiHXHUfRozHd9uKrS+y229l8P+L9A9jAQlNasxoHcLiextDTJntPRFAWhqpc+rF758/4ew==" saltValue="8FDV7HCCvsAsyCk5cOWCFw==" spinCount="100000" sheet="1" scenarios="1" formatCells="0" sort="0" autoFilter="0" pivotTables="0"/>
  <mergeCells count="2">
    <mergeCell ref="A1:C1"/>
    <mergeCell ref="A4:H4"/>
  </mergeCells>
  <hyperlinks>
    <hyperlink ref="A2" location="'Table of Contents'!A1" display="Back to Table of Contents" xr:uid="{00000000-0004-0000-7500-000000000000}"/>
  </hyperlinks>
  <pageMargins left="0.7" right="0.7" top="0.75" bottom="0.75" header="0.3" footer="0.3"/>
  <drawing r:id="rId1"/>
</worksheet>
</file>

<file path=xl/worksheets/sheet10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tabColor theme="9" tint="0.39997558519241921"/>
    <pageSetUpPr fitToPage="1"/>
  </sheetPr>
  <dimension ref="A1:H6"/>
  <sheetViews>
    <sheetView showGridLines="0" zoomScaleNormal="100" workbookViewId="0">
      <pane ySplit="2" topLeftCell="A3" activePane="bottomLeft" state="frozen"/>
      <selection pane="bottomLeft" sqref="A1:C1"/>
    </sheetView>
  </sheetViews>
  <sheetFormatPr defaultRowHeight="14.4" x14ac:dyDescent="0.3"/>
  <sheetData>
    <row r="1" spans="1:8" ht="15.6" x14ac:dyDescent="0.3">
      <c r="A1" s="1030" t="s">
        <v>515</v>
      </c>
      <c r="B1" s="1030"/>
      <c r="C1" s="1030"/>
    </row>
    <row r="2" spans="1:8" ht="15.6" x14ac:dyDescent="0.3">
      <c r="A2" s="498" t="s">
        <v>202</v>
      </c>
      <c r="B2" s="440"/>
      <c r="C2" s="440"/>
    </row>
    <row r="4" spans="1:8" ht="15.6" x14ac:dyDescent="0.3">
      <c r="A4" s="1031" t="s">
        <v>1313</v>
      </c>
      <c r="B4" s="1031"/>
      <c r="C4" s="1031"/>
      <c r="D4" s="1031"/>
      <c r="E4" s="1031"/>
      <c r="F4" s="1031"/>
      <c r="G4" s="1031"/>
      <c r="H4" s="1031"/>
    </row>
    <row r="5" spans="1:8" x14ac:dyDescent="0.3">
      <c r="A5" s="560" t="s">
        <v>454</v>
      </c>
    </row>
    <row r="6" spans="1:8" x14ac:dyDescent="0.3">
      <c r="A6" s="560" t="s">
        <v>116</v>
      </c>
    </row>
  </sheetData>
  <sheetProtection formatCells="0" sort="0" autoFilter="0" pivotTables="0"/>
  <mergeCells count="2">
    <mergeCell ref="A1:C1"/>
    <mergeCell ref="A4:H4"/>
  </mergeCells>
  <hyperlinks>
    <hyperlink ref="A2" location="'Table of Contents'!A1" display="Back to Table of Contents" xr:uid="{00000000-0004-0000-7600-000000000000}"/>
  </hyperlinks>
  <pageMargins left="0.70866141732283472" right="0.70866141732283472" top="0.74803149606299213" bottom="0.74803149606299213" header="0.31496062992125984" footer="0.31496062992125984"/>
  <pageSetup paperSize="9" scale="59" orientation="portrait" r:id="rId1"/>
  <drawing r:id="rId2"/>
</worksheet>
</file>

<file path=xl/worksheets/sheet10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tabColor theme="9" tint="0.39997558519241921"/>
    <pageSetUpPr fitToPage="1"/>
  </sheetPr>
  <dimension ref="A1:H6"/>
  <sheetViews>
    <sheetView showGridLines="0" zoomScale="130" zoomScaleNormal="130" workbookViewId="0">
      <pane ySplit="2" topLeftCell="A3" activePane="bottomLeft" state="frozen"/>
      <selection pane="bottomLeft" sqref="A1:C1"/>
    </sheetView>
  </sheetViews>
  <sheetFormatPr defaultRowHeight="14.4" x14ac:dyDescent="0.3"/>
  <sheetData>
    <row r="1" spans="1:8" ht="15.6" x14ac:dyDescent="0.3">
      <c r="A1" s="1030" t="s">
        <v>515</v>
      </c>
      <c r="B1" s="1030"/>
      <c r="C1" s="1030"/>
    </row>
    <row r="2" spans="1:8" ht="15.6" x14ac:dyDescent="0.3">
      <c r="A2" s="498" t="s">
        <v>202</v>
      </c>
      <c r="B2" s="440"/>
      <c r="C2" s="440"/>
    </row>
    <row r="4" spans="1:8" ht="15.6" x14ac:dyDescent="0.3">
      <c r="A4" s="1031" t="s">
        <v>786</v>
      </c>
      <c r="B4" s="1031"/>
      <c r="C4" s="1031"/>
      <c r="D4" s="1031"/>
      <c r="E4" s="1031"/>
      <c r="F4" s="1031"/>
      <c r="G4" s="1031"/>
      <c r="H4" s="1031"/>
    </row>
    <row r="5" spans="1:8" x14ac:dyDescent="0.3">
      <c r="A5" s="560" t="s">
        <v>454</v>
      </c>
    </row>
    <row r="6" spans="1:8" x14ac:dyDescent="0.3">
      <c r="A6" s="560" t="s">
        <v>117</v>
      </c>
    </row>
  </sheetData>
  <sheetProtection algorithmName="SHA-512" hashValue="XIRaBRQC5wLKOes6r+MJUL7HahNVB+8Wpg1r6WB8YLpfgKmuMv6jBP6hzYiQ831hLLkr/mBPbJVfkjwX06BKVA==" saltValue="3T1zQWyaTebzYonmigM+OA==" spinCount="100000" sheet="1" scenarios="1" formatCells="0" sort="0" autoFilter="0" pivotTables="0"/>
  <mergeCells count="2">
    <mergeCell ref="A1:C1"/>
    <mergeCell ref="A4:H4"/>
  </mergeCells>
  <hyperlinks>
    <hyperlink ref="A2" location="'Table of Contents'!A1" display="Back to Table of Contents" xr:uid="{00000000-0004-0000-7700-000000000000}"/>
  </hyperlinks>
  <pageMargins left="0.70866141732283472" right="0.70866141732283472" top="0.74803149606299213" bottom="0.74803149606299213" header="0.31496062992125984" footer="0.31496062992125984"/>
  <pageSetup paperSize="9" scale="63" orientation="portrait" r:id="rId1"/>
  <drawing r:id="rId2"/>
</worksheet>
</file>

<file path=xl/worksheets/sheet1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tabColor theme="9" tint="0.39997558519241921"/>
  </sheetPr>
  <dimension ref="A1:H6"/>
  <sheetViews>
    <sheetView showGridLines="0" workbookViewId="0">
      <selection sqref="A1:C1"/>
    </sheetView>
  </sheetViews>
  <sheetFormatPr defaultRowHeight="14.4" x14ac:dyDescent="0.3"/>
  <sheetData>
    <row r="1" spans="1:8" ht="15.6" x14ac:dyDescent="0.3">
      <c r="A1" s="1030" t="s">
        <v>515</v>
      </c>
      <c r="B1" s="1030"/>
      <c r="C1" s="1030"/>
    </row>
    <row r="2" spans="1:8" ht="15.6" x14ac:dyDescent="0.3">
      <c r="A2" s="498" t="s">
        <v>202</v>
      </c>
      <c r="B2" s="440"/>
      <c r="C2" s="440"/>
    </row>
    <row r="4" spans="1:8" ht="15.6" x14ac:dyDescent="0.3">
      <c r="A4" s="1031" t="s">
        <v>799</v>
      </c>
      <c r="B4" s="1031"/>
      <c r="C4" s="1031"/>
      <c r="D4" s="1031"/>
      <c r="E4" s="1031"/>
      <c r="F4" s="1031"/>
      <c r="G4" s="1031"/>
      <c r="H4" s="1031"/>
    </row>
    <row r="5" spans="1:8" x14ac:dyDescent="0.3">
      <c r="A5" s="560" t="s">
        <v>454</v>
      </c>
    </row>
    <row r="6" spans="1:8" x14ac:dyDescent="0.3">
      <c r="A6" s="560" t="s">
        <v>118</v>
      </c>
    </row>
  </sheetData>
  <sheetProtection algorithmName="SHA-512" hashValue="GuU877l79y+d6G6k5xQHCmXUWhf01XiJV3CTSn9l86CrU42hVDnnx1/Pk0Nt5Xy1tjwHFh0SbuZSCA2OGAhmpA==" saltValue="Smv9Qa9inYaIHg21vNobKA==" spinCount="100000" sheet="1" scenarios="1" formatCells="0" sort="0" autoFilter="0" pivotTables="0"/>
  <mergeCells count="2">
    <mergeCell ref="A1:C1"/>
    <mergeCell ref="A4:H4"/>
  </mergeCells>
  <hyperlinks>
    <hyperlink ref="A2" location="'Table of Contents'!A1" display="Back to Table of Contents" xr:uid="{00000000-0004-0000-7800-000000000000}"/>
  </hyperlinks>
  <pageMargins left="0.7" right="0.7" top="0.75" bottom="0.75" header="0.3" footer="0.3"/>
  <drawing r:id="rId1"/>
</worksheet>
</file>

<file path=xl/worksheets/sheet1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ADA3B5E-539E-402B-9820-BD3DB7621FC3}">
  <dimension ref="B4:F65"/>
  <sheetViews>
    <sheetView topLeftCell="A42" zoomScale="80" zoomScaleNormal="80" workbookViewId="0">
      <selection activeCell="C58" sqref="C58"/>
    </sheetView>
  </sheetViews>
  <sheetFormatPr defaultRowHeight="14.4" x14ac:dyDescent="0.3"/>
  <cols>
    <col min="2" max="2" width="17.109375" bestFit="1" customWidth="1"/>
    <col min="3" max="3" width="38.88671875" bestFit="1" customWidth="1"/>
    <col min="4" max="4" width="19.6640625" bestFit="1" customWidth="1"/>
    <col min="5" max="5" width="21.109375" bestFit="1" customWidth="1"/>
    <col min="6" max="6" width="11.88671875" bestFit="1" customWidth="1"/>
  </cols>
  <sheetData>
    <row r="4" spans="2:6" x14ac:dyDescent="0.3">
      <c r="B4" s="386" t="s">
        <v>350</v>
      </c>
      <c r="C4" t="s">
        <v>866</v>
      </c>
      <c r="D4" t="s">
        <v>867</v>
      </c>
      <c r="E4" t="s">
        <v>868</v>
      </c>
      <c r="F4" t="s">
        <v>356</v>
      </c>
    </row>
    <row r="5" spans="2:6" x14ac:dyDescent="0.3">
      <c r="B5" s="387" t="s">
        <v>484</v>
      </c>
      <c r="C5">
        <v>157</v>
      </c>
      <c r="D5">
        <v>201</v>
      </c>
      <c r="E5">
        <v>249</v>
      </c>
      <c r="F5">
        <v>607</v>
      </c>
    </row>
    <row r="6" spans="2:6" x14ac:dyDescent="0.3">
      <c r="B6" s="388" t="s">
        <v>341</v>
      </c>
      <c r="C6">
        <v>18</v>
      </c>
      <c r="D6">
        <v>21</v>
      </c>
      <c r="E6">
        <v>38</v>
      </c>
      <c r="F6">
        <v>77</v>
      </c>
    </row>
    <row r="7" spans="2:6" x14ac:dyDescent="0.3">
      <c r="B7" s="388" t="s">
        <v>342</v>
      </c>
      <c r="C7">
        <v>11</v>
      </c>
      <c r="D7">
        <v>12</v>
      </c>
      <c r="E7">
        <v>30</v>
      </c>
      <c r="F7">
        <v>53</v>
      </c>
    </row>
    <row r="8" spans="2:6" x14ac:dyDescent="0.3">
      <c r="B8" s="388" t="s">
        <v>213</v>
      </c>
      <c r="C8">
        <v>11</v>
      </c>
      <c r="D8">
        <v>15</v>
      </c>
      <c r="E8">
        <v>46</v>
      </c>
      <c r="F8">
        <v>72</v>
      </c>
    </row>
    <row r="9" spans="2:6" x14ac:dyDescent="0.3">
      <c r="B9" s="388" t="s">
        <v>312</v>
      </c>
      <c r="C9">
        <v>10</v>
      </c>
      <c r="D9">
        <v>9</v>
      </c>
      <c r="E9">
        <v>34</v>
      </c>
      <c r="F9">
        <v>53</v>
      </c>
    </row>
    <row r="10" spans="2:6" x14ac:dyDescent="0.3">
      <c r="B10" s="388" t="s">
        <v>318</v>
      </c>
      <c r="C10">
        <v>19</v>
      </c>
      <c r="D10">
        <v>25</v>
      </c>
      <c r="E10">
        <v>19</v>
      </c>
      <c r="F10">
        <v>63</v>
      </c>
    </row>
    <row r="11" spans="2:6" x14ac:dyDescent="0.3">
      <c r="B11" s="388" t="s">
        <v>320</v>
      </c>
      <c r="C11">
        <v>14</v>
      </c>
      <c r="D11">
        <v>34</v>
      </c>
      <c r="E11">
        <v>18</v>
      </c>
      <c r="F11">
        <v>66</v>
      </c>
    </row>
    <row r="12" spans="2:6" x14ac:dyDescent="0.3">
      <c r="B12" s="388" t="s">
        <v>325</v>
      </c>
      <c r="C12">
        <v>22</v>
      </c>
      <c r="D12">
        <v>32</v>
      </c>
      <c r="E12">
        <v>16</v>
      </c>
      <c r="F12">
        <v>70</v>
      </c>
    </row>
    <row r="13" spans="2:6" x14ac:dyDescent="0.3">
      <c r="B13" s="388" t="s">
        <v>326</v>
      </c>
      <c r="C13">
        <v>25</v>
      </c>
      <c r="D13">
        <v>13</v>
      </c>
      <c r="E13">
        <v>13</v>
      </c>
      <c r="F13">
        <v>51</v>
      </c>
    </row>
    <row r="14" spans="2:6" x14ac:dyDescent="0.3">
      <c r="B14" s="388" t="s">
        <v>328</v>
      </c>
      <c r="C14">
        <v>18</v>
      </c>
      <c r="D14">
        <v>12</v>
      </c>
      <c r="E14">
        <v>21</v>
      </c>
      <c r="F14">
        <v>51</v>
      </c>
    </row>
    <row r="15" spans="2:6" x14ac:dyDescent="0.3">
      <c r="B15" s="388" t="s">
        <v>412</v>
      </c>
      <c r="C15">
        <v>9</v>
      </c>
      <c r="D15">
        <v>28</v>
      </c>
      <c r="E15">
        <v>14</v>
      </c>
      <c r="F15">
        <v>51</v>
      </c>
    </row>
    <row r="16" spans="2:6" x14ac:dyDescent="0.3">
      <c r="B16" s="387" t="s">
        <v>357</v>
      </c>
      <c r="C16">
        <v>157</v>
      </c>
      <c r="D16">
        <v>201</v>
      </c>
      <c r="E16">
        <v>249</v>
      </c>
      <c r="F16">
        <v>607</v>
      </c>
    </row>
    <row r="20" spans="2:6" x14ac:dyDescent="0.3">
      <c r="B20" s="386" t="s">
        <v>350</v>
      </c>
      <c r="C20" t="s">
        <v>866</v>
      </c>
      <c r="D20" t="s">
        <v>867</v>
      </c>
      <c r="E20" t="s">
        <v>868</v>
      </c>
      <c r="F20" t="s">
        <v>356</v>
      </c>
    </row>
    <row r="21" spans="2:6" x14ac:dyDescent="0.3">
      <c r="B21" s="387" t="s">
        <v>485</v>
      </c>
      <c r="C21">
        <v>30</v>
      </c>
      <c r="D21">
        <v>53</v>
      </c>
      <c r="E21">
        <v>14</v>
      </c>
      <c r="F21">
        <v>97</v>
      </c>
    </row>
    <row r="22" spans="2:6" x14ac:dyDescent="0.3">
      <c r="B22" s="388" t="s">
        <v>341</v>
      </c>
      <c r="C22">
        <v>2</v>
      </c>
      <c r="D22">
        <v>3</v>
      </c>
      <c r="E22">
        <v>0</v>
      </c>
      <c r="F22">
        <v>5</v>
      </c>
    </row>
    <row r="23" spans="2:6" x14ac:dyDescent="0.3">
      <c r="B23" s="388" t="s">
        <v>342</v>
      </c>
      <c r="C23">
        <v>2</v>
      </c>
      <c r="D23">
        <v>3</v>
      </c>
      <c r="E23">
        <v>3</v>
      </c>
      <c r="F23">
        <v>8</v>
      </c>
    </row>
    <row r="24" spans="2:6" x14ac:dyDescent="0.3">
      <c r="B24" s="388" t="s">
        <v>213</v>
      </c>
      <c r="C24">
        <v>1</v>
      </c>
      <c r="D24">
        <v>6</v>
      </c>
      <c r="E24">
        <v>4</v>
      </c>
      <c r="F24">
        <v>11</v>
      </c>
    </row>
    <row r="25" spans="2:6" x14ac:dyDescent="0.3">
      <c r="B25" s="388" t="s">
        <v>312</v>
      </c>
      <c r="C25">
        <v>1</v>
      </c>
      <c r="D25">
        <v>1</v>
      </c>
      <c r="E25">
        <v>1</v>
      </c>
      <c r="F25">
        <v>3</v>
      </c>
    </row>
    <row r="26" spans="2:6" x14ac:dyDescent="0.3">
      <c r="B26" s="388" t="s">
        <v>318</v>
      </c>
      <c r="C26">
        <v>0</v>
      </c>
      <c r="D26">
        <v>5</v>
      </c>
      <c r="E26">
        <v>1</v>
      </c>
      <c r="F26">
        <v>6</v>
      </c>
    </row>
    <row r="27" spans="2:6" x14ac:dyDescent="0.3">
      <c r="B27" s="388" t="s">
        <v>320</v>
      </c>
      <c r="C27">
        <v>6</v>
      </c>
      <c r="D27">
        <v>3</v>
      </c>
      <c r="E27">
        <v>0</v>
      </c>
      <c r="F27">
        <v>9</v>
      </c>
    </row>
    <row r="28" spans="2:6" x14ac:dyDescent="0.3">
      <c r="B28" s="388" t="s">
        <v>325</v>
      </c>
      <c r="C28">
        <v>2</v>
      </c>
      <c r="D28">
        <v>9</v>
      </c>
      <c r="E28">
        <v>1</v>
      </c>
      <c r="F28">
        <v>12</v>
      </c>
    </row>
    <row r="29" spans="2:6" x14ac:dyDescent="0.3">
      <c r="B29" s="388" t="s">
        <v>326</v>
      </c>
      <c r="C29">
        <v>4</v>
      </c>
      <c r="D29">
        <v>3</v>
      </c>
      <c r="E29">
        <v>2</v>
      </c>
      <c r="F29">
        <v>9</v>
      </c>
    </row>
    <row r="30" spans="2:6" x14ac:dyDescent="0.3">
      <c r="B30" s="388" t="s">
        <v>328</v>
      </c>
      <c r="C30">
        <v>1</v>
      </c>
      <c r="D30">
        <v>7</v>
      </c>
      <c r="E30">
        <v>0</v>
      </c>
      <c r="F30">
        <v>8</v>
      </c>
    </row>
    <row r="31" spans="2:6" x14ac:dyDescent="0.3">
      <c r="B31" s="388" t="s">
        <v>412</v>
      </c>
      <c r="C31">
        <v>11</v>
      </c>
      <c r="D31">
        <v>13</v>
      </c>
      <c r="E31">
        <v>2</v>
      </c>
      <c r="F31">
        <v>26</v>
      </c>
    </row>
    <row r="32" spans="2:6" x14ac:dyDescent="0.3">
      <c r="B32" s="387" t="s">
        <v>357</v>
      </c>
      <c r="C32">
        <v>30</v>
      </c>
      <c r="D32">
        <v>53</v>
      </c>
      <c r="E32">
        <v>14</v>
      </c>
      <c r="F32">
        <v>97</v>
      </c>
    </row>
    <row r="36" spans="2:6" x14ac:dyDescent="0.3">
      <c r="B36" s="386" t="s">
        <v>350</v>
      </c>
      <c r="C36" t="s">
        <v>866</v>
      </c>
      <c r="D36" t="s">
        <v>867</v>
      </c>
      <c r="E36" t="s">
        <v>868</v>
      </c>
      <c r="F36" t="s">
        <v>356</v>
      </c>
    </row>
    <row r="37" spans="2:6" x14ac:dyDescent="0.3">
      <c r="B37" s="387" t="s">
        <v>484</v>
      </c>
      <c r="C37">
        <v>2</v>
      </c>
      <c r="D37">
        <v>1</v>
      </c>
      <c r="E37">
        <v>17</v>
      </c>
      <c r="F37">
        <v>20</v>
      </c>
    </row>
    <row r="38" spans="2:6" x14ac:dyDescent="0.3">
      <c r="B38" s="388" t="s">
        <v>341</v>
      </c>
      <c r="C38">
        <v>1</v>
      </c>
      <c r="D38">
        <v>0</v>
      </c>
      <c r="E38">
        <v>4</v>
      </c>
      <c r="F38">
        <v>5</v>
      </c>
    </row>
    <row r="39" spans="2:6" x14ac:dyDescent="0.3">
      <c r="B39" s="388" t="s">
        <v>342</v>
      </c>
      <c r="C39">
        <v>0</v>
      </c>
      <c r="D39">
        <v>0</v>
      </c>
      <c r="E39">
        <v>7</v>
      </c>
      <c r="F39">
        <v>7</v>
      </c>
    </row>
    <row r="40" spans="2:6" x14ac:dyDescent="0.3">
      <c r="B40" s="388" t="s">
        <v>213</v>
      </c>
      <c r="C40">
        <v>0</v>
      </c>
      <c r="D40">
        <v>0</v>
      </c>
      <c r="E40">
        <v>1</v>
      </c>
      <c r="F40">
        <v>1</v>
      </c>
    </row>
    <row r="41" spans="2:6" x14ac:dyDescent="0.3">
      <c r="B41" s="388" t="s">
        <v>312</v>
      </c>
      <c r="C41">
        <v>0</v>
      </c>
      <c r="D41">
        <v>0</v>
      </c>
      <c r="E41">
        <v>2</v>
      </c>
      <c r="F41">
        <v>2</v>
      </c>
    </row>
    <row r="42" spans="2:6" x14ac:dyDescent="0.3">
      <c r="B42" s="388" t="s">
        <v>318</v>
      </c>
      <c r="C42">
        <v>0</v>
      </c>
      <c r="D42">
        <v>0</v>
      </c>
      <c r="E42">
        <v>1</v>
      </c>
      <c r="F42">
        <v>1</v>
      </c>
    </row>
    <row r="43" spans="2:6" x14ac:dyDescent="0.3">
      <c r="B43" s="388" t="s">
        <v>320</v>
      </c>
      <c r="C43">
        <v>1</v>
      </c>
      <c r="D43">
        <v>0</v>
      </c>
      <c r="E43">
        <v>0</v>
      </c>
      <c r="F43">
        <v>1</v>
      </c>
    </row>
    <row r="44" spans="2:6" x14ac:dyDescent="0.3">
      <c r="B44" s="388" t="s">
        <v>325</v>
      </c>
      <c r="C44">
        <v>0</v>
      </c>
      <c r="D44">
        <v>0</v>
      </c>
      <c r="E44">
        <v>0</v>
      </c>
      <c r="F44">
        <v>0</v>
      </c>
    </row>
    <row r="45" spans="2:6" x14ac:dyDescent="0.3">
      <c r="B45" s="388" t="s">
        <v>326</v>
      </c>
      <c r="C45">
        <v>0</v>
      </c>
      <c r="D45">
        <v>1</v>
      </c>
      <c r="E45">
        <v>0</v>
      </c>
      <c r="F45">
        <v>1</v>
      </c>
    </row>
    <row r="46" spans="2:6" x14ac:dyDescent="0.3">
      <c r="B46" s="388" t="s">
        <v>328</v>
      </c>
      <c r="C46">
        <v>0</v>
      </c>
      <c r="D46">
        <v>0</v>
      </c>
      <c r="E46">
        <v>1</v>
      </c>
      <c r="F46">
        <v>1</v>
      </c>
    </row>
    <row r="47" spans="2:6" x14ac:dyDescent="0.3">
      <c r="B47" s="388" t="s">
        <v>412</v>
      </c>
      <c r="C47">
        <v>0</v>
      </c>
      <c r="D47">
        <v>0</v>
      </c>
      <c r="E47">
        <v>1</v>
      </c>
      <c r="F47">
        <v>1</v>
      </c>
    </row>
    <row r="48" spans="2:6" x14ac:dyDescent="0.3">
      <c r="B48" s="387" t="s">
        <v>357</v>
      </c>
      <c r="C48">
        <v>2</v>
      </c>
      <c r="D48">
        <v>1</v>
      </c>
      <c r="E48">
        <v>17</v>
      </c>
      <c r="F48">
        <v>20</v>
      </c>
    </row>
    <row r="53" spans="2:6" x14ac:dyDescent="0.3">
      <c r="B53" s="386" t="s">
        <v>350</v>
      </c>
      <c r="C53" t="s">
        <v>866</v>
      </c>
      <c r="D53" t="s">
        <v>867</v>
      </c>
      <c r="E53" t="s">
        <v>868</v>
      </c>
      <c r="F53" t="s">
        <v>356</v>
      </c>
    </row>
    <row r="54" spans="2:6" x14ac:dyDescent="0.3">
      <c r="B54" s="387" t="s">
        <v>485</v>
      </c>
      <c r="C54">
        <v>0</v>
      </c>
      <c r="D54">
        <v>0</v>
      </c>
      <c r="E54">
        <v>3</v>
      </c>
      <c r="F54">
        <v>3</v>
      </c>
    </row>
    <row r="55" spans="2:6" x14ac:dyDescent="0.3">
      <c r="B55" s="388" t="s">
        <v>341</v>
      </c>
      <c r="C55">
        <v>0</v>
      </c>
      <c r="D55">
        <v>0</v>
      </c>
      <c r="E55">
        <v>0</v>
      </c>
      <c r="F55">
        <v>0</v>
      </c>
    </row>
    <row r="56" spans="2:6" x14ac:dyDescent="0.3">
      <c r="B56" s="388" t="s">
        <v>342</v>
      </c>
      <c r="C56">
        <v>0</v>
      </c>
      <c r="D56">
        <v>0</v>
      </c>
      <c r="E56">
        <v>0</v>
      </c>
      <c r="F56">
        <v>0</v>
      </c>
    </row>
    <row r="57" spans="2:6" x14ac:dyDescent="0.3">
      <c r="B57" s="388" t="s">
        <v>213</v>
      </c>
      <c r="C57">
        <v>0</v>
      </c>
      <c r="D57">
        <v>0</v>
      </c>
      <c r="E57">
        <v>2</v>
      </c>
      <c r="F57">
        <v>2</v>
      </c>
    </row>
    <row r="58" spans="2:6" x14ac:dyDescent="0.3">
      <c r="B58" s="388" t="s">
        <v>312</v>
      </c>
      <c r="C58">
        <v>0</v>
      </c>
      <c r="D58">
        <v>0</v>
      </c>
      <c r="E58">
        <v>0</v>
      </c>
      <c r="F58">
        <v>0</v>
      </c>
    </row>
    <row r="59" spans="2:6" x14ac:dyDescent="0.3">
      <c r="B59" s="388" t="s">
        <v>318</v>
      </c>
      <c r="C59">
        <v>0</v>
      </c>
      <c r="D59">
        <v>0</v>
      </c>
      <c r="E59">
        <v>0</v>
      </c>
      <c r="F59">
        <v>0</v>
      </c>
    </row>
    <row r="60" spans="2:6" x14ac:dyDescent="0.3">
      <c r="B60" s="388" t="s">
        <v>320</v>
      </c>
      <c r="C60">
        <v>0</v>
      </c>
      <c r="D60">
        <v>0</v>
      </c>
      <c r="E60">
        <v>0</v>
      </c>
      <c r="F60">
        <v>0</v>
      </c>
    </row>
    <row r="61" spans="2:6" x14ac:dyDescent="0.3">
      <c r="B61" s="388" t="s">
        <v>325</v>
      </c>
      <c r="C61">
        <v>0</v>
      </c>
      <c r="D61">
        <v>0</v>
      </c>
      <c r="E61">
        <v>0</v>
      </c>
      <c r="F61">
        <v>0</v>
      </c>
    </row>
    <row r="62" spans="2:6" x14ac:dyDescent="0.3">
      <c r="B62" s="388" t="s">
        <v>326</v>
      </c>
      <c r="C62">
        <v>0</v>
      </c>
      <c r="D62">
        <v>0</v>
      </c>
      <c r="E62">
        <v>1</v>
      </c>
      <c r="F62">
        <v>1</v>
      </c>
    </row>
    <row r="63" spans="2:6" x14ac:dyDescent="0.3">
      <c r="B63" s="388" t="s">
        <v>328</v>
      </c>
      <c r="C63">
        <v>0</v>
      </c>
      <c r="D63">
        <v>0</v>
      </c>
      <c r="E63">
        <v>0</v>
      </c>
      <c r="F63">
        <v>0</v>
      </c>
    </row>
    <row r="64" spans="2:6" x14ac:dyDescent="0.3">
      <c r="B64" s="388" t="s">
        <v>412</v>
      </c>
      <c r="C64">
        <v>0</v>
      </c>
      <c r="D64">
        <v>0</v>
      </c>
      <c r="E64">
        <v>0</v>
      </c>
      <c r="F64">
        <v>0</v>
      </c>
    </row>
    <row r="65" spans="2:6" x14ac:dyDescent="0.3">
      <c r="B65" s="387" t="s">
        <v>357</v>
      </c>
      <c r="C65">
        <v>0</v>
      </c>
      <c r="D65">
        <v>0</v>
      </c>
      <c r="E65">
        <v>3</v>
      </c>
      <c r="F65">
        <v>3</v>
      </c>
    </row>
  </sheetData>
  <pageMargins left="0.7" right="0.7" top="0.75" bottom="0.75" header="0.3" footer="0.3"/>
</worksheet>
</file>

<file path=xl/worksheets/sheet1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CD4CE7-A4E7-4FBE-98B1-8EBB58D6571D}">
  <dimension ref="A1:F55"/>
  <sheetViews>
    <sheetView topLeftCell="A38" workbookViewId="0">
      <selection activeCell="F46" sqref="F46:F55"/>
    </sheetView>
  </sheetViews>
  <sheetFormatPr defaultRowHeight="14.4" x14ac:dyDescent="0.3"/>
  <cols>
    <col min="1" max="1" width="14.88671875" bestFit="1" customWidth="1"/>
    <col min="2" max="2" width="9.33203125" bestFit="1" customWidth="1"/>
    <col min="3" max="3" width="33.33203125" bestFit="1" customWidth="1"/>
    <col min="4" max="4" width="14.88671875" bestFit="1" customWidth="1"/>
    <col min="5" max="5" width="16.109375" bestFit="1" customWidth="1"/>
    <col min="6" max="6" width="7.44140625" bestFit="1" customWidth="1"/>
  </cols>
  <sheetData>
    <row r="1" spans="1:6" x14ac:dyDescent="0.3">
      <c r="A1" t="s">
        <v>869</v>
      </c>
      <c r="B1" t="s">
        <v>870</v>
      </c>
      <c r="C1" t="s">
        <v>871</v>
      </c>
      <c r="D1" t="s">
        <v>872</v>
      </c>
      <c r="E1" t="s">
        <v>873</v>
      </c>
      <c r="F1" t="s">
        <v>340</v>
      </c>
    </row>
    <row r="2" spans="1:6" x14ac:dyDescent="0.3">
      <c r="A2" t="s">
        <v>484</v>
      </c>
      <c r="B2" t="s">
        <v>341</v>
      </c>
      <c r="C2">
        <v>18</v>
      </c>
      <c r="D2">
        <v>21</v>
      </c>
      <c r="E2">
        <v>38</v>
      </c>
      <c r="F2">
        <v>77</v>
      </c>
    </row>
    <row r="3" spans="1:6" x14ac:dyDescent="0.3">
      <c r="A3" t="s">
        <v>484</v>
      </c>
      <c r="B3" t="s">
        <v>342</v>
      </c>
      <c r="C3">
        <v>11</v>
      </c>
      <c r="D3">
        <v>12</v>
      </c>
      <c r="E3">
        <v>30</v>
      </c>
      <c r="F3">
        <v>53</v>
      </c>
    </row>
    <row r="4" spans="1:6" x14ac:dyDescent="0.3">
      <c r="A4" t="s">
        <v>484</v>
      </c>
      <c r="B4" t="s">
        <v>213</v>
      </c>
      <c r="C4">
        <v>11</v>
      </c>
      <c r="D4">
        <v>15</v>
      </c>
      <c r="E4">
        <v>46</v>
      </c>
      <c r="F4">
        <v>72</v>
      </c>
    </row>
    <row r="5" spans="1:6" x14ac:dyDescent="0.3">
      <c r="A5" t="s">
        <v>484</v>
      </c>
      <c r="B5" t="s">
        <v>312</v>
      </c>
      <c r="C5">
        <v>10</v>
      </c>
      <c r="D5">
        <v>9</v>
      </c>
      <c r="E5">
        <v>34</v>
      </c>
      <c r="F5">
        <v>53</v>
      </c>
    </row>
    <row r="6" spans="1:6" x14ac:dyDescent="0.3">
      <c r="A6" t="s">
        <v>484</v>
      </c>
      <c r="B6" t="s">
        <v>318</v>
      </c>
      <c r="C6">
        <v>19</v>
      </c>
      <c r="D6">
        <v>25</v>
      </c>
      <c r="E6">
        <v>19</v>
      </c>
      <c r="F6">
        <v>63</v>
      </c>
    </row>
    <row r="7" spans="1:6" x14ac:dyDescent="0.3">
      <c r="A7" t="s">
        <v>484</v>
      </c>
      <c r="B7" t="s">
        <v>320</v>
      </c>
      <c r="C7">
        <v>14</v>
      </c>
      <c r="D7">
        <v>34</v>
      </c>
      <c r="E7">
        <v>18</v>
      </c>
      <c r="F7">
        <v>66</v>
      </c>
    </row>
    <row r="8" spans="1:6" x14ac:dyDescent="0.3">
      <c r="A8" t="s">
        <v>484</v>
      </c>
      <c r="B8" t="s">
        <v>325</v>
      </c>
      <c r="C8">
        <v>22</v>
      </c>
      <c r="D8">
        <v>32</v>
      </c>
      <c r="E8">
        <v>16</v>
      </c>
      <c r="F8">
        <v>70</v>
      </c>
    </row>
    <row r="9" spans="1:6" x14ac:dyDescent="0.3">
      <c r="A9" t="s">
        <v>484</v>
      </c>
      <c r="B9" t="s">
        <v>326</v>
      </c>
      <c r="C9">
        <v>25</v>
      </c>
      <c r="D9">
        <v>13</v>
      </c>
      <c r="E9">
        <v>13</v>
      </c>
      <c r="F9">
        <v>51</v>
      </c>
    </row>
    <row r="10" spans="1:6" x14ac:dyDescent="0.3">
      <c r="A10" t="s">
        <v>484</v>
      </c>
      <c r="B10" t="s">
        <v>328</v>
      </c>
      <c r="C10">
        <v>18</v>
      </c>
      <c r="D10">
        <v>12</v>
      </c>
      <c r="E10">
        <v>21</v>
      </c>
      <c r="F10">
        <v>51</v>
      </c>
    </row>
    <row r="11" spans="1:6" x14ac:dyDescent="0.3">
      <c r="A11" t="s">
        <v>484</v>
      </c>
      <c r="B11" t="s">
        <v>412</v>
      </c>
      <c r="C11">
        <v>9</v>
      </c>
      <c r="D11">
        <v>28</v>
      </c>
      <c r="E11">
        <v>14</v>
      </c>
      <c r="F11">
        <v>51</v>
      </c>
    </row>
    <row r="15" spans="1:6" x14ac:dyDescent="0.3">
      <c r="A15" t="s">
        <v>869</v>
      </c>
      <c r="B15" t="s">
        <v>870</v>
      </c>
      <c r="C15" t="s">
        <v>871</v>
      </c>
      <c r="D15" t="s">
        <v>872</v>
      </c>
      <c r="E15" t="s">
        <v>873</v>
      </c>
      <c r="F15" t="s">
        <v>340</v>
      </c>
    </row>
    <row r="16" spans="1:6" x14ac:dyDescent="0.3">
      <c r="A16" t="s">
        <v>485</v>
      </c>
      <c r="B16" t="s">
        <v>341</v>
      </c>
      <c r="C16">
        <v>2</v>
      </c>
      <c r="D16">
        <v>3</v>
      </c>
      <c r="E16">
        <v>0</v>
      </c>
      <c r="F16">
        <v>5</v>
      </c>
    </row>
    <row r="17" spans="1:6" x14ac:dyDescent="0.3">
      <c r="A17" t="s">
        <v>485</v>
      </c>
      <c r="B17" t="s">
        <v>342</v>
      </c>
      <c r="C17">
        <v>2</v>
      </c>
      <c r="D17">
        <v>3</v>
      </c>
      <c r="E17">
        <v>3</v>
      </c>
      <c r="F17">
        <v>8</v>
      </c>
    </row>
    <row r="18" spans="1:6" x14ac:dyDescent="0.3">
      <c r="A18" t="s">
        <v>485</v>
      </c>
      <c r="B18" t="s">
        <v>213</v>
      </c>
      <c r="C18">
        <v>1</v>
      </c>
      <c r="D18">
        <v>6</v>
      </c>
      <c r="E18">
        <v>4</v>
      </c>
      <c r="F18">
        <v>11</v>
      </c>
    </row>
    <row r="19" spans="1:6" x14ac:dyDescent="0.3">
      <c r="A19" t="s">
        <v>485</v>
      </c>
      <c r="B19" t="s">
        <v>312</v>
      </c>
      <c r="C19">
        <v>1</v>
      </c>
      <c r="D19">
        <v>1</v>
      </c>
      <c r="E19">
        <v>1</v>
      </c>
      <c r="F19">
        <v>3</v>
      </c>
    </row>
    <row r="20" spans="1:6" x14ac:dyDescent="0.3">
      <c r="A20" t="s">
        <v>485</v>
      </c>
      <c r="B20" t="s">
        <v>318</v>
      </c>
      <c r="C20">
        <v>0</v>
      </c>
      <c r="D20">
        <v>5</v>
      </c>
      <c r="E20">
        <v>1</v>
      </c>
      <c r="F20">
        <v>6</v>
      </c>
    </row>
    <row r="21" spans="1:6" x14ac:dyDescent="0.3">
      <c r="A21" t="s">
        <v>485</v>
      </c>
      <c r="B21" t="s">
        <v>320</v>
      </c>
      <c r="C21">
        <v>6</v>
      </c>
      <c r="D21">
        <v>3</v>
      </c>
      <c r="E21">
        <v>0</v>
      </c>
      <c r="F21">
        <v>9</v>
      </c>
    </row>
    <row r="22" spans="1:6" x14ac:dyDescent="0.3">
      <c r="A22" t="s">
        <v>485</v>
      </c>
      <c r="B22" t="s">
        <v>325</v>
      </c>
      <c r="C22">
        <v>2</v>
      </c>
      <c r="D22">
        <v>9</v>
      </c>
      <c r="E22">
        <v>1</v>
      </c>
      <c r="F22">
        <v>12</v>
      </c>
    </row>
    <row r="23" spans="1:6" x14ac:dyDescent="0.3">
      <c r="A23" t="s">
        <v>485</v>
      </c>
      <c r="B23" t="s">
        <v>326</v>
      </c>
      <c r="C23">
        <v>4</v>
      </c>
      <c r="D23">
        <v>3</v>
      </c>
      <c r="E23">
        <v>2</v>
      </c>
      <c r="F23">
        <v>9</v>
      </c>
    </row>
    <row r="24" spans="1:6" x14ac:dyDescent="0.3">
      <c r="A24" t="s">
        <v>485</v>
      </c>
      <c r="B24" t="s">
        <v>328</v>
      </c>
      <c r="C24">
        <v>1</v>
      </c>
      <c r="D24">
        <v>7</v>
      </c>
      <c r="E24">
        <v>0</v>
      </c>
      <c r="F24">
        <v>8</v>
      </c>
    </row>
    <row r="25" spans="1:6" x14ac:dyDescent="0.3">
      <c r="A25" t="s">
        <v>485</v>
      </c>
      <c r="B25" t="s">
        <v>412</v>
      </c>
      <c r="C25">
        <v>11</v>
      </c>
      <c r="D25">
        <v>13</v>
      </c>
      <c r="E25">
        <v>2</v>
      </c>
      <c r="F25">
        <v>26</v>
      </c>
    </row>
    <row r="30" spans="1:6" x14ac:dyDescent="0.3">
      <c r="A30" t="s">
        <v>869</v>
      </c>
      <c r="B30" t="s">
        <v>870</v>
      </c>
      <c r="C30" t="s">
        <v>871</v>
      </c>
      <c r="D30" t="s">
        <v>872</v>
      </c>
      <c r="E30" t="s">
        <v>873</v>
      </c>
      <c r="F30" t="s">
        <v>340</v>
      </c>
    </row>
    <row r="31" spans="1:6" x14ac:dyDescent="0.3">
      <c r="A31" t="s">
        <v>484</v>
      </c>
      <c r="B31" t="s">
        <v>341</v>
      </c>
      <c r="C31" s="997">
        <v>1</v>
      </c>
      <c r="D31" s="997">
        <v>0</v>
      </c>
      <c r="E31" s="997">
        <v>4</v>
      </c>
      <c r="F31" s="997">
        <v>5</v>
      </c>
    </row>
    <row r="32" spans="1:6" x14ac:dyDescent="0.3">
      <c r="A32" t="s">
        <v>484</v>
      </c>
      <c r="B32" t="s">
        <v>342</v>
      </c>
      <c r="C32" s="997">
        <v>0</v>
      </c>
      <c r="D32" s="997">
        <v>0</v>
      </c>
      <c r="E32" s="997">
        <v>7</v>
      </c>
      <c r="F32" s="997">
        <v>7</v>
      </c>
    </row>
    <row r="33" spans="1:6" x14ac:dyDescent="0.3">
      <c r="A33" t="s">
        <v>484</v>
      </c>
      <c r="B33" t="s">
        <v>213</v>
      </c>
      <c r="C33" s="997">
        <v>0</v>
      </c>
      <c r="D33" s="997">
        <v>0</v>
      </c>
      <c r="E33" s="997">
        <v>1</v>
      </c>
      <c r="F33" s="997">
        <v>1</v>
      </c>
    </row>
    <row r="34" spans="1:6" x14ac:dyDescent="0.3">
      <c r="A34" t="s">
        <v>484</v>
      </c>
      <c r="B34" t="s">
        <v>312</v>
      </c>
      <c r="C34" s="997">
        <v>0</v>
      </c>
      <c r="D34" s="997">
        <v>0</v>
      </c>
      <c r="E34" s="997">
        <v>2</v>
      </c>
      <c r="F34" s="997">
        <v>2</v>
      </c>
    </row>
    <row r="35" spans="1:6" x14ac:dyDescent="0.3">
      <c r="A35" t="s">
        <v>484</v>
      </c>
      <c r="B35" t="s">
        <v>318</v>
      </c>
      <c r="C35" s="997">
        <v>0</v>
      </c>
      <c r="D35" s="997">
        <v>0</v>
      </c>
      <c r="E35" s="997">
        <v>1</v>
      </c>
      <c r="F35" s="997">
        <v>1</v>
      </c>
    </row>
    <row r="36" spans="1:6" x14ac:dyDescent="0.3">
      <c r="A36" t="s">
        <v>484</v>
      </c>
      <c r="B36" t="s">
        <v>320</v>
      </c>
      <c r="C36" s="997">
        <v>1</v>
      </c>
      <c r="D36" s="997">
        <v>0</v>
      </c>
      <c r="E36" s="997">
        <v>0</v>
      </c>
      <c r="F36" s="997">
        <v>1</v>
      </c>
    </row>
    <row r="37" spans="1:6" x14ac:dyDescent="0.3">
      <c r="A37" t="s">
        <v>484</v>
      </c>
      <c r="B37" t="s">
        <v>325</v>
      </c>
      <c r="C37" s="997">
        <v>0</v>
      </c>
      <c r="D37" s="997">
        <v>0</v>
      </c>
      <c r="E37" s="997">
        <v>0</v>
      </c>
      <c r="F37" s="997">
        <v>0</v>
      </c>
    </row>
    <row r="38" spans="1:6" x14ac:dyDescent="0.3">
      <c r="A38" t="s">
        <v>484</v>
      </c>
      <c r="B38" t="s">
        <v>326</v>
      </c>
      <c r="C38" s="997">
        <v>0</v>
      </c>
      <c r="D38" s="997">
        <v>1</v>
      </c>
      <c r="E38" s="997">
        <v>0</v>
      </c>
      <c r="F38" s="997">
        <v>1</v>
      </c>
    </row>
    <row r="39" spans="1:6" x14ac:dyDescent="0.3">
      <c r="A39" t="s">
        <v>484</v>
      </c>
      <c r="B39" t="s">
        <v>328</v>
      </c>
      <c r="C39" s="997">
        <v>0</v>
      </c>
      <c r="D39" s="997">
        <v>0</v>
      </c>
      <c r="E39" s="997">
        <v>1</v>
      </c>
      <c r="F39" s="997">
        <v>1</v>
      </c>
    </row>
    <row r="40" spans="1:6" x14ac:dyDescent="0.3">
      <c r="A40" t="s">
        <v>484</v>
      </c>
      <c r="B40" t="s">
        <v>412</v>
      </c>
      <c r="C40" s="997">
        <v>0</v>
      </c>
      <c r="D40" s="997">
        <v>0</v>
      </c>
      <c r="E40" s="997">
        <v>1</v>
      </c>
      <c r="F40" s="997">
        <v>1</v>
      </c>
    </row>
    <row r="41" spans="1:6" x14ac:dyDescent="0.3">
      <c r="C41" s="937"/>
      <c r="D41" s="937"/>
      <c r="E41" s="937"/>
      <c r="F41" s="937"/>
    </row>
    <row r="42" spans="1:6" x14ac:dyDescent="0.3">
      <c r="C42" s="937"/>
      <c r="D42" s="937"/>
      <c r="E42" s="937"/>
      <c r="F42" s="937"/>
    </row>
    <row r="43" spans="1:6" x14ac:dyDescent="0.3">
      <c r="C43" s="937"/>
      <c r="D43" s="937"/>
      <c r="E43" s="937"/>
      <c r="F43" s="937"/>
    </row>
    <row r="44" spans="1:6" x14ac:dyDescent="0.3">
      <c r="C44" s="937"/>
      <c r="D44" s="937"/>
      <c r="E44" s="937"/>
      <c r="F44" s="937"/>
    </row>
    <row r="45" spans="1:6" x14ac:dyDescent="0.3">
      <c r="A45" t="s">
        <v>869</v>
      </c>
      <c r="B45" t="s">
        <v>870</v>
      </c>
      <c r="C45" t="s">
        <v>871</v>
      </c>
      <c r="D45" t="s">
        <v>872</v>
      </c>
      <c r="E45" t="s">
        <v>873</v>
      </c>
      <c r="F45" t="s">
        <v>340</v>
      </c>
    </row>
    <row r="46" spans="1:6" x14ac:dyDescent="0.3">
      <c r="A46" t="s">
        <v>485</v>
      </c>
      <c r="B46" t="s">
        <v>341</v>
      </c>
      <c r="C46">
        <v>0</v>
      </c>
      <c r="D46">
        <v>0</v>
      </c>
      <c r="E46">
        <v>0</v>
      </c>
      <c r="F46">
        <v>0</v>
      </c>
    </row>
    <row r="47" spans="1:6" x14ac:dyDescent="0.3">
      <c r="A47" t="s">
        <v>485</v>
      </c>
      <c r="B47" t="s">
        <v>342</v>
      </c>
      <c r="C47">
        <v>0</v>
      </c>
      <c r="D47">
        <v>0</v>
      </c>
      <c r="E47">
        <v>0</v>
      </c>
      <c r="F47">
        <v>0</v>
      </c>
    </row>
    <row r="48" spans="1:6" x14ac:dyDescent="0.3">
      <c r="A48" t="s">
        <v>485</v>
      </c>
      <c r="B48" t="s">
        <v>213</v>
      </c>
      <c r="C48">
        <v>0</v>
      </c>
      <c r="D48">
        <v>0</v>
      </c>
      <c r="E48">
        <v>2</v>
      </c>
      <c r="F48">
        <v>2</v>
      </c>
    </row>
    <row r="49" spans="1:6" x14ac:dyDescent="0.3">
      <c r="A49" t="s">
        <v>485</v>
      </c>
      <c r="B49" t="s">
        <v>312</v>
      </c>
      <c r="C49">
        <v>0</v>
      </c>
      <c r="D49">
        <v>0</v>
      </c>
      <c r="E49">
        <v>0</v>
      </c>
      <c r="F49">
        <v>0</v>
      </c>
    </row>
    <row r="50" spans="1:6" x14ac:dyDescent="0.3">
      <c r="A50" t="s">
        <v>485</v>
      </c>
      <c r="B50" t="s">
        <v>318</v>
      </c>
      <c r="C50">
        <v>0</v>
      </c>
      <c r="D50">
        <v>0</v>
      </c>
      <c r="E50">
        <v>0</v>
      </c>
      <c r="F50">
        <v>0</v>
      </c>
    </row>
    <row r="51" spans="1:6" x14ac:dyDescent="0.3">
      <c r="A51" t="s">
        <v>485</v>
      </c>
      <c r="B51" t="s">
        <v>320</v>
      </c>
      <c r="C51">
        <v>0</v>
      </c>
      <c r="D51">
        <v>0</v>
      </c>
      <c r="E51">
        <v>0</v>
      </c>
      <c r="F51">
        <v>0</v>
      </c>
    </row>
    <row r="52" spans="1:6" x14ac:dyDescent="0.3">
      <c r="A52" t="s">
        <v>485</v>
      </c>
      <c r="B52" t="s">
        <v>325</v>
      </c>
      <c r="C52">
        <v>0</v>
      </c>
      <c r="D52">
        <v>0</v>
      </c>
      <c r="E52">
        <v>0</v>
      </c>
      <c r="F52">
        <v>0</v>
      </c>
    </row>
    <row r="53" spans="1:6" x14ac:dyDescent="0.3">
      <c r="A53" t="s">
        <v>485</v>
      </c>
      <c r="B53" t="s">
        <v>326</v>
      </c>
      <c r="C53">
        <v>0</v>
      </c>
      <c r="D53">
        <v>0</v>
      </c>
      <c r="E53">
        <v>1</v>
      </c>
      <c r="F53">
        <v>1</v>
      </c>
    </row>
    <row r="54" spans="1:6" x14ac:dyDescent="0.3">
      <c r="A54" t="s">
        <v>485</v>
      </c>
      <c r="B54" t="s">
        <v>328</v>
      </c>
      <c r="C54">
        <v>0</v>
      </c>
      <c r="D54">
        <v>0</v>
      </c>
      <c r="E54">
        <v>0</v>
      </c>
      <c r="F54">
        <v>0</v>
      </c>
    </row>
    <row r="55" spans="1:6" x14ac:dyDescent="0.3">
      <c r="A55" t="s">
        <v>485</v>
      </c>
      <c r="B55" t="s">
        <v>412</v>
      </c>
      <c r="C55">
        <v>0</v>
      </c>
      <c r="D55">
        <v>0</v>
      </c>
      <c r="E55">
        <v>0</v>
      </c>
      <c r="F55">
        <v>0</v>
      </c>
    </row>
  </sheetData>
  <pageMargins left="0.7" right="0.7" top="0.75" bottom="0.75" header="0.3" footer="0.3"/>
  <tableParts count="4">
    <tablePart r:id="rId1"/>
    <tablePart r:id="rId2"/>
    <tablePart r:id="rId3"/>
    <tablePart r:id="rId4"/>
  </tableParts>
</worksheet>
</file>

<file path=xl/worksheets/sheet1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Sheet25">
    <tabColor theme="5" tint="0.39997558519241921"/>
    <pageSetUpPr fitToPage="1"/>
  </sheetPr>
  <dimension ref="A1:AC84"/>
  <sheetViews>
    <sheetView showGridLines="0" zoomScaleNormal="100" workbookViewId="0">
      <pane ySplit="2" topLeftCell="A3" activePane="bottomLeft" state="frozen"/>
      <selection pane="bottomLeft"/>
    </sheetView>
  </sheetViews>
  <sheetFormatPr defaultRowHeight="15" customHeight="1" x14ac:dyDescent="0.3"/>
  <cols>
    <col min="1" max="1" width="17.5546875" customWidth="1"/>
    <col min="2" max="2" width="27.33203125" customWidth="1"/>
    <col min="3" max="3" width="10.88671875" customWidth="1"/>
    <col min="4" max="4" width="12.109375" customWidth="1"/>
    <col min="5" max="5" width="10.44140625" customWidth="1"/>
    <col min="6" max="6" width="10.88671875" customWidth="1"/>
    <col min="7" max="7" width="14.109375" customWidth="1"/>
    <col min="8" max="8" width="25.5546875" customWidth="1"/>
    <col min="9" max="9" width="16.88671875" customWidth="1"/>
    <col min="10" max="10" width="13.109375" customWidth="1"/>
    <col min="11" max="11" width="12.44140625" customWidth="1"/>
    <col min="12" max="13" width="7.44140625" bestFit="1" customWidth="1"/>
  </cols>
  <sheetData>
    <row r="1" spans="1:11" ht="15.75" customHeight="1" x14ac:dyDescent="0.3">
      <c r="A1" s="513" t="s">
        <v>874</v>
      </c>
      <c r="B1" s="513"/>
    </row>
    <row r="2" spans="1:11" ht="15.6" x14ac:dyDescent="0.3">
      <c r="A2" s="498" t="s">
        <v>202</v>
      </c>
      <c r="B2" s="440"/>
    </row>
    <row r="4" spans="1:11" ht="15.6" x14ac:dyDescent="0.3">
      <c r="A4" s="1072" t="s">
        <v>875</v>
      </c>
      <c r="B4" s="1072"/>
      <c r="C4" s="1072"/>
      <c r="D4" s="1072"/>
      <c r="E4" s="1072"/>
      <c r="F4" s="1072"/>
      <c r="G4" s="1072"/>
      <c r="H4" s="1072"/>
      <c r="I4" s="1072"/>
      <c r="J4" s="1072"/>
    </row>
    <row r="5" spans="1:11" ht="15.75" customHeight="1" x14ac:dyDescent="0.3">
      <c r="A5" t="s">
        <v>203</v>
      </c>
      <c r="B5" t="s">
        <v>121</v>
      </c>
      <c r="C5" s="499"/>
      <c r="D5" s="499"/>
      <c r="E5" s="499"/>
      <c r="F5" s="499"/>
      <c r="G5" s="499"/>
      <c r="H5" s="499"/>
      <c r="I5" s="499"/>
      <c r="J5" s="499"/>
    </row>
    <row r="6" spans="1:11" ht="15.75" customHeight="1" x14ac:dyDescent="0.3">
      <c r="A6" t="s">
        <v>204</v>
      </c>
      <c r="B6" t="s">
        <v>205</v>
      </c>
      <c r="C6" s="499"/>
      <c r="D6" s="499"/>
      <c r="E6" s="499"/>
      <c r="F6" s="499"/>
      <c r="G6" s="499"/>
      <c r="H6" s="499"/>
      <c r="I6" s="499"/>
      <c r="J6" s="499"/>
    </row>
    <row r="7" spans="1:11" ht="15.75" customHeight="1" x14ac:dyDescent="0.3">
      <c r="A7" t="s">
        <v>206</v>
      </c>
      <c r="B7" t="s">
        <v>876</v>
      </c>
      <c r="C7" s="499"/>
      <c r="D7" s="499"/>
      <c r="E7" s="499"/>
      <c r="F7" s="499"/>
      <c r="G7" s="499"/>
      <c r="H7" s="499"/>
      <c r="I7" s="499"/>
      <c r="J7" s="499"/>
    </row>
    <row r="8" spans="1:11" ht="14.4" x14ac:dyDescent="0.3">
      <c r="A8" s="338"/>
      <c r="B8" s="15"/>
      <c r="C8" s="15"/>
      <c r="D8" s="15"/>
      <c r="E8" s="15"/>
      <c r="F8" s="15"/>
      <c r="G8" s="15"/>
      <c r="H8" s="15"/>
      <c r="I8" s="15"/>
      <c r="J8" s="15"/>
    </row>
    <row r="9" spans="1:11" ht="27.75" customHeight="1" x14ac:dyDescent="0.3">
      <c r="A9" s="336" t="s">
        <v>877</v>
      </c>
      <c r="B9" s="15"/>
      <c r="C9" s="15"/>
      <c r="D9" s="15"/>
      <c r="E9" s="15"/>
      <c r="F9" s="15"/>
      <c r="G9" s="1073" t="s">
        <v>878</v>
      </c>
      <c r="H9" s="1073"/>
      <c r="I9" s="15"/>
      <c r="J9" s="15"/>
    </row>
    <row r="10" spans="1:11" ht="28.5" customHeight="1" x14ac:dyDescent="0.3">
      <c r="A10" s="692" t="s">
        <v>208</v>
      </c>
      <c r="B10" s="825" t="s">
        <v>879</v>
      </c>
      <c r="C10" s="825" t="s">
        <v>880</v>
      </c>
      <c r="D10" s="825" t="s">
        <v>881</v>
      </c>
      <c r="E10" s="826" t="s">
        <v>340</v>
      </c>
      <c r="F10" s="15"/>
      <c r="G10" s="691" t="s">
        <v>208</v>
      </c>
      <c r="H10" s="825" t="s">
        <v>879</v>
      </c>
      <c r="I10" s="825" t="s">
        <v>880</v>
      </c>
      <c r="J10" s="825" t="s">
        <v>881</v>
      </c>
      <c r="K10" s="826" t="s">
        <v>340</v>
      </c>
    </row>
    <row r="11" spans="1:11" ht="14.4" x14ac:dyDescent="0.3">
      <c r="A11" s="718" t="s">
        <v>341</v>
      </c>
      <c r="B11" s="601">
        <f>GETPIVOTDATA("Sum of Attack against property/equipment",AttacksPivot!$B$4,"Op","Operational","FinYear",$A11)</f>
        <v>18</v>
      </c>
      <c r="C11" s="601">
        <f>GETPIVOTDATA("Sum of Verbal assault",AttacksPivot!$B$4,"Op","Operational","FinYear",A11)</f>
        <v>21</v>
      </c>
      <c r="D11" s="601">
        <f>GETPIVOTDATA("Sum of Physical assault",AttacksPivot!$B$4,"Op","Operational","FinYear",A11)</f>
        <v>38</v>
      </c>
      <c r="E11" s="946">
        <f>GETPIVOTDATA("Sum of Total",AttacksPivot!$B$4,"Op","Operational","FinYear",A11)</f>
        <v>77</v>
      </c>
      <c r="G11" s="827" t="s">
        <v>341</v>
      </c>
      <c r="H11" s="601">
        <f>GETPIVOTDATA("Sum of Attack against property/equipment",AttacksPivot!$B$36,"Op","Operational","FinYear",G11)</f>
        <v>1</v>
      </c>
      <c r="I11" s="601">
        <f>GETPIVOTDATA("Sum of Verbal assault",AttacksPivot!$B$36,"Op","Operational","FinYear",G11)</f>
        <v>0</v>
      </c>
      <c r="J11" s="601">
        <f>GETPIVOTDATA("Sum of Physical assault",AttacksPivot!$B$36,"Op","Operational","FinYear",G11)</f>
        <v>4</v>
      </c>
      <c r="K11" s="946">
        <f>GETPIVOTDATA("Sum of Total",AttacksPivot!$B$36,"Op","Operational","FinYear",G11)</f>
        <v>5</v>
      </c>
    </row>
    <row r="12" spans="1:11" ht="14.4" x14ac:dyDescent="0.3">
      <c r="A12" s="718" t="s">
        <v>342</v>
      </c>
      <c r="B12" s="601">
        <f>GETPIVOTDATA("Sum of Attack against property/equipment",AttacksPivot!$B$4,"Op","Operational","FinYear",$A12)</f>
        <v>11</v>
      </c>
      <c r="C12" s="601">
        <f>GETPIVOTDATA("Sum of Verbal assault",AttacksPivot!$B$4,"Op","Operational","FinYear",A12)</f>
        <v>12</v>
      </c>
      <c r="D12" s="601">
        <f>GETPIVOTDATA("Sum of Physical assault",AttacksPivot!$B$4,"Op","Operational","FinYear",A12)</f>
        <v>30</v>
      </c>
      <c r="E12" s="946">
        <f>GETPIVOTDATA("Sum of Total",AttacksPivot!$B$4,"Op","Operational","FinYear",A12)</f>
        <v>53</v>
      </c>
      <c r="G12" s="827" t="s">
        <v>342</v>
      </c>
      <c r="H12" s="601">
        <f>GETPIVOTDATA("Sum of Attack against property/equipment",AttacksPivot!$B$36,"Op","Operational","FinYear",G12)</f>
        <v>0</v>
      </c>
      <c r="I12" s="601">
        <f>GETPIVOTDATA("Sum of Verbal assault",AttacksPivot!$B$36,"Op","Operational","FinYear",G12)</f>
        <v>0</v>
      </c>
      <c r="J12" s="601">
        <f>GETPIVOTDATA("Sum of Physical assault",AttacksPivot!$B$36,"Op","Operational","FinYear",G12)</f>
        <v>7</v>
      </c>
      <c r="K12" s="946">
        <f>GETPIVOTDATA("Sum of Total",AttacksPivot!$B$36,"Op","Operational","FinYear",G12)</f>
        <v>7</v>
      </c>
    </row>
    <row r="13" spans="1:11" ht="14.4" x14ac:dyDescent="0.3">
      <c r="A13" s="718" t="s">
        <v>213</v>
      </c>
      <c r="B13" s="601">
        <f>GETPIVOTDATA("Sum of Attack against property/equipment",AttacksPivot!$B$4,"Op","Operational","FinYear",$A13)</f>
        <v>11</v>
      </c>
      <c r="C13" s="601">
        <f>GETPIVOTDATA("Sum of Verbal assault",AttacksPivot!$B$4,"Op","Operational","FinYear",A13)</f>
        <v>15</v>
      </c>
      <c r="D13" s="601">
        <f>GETPIVOTDATA("Sum of Physical assault",AttacksPivot!$B$4,"Op","Operational","FinYear",A13)</f>
        <v>46</v>
      </c>
      <c r="E13" s="946">
        <f>GETPIVOTDATA("Sum of Total",AttacksPivot!$B$4,"Op","Operational","FinYear",A13)</f>
        <v>72</v>
      </c>
      <c r="G13" s="827" t="s">
        <v>213</v>
      </c>
      <c r="H13" s="601">
        <f>GETPIVOTDATA("Sum of Attack against property/equipment",AttacksPivot!$B$36,"Op","Operational","FinYear",G13)</f>
        <v>0</v>
      </c>
      <c r="I13" s="601">
        <f>GETPIVOTDATA("Sum of Verbal assault",AttacksPivot!$B$36,"Op","Operational","FinYear",G13)</f>
        <v>0</v>
      </c>
      <c r="J13" s="601">
        <f>GETPIVOTDATA("Sum of Physical assault",AttacksPivot!$B$36,"Op","Operational","FinYear",G13)</f>
        <v>1</v>
      </c>
      <c r="K13" s="946">
        <f>GETPIVOTDATA("Sum of Total",AttacksPivot!$B$36,"Op","Operational","FinYear",G13)</f>
        <v>1</v>
      </c>
    </row>
    <row r="14" spans="1:11" ht="14.4" x14ac:dyDescent="0.3">
      <c r="A14" s="718" t="s">
        <v>312</v>
      </c>
      <c r="B14" s="601">
        <f>GETPIVOTDATA("Sum of Attack against property/equipment",AttacksPivot!$B$4,"Op","Operational","FinYear",$A14)</f>
        <v>10</v>
      </c>
      <c r="C14" s="601">
        <f>GETPIVOTDATA("Sum of Verbal assault",AttacksPivot!$B$4,"Op","Operational","FinYear",A14)</f>
        <v>9</v>
      </c>
      <c r="D14" s="601">
        <f>GETPIVOTDATA("Sum of Physical assault",AttacksPivot!$B$4,"Op","Operational","FinYear",A14)</f>
        <v>34</v>
      </c>
      <c r="E14" s="946">
        <f>GETPIVOTDATA("Sum of Total",AttacksPivot!$B$4,"Op","Operational","FinYear",A14)</f>
        <v>53</v>
      </c>
      <c r="G14" s="827" t="s">
        <v>312</v>
      </c>
      <c r="H14" s="601">
        <f>GETPIVOTDATA("Sum of Attack against property/equipment",AttacksPivot!$B$36,"Op","Operational","FinYear",G14)</f>
        <v>0</v>
      </c>
      <c r="I14" s="601">
        <f>GETPIVOTDATA("Sum of Verbal assault",AttacksPivot!$B$36,"Op","Operational","FinYear",G14)</f>
        <v>0</v>
      </c>
      <c r="J14" s="601">
        <f>GETPIVOTDATA("Sum of Physical assault",AttacksPivot!$B$36,"Op","Operational","FinYear",G14)</f>
        <v>2</v>
      </c>
      <c r="K14" s="946">
        <f>GETPIVOTDATA("Sum of Total",AttacksPivot!$B$36,"Op","Operational","FinYear",G14)</f>
        <v>2</v>
      </c>
    </row>
    <row r="15" spans="1:11" ht="14.4" x14ac:dyDescent="0.3">
      <c r="A15" s="718" t="s">
        <v>318</v>
      </c>
      <c r="B15" s="601">
        <f>GETPIVOTDATA("Sum of Attack against property/equipment",AttacksPivot!$B$4,"Op","Operational","FinYear",$A15)</f>
        <v>19</v>
      </c>
      <c r="C15" s="601">
        <f>GETPIVOTDATA("Sum of Verbal assault",AttacksPivot!$B$4,"Op","Operational","FinYear",A15)</f>
        <v>25</v>
      </c>
      <c r="D15" s="601">
        <f>GETPIVOTDATA("Sum of Physical assault",AttacksPivot!$B$4,"Op","Operational","FinYear",A15)</f>
        <v>19</v>
      </c>
      <c r="E15" s="946">
        <f>GETPIVOTDATA("Sum of Total",AttacksPivot!$B$4,"Op","Operational","FinYear",A15)</f>
        <v>63</v>
      </c>
      <c r="G15" s="827" t="s">
        <v>318</v>
      </c>
      <c r="H15" s="601">
        <f>GETPIVOTDATA("Sum of Attack against property/equipment",AttacksPivot!$B$36,"Op","Operational","FinYear",G15)</f>
        <v>0</v>
      </c>
      <c r="I15" s="601">
        <f>GETPIVOTDATA("Sum of Verbal assault",AttacksPivot!$B$36,"Op","Operational","FinYear",G15)</f>
        <v>0</v>
      </c>
      <c r="J15" s="601">
        <f>GETPIVOTDATA("Sum of Physical assault",AttacksPivot!$B$36,"Op","Operational","FinYear",G15)</f>
        <v>1</v>
      </c>
      <c r="K15" s="946">
        <f>GETPIVOTDATA("Sum of Total",AttacksPivot!$B$36,"Op","Operational","FinYear",G15)</f>
        <v>1</v>
      </c>
    </row>
    <row r="16" spans="1:11" ht="14.4" x14ac:dyDescent="0.3">
      <c r="A16" s="718" t="s">
        <v>320</v>
      </c>
      <c r="B16" s="601">
        <f>GETPIVOTDATA("Sum of Attack against property/equipment",AttacksPivot!$B$4,"Op","Operational","FinYear",$A16)</f>
        <v>14</v>
      </c>
      <c r="C16" s="601">
        <f>GETPIVOTDATA("Sum of Verbal assault",AttacksPivot!$B$4,"Op","Operational","FinYear",A16)</f>
        <v>34</v>
      </c>
      <c r="D16" s="601">
        <f>GETPIVOTDATA("Sum of Physical assault",AttacksPivot!$B$4,"Op","Operational","FinYear",A16)</f>
        <v>18</v>
      </c>
      <c r="E16" s="946">
        <f>GETPIVOTDATA("Sum of Total",AttacksPivot!$B$4,"Op","Operational","FinYear",A16)</f>
        <v>66</v>
      </c>
      <c r="G16" s="827" t="s">
        <v>320</v>
      </c>
      <c r="H16" s="601">
        <f>GETPIVOTDATA("Sum of Attack against property/equipment",AttacksPivot!$B$36,"Op","Operational","FinYear",G16)</f>
        <v>1</v>
      </c>
      <c r="I16" s="601">
        <f>GETPIVOTDATA("Sum of Verbal assault",AttacksPivot!$B$36,"Op","Operational","FinYear",G16)</f>
        <v>0</v>
      </c>
      <c r="J16" s="601">
        <f>GETPIVOTDATA("Sum of Physical assault",AttacksPivot!$B$36,"Op","Operational","FinYear",G16)</f>
        <v>0</v>
      </c>
      <c r="K16" s="946">
        <f>GETPIVOTDATA("Sum of Total",AttacksPivot!$B$36,"Op","Operational","FinYear",G16)</f>
        <v>1</v>
      </c>
    </row>
    <row r="17" spans="1:29" ht="14.4" x14ac:dyDescent="0.3">
      <c r="A17" s="718" t="s">
        <v>325</v>
      </c>
      <c r="B17" s="601">
        <f>GETPIVOTDATA("Sum of Attack against property/equipment",AttacksPivot!$B$4,"Op","Operational","FinYear",$A17)</f>
        <v>22</v>
      </c>
      <c r="C17" s="601">
        <f>GETPIVOTDATA("Sum of Verbal assault",AttacksPivot!$B$4,"Op","Operational","FinYear",A17)</f>
        <v>32</v>
      </c>
      <c r="D17" s="601">
        <f>GETPIVOTDATA("Sum of Physical assault",AttacksPivot!$B$4,"Op","Operational","FinYear",A17)</f>
        <v>16</v>
      </c>
      <c r="E17" s="946">
        <f>GETPIVOTDATA("Sum of Total",AttacksPivot!$B$4,"Op","Operational","FinYear",A17)</f>
        <v>70</v>
      </c>
      <c r="F17" s="15"/>
      <c r="G17" s="941" t="s">
        <v>325</v>
      </c>
      <c r="H17" s="601">
        <f>GETPIVOTDATA("Sum of Attack against property/equipment",AttacksPivot!$B$36,"Op","Operational","FinYear",G17)</f>
        <v>0</v>
      </c>
      <c r="I17" s="601">
        <f>GETPIVOTDATA("Sum of Verbal assault",AttacksPivot!$B$36,"Op","Operational","FinYear",G17)</f>
        <v>0</v>
      </c>
      <c r="J17" s="601">
        <f>GETPIVOTDATA("Sum of Physical assault",AttacksPivot!$B$36,"Op","Operational","FinYear",G17)</f>
        <v>0</v>
      </c>
      <c r="K17" s="946">
        <f>GETPIVOTDATA("Sum of Total",AttacksPivot!$B$36,"Op","Operational","FinYear",G17)</f>
        <v>0</v>
      </c>
    </row>
    <row r="18" spans="1:29" ht="14.4" x14ac:dyDescent="0.3">
      <c r="A18" s="939" t="s">
        <v>326</v>
      </c>
      <c r="B18" s="601">
        <f>GETPIVOTDATA("Sum of Attack against property/equipment",AttacksPivot!$B$4,"Op","Operational","FinYear",$A18)</f>
        <v>25</v>
      </c>
      <c r="C18" s="601">
        <f>GETPIVOTDATA("Sum of Verbal assault",AttacksPivot!$B$4,"Op","Operational","FinYear",A18)</f>
        <v>13</v>
      </c>
      <c r="D18" s="601">
        <f>GETPIVOTDATA("Sum of Physical assault",AttacksPivot!$B$4,"Op","Operational","FinYear",A18)</f>
        <v>13</v>
      </c>
      <c r="E18" s="946">
        <f>GETPIVOTDATA("Sum of Total",AttacksPivot!$B$4,"Op","Operational","FinYear",A18)</f>
        <v>51</v>
      </c>
      <c r="F18" s="359"/>
      <c r="G18" s="942" t="s">
        <v>326</v>
      </c>
      <c r="H18" s="601">
        <f>GETPIVOTDATA("Sum of Attack against property/equipment",AttacksPivot!$B$36,"Op","Operational","FinYear",G18)</f>
        <v>0</v>
      </c>
      <c r="I18" s="601">
        <f>GETPIVOTDATA("Sum of Verbal assault",AttacksPivot!$B$36,"Op","Operational","FinYear",G18)</f>
        <v>1</v>
      </c>
      <c r="J18" s="601">
        <f>GETPIVOTDATA("Sum of Physical assault",AttacksPivot!$B$36,"Op","Operational","FinYear",G18)</f>
        <v>0</v>
      </c>
      <c r="K18" s="946">
        <f>GETPIVOTDATA("Sum of Total",AttacksPivot!$B$36,"Op","Operational","FinYear",G18)</f>
        <v>1</v>
      </c>
    </row>
    <row r="19" spans="1:29" ht="14.4" x14ac:dyDescent="0.3">
      <c r="A19" s="996" t="s">
        <v>328</v>
      </c>
      <c r="B19" s="995">
        <f>GETPIVOTDATA("Sum of Attack against property/equipment",AttacksPivot!$B$4,"Op","Operational","FinYear",$A19)</f>
        <v>18</v>
      </c>
      <c r="C19" s="601">
        <f>GETPIVOTDATA("Sum of Verbal assault",AttacksPivot!$B$4,"Op","Operational","FinYear",A19)</f>
        <v>12</v>
      </c>
      <c r="D19" s="601">
        <f>GETPIVOTDATA("Sum of Physical assault",AttacksPivot!$B$4,"Op","Operational","FinYear",A19)</f>
        <v>21</v>
      </c>
      <c r="E19" s="946">
        <f>GETPIVOTDATA("Sum of Total",AttacksPivot!$B$4,"Op","Operational","FinYear",A19)</f>
        <v>51</v>
      </c>
      <c r="F19" s="359"/>
      <c r="G19" s="942" t="s">
        <v>328</v>
      </c>
      <c r="H19" s="995">
        <f>GETPIVOTDATA("Sum of Attack against property/equipment",AttacksPivot!$B$36,"Op","Operational","FinYear",G19)</f>
        <v>0</v>
      </c>
      <c r="I19" s="601">
        <f>GETPIVOTDATA("Sum of Verbal assault",AttacksPivot!$B$36,"Op","Operational","FinYear",G19)</f>
        <v>0</v>
      </c>
      <c r="J19" s="601">
        <f>GETPIVOTDATA("Sum of Physical assault",AttacksPivot!$B$36,"Op","Operational","FinYear",G19)</f>
        <v>1</v>
      </c>
      <c r="K19" s="946">
        <f>GETPIVOTDATA("Sum of Total",AttacksPivot!$B$36,"Op","Operational","FinYear",G19)</f>
        <v>1</v>
      </c>
    </row>
    <row r="20" spans="1:29" ht="14.4" x14ac:dyDescent="0.3">
      <c r="A20" s="940" t="s">
        <v>412</v>
      </c>
      <c r="B20" s="945">
        <f>GETPIVOTDATA("Sum of Attack against property/equipment",AttacksPivot!$B$4,"Op","Operational","FinYear",$A20)</f>
        <v>9</v>
      </c>
      <c r="C20" s="628">
        <f>GETPIVOTDATA("Sum of Verbal assault",AttacksPivot!$B$4,"Op","Operational","FinYear",A20)</f>
        <v>28</v>
      </c>
      <c r="D20" s="628">
        <f>GETPIVOTDATA("Sum of Physical assault",AttacksPivot!$B$4,"Op","Operational","FinYear",A20)</f>
        <v>14</v>
      </c>
      <c r="E20" s="947">
        <f>GETPIVOTDATA("Sum of Total",AttacksPivot!$B$4,"Op","Operational","FinYear",A20)</f>
        <v>51</v>
      </c>
      <c r="F20" s="421"/>
      <c r="G20" s="943" t="s">
        <v>412</v>
      </c>
      <c r="H20" s="945">
        <f>GETPIVOTDATA("Sum of Attack against property/equipment",AttacksPivot!$B$36,"Op","Operational","FinYear",G20)</f>
        <v>0</v>
      </c>
      <c r="I20" s="628">
        <f>GETPIVOTDATA("Sum of Verbal assault",AttacksPivot!$B$36,"Op","Operational","FinYear",G20)</f>
        <v>0</v>
      </c>
      <c r="J20" s="628">
        <f>GETPIVOTDATA("Sum of Physical assault",AttacksPivot!$B$36,"Op","Operational","FinYear",G20)</f>
        <v>1</v>
      </c>
      <c r="K20" s="947">
        <f>GETPIVOTDATA("Sum of Total",AttacksPivot!$B$36,"Op","Operational","FinYear",G20)</f>
        <v>1</v>
      </c>
      <c r="R20" s="368"/>
      <c r="V20" s="368"/>
      <c r="Y20" s="368"/>
      <c r="Z20" s="368"/>
      <c r="AA20" s="368"/>
      <c r="AB20" s="368"/>
      <c r="AC20" s="368"/>
    </row>
    <row r="21" spans="1:29" ht="21.6" customHeight="1" x14ac:dyDescent="0.3">
      <c r="A21" s="338"/>
      <c r="B21" s="15"/>
      <c r="C21" s="15"/>
      <c r="D21" s="15"/>
      <c r="E21" s="15"/>
      <c r="F21" s="421"/>
      <c r="G21" s="421"/>
      <c r="H21" s="421"/>
      <c r="I21" s="421"/>
      <c r="J21" s="421"/>
      <c r="R21" s="368"/>
      <c r="V21" s="368"/>
      <c r="Y21" s="368"/>
      <c r="Z21" s="368"/>
      <c r="AA21" s="368"/>
      <c r="AB21" s="368"/>
      <c r="AC21" s="368"/>
    </row>
    <row r="22" spans="1:29" ht="14.4" x14ac:dyDescent="0.3">
      <c r="A22" s="358" t="s">
        <v>329</v>
      </c>
      <c r="B22" s="359"/>
      <c r="C22" s="359"/>
      <c r="D22" s="359"/>
      <c r="E22" s="359"/>
      <c r="F22" s="421"/>
      <c r="G22" s="570"/>
      <c r="H22" s="570"/>
      <c r="I22" s="421"/>
      <c r="J22" s="421"/>
      <c r="R22" s="368"/>
      <c r="V22" s="368"/>
      <c r="Y22" s="368"/>
      <c r="Z22" s="368"/>
      <c r="AA22" s="368"/>
      <c r="AB22" s="368"/>
      <c r="AC22" s="368"/>
    </row>
    <row r="23" spans="1:29" ht="27.9" customHeight="1" x14ac:dyDescent="0.3">
      <c r="A23" s="1040" t="s">
        <v>882</v>
      </c>
      <c r="B23" s="1040"/>
      <c r="C23" s="1040"/>
      <c r="D23" s="1040"/>
      <c r="E23" s="1040"/>
      <c r="F23" s="1040"/>
      <c r="G23" s="421"/>
      <c r="H23" s="421"/>
      <c r="I23" s="421"/>
      <c r="J23" s="421"/>
      <c r="R23" s="368"/>
      <c r="V23" s="368"/>
      <c r="Y23" s="368"/>
      <c r="Z23" s="368"/>
      <c r="AA23" s="368"/>
      <c r="AB23" s="368"/>
      <c r="AC23" s="368"/>
    </row>
    <row r="24" spans="1:29" ht="30" customHeight="1" x14ac:dyDescent="0.3">
      <c r="A24" s="1040" t="s">
        <v>883</v>
      </c>
      <c r="B24" s="1040"/>
      <c r="C24" s="1040"/>
      <c r="D24" s="1040"/>
      <c r="E24" s="1040"/>
      <c r="F24" s="1040"/>
      <c r="G24" s="499"/>
      <c r="H24" s="499"/>
      <c r="I24" s="499"/>
      <c r="J24" s="499"/>
      <c r="R24" s="368"/>
      <c r="V24" s="368"/>
      <c r="Y24" s="368"/>
      <c r="Z24" s="368"/>
      <c r="AA24" s="368"/>
      <c r="AB24" s="368"/>
      <c r="AC24" s="368"/>
    </row>
    <row r="25" spans="1:29" ht="15.6" x14ac:dyDescent="0.3">
      <c r="A25" s="15"/>
      <c r="B25" s="15"/>
      <c r="C25" s="15"/>
      <c r="D25" s="15"/>
      <c r="E25" s="15"/>
      <c r="F25" s="499"/>
      <c r="G25" s="499"/>
      <c r="H25" s="499"/>
      <c r="I25" s="499"/>
      <c r="J25" s="499"/>
      <c r="K25" s="567"/>
      <c r="R25" s="368"/>
      <c r="V25" s="368"/>
      <c r="Y25" s="368"/>
      <c r="Z25" s="368"/>
      <c r="AA25" s="368"/>
      <c r="AB25" s="368"/>
      <c r="AC25" s="368"/>
    </row>
    <row r="26" spans="1:29" ht="35.1" customHeight="1" x14ac:dyDescent="0.3">
      <c r="A26" s="1074" t="s">
        <v>884</v>
      </c>
      <c r="B26" s="1074"/>
      <c r="C26" s="499"/>
      <c r="D26" s="499"/>
      <c r="E26" s="499"/>
      <c r="F26" s="499"/>
      <c r="G26" s="499"/>
      <c r="H26" s="499"/>
      <c r="I26" s="499"/>
      <c r="J26" s="499"/>
      <c r="R26" s="368"/>
      <c r="V26" s="368"/>
      <c r="Y26" s="368"/>
      <c r="Z26" s="368"/>
      <c r="AA26" s="368"/>
      <c r="AB26" s="368"/>
      <c r="AC26" s="368"/>
    </row>
    <row r="27" spans="1:29" ht="15.6" x14ac:dyDescent="0.3">
      <c r="A27" t="s">
        <v>203</v>
      </c>
      <c r="B27" t="s">
        <v>123</v>
      </c>
      <c r="C27" s="566"/>
      <c r="D27" s="566"/>
      <c r="E27" s="566"/>
      <c r="F27" s="499"/>
      <c r="G27" s="499"/>
      <c r="H27" s="499"/>
      <c r="I27" s="499"/>
      <c r="J27" s="499"/>
      <c r="R27" s="368"/>
      <c r="V27" s="368"/>
      <c r="Y27" s="368"/>
      <c r="Z27" s="368"/>
      <c r="AA27" s="368"/>
      <c r="AB27" s="368"/>
      <c r="AC27" s="368"/>
    </row>
    <row r="28" spans="1:29" ht="15.6" x14ac:dyDescent="0.3">
      <c r="A28" t="s">
        <v>204</v>
      </c>
      <c r="B28" t="s">
        <v>205</v>
      </c>
      <c r="C28" s="499"/>
      <c r="D28" s="499"/>
      <c r="E28" s="499"/>
      <c r="F28" s="211"/>
      <c r="H28" s="211"/>
      <c r="J28" s="210"/>
      <c r="R28" s="368"/>
      <c r="V28" s="368"/>
      <c r="Y28" s="368"/>
      <c r="Z28" s="368"/>
      <c r="AA28" s="368"/>
      <c r="AB28" s="368"/>
      <c r="AC28" s="368"/>
    </row>
    <row r="29" spans="1:29" ht="14.4" customHeight="1" x14ac:dyDescent="0.3">
      <c r="A29" t="s">
        <v>206</v>
      </c>
      <c r="B29" t="s">
        <v>876</v>
      </c>
      <c r="C29" s="499"/>
      <c r="D29" s="499"/>
      <c r="E29" s="499"/>
      <c r="F29" s="211"/>
      <c r="H29" s="211"/>
      <c r="J29" s="210"/>
      <c r="O29" s="211"/>
      <c r="R29" s="368"/>
      <c r="V29" s="368"/>
      <c r="Y29" s="368"/>
      <c r="Z29" s="368"/>
      <c r="AA29" s="368"/>
      <c r="AB29" s="368"/>
      <c r="AC29" s="368"/>
    </row>
    <row r="30" spans="1:29" ht="14.4" customHeight="1" x14ac:dyDescent="0.3">
      <c r="C30" s="499"/>
      <c r="D30" s="499"/>
      <c r="E30" s="499"/>
      <c r="F30" s="211"/>
      <c r="H30" s="211"/>
      <c r="J30" s="210"/>
      <c r="O30" s="211"/>
      <c r="R30" s="368"/>
      <c r="V30" s="368"/>
      <c r="Y30" s="368"/>
      <c r="Z30" s="368"/>
      <c r="AA30" s="368"/>
      <c r="AB30" s="368"/>
      <c r="AC30" s="368"/>
    </row>
    <row r="31" spans="1:29" ht="14.4" customHeight="1" x14ac:dyDescent="0.3">
      <c r="A31" s="6" t="s">
        <v>877</v>
      </c>
      <c r="B31" s="211"/>
      <c r="C31" s="211"/>
      <c r="D31" s="211"/>
      <c r="E31" s="211"/>
      <c r="F31" s="211"/>
      <c r="G31" s="646" t="s">
        <v>878</v>
      </c>
      <c r="H31" s="646"/>
      <c r="I31" s="210"/>
      <c r="J31" s="210"/>
      <c r="O31" s="211"/>
      <c r="R31" s="368"/>
      <c r="V31" s="368"/>
      <c r="Y31" s="368"/>
      <c r="Z31" s="368"/>
      <c r="AA31" s="368"/>
      <c r="AB31" s="368"/>
      <c r="AC31" s="368"/>
    </row>
    <row r="32" spans="1:29" ht="28.8" x14ac:dyDescent="0.3">
      <c r="A32" s="692" t="s">
        <v>208</v>
      </c>
      <c r="B32" s="825" t="s">
        <v>879</v>
      </c>
      <c r="C32" s="825" t="s">
        <v>880</v>
      </c>
      <c r="D32" s="825" t="s">
        <v>881</v>
      </c>
      <c r="E32" s="826" t="s">
        <v>340</v>
      </c>
      <c r="F32" s="211"/>
      <c r="G32" s="691" t="s">
        <v>208</v>
      </c>
      <c r="H32" s="825" t="s">
        <v>879</v>
      </c>
      <c r="I32" s="825" t="s">
        <v>880</v>
      </c>
      <c r="J32" s="825" t="s">
        <v>881</v>
      </c>
      <c r="K32" s="826" t="s">
        <v>340</v>
      </c>
      <c r="M32" s="368"/>
      <c r="P32" s="368"/>
      <c r="Q32" s="368"/>
      <c r="R32" s="368"/>
      <c r="S32" s="368"/>
      <c r="T32" s="368"/>
    </row>
    <row r="33" spans="1:29" ht="14.4" x14ac:dyDescent="0.3">
      <c r="A33" s="718" t="s">
        <v>341</v>
      </c>
      <c r="B33" s="601">
        <f>GETPIVOTDATA("Sum of Attack against property/equipment",AttacksPivot!$B$20,"Op","Non-Operational","FinYear",A33)</f>
        <v>2</v>
      </c>
      <c r="C33" s="601">
        <f>GETPIVOTDATA("Sum of Verbal assault",AttacksPivot!$B$20,"Op","Non-Operational","FinYear",A33)</f>
        <v>3</v>
      </c>
      <c r="D33" s="601">
        <f>GETPIVOTDATA("Sum of Physical assault",AttacksPivot!$B$20,"Op","Non-Operational","FinYear",A33)</f>
        <v>0</v>
      </c>
      <c r="E33" s="946">
        <f>GETPIVOTDATA("Sum of Total",AttacksPivot!$B$20,"Op","Non-Operational","FinYear",A33)</f>
        <v>5</v>
      </c>
      <c r="G33" s="827" t="s">
        <v>341</v>
      </c>
      <c r="H33" s="601">
        <f>GETPIVOTDATA("Sum of Attack against property/equipment",AttacksPivot!$B$53,"Op","Non-Operational","FinYear",G33)</f>
        <v>0</v>
      </c>
      <c r="I33" s="601">
        <f>GETPIVOTDATA("Sum of Verbal assault",AttacksPivot!$B$53,"Op","Non-Operational","FinYear",G33)</f>
        <v>0</v>
      </c>
      <c r="J33" s="601">
        <f>GETPIVOTDATA("Sum of Physical assault",AttacksPivot!$B$53,"Op","Non-Operational","FinYear",G33)</f>
        <v>0</v>
      </c>
      <c r="K33" s="946">
        <f>GETPIVOTDATA("Sum of Total",AttacksPivot!$B$53,"Op","Non-Operational","FinYear",G33)</f>
        <v>0</v>
      </c>
    </row>
    <row r="34" spans="1:29" ht="14.4" x14ac:dyDescent="0.3">
      <c r="A34" s="718" t="s">
        <v>342</v>
      </c>
      <c r="B34" s="601">
        <f>GETPIVOTDATA("Sum of Attack against property/equipment",AttacksPivot!$B$20,"Op","Non-Operational","FinYear",A34)</f>
        <v>2</v>
      </c>
      <c r="C34" s="601">
        <f>GETPIVOTDATA("Sum of Verbal assault",AttacksPivot!$B$20,"Op","Non-Operational","FinYear",A34)</f>
        <v>3</v>
      </c>
      <c r="D34" s="601">
        <f>GETPIVOTDATA("Sum of Physical assault",AttacksPivot!$B$20,"Op","Non-Operational","FinYear",A34)</f>
        <v>3</v>
      </c>
      <c r="E34" s="946">
        <f>GETPIVOTDATA("Sum of Total",AttacksPivot!$B$20,"Op","Non-Operational","FinYear",A34)</f>
        <v>8</v>
      </c>
      <c r="G34" s="827" t="s">
        <v>342</v>
      </c>
      <c r="H34" s="601">
        <f>GETPIVOTDATA("Sum of Attack against property/equipment",AttacksPivot!$B$53,"Op","Non-Operational","FinYear",G34)</f>
        <v>0</v>
      </c>
      <c r="I34" s="601">
        <f>GETPIVOTDATA("Sum of Verbal assault",AttacksPivot!$B$53,"Op","Non-Operational","FinYear",G34)</f>
        <v>0</v>
      </c>
      <c r="J34" s="601">
        <f>GETPIVOTDATA("Sum of Physical assault",AttacksPivot!$B$53,"Op","Non-Operational","FinYear",G34)</f>
        <v>0</v>
      </c>
      <c r="K34" s="946">
        <f>GETPIVOTDATA("Sum of Total",AttacksPivot!$B$53,"Op","Non-Operational","FinYear",G34)</f>
        <v>0</v>
      </c>
    </row>
    <row r="35" spans="1:29" ht="14.4" x14ac:dyDescent="0.3">
      <c r="A35" s="718" t="s">
        <v>213</v>
      </c>
      <c r="B35" s="601">
        <f>GETPIVOTDATA("Sum of Attack against property/equipment",AttacksPivot!$B$20,"Op","Non-Operational","FinYear",A35)</f>
        <v>1</v>
      </c>
      <c r="C35" s="601">
        <f>GETPIVOTDATA("Sum of Verbal assault",AttacksPivot!$B$20,"Op","Non-Operational","FinYear",A35)</f>
        <v>6</v>
      </c>
      <c r="D35" s="601">
        <f>GETPIVOTDATA("Sum of Physical assault",AttacksPivot!$B$20,"Op","Non-Operational","FinYear",A35)</f>
        <v>4</v>
      </c>
      <c r="E35" s="946">
        <f>GETPIVOTDATA("Sum of Total",AttacksPivot!$B$20,"Op","Non-Operational","FinYear",A35)</f>
        <v>11</v>
      </c>
      <c r="G35" s="827" t="s">
        <v>213</v>
      </c>
      <c r="H35" s="601">
        <f>GETPIVOTDATA("Sum of Attack against property/equipment",AttacksPivot!$B$53,"Op","Non-Operational","FinYear",G35)</f>
        <v>0</v>
      </c>
      <c r="I35" s="601">
        <f>GETPIVOTDATA("Sum of Verbal assault",AttacksPivot!$B$53,"Op","Non-Operational","FinYear",G35)</f>
        <v>0</v>
      </c>
      <c r="J35" s="601">
        <f>GETPIVOTDATA("Sum of Physical assault",AttacksPivot!$B$53,"Op","Non-Operational","FinYear",G35)</f>
        <v>2</v>
      </c>
      <c r="K35" s="946">
        <f>GETPIVOTDATA("Sum of Total",AttacksPivot!$B$53,"Op","Non-Operational","FinYear",G35)</f>
        <v>2</v>
      </c>
    </row>
    <row r="36" spans="1:29" ht="14.4" x14ac:dyDescent="0.3">
      <c r="A36" s="718" t="s">
        <v>312</v>
      </c>
      <c r="B36" s="601">
        <f>GETPIVOTDATA("Sum of Attack against property/equipment",AttacksPivot!$B$20,"Op","Non-Operational","FinYear",A36)</f>
        <v>1</v>
      </c>
      <c r="C36" s="601">
        <f>GETPIVOTDATA("Sum of Verbal assault",AttacksPivot!$B$20,"Op","Non-Operational","FinYear",A36)</f>
        <v>1</v>
      </c>
      <c r="D36" s="601">
        <f>GETPIVOTDATA("Sum of Physical assault",AttacksPivot!$B$20,"Op","Non-Operational","FinYear",A36)</f>
        <v>1</v>
      </c>
      <c r="E36" s="946">
        <f>GETPIVOTDATA("Sum of Total",AttacksPivot!$B$20,"Op","Non-Operational","FinYear",A36)</f>
        <v>3</v>
      </c>
      <c r="G36" s="827" t="s">
        <v>312</v>
      </c>
      <c r="H36" s="601">
        <f>GETPIVOTDATA("Sum of Attack against property/equipment",AttacksPivot!$B$53,"Op","Non-Operational","FinYear",G36)</f>
        <v>0</v>
      </c>
      <c r="I36" s="601">
        <f>GETPIVOTDATA("Sum of Verbal assault",AttacksPivot!$B$53,"Op","Non-Operational","FinYear",G36)</f>
        <v>0</v>
      </c>
      <c r="J36" s="601">
        <f>GETPIVOTDATA("Sum of Physical assault",AttacksPivot!$B$53,"Op","Non-Operational","FinYear",G36)</f>
        <v>0</v>
      </c>
      <c r="K36" s="946">
        <f>GETPIVOTDATA("Sum of Total",AttacksPivot!$B$53,"Op","Non-Operational","FinYear",G36)</f>
        <v>0</v>
      </c>
    </row>
    <row r="37" spans="1:29" ht="14.4" x14ac:dyDescent="0.3">
      <c r="A37" s="718" t="s">
        <v>318</v>
      </c>
      <c r="B37" s="601">
        <f>GETPIVOTDATA("Sum of Attack against property/equipment",AttacksPivot!$B$20,"Op","Non-Operational","FinYear",A37)</f>
        <v>0</v>
      </c>
      <c r="C37" s="601">
        <f>GETPIVOTDATA("Sum of Verbal assault",AttacksPivot!$B$20,"Op","Non-Operational","FinYear",A37)</f>
        <v>5</v>
      </c>
      <c r="D37" s="601">
        <f>GETPIVOTDATA("Sum of Physical assault",AttacksPivot!$B$20,"Op","Non-Operational","FinYear",A37)</f>
        <v>1</v>
      </c>
      <c r="E37" s="946">
        <f>GETPIVOTDATA("Sum of Total",AttacksPivot!$B$20,"Op","Non-Operational","FinYear",A37)</f>
        <v>6</v>
      </c>
      <c r="G37" s="827" t="s">
        <v>318</v>
      </c>
      <c r="H37" s="601">
        <f>GETPIVOTDATA("Sum of Attack against property/equipment",AttacksPivot!$B$53,"Op","Non-Operational","FinYear",G37)</f>
        <v>0</v>
      </c>
      <c r="I37" s="601">
        <f>GETPIVOTDATA("Sum of Verbal assault",AttacksPivot!$B$53,"Op","Non-Operational","FinYear",G37)</f>
        <v>0</v>
      </c>
      <c r="J37" s="601">
        <f>GETPIVOTDATA("Sum of Physical assault",AttacksPivot!$B$53,"Op","Non-Operational","FinYear",G37)</f>
        <v>0</v>
      </c>
      <c r="K37" s="946">
        <f>GETPIVOTDATA("Sum of Total",AttacksPivot!$B$53,"Op","Non-Operational","FinYear",G37)</f>
        <v>0</v>
      </c>
    </row>
    <row r="38" spans="1:29" ht="14.4" x14ac:dyDescent="0.3">
      <c r="A38" s="718" t="s">
        <v>320</v>
      </c>
      <c r="B38" s="601">
        <f>GETPIVOTDATA("Sum of Attack against property/equipment",AttacksPivot!$B$20,"Op","Non-Operational","FinYear",A38)</f>
        <v>6</v>
      </c>
      <c r="C38" s="601">
        <f>GETPIVOTDATA("Sum of Verbal assault",AttacksPivot!$B$20,"Op","Non-Operational","FinYear",A38)</f>
        <v>3</v>
      </c>
      <c r="D38" s="601">
        <f>GETPIVOTDATA("Sum of Physical assault",AttacksPivot!$B$20,"Op","Non-Operational","FinYear",A38)</f>
        <v>0</v>
      </c>
      <c r="E38" s="946">
        <f>GETPIVOTDATA("Sum of Total",AttacksPivot!$B$20,"Op","Non-Operational","FinYear",A38)</f>
        <v>9</v>
      </c>
      <c r="F38" s="368"/>
      <c r="G38" s="827" t="s">
        <v>320</v>
      </c>
      <c r="H38" s="601">
        <f>GETPIVOTDATA("Sum of Attack against property/equipment",AttacksPivot!$B$53,"Op","Non-Operational","FinYear",G38)</f>
        <v>0</v>
      </c>
      <c r="I38" s="601">
        <f>GETPIVOTDATA("Sum of Verbal assault",AttacksPivot!$B$53,"Op","Non-Operational","FinYear",G38)</f>
        <v>0</v>
      </c>
      <c r="J38" s="601">
        <f>GETPIVOTDATA("Sum of Physical assault",AttacksPivot!$B$53,"Op","Non-Operational","FinYear",G38)</f>
        <v>0</v>
      </c>
      <c r="K38" s="946">
        <f>GETPIVOTDATA("Sum of Total",AttacksPivot!$B$53,"Op","Non-Operational","FinYear",G38)</f>
        <v>0</v>
      </c>
      <c r="L38" s="368"/>
      <c r="M38" s="368"/>
      <c r="N38" s="368"/>
      <c r="O38" s="368"/>
      <c r="P38" s="368"/>
    </row>
    <row r="39" spans="1:29" ht="14.4" x14ac:dyDescent="0.3">
      <c r="A39" s="718" t="s">
        <v>325</v>
      </c>
      <c r="B39" s="601">
        <f>GETPIVOTDATA("Sum of Attack against property/equipment",AttacksPivot!$B$20,"Op","Non-Operational","FinYear",A39)</f>
        <v>2</v>
      </c>
      <c r="C39" s="601">
        <f>GETPIVOTDATA("Sum of Verbal assault",AttacksPivot!$B$20,"Op","Non-Operational","FinYear",A39)</f>
        <v>9</v>
      </c>
      <c r="D39" s="601">
        <f>GETPIVOTDATA("Sum of Physical assault",AttacksPivot!$B$20,"Op","Non-Operational","FinYear",A39)</f>
        <v>1</v>
      </c>
      <c r="E39" s="946">
        <f>GETPIVOTDATA("Sum of Total",AttacksPivot!$B$20,"Op","Non-Operational","FinYear",A39)</f>
        <v>12</v>
      </c>
      <c r="F39" s="211"/>
      <c r="G39" s="944" t="s">
        <v>325</v>
      </c>
      <c r="H39" s="601">
        <f>GETPIVOTDATA("Sum of Attack against property/equipment",AttacksPivot!$B$53,"Op","Non-Operational","FinYear",G39)</f>
        <v>0</v>
      </c>
      <c r="I39" s="601">
        <f>GETPIVOTDATA("Sum of Verbal assault",AttacksPivot!$B$53,"Op","Non-Operational","FinYear",G39)</f>
        <v>0</v>
      </c>
      <c r="J39" s="601">
        <f>GETPIVOTDATA("Sum of Physical assault",AttacksPivot!$B$53,"Op","Non-Operational","FinYear",G39)</f>
        <v>0</v>
      </c>
      <c r="K39" s="946">
        <f>GETPIVOTDATA("Sum of Total",AttacksPivot!$B$53,"Op","Non-Operational","FinYear",G39)</f>
        <v>0</v>
      </c>
      <c r="R39" s="368"/>
      <c r="V39" s="368"/>
      <c r="Y39" s="368"/>
      <c r="Z39" s="368"/>
      <c r="AA39" s="368"/>
      <c r="AB39" s="368"/>
      <c r="AC39" s="368"/>
    </row>
    <row r="40" spans="1:29" ht="14.4" x14ac:dyDescent="0.3">
      <c r="A40" s="939" t="s">
        <v>326</v>
      </c>
      <c r="B40" s="601">
        <f>GETPIVOTDATA("Sum of Attack against property/equipment",AttacksPivot!$B$20,"Op","Non-Operational","FinYear",A40)</f>
        <v>4</v>
      </c>
      <c r="C40" s="601">
        <f>GETPIVOTDATA("Sum of Verbal assault",AttacksPivot!$B$20,"Op","Non-Operational","FinYear",A40)</f>
        <v>3</v>
      </c>
      <c r="D40" s="601">
        <f>GETPIVOTDATA("Sum of Physical assault",AttacksPivot!$B$20,"Op","Non-Operational","FinYear",A40)</f>
        <v>2</v>
      </c>
      <c r="E40" s="946">
        <f>GETPIVOTDATA("Sum of Total",AttacksPivot!$B$20,"Op","Non-Operational","FinYear",A40)</f>
        <v>9</v>
      </c>
      <c r="F40" s="360"/>
      <c r="G40" s="942" t="s">
        <v>326</v>
      </c>
      <c r="H40" s="601">
        <f>GETPIVOTDATA("Sum of Attack against property/equipment",AttacksPivot!$B$53,"Op","Non-Operational","FinYear",G40)</f>
        <v>0</v>
      </c>
      <c r="I40" s="601">
        <f>GETPIVOTDATA("Sum of Verbal assault",AttacksPivot!$B$53,"Op","Non-Operational","FinYear",G40)</f>
        <v>0</v>
      </c>
      <c r="J40" s="601">
        <f>GETPIVOTDATA("Sum of Physical assault",AttacksPivot!$B$53,"Op","Non-Operational","FinYear",G40)</f>
        <v>1</v>
      </c>
      <c r="K40" s="946">
        <f>GETPIVOTDATA("Sum of Total",AttacksPivot!$B$53,"Op","Non-Operational","FinYear",G40)</f>
        <v>1</v>
      </c>
      <c r="R40" s="368"/>
      <c r="V40" s="368"/>
      <c r="Y40" s="368"/>
      <c r="Z40" s="368"/>
      <c r="AA40" s="368"/>
      <c r="AB40" s="368"/>
      <c r="AC40" s="368"/>
    </row>
    <row r="41" spans="1:29" ht="14.4" x14ac:dyDescent="0.3">
      <c r="A41" s="996" t="s">
        <v>328</v>
      </c>
      <c r="B41" s="995">
        <f>GETPIVOTDATA("Sum of Attack against property/equipment",AttacksPivot!$B$20,"Op","Non-Operational","FinYear",A41)</f>
        <v>1</v>
      </c>
      <c r="C41" s="601">
        <f>GETPIVOTDATA("Sum of Verbal assault",AttacksPivot!$B$20,"Op","Non-Operational","FinYear",A41)</f>
        <v>7</v>
      </c>
      <c r="D41" s="601">
        <f>GETPIVOTDATA("Sum of Physical assault",AttacksPivot!$B$20,"Op","Non-Operational","FinYear",A41)</f>
        <v>0</v>
      </c>
      <c r="E41" s="946">
        <f>GETPIVOTDATA("Sum of Total",AttacksPivot!$B$20,"Op","Non-Operational","FinYear",A41)</f>
        <v>8</v>
      </c>
      <c r="F41" s="360"/>
      <c r="G41" s="942" t="s">
        <v>328</v>
      </c>
      <c r="H41" s="995">
        <f>GETPIVOTDATA("Sum of Attack against property/equipment",AttacksPivot!$B$53,"Op","Non-Operational","FinYear",G41)</f>
        <v>0</v>
      </c>
      <c r="I41" s="601">
        <f>GETPIVOTDATA("Sum of Verbal assault",AttacksPivot!$B$53,"Op","Non-Operational","FinYear",G41)</f>
        <v>0</v>
      </c>
      <c r="J41" s="601">
        <f>GETPIVOTDATA("Sum of Physical assault",AttacksPivot!$B$53,"Op","Non-Operational","FinYear",G41)</f>
        <v>0</v>
      </c>
      <c r="K41" s="946">
        <f>GETPIVOTDATA("Sum of Total",AttacksPivot!$B$53,"Op","Non-Operational","FinYear",G41)</f>
        <v>0</v>
      </c>
      <c r="R41" s="368"/>
      <c r="V41" s="368"/>
      <c r="Y41" s="368"/>
      <c r="Z41" s="368"/>
      <c r="AA41" s="368"/>
      <c r="AB41" s="368"/>
      <c r="AC41" s="368"/>
    </row>
    <row r="42" spans="1:29" ht="14.4" x14ac:dyDescent="0.3">
      <c r="A42" s="940" t="s">
        <v>412</v>
      </c>
      <c r="B42" s="945">
        <f>GETPIVOTDATA("Sum of Attack against property/equipment",AttacksPivot!$B$20,"Op","Non-Operational","FinYear",A42)</f>
        <v>11</v>
      </c>
      <c r="C42" s="628">
        <f>GETPIVOTDATA("Sum of Verbal assault",AttacksPivot!$B$20,"Op","Non-Operational","FinYear",A42)</f>
        <v>13</v>
      </c>
      <c r="D42" s="628">
        <f>GETPIVOTDATA("Sum of Physical assault",AttacksPivot!$B$20,"Op","Non-Operational","FinYear",A42)</f>
        <v>2</v>
      </c>
      <c r="E42" s="947">
        <f>GETPIVOTDATA("Sum of Total",AttacksPivot!$B$20,"Op","Non-Operational","FinYear",A42)</f>
        <v>26</v>
      </c>
      <c r="F42" s="360"/>
      <c r="G42" s="943" t="s">
        <v>412</v>
      </c>
      <c r="H42" s="945">
        <f>GETPIVOTDATA("Sum of Attack against property/equipment",AttacksPivot!$B$53,"Op","Non-Operational","FinYear",G42)</f>
        <v>0</v>
      </c>
      <c r="I42" s="628">
        <f>GETPIVOTDATA("Sum of Verbal assault",AttacksPivot!$B$53,"Op","Non-Operational","FinYear",G42)</f>
        <v>0</v>
      </c>
      <c r="J42" s="628">
        <f>GETPIVOTDATA("Sum of Physical assault",AttacksPivot!$B$53,"Op","Non-Operational","FinYear",G42)</f>
        <v>0</v>
      </c>
      <c r="K42" s="947">
        <f>GETPIVOTDATA("Sum of Total",AttacksPivot!$B$53,"Op","Non-Operational","FinYear",G42)</f>
        <v>0</v>
      </c>
      <c r="R42" s="368"/>
      <c r="V42" s="368"/>
      <c r="Y42" s="368"/>
      <c r="Z42" s="368"/>
      <c r="AA42" s="368"/>
      <c r="AB42" s="368"/>
      <c r="AC42" s="368"/>
    </row>
    <row r="43" spans="1:29" ht="14.4" x14ac:dyDescent="0.3">
      <c r="A43" s="336"/>
      <c r="F43" s="360"/>
      <c r="G43" s="336"/>
      <c r="H43" s="570"/>
      <c r="R43" s="368"/>
      <c r="V43" s="368"/>
      <c r="Y43" s="368"/>
      <c r="Z43" s="368"/>
      <c r="AA43" s="368"/>
      <c r="AB43" s="368"/>
      <c r="AC43" s="368"/>
    </row>
    <row r="44" spans="1:29" ht="14.4" x14ac:dyDescent="0.3">
      <c r="A44" s="358" t="s">
        <v>329</v>
      </c>
      <c r="B44" s="360"/>
      <c r="C44" s="659"/>
      <c r="D44" s="360"/>
      <c r="E44" s="360"/>
      <c r="F44" s="421"/>
      <c r="R44" s="368"/>
      <c r="V44" s="368"/>
      <c r="Y44" s="368"/>
      <c r="Z44" s="368"/>
      <c r="AA44" s="368"/>
      <c r="AB44" s="368"/>
      <c r="AC44" s="368"/>
    </row>
    <row r="45" spans="1:29" ht="33.6" customHeight="1" x14ac:dyDescent="0.3">
      <c r="A45" s="1040" t="s">
        <v>885</v>
      </c>
      <c r="B45" s="1040"/>
      <c r="C45" s="1040"/>
      <c r="D45" s="1040"/>
      <c r="E45" s="1040"/>
      <c r="F45" s="1040"/>
      <c r="G45" s="1040"/>
      <c r="R45" s="368"/>
      <c r="V45" s="368"/>
      <c r="Y45" s="368"/>
      <c r="Z45" s="368"/>
      <c r="AA45" s="368"/>
      <c r="AB45" s="368"/>
      <c r="AC45" s="368"/>
    </row>
    <row r="46" spans="1:29" ht="15.9" customHeight="1" x14ac:dyDescent="0.3">
      <c r="A46" s="1040" t="s">
        <v>883</v>
      </c>
      <c r="B46" s="1040"/>
      <c r="C46" s="1040"/>
      <c r="D46" s="1040"/>
      <c r="E46" s="1040"/>
      <c r="F46" s="1040"/>
      <c r="G46" s="1040"/>
      <c r="R46" s="368"/>
      <c r="V46" s="368"/>
      <c r="Y46" s="368"/>
      <c r="Z46" s="368"/>
      <c r="AA46" s="368"/>
      <c r="AB46" s="368"/>
      <c r="AC46" s="368"/>
    </row>
    <row r="47" spans="1:29" ht="34.5" customHeight="1" x14ac:dyDescent="0.3">
      <c r="A47" s="338"/>
      <c r="B47" s="19"/>
      <c r="C47" s="19"/>
      <c r="D47" s="19"/>
      <c r="E47" s="19"/>
      <c r="F47" s="570"/>
      <c r="R47" s="368"/>
      <c r="V47" s="368"/>
      <c r="Y47" s="368"/>
      <c r="Z47" s="368"/>
      <c r="AA47" s="368"/>
      <c r="AB47" s="368"/>
      <c r="AC47" s="368"/>
    </row>
    <row r="48" spans="1:29" ht="15.75" customHeight="1" x14ac:dyDescent="0.3">
      <c r="R48" s="368"/>
      <c r="V48" s="368"/>
      <c r="Y48" s="368"/>
      <c r="Z48" s="368"/>
      <c r="AA48" s="368"/>
      <c r="AB48" s="368"/>
      <c r="AC48" s="368"/>
    </row>
    <row r="49" spans="18:29" ht="15.75" customHeight="1" x14ac:dyDescent="0.3">
      <c r="R49" s="368"/>
      <c r="V49" s="368"/>
      <c r="Y49" s="368"/>
      <c r="Z49" s="368"/>
      <c r="AA49" s="368"/>
      <c r="AB49" s="368"/>
      <c r="AC49" s="368"/>
    </row>
    <row r="50" spans="18:29" ht="15.75" customHeight="1" x14ac:dyDescent="0.3">
      <c r="R50" s="368"/>
      <c r="V50" s="368"/>
      <c r="Y50" s="368"/>
      <c r="Z50" s="368"/>
      <c r="AA50" s="368"/>
      <c r="AB50" s="368"/>
      <c r="AC50" s="368"/>
    </row>
    <row r="51" spans="18:29" ht="15.75" customHeight="1" x14ac:dyDescent="0.3">
      <c r="R51" s="368"/>
      <c r="V51" s="368"/>
      <c r="Y51" s="368"/>
      <c r="Z51" s="368"/>
      <c r="AA51" s="368"/>
      <c r="AB51" s="368"/>
      <c r="AC51" s="368"/>
    </row>
    <row r="52" spans="18:29" ht="49.5" customHeight="1" x14ac:dyDescent="0.3">
      <c r="R52" s="368"/>
      <c r="V52" s="368"/>
      <c r="Y52" s="368"/>
      <c r="Z52" s="368"/>
      <c r="AA52" s="368"/>
      <c r="AB52" s="368"/>
      <c r="AC52" s="368"/>
    </row>
    <row r="53" spans="18:29" ht="14.4" x14ac:dyDescent="0.3">
      <c r="R53" s="21"/>
      <c r="V53" s="368"/>
      <c r="Y53" s="368"/>
      <c r="Z53" s="368"/>
      <c r="AA53" s="368"/>
      <c r="AB53" s="368"/>
      <c r="AC53" s="368"/>
    </row>
    <row r="54" spans="18:29" ht="30" customHeight="1" x14ac:dyDescent="0.3">
      <c r="R54" s="368"/>
    </row>
    <row r="55" spans="18:29" ht="14.4" x14ac:dyDescent="0.3">
      <c r="R55" s="368"/>
    </row>
    <row r="56" spans="18:29" ht="14.4" x14ac:dyDescent="0.3">
      <c r="R56" s="368"/>
    </row>
    <row r="57" spans="18:29" ht="14.4" x14ac:dyDescent="0.3">
      <c r="R57" s="368"/>
    </row>
    <row r="58" spans="18:29" ht="14.4" x14ac:dyDescent="0.3">
      <c r="R58" s="368"/>
    </row>
    <row r="59" spans="18:29" ht="14.4" x14ac:dyDescent="0.3">
      <c r="R59" s="368"/>
    </row>
    <row r="60" spans="18:29" ht="14.4" x14ac:dyDescent="0.3">
      <c r="R60" s="368"/>
    </row>
    <row r="61" spans="18:29" ht="14.4" x14ac:dyDescent="0.3">
      <c r="R61" s="368"/>
    </row>
    <row r="62" spans="18:29" ht="14.4" x14ac:dyDescent="0.3">
      <c r="R62" s="368"/>
    </row>
    <row r="63" spans="18:29" ht="14.4" x14ac:dyDescent="0.3">
      <c r="R63" s="368"/>
    </row>
    <row r="64" spans="18:29" ht="30" customHeight="1" x14ac:dyDescent="0.3">
      <c r="R64" s="368"/>
    </row>
    <row r="65" ht="30" customHeight="1" x14ac:dyDescent="0.3"/>
    <row r="83" ht="30" customHeight="1" x14ac:dyDescent="0.3"/>
    <row r="84" ht="45" customHeight="1" x14ac:dyDescent="0.3"/>
  </sheetData>
  <sheetProtection algorithmName="SHA-512" hashValue="DuwrKz4LzYM/rHj/WvRDZpNen/CzJC74AuuvlHz+kFxp84Qz6Dx0TWbsdhm2/cHbzUEv0YNDk8iUuAvlA4D/Vw==" saltValue="BGhR9iKr9YuEgEh+eyu4DQ==" spinCount="100000" sheet="1" formatCells="0" sort="0" autoFilter="0" pivotTables="0"/>
  <mergeCells count="7">
    <mergeCell ref="A45:G45"/>
    <mergeCell ref="A46:G46"/>
    <mergeCell ref="A4:J4"/>
    <mergeCell ref="G9:H9"/>
    <mergeCell ref="A23:F23"/>
    <mergeCell ref="A24:F24"/>
    <mergeCell ref="A26:B26"/>
  </mergeCells>
  <phoneticPr fontId="53" type="noConversion"/>
  <hyperlinks>
    <hyperlink ref="A2" location="'Table of Contents'!A1" display="Back to Table of Contents" xr:uid="{00000000-0004-0000-7900-000000000000}"/>
  </hyperlinks>
  <pageMargins left="0.70866141732283472" right="0.70866141732283472" top="0.74803149606299213" bottom="0.74803149606299213" header="0.31496062992125984" footer="0.31496062992125984"/>
  <pageSetup paperSize="9" scale="54" orientation="portrait" r:id="rId1"/>
</worksheet>
</file>

<file path=xl/worksheets/sheet1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1DB70E8-465D-42A6-801A-5FBD45464040}">
  <sheetPr>
    <tabColor theme="5" tint="0.39997558519241921"/>
  </sheetPr>
  <dimension ref="B4:L33"/>
  <sheetViews>
    <sheetView workbookViewId="0">
      <selection activeCell="E26" sqref="E26"/>
    </sheetView>
  </sheetViews>
  <sheetFormatPr defaultRowHeight="14.4" x14ac:dyDescent="0.3"/>
  <cols>
    <col min="2" max="2" width="20.44140625" bestFit="1" customWidth="1"/>
    <col min="3" max="12" width="13.88671875" bestFit="1" customWidth="1"/>
  </cols>
  <sheetData>
    <row r="4" spans="2:12" x14ac:dyDescent="0.3">
      <c r="B4" s="386" t="s">
        <v>350</v>
      </c>
      <c r="C4" t="s">
        <v>886</v>
      </c>
      <c r="D4" t="s">
        <v>887</v>
      </c>
      <c r="E4" t="s">
        <v>888</v>
      </c>
      <c r="F4" t="s">
        <v>889</v>
      </c>
      <c r="G4" t="s">
        <v>890</v>
      </c>
      <c r="H4" t="s">
        <v>891</v>
      </c>
      <c r="I4" t="s">
        <v>892</v>
      </c>
      <c r="J4" t="s">
        <v>893</v>
      </c>
      <c r="K4" t="s">
        <v>894</v>
      </c>
      <c r="L4" t="s">
        <v>895</v>
      </c>
    </row>
    <row r="5" spans="2:12" x14ac:dyDescent="0.3">
      <c r="B5" s="387" t="s">
        <v>215</v>
      </c>
      <c r="C5">
        <v>1</v>
      </c>
      <c r="D5">
        <v>1</v>
      </c>
      <c r="E5">
        <v>1</v>
      </c>
      <c r="G5">
        <v>2</v>
      </c>
      <c r="H5">
        <v>1</v>
      </c>
      <c r="I5">
        <v>2</v>
      </c>
      <c r="J5">
        <v>0</v>
      </c>
      <c r="K5">
        <v>1</v>
      </c>
      <c r="L5">
        <v>1</v>
      </c>
    </row>
    <row r="6" spans="2:12" x14ac:dyDescent="0.3">
      <c r="B6" s="387" t="s">
        <v>220</v>
      </c>
      <c r="C6">
        <v>3</v>
      </c>
      <c r="D6">
        <v>1</v>
      </c>
      <c r="E6">
        <v>1</v>
      </c>
      <c r="F6">
        <v>3</v>
      </c>
      <c r="G6">
        <v>1</v>
      </c>
      <c r="H6">
        <v>1</v>
      </c>
      <c r="I6">
        <v>0</v>
      </c>
      <c r="J6">
        <v>1</v>
      </c>
      <c r="K6">
        <v>0</v>
      </c>
      <c r="L6">
        <v>1</v>
      </c>
    </row>
    <row r="7" spans="2:12" x14ac:dyDescent="0.3">
      <c r="B7" s="387" t="s">
        <v>228</v>
      </c>
      <c r="C7">
        <v>3</v>
      </c>
      <c r="E7">
        <v>1</v>
      </c>
      <c r="H7">
        <v>1</v>
      </c>
      <c r="I7">
        <v>0</v>
      </c>
      <c r="J7">
        <v>0</v>
      </c>
      <c r="K7">
        <v>0</v>
      </c>
      <c r="L7">
        <v>1</v>
      </c>
    </row>
    <row r="8" spans="2:12" x14ac:dyDescent="0.3">
      <c r="B8" s="387" t="s">
        <v>234</v>
      </c>
      <c r="C8">
        <v>4</v>
      </c>
      <c r="D8">
        <v>2</v>
      </c>
      <c r="E8">
        <v>8</v>
      </c>
      <c r="F8">
        <v>6</v>
      </c>
      <c r="G8">
        <v>3</v>
      </c>
      <c r="H8">
        <v>15</v>
      </c>
      <c r="I8">
        <v>9</v>
      </c>
      <c r="J8">
        <v>6</v>
      </c>
      <c r="K8">
        <v>7</v>
      </c>
      <c r="L8">
        <v>5</v>
      </c>
    </row>
    <row r="9" spans="2:12" x14ac:dyDescent="0.3">
      <c r="B9" s="387" t="s">
        <v>240</v>
      </c>
      <c r="J9">
        <v>0</v>
      </c>
      <c r="K9">
        <v>0</v>
      </c>
      <c r="L9">
        <v>0</v>
      </c>
    </row>
    <row r="10" spans="2:12" x14ac:dyDescent="0.3">
      <c r="B10" s="387" t="s">
        <v>244</v>
      </c>
      <c r="C10">
        <v>1</v>
      </c>
      <c r="F10">
        <v>3</v>
      </c>
      <c r="G10">
        <v>2</v>
      </c>
      <c r="H10">
        <v>1</v>
      </c>
      <c r="I10">
        <v>1</v>
      </c>
      <c r="J10">
        <v>1</v>
      </c>
      <c r="K10">
        <v>1</v>
      </c>
      <c r="L10">
        <v>1</v>
      </c>
    </row>
    <row r="11" spans="2:12" x14ac:dyDescent="0.3">
      <c r="B11" s="387" t="s">
        <v>247</v>
      </c>
      <c r="C11">
        <v>9</v>
      </c>
      <c r="D11">
        <v>3</v>
      </c>
      <c r="E11">
        <v>3</v>
      </c>
      <c r="F11">
        <v>3</v>
      </c>
      <c r="G11">
        <v>5</v>
      </c>
      <c r="H11">
        <v>13</v>
      </c>
      <c r="I11">
        <v>6</v>
      </c>
      <c r="J11">
        <v>0</v>
      </c>
      <c r="K11">
        <v>2</v>
      </c>
      <c r="L11">
        <v>5</v>
      </c>
    </row>
    <row r="12" spans="2:12" x14ac:dyDescent="0.3">
      <c r="B12" s="387" t="s">
        <v>249</v>
      </c>
      <c r="C12">
        <v>1</v>
      </c>
      <c r="D12">
        <v>1</v>
      </c>
      <c r="E12">
        <v>3</v>
      </c>
      <c r="G12">
        <v>1</v>
      </c>
      <c r="H12">
        <v>1</v>
      </c>
      <c r="I12">
        <v>0</v>
      </c>
      <c r="J12">
        <v>1</v>
      </c>
      <c r="K12">
        <v>0</v>
      </c>
      <c r="L12">
        <v>2</v>
      </c>
    </row>
    <row r="13" spans="2:12" x14ac:dyDescent="0.3">
      <c r="B13" s="387" t="s">
        <v>253</v>
      </c>
      <c r="C13">
        <v>3</v>
      </c>
      <c r="E13">
        <v>4</v>
      </c>
      <c r="G13">
        <v>1</v>
      </c>
      <c r="H13">
        <v>0</v>
      </c>
      <c r="I13">
        <v>1</v>
      </c>
      <c r="J13">
        <v>0</v>
      </c>
      <c r="K13">
        <v>0</v>
      </c>
      <c r="L13">
        <v>2</v>
      </c>
    </row>
    <row r="14" spans="2:12" x14ac:dyDescent="0.3">
      <c r="B14" s="387" t="s">
        <v>255</v>
      </c>
      <c r="C14">
        <v>2</v>
      </c>
      <c r="G14">
        <v>2</v>
      </c>
      <c r="H14">
        <v>1</v>
      </c>
      <c r="I14">
        <v>1</v>
      </c>
      <c r="J14">
        <v>1</v>
      </c>
      <c r="K14">
        <v>1</v>
      </c>
      <c r="L14">
        <v>1</v>
      </c>
    </row>
    <row r="15" spans="2:12" x14ac:dyDescent="0.3">
      <c r="B15" s="387" t="s">
        <v>259</v>
      </c>
      <c r="J15">
        <v>0</v>
      </c>
      <c r="K15">
        <v>1</v>
      </c>
      <c r="L15">
        <v>0</v>
      </c>
    </row>
    <row r="16" spans="2:12" x14ac:dyDescent="0.3">
      <c r="B16" s="387" t="s">
        <v>263</v>
      </c>
      <c r="C16">
        <v>2</v>
      </c>
      <c r="G16">
        <v>2</v>
      </c>
      <c r="H16">
        <v>3</v>
      </c>
      <c r="I16">
        <v>4</v>
      </c>
      <c r="J16">
        <v>1</v>
      </c>
      <c r="K16">
        <v>1</v>
      </c>
      <c r="L16">
        <v>1</v>
      </c>
    </row>
    <row r="17" spans="2:12" x14ac:dyDescent="0.3">
      <c r="B17" s="387" t="s">
        <v>267</v>
      </c>
      <c r="D17">
        <v>3</v>
      </c>
      <c r="E17">
        <v>6</v>
      </c>
      <c r="F17">
        <v>2</v>
      </c>
      <c r="G17">
        <v>7</v>
      </c>
      <c r="H17">
        <v>1</v>
      </c>
      <c r="I17">
        <v>7</v>
      </c>
      <c r="J17">
        <v>2</v>
      </c>
      <c r="K17">
        <v>2</v>
      </c>
      <c r="L17">
        <v>0</v>
      </c>
    </row>
    <row r="18" spans="2:12" x14ac:dyDescent="0.3">
      <c r="B18" s="387" t="s">
        <v>270</v>
      </c>
      <c r="C18">
        <v>19</v>
      </c>
      <c r="D18">
        <v>20</v>
      </c>
      <c r="E18">
        <v>23</v>
      </c>
      <c r="F18">
        <v>12</v>
      </c>
      <c r="G18">
        <v>14</v>
      </c>
      <c r="H18">
        <v>9</v>
      </c>
      <c r="I18">
        <v>8</v>
      </c>
      <c r="J18">
        <v>9</v>
      </c>
      <c r="K18">
        <v>11</v>
      </c>
      <c r="L18">
        <v>7</v>
      </c>
    </row>
    <row r="19" spans="2:12" x14ac:dyDescent="0.3">
      <c r="B19" s="387" t="s">
        <v>273</v>
      </c>
      <c r="C19">
        <v>1</v>
      </c>
      <c r="H19">
        <v>1</v>
      </c>
      <c r="I19">
        <v>1</v>
      </c>
      <c r="J19">
        <v>0</v>
      </c>
      <c r="K19">
        <v>2</v>
      </c>
      <c r="L19">
        <v>2</v>
      </c>
    </row>
    <row r="20" spans="2:12" x14ac:dyDescent="0.3">
      <c r="B20" s="387" t="s">
        <v>277</v>
      </c>
      <c r="C20">
        <v>4</v>
      </c>
      <c r="D20">
        <v>3</v>
      </c>
      <c r="E20">
        <v>2</v>
      </c>
      <c r="F20">
        <v>1</v>
      </c>
      <c r="G20">
        <v>2</v>
      </c>
      <c r="H20">
        <v>2</v>
      </c>
      <c r="I20">
        <v>2</v>
      </c>
      <c r="J20">
        <v>2</v>
      </c>
      <c r="K20">
        <v>0</v>
      </c>
      <c r="L20">
        <v>1</v>
      </c>
    </row>
    <row r="21" spans="2:12" x14ac:dyDescent="0.3">
      <c r="B21" s="387" t="s">
        <v>279</v>
      </c>
      <c r="C21">
        <v>3</v>
      </c>
      <c r="D21">
        <v>2</v>
      </c>
      <c r="E21">
        <v>1</v>
      </c>
      <c r="F21">
        <v>3</v>
      </c>
      <c r="G21">
        <v>1</v>
      </c>
      <c r="H21">
        <v>0</v>
      </c>
      <c r="I21">
        <v>1</v>
      </c>
      <c r="J21">
        <v>0</v>
      </c>
      <c r="K21">
        <v>0</v>
      </c>
      <c r="L21">
        <v>0</v>
      </c>
    </row>
    <row r="22" spans="2:12" x14ac:dyDescent="0.3">
      <c r="B22" s="387" t="s">
        <v>281</v>
      </c>
      <c r="E22">
        <v>1</v>
      </c>
      <c r="F22">
        <v>3</v>
      </c>
      <c r="H22">
        <v>2</v>
      </c>
      <c r="I22">
        <v>1</v>
      </c>
      <c r="J22">
        <v>1</v>
      </c>
      <c r="K22">
        <v>0</v>
      </c>
      <c r="L22">
        <v>2</v>
      </c>
    </row>
    <row r="23" spans="2:12" x14ac:dyDescent="0.3">
      <c r="B23" s="387" t="s">
        <v>287</v>
      </c>
      <c r="C23">
        <v>5</v>
      </c>
      <c r="D23">
        <v>2</v>
      </c>
      <c r="E23">
        <v>2</v>
      </c>
      <c r="F23">
        <v>3</v>
      </c>
      <c r="G23">
        <v>1</v>
      </c>
      <c r="H23">
        <v>3</v>
      </c>
      <c r="I23">
        <v>2</v>
      </c>
      <c r="J23">
        <v>5</v>
      </c>
      <c r="K23">
        <v>2</v>
      </c>
      <c r="L23">
        <v>5</v>
      </c>
    </row>
    <row r="24" spans="2:12" x14ac:dyDescent="0.3">
      <c r="B24" s="387" t="s">
        <v>289</v>
      </c>
      <c r="C24">
        <v>3</v>
      </c>
      <c r="D24">
        <v>6</v>
      </c>
      <c r="E24">
        <v>3</v>
      </c>
      <c r="F24">
        <v>8</v>
      </c>
      <c r="G24">
        <v>4</v>
      </c>
      <c r="H24">
        <v>5</v>
      </c>
      <c r="I24">
        <v>8</v>
      </c>
      <c r="J24">
        <v>7</v>
      </c>
      <c r="K24">
        <v>1</v>
      </c>
      <c r="L24">
        <v>5</v>
      </c>
    </row>
    <row r="25" spans="2:12" x14ac:dyDescent="0.3">
      <c r="B25" s="387" t="s">
        <v>294</v>
      </c>
      <c r="J25">
        <v>1</v>
      </c>
      <c r="K25">
        <v>0</v>
      </c>
      <c r="L25">
        <v>1</v>
      </c>
    </row>
    <row r="26" spans="2:12" x14ac:dyDescent="0.3">
      <c r="B26" s="387" t="s">
        <v>296</v>
      </c>
      <c r="C26">
        <v>2</v>
      </c>
      <c r="D26">
        <v>1</v>
      </c>
      <c r="E26">
        <v>1</v>
      </c>
      <c r="F26">
        <v>2</v>
      </c>
      <c r="G26">
        <v>3</v>
      </c>
      <c r="H26">
        <v>1</v>
      </c>
      <c r="I26">
        <v>2</v>
      </c>
      <c r="J26">
        <v>3</v>
      </c>
      <c r="K26">
        <v>0</v>
      </c>
      <c r="L26">
        <v>2</v>
      </c>
    </row>
    <row r="27" spans="2:12" x14ac:dyDescent="0.3">
      <c r="B27" s="387" t="s">
        <v>298</v>
      </c>
      <c r="C27">
        <v>2</v>
      </c>
      <c r="D27">
        <v>3</v>
      </c>
      <c r="E27">
        <v>3</v>
      </c>
      <c r="F27">
        <v>1</v>
      </c>
      <c r="G27">
        <v>2</v>
      </c>
      <c r="H27">
        <v>0</v>
      </c>
      <c r="I27">
        <v>0</v>
      </c>
      <c r="J27">
        <v>0</v>
      </c>
      <c r="K27">
        <v>3</v>
      </c>
      <c r="L27">
        <v>0</v>
      </c>
    </row>
    <row r="28" spans="2:12" x14ac:dyDescent="0.3">
      <c r="B28" s="387" t="s">
        <v>302</v>
      </c>
      <c r="D28">
        <v>1</v>
      </c>
      <c r="G28">
        <v>2</v>
      </c>
      <c r="H28">
        <v>1</v>
      </c>
      <c r="I28">
        <v>0</v>
      </c>
      <c r="J28">
        <v>1</v>
      </c>
      <c r="K28">
        <v>0</v>
      </c>
      <c r="L28">
        <v>0</v>
      </c>
    </row>
    <row r="29" spans="2:12" x14ac:dyDescent="0.3">
      <c r="B29" s="387" t="s">
        <v>304</v>
      </c>
      <c r="C29">
        <v>2</v>
      </c>
      <c r="E29">
        <v>1</v>
      </c>
      <c r="F29">
        <v>1</v>
      </c>
      <c r="G29">
        <v>5</v>
      </c>
      <c r="H29">
        <v>2</v>
      </c>
      <c r="I29">
        <v>2</v>
      </c>
      <c r="J29">
        <v>5</v>
      </c>
      <c r="K29">
        <v>6</v>
      </c>
      <c r="L29">
        <v>2</v>
      </c>
    </row>
    <row r="30" spans="2:12" x14ac:dyDescent="0.3">
      <c r="B30" s="387" t="s">
        <v>307</v>
      </c>
      <c r="C30">
        <v>3</v>
      </c>
      <c r="E30">
        <v>1</v>
      </c>
      <c r="G30">
        <v>1</v>
      </c>
      <c r="H30">
        <v>0</v>
      </c>
      <c r="I30">
        <v>0</v>
      </c>
      <c r="J30">
        <v>0</v>
      </c>
      <c r="K30">
        <v>0</v>
      </c>
      <c r="L30">
        <v>0</v>
      </c>
    </row>
    <row r="31" spans="2:12" x14ac:dyDescent="0.3">
      <c r="B31" s="387" t="s">
        <v>309</v>
      </c>
      <c r="C31">
        <v>1</v>
      </c>
      <c r="E31">
        <v>2</v>
      </c>
      <c r="H31">
        <v>0</v>
      </c>
      <c r="I31">
        <v>1</v>
      </c>
      <c r="J31">
        <v>0</v>
      </c>
      <c r="K31">
        <v>4</v>
      </c>
      <c r="L31">
        <v>2</v>
      </c>
    </row>
    <row r="32" spans="2:12" x14ac:dyDescent="0.3">
      <c r="B32" s="387" t="s">
        <v>311</v>
      </c>
      <c r="C32">
        <v>3</v>
      </c>
      <c r="D32">
        <v>4</v>
      </c>
      <c r="E32">
        <v>5</v>
      </c>
      <c r="F32">
        <v>2</v>
      </c>
      <c r="G32">
        <v>2</v>
      </c>
      <c r="H32">
        <v>2</v>
      </c>
      <c r="I32">
        <v>7</v>
      </c>
      <c r="J32">
        <v>4</v>
      </c>
      <c r="K32">
        <v>6</v>
      </c>
      <c r="L32">
        <v>2</v>
      </c>
    </row>
    <row r="33" spans="2:12" x14ac:dyDescent="0.3">
      <c r="B33" s="387" t="s">
        <v>357</v>
      </c>
      <c r="C33">
        <v>77</v>
      </c>
      <c r="D33">
        <v>53</v>
      </c>
      <c r="E33">
        <v>72</v>
      </c>
      <c r="F33">
        <v>53</v>
      </c>
      <c r="G33">
        <v>63</v>
      </c>
      <c r="H33">
        <v>66</v>
      </c>
      <c r="I33">
        <v>66</v>
      </c>
      <c r="J33">
        <v>51</v>
      </c>
      <c r="K33">
        <v>51</v>
      </c>
      <c r="L33">
        <v>51</v>
      </c>
    </row>
  </sheetData>
  <pageMargins left="0.7" right="0.7" top="0.75" bottom="0.75" header="0.3" footer="0.3"/>
</worksheet>
</file>

<file path=xl/worksheets/sheet1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D88C61-4E56-48EC-86D9-4370CEEAB84A}">
  <sheetPr>
    <tabColor theme="5" tint="0.39997558519241921"/>
  </sheetPr>
  <dimension ref="A1:L29"/>
  <sheetViews>
    <sheetView workbookViewId="0"/>
  </sheetViews>
  <sheetFormatPr defaultRowHeight="14.4" x14ac:dyDescent="0.3"/>
  <cols>
    <col min="1" max="1" width="20.44140625" bestFit="1" customWidth="1"/>
    <col min="2" max="2" width="14" bestFit="1" customWidth="1"/>
    <col min="3" max="11" width="9.6640625" bestFit="1" customWidth="1"/>
    <col min="12" max="12" width="9.6640625" customWidth="1"/>
  </cols>
  <sheetData>
    <row r="1" spans="1:12" x14ac:dyDescent="0.3">
      <c r="A1" t="s">
        <v>358</v>
      </c>
      <c r="B1" t="s">
        <v>896</v>
      </c>
      <c r="C1" t="s">
        <v>341</v>
      </c>
      <c r="D1" t="s">
        <v>342</v>
      </c>
      <c r="E1" t="s">
        <v>213</v>
      </c>
      <c r="F1" t="s">
        <v>312</v>
      </c>
      <c r="G1" t="s">
        <v>318</v>
      </c>
      <c r="H1" t="s">
        <v>320</v>
      </c>
      <c r="I1" t="s">
        <v>325</v>
      </c>
      <c r="J1" t="s">
        <v>326</v>
      </c>
      <c r="K1" t="s">
        <v>328</v>
      </c>
      <c r="L1" t="s">
        <v>412</v>
      </c>
    </row>
    <row r="2" spans="1:12" x14ac:dyDescent="0.3">
      <c r="A2" t="s">
        <v>215</v>
      </c>
      <c r="B2" t="s">
        <v>214</v>
      </c>
      <c r="C2">
        <v>1</v>
      </c>
      <c r="D2">
        <v>1</v>
      </c>
      <c r="E2">
        <v>1</v>
      </c>
      <c r="G2">
        <v>2</v>
      </c>
      <c r="H2">
        <v>1</v>
      </c>
      <c r="I2">
        <v>2</v>
      </c>
      <c r="J2">
        <v>0</v>
      </c>
      <c r="K2">
        <v>1</v>
      </c>
      <c r="L2">
        <v>1</v>
      </c>
    </row>
    <row r="3" spans="1:12" x14ac:dyDescent="0.3">
      <c r="A3" t="s">
        <v>220</v>
      </c>
      <c r="B3" t="s">
        <v>219</v>
      </c>
      <c r="C3">
        <v>3</v>
      </c>
      <c r="D3">
        <v>1</v>
      </c>
      <c r="E3">
        <v>1</v>
      </c>
      <c r="F3">
        <v>3</v>
      </c>
      <c r="G3">
        <v>1</v>
      </c>
      <c r="H3">
        <v>1</v>
      </c>
      <c r="I3">
        <v>0</v>
      </c>
      <c r="J3">
        <v>1</v>
      </c>
      <c r="K3">
        <v>0</v>
      </c>
      <c r="L3">
        <v>1</v>
      </c>
    </row>
    <row r="4" spans="1:12" x14ac:dyDescent="0.3">
      <c r="A4" t="s">
        <v>228</v>
      </c>
      <c r="B4" t="s">
        <v>227</v>
      </c>
      <c r="C4">
        <v>3</v>
      </c>
      <c r="E4">
        <v>1</v>
      </c>
      <c r="H4">
        <v>1</v>
      </c>
      <c r="I4">
        <v>0</v>
      </c>
      <c r="J4">
        <v>0</v>
      </c>
      <c r="K4">
        <v>0</v>
      </c>
      <c r="L4">
        <v>1</v>
      </c>
    </row>
    <row r="5" spans="1:12" x14ac:dyDescent="0.3">
      <c r="A5" t="s">
        <v>234</v>
      </c>
      <c r="B5" t="s">
        <v>233</v>
      </c>
      <c r="C5">
        <v>4</v>
      </c>
      <c r="D5">
        <v>2</v>
      </c>
      <c r="E5">
        <v>8</v>
      </c>
      <c r="F5">
        <v>6</v>
      </c>
      <c r="G5">
        <v>3</v>
      </c>
      <c r="H5">
        <v>15</v>
      </c>
      <c r="I5">
        <v>9</v>
      </c>
      <c r="J5">
        <v>6</v>
      </c>
      <c r="K5">
        <v>7</v>
      </c>
      <c r="L5">
        <v>5</v>
      </c>
    </row>
    <row r="6" spans="1:12" x14ac:dyDescent="0.3">
      <c r="A6" t="s">
        <v>240</v>
      </c>
      <c r="B6" t="s">
        <v>239</v>
      </c>
      <c r="J6">
        <v>0</v>
      </c>
      <c r="K6">
        <v>0</v>
      </c>
      <c r="L6">
        <v>0</v>
      </c>
    </row>
    <row r="7" spans="1:12" x14ac:dyDescent="0.3">
      <c r="A7" t="s">
        <v>244</v>
      </c>
      <c r="B7" t="s">
        <v>243</v>
      </c>
      <c r="C7">
        <v>1</v>
      </c>
      <c r="F7">
        <v>3</v>
      </c>
      <c r="G7">
        <v>2</v>
      </c>
      <c r="H7">
        <v>1</v>
      </c>
      <c r="I7">
        <v>1</v>
      </c>
      <c r="J7">
        <v>1</v>
      </c>
      <c r="K7">
        <v>1</v>
      </c>
      <c r="L7">
        <v>1</v>
      </c>
    </row>
    <row r="8" spans="1:12" x14ac:dyDescent="0.3">
      <c r="A8" t="s">
        <v>247</v>
      </c>
      <c r="B8" t="s">
        <v>246</v>
      </c>
      <c r="C8">
        <v>9</v>
      </c>
      <c r="D8">
        <v>3</v>
      </c>
      <c r="E8">
        <v>3</v>
      </c>
      <c r="F8">
        <v>3</v>
      </c>
      <c r="G8">
        <v>5</v>
      </c>
      <c r="H8">
        <v>13</v>
      </c>
      <c r="I8">
        <v>6</v>
      </c>
      <c r="J8">
        <v>0</v>
      </c>
      <c r="K8">
        <v>2</v>
      </c>
      <c r="L8">
        <v>5</v>
      </c>
    </row>
    <row r="9" spans="1:12" x14ac:dyDescent="0.3">
      <c r="A9" t="s">
        <v>249</v>
      </c>
      <c r="B9" t="s">
        <v>248</v>
      </c>
      <c r="C9">
        <v>1</v>
      </c>
      <c r="D9">
        <v>1</v>
      </c>
      <c r="E9">
        <v>3</v>
      </c>
      <c r="G9">
        <v>1</v>
      </c>
      <c r="H9">
        <v>1</v>
      </c>
      <c r="I9">
        <v>0</v>
      </c>
      <c r="J9">
        <v>1</v>
      </c>
      <c r="K9">
        <v>0</v>
      </c>
      <c r="L9">
        <v>2</v>
      </c>
    </row>
    <row r="10" spans="1:12" x14ac:dyDescent="0.3">
      <c r="A10" t="s">
        <v>253</v>
      </c>
      <c r="B10" t="s">
        <v>252</v>
      </c>
      <c r="C10">
        <v>3</v>
      </c>
      <c r="E10">
        <v>4</v>
      </c>
      <c r="G10">
        <v>1</v>
      </c>
      <c r="H10">
        <v>0</v>
      </c>
      <c r="I10">
        <v>1</v>
      </c>
      <c r="J10">
        <v>0</v>
      </c>
      <c r="K10">
        <v>0</v>
      </c>
      <c r="L10">
        <v>2</v>
      </c>
    </row>
    <row r="11" spans="1:12" x14ac:dyDescent="0.3">
      <c r="A11" t="s">
        <v>255</v>
      </c>
      <c r="B11" t="s">
        <v>254</v>
      </c>
      <c r="C11">
        <v>2</v>
      </c>
      <c r="G11">
        <v>2</v>
      </c>
      <c r="H11">
        <v>1</v>
      </c>
      <c r="I11">
        <v>1</v>
      </c>
      <c r="J11">
        <v>1</v>
      </c>
      <c r="K11">
        <v>1</v>
      </c>
      <c r="L11">
        <v>1</v>
      </c>
    </row>
    <row r="12" spans="1:12" x14ac:dyDescent="0.3">
      <c r="A12" t="s">
        <v>259</v>
      </c>
      <c r="B12" t="s">
        <v>258</v>
      </c>
      <c r="J12">
        <v>0</v>
      </c>
      <c r="K12">
        <v>1</v>
      </c>
      <c r="L12">
        <v>0</v>
      </c>
    </row>
    <row r="13" spans="1:12" x14ac:dyDescent="0.3">
      <c r="A13" t="s">
        <v>263</v>
      </c>
      <c r="B13" t="s">
        <v>262</v>
      </c>
      <c r="C13">
        <v>2</v>
      </c>
      <c r="G13">
        <v>2</v>
      </c>
      <c r="H13">
        <v>3</v>
      </c>
      <c r="I13">
        <v>4</v>
      </c>
      <c r="J13">
        <v>1</v>
      </c>
      <c r="K13">
        <v>1</v>
      </c>
      <c r="L13">
        <v>1</v>
      </c>
    </row>
    <row r="14" spans="1:12" x14ac:dyDescent="0.3">
      <c r="A14" t="s">
        <v>267</v>
      </c>
      <c r="B14" t="s">
        <v>266</v>
      </c>
      <c r="D14">
        <v>3</v>
      </c>
      <c r="E14">
        <v>6</v>
      </c>
      <c r="F14">
        <v>2</v>
      </c>
      <c r="G14">
        <v>7</v>
      </c>
      <c r="H14">
        <v>1</v>
      </c>
      <c r="I14">
        <v>7</v>
      </c>
      <c r="J14">
        <v>2</v>
      </c>
      <c r="K14">
        <v>2</v>
      </c>
      <c r="L14">
        <v>0</v>
      </c>
    </row>
    <row r="15" spans="1:12" x14ac:dyDescent="0.3">
      <c r="A15" t="s">
        <v>270</v>
      </c>
      <c r="B15" t="s">
        <v>314</v>
      </c>
      <c r="C15">
        <v>19</v>
      </c>
      <c r="D15">
        <v>20</v>
      </c>
      <c r="E15">
        <v>23</v>
      </c>
      <c r="F15">
        <v>12</v>
      </c>
      <c r="G15">
        <v>14</v>
      </c>
      <c r="H15">
        <v>9</v>
      </c>
      <c r="I15">
        <v>8</v>
      </c>
      <c r="J15">
        <v>9</v>
      </c>
      <c r="K15">
        <v>11</v>
      </c>
      <c r="L15">
        <v>7</v>
      </c>
    </row>
    <row r="16" spans="1:12" x14ac:dyDescent="0.3">
      <c r="A16" t="s">
        <v>273</v>
      </c>
      <c r="B16" t="s">
        <v>272</v>
      </c>
      <c r="C16">
        <v>1</v>
      </c>
      <c r="H16">
        <v>1</v>
      </c>
      <c r="I16">
        <v>1</v>
      </c>
      <c r="J16">
        <v>0</v>
      </c>
      <c r="K16">
        <v>2</v>
      </c>
      <c r="L16">
        <v>2</v>
      </c>
    </row>
    <row r="17" spans="1:12" x14ac:dyDescent="0.3">
      <c r="A17" t="s">
        <v>277</v>
      </c>
      <c r="B17" t="s">
        <v>276</v>
      </c>
      <c r="C17">
        <v>4</v>
      </c>
      <c r="D17">
        <v>3</v>
      </c>
      <c r="E17">
        <v>2</v>
      </c>
      <c r="F17">
        <v>1</v>
      </c>
      <c r="G17">
        <v>2</v>
      </c>
      <c r="H17">
        <v>2</v>
      </c>
      <c r="I17">
        <v>2</v>
      </c>
      <c r="J17">
        <v>2</v>
      </c>
      <c r="K17">
        <v>0</v>
      </c>
      <c r="L17">
        <v>1</v>
      </c>
    </row>
    <row r="18" spans="1:12" x14ac:dyDescent="0.3">
      <c r="A18" t="s">
        <v>279</v>
      </c>
      <c r="B18" t="s">
        <v>278</v>
      </c>
      <c r="C18">
        <v>3</v>
      </c>
      <c r="D18">
        <v>2</v>
      </c>
      <c r="E18">
        <v>1</v>
      </c>
      <c r="F18">
        <v>3</v>
      </c>
      <c r="G18">
        <v>1</v>
      </c>
      <c r="H18">
        <v>0</v>
      </c>
      <c r="I18">
        <v>1</v>
      </c>
      <c r="J18">
        <v>0</v>
      </c>
      <c r="K18">
        <v>0</v>
      </c>
      <c r="L18">
        <v>0</v>
      </c>
    </row>
    <row r="19" spans="1:12" x14ac:dyDescent="0.3">
      <c r="A19" t="s">
        <v>281</v>
      </c>
      <c r="B19" t="s">
        <v>280</v>
      </c>
      <c r="E19">
        <v>1</v>
      </c>
      <c r="F19">
        <v>3</v>
      </c>
      <c r="H19">
        <v>2</v>
      </c>
      <c r="I19">
        <v>1</v>
      </c>
      <c r="J19">
        <v>1</v>
      </c>
      <c r="K19">
        <v>0</v>
      </c>
      <c r="L19">
        <v>2</v>
      </c>
    </row>
    <row r="20" spans="1:12" x14ac:dyDescent="0.3">
      <c r="A20" t="s">
        <v>287</v>
      </c>
      <c r="B20" t="s">
        <v>286</v>
      </c>
      <c r="C20">
        <v>5</v>
      </c>
      <c r="D20">
        <v>2</v>
      </c>
      <c r="E20">
        <v>2</v>
      </c>
      <c r="F20">
        <v>3</v>
      </c>
      <c r="G20">
        <v>1</v>
      </c>
      <c r="H20">
        <v>3</v>
      </c>
      <c r="I20">
        <v>2</v>
      </c>
      <c r="J20">
        <v>5</v>
      </c>
      <c r="K20">
        <v>2</v>
      </c>
      <c r="L20">
        <v>5</v>
      </c>
    </row>
    <row r="21" spans="1:12" x14ac:dyDescent="0.3">
      <c r="A21" t="s">
        <v>289</v>
      </c>
      <c r="B21" t="s">
        <v>316</v>
      </c>
      <c r="C21">
        <v>3</v>
      </c>
      <c r="D21">
        <v>6</v>
      </c>
      <c r="E21">
        <v>3</v>
      </c>
      <c r="F21">
        <v>8</v>
      </c>
      <c r="G21">
        <v>4</v>
      </c>
      <c r="H21">
        <v>5</v>
      </c>
      <c r="I21">
        <v>8</v>
      </c>
      <c r="J21">
        <v>7</v>
      </c>
      <c r="K21">
        <v>1</v>
      </c>
      <c r="L21">
        <v>5</v>
      </c>
    </row>
    <row r="22" spans="1:12" x14ac:dyDescent="0.3">
      <c r="A22" t="s">
        <v>294</v>
      </c>
      <c r="B22" t="s">
        <v>496</v>
      </c>
      <c r="J22">
        <v>1</v>
      </c>
      <c r="K22">
        <v>0</v>
      </c>
      <c r="L22">
        <v>1</v>
      </c>
    </row>
    <row r="23" spans="1:12" x14ac:dyDescent="0.3">
      <c r="A23" t="s">
        <v>296</v>
      </c>
      <c r="B23" t="s">
        <v>295</v>
      </c>
      <c r="C23">
        <v>2</v>
      </c>
      <c r="D23">
        <v>1</v>
      </c>
      <c r="E23">
        <v>1</v>
      </c>
      <c r="F23">
        <v>2</v>
      </c>
      <c r="G23">
        <v>3</v>
      </c>
      <c r="H23">
        <v>1</v>
      </c>
      <c r="I23">
        <v>2</v>
      </c>
      <c r="J23">
        <v>3</v>
      </c>
      <c r="K23">
        <v>0</v>
      </c>
      <c r="L23">
        <v>2</v>
      </c>
    </row>
    <row r="24" spans="1:12" x14ac:dyDescent="0.3">
      <c r="A24" t="s">
        <v>298</v>
      </c>
      <c r="B24" t="s">
        <v>297</v>
      </c>
      <c r="C24">
        <v>2</v>
      </c>
      <c r="D24">
        <v>3</v>
      </c>
      <c r="E24">
        <v>3</v>
      </c>
      <c r="F24">
        <v>1</v>
      </c>
      <c r="G24">
        <v>2</v>
      </c>
      <c r="H24">
        <v>0</v>
      </c>
      <c r="I24">
        <v>0</v>
      </c>
      <c r="J24">
        <v>0</v>
      </c>
      <c r="K24">
        <v>3</v>
      </c>
      <c r="L24">
        <v>0</v>
      </c>
    </row>
    <row r="25" spans="1:12" x14ac:dyDescent="0.3">
      <c r="A25" t="s">
        <v>302</v>
      </c>
      <c r="B25" t="s">
        <v>301</v>
      </c>
      <c r="D25">
        <v>1</v>
      </c>
      <c r="G25">
        <v>2</v>
      </c>
      <c r="H25">
        <v>1</v>
      </c>
      <c r="I25">
        <v>0</v>
      </c>
      <c r="J25">
        <v>1</v>
      </c>
      <c r="K25">
        <v>0</v>
      </c>
      <c r="L25">
        <v>0</v>
      </c>
    </row>
    <row r="26" spans="1:12" x14ac:dyDescent="0.3">
      <c r="A26" t="s">
        <v>304</v>
      </c>
      <c r="B26" t="s">
        <v>303</v>
      </c>
      <c r="C26">
        <v>2</v>
      </c>
      <c r="E26">
        <v>1</v>
      </c>
      <c r="F26">
        <v>1</v>
      </c>
      <c r="G26">
        <v>5</v>
      </c>
      <c r="H26">
        <v>2</v>
      </c>
      <c r="I26">
        <v>2</v>
      </c>
      <c r="J26">
        <v>5</v>
      </c>
      <c r="K26">
        <v>6</v>
      </c>
      <c r="L26">
        <v>2</v>
      </c>
    </row>
    <row r="27" spans="1:12" x14ac:dyDescent="0.3">
      <c r="A27" t="s">
        <v>307</v>
      </c>
      <c r="B27" t="s">
        <v>306</v>
      </c>
      <c r="C27">
        <v>3</v>
      </c>
      <c r="E27">
        <v>1</v>
      </c>
      <c r="G27">
        <v>1</v>
      </c>
      <c r="H27">
        <v>0</v>
      </c>
      <c r="I27">
        <v>0</v>
      </c>
      <c r="J27">
        <v>0</v>
      </c>
      <c r="K27">
        <v>0</v>
      </c>
      <c r="L27">
        <v>0</v>
      </c>
    </row>
    <row r="28" spans="1:12" x14ac:dyDescent="0.3">
      <c r="A28" t="s">
        <v>309</v>
      </c>
      <c r="B28" t="s">
        <v>308</v>
      </c>
      <c r="C28">
        <v>1</v>
      </c>
      <c r="E28">
        <v>2</v>
      </c>
      <c r="H28">
        <v>0</v>
      </c>
      <c r="I28">
        <v>1</v>
      </c>
      <c r="J28">
        <v>0</v>
      </c>
      <c r="K28">
        <v>4</v>
      </c>
      <c r="L28">
        <v>2</v>
      </c>
    </row>
    <row r="29" spans="1:12" x14ac:dyDescent="0.3">
      <c r="A29" t="s">
        <v>311</v>
      </c>
      <c r="B29" t="s">
        <v>310</v>
      </c>
      <c r="C29">
        <v>3</v>
      </c>
      <c r="D29">
        <v>4</v>
      </c>
      <c r="E29">
        <v>5</v>
      </c>
      <c r="F29">
        <v>2</v>
      </c>
      <c r="G29">
        <v>2</v>
      </c>
      <c r="H29">
        <v>2</v>
      </c>
      <c r="I29">
        <v>7</v>
      </c>
      <c r="J29">
        <v>4</v>
      </c>
      <c r="K29">
        <v>6</v>
      </c>
      <c r="L29">
        <v>2</v>
      </c>
    </row>
  </sheetData>
  <phoneticPr fontId="53" type="noConversion"/>
  <pageMargins left="0.7" right="0.7" top="0.75" bottom="0.75" header="0.3" footer="0.3"/>
  <tableParts count="1">
    <tablePart r:id="rId1"/>
  </tableParts>
</worksheet>
</file>

<file path=xl/worksheets/sheet1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Sheet26">
    <tabColor theme="5" tint="0.39997558519241921"/>
    <pageSetUpPr fitToPage="1"/>
  </sheetPr>
  <dimension ref="A1:L45"/>
  <sheetViews>
    <sheetView showGridLines="0" zoomScaleNormal="100" workbookViewId="0">
      <pane ySplit="2" topLeftCell="A3" activePane="bottomLeft" state="frozen"/>
      <selection pane="bottomLeft" sqref="A1:B1"/>
    </sheetView>
  </sheetViews>
  <sheetFormatPr defaultRowHeight="14.4" x14ac:dyDescent="0.3"/>
  <cols>
    <col min="1" max="1" width="19.6640625" customWidth="1"/>
    <col min="2" max="2" width="21" bestFit="1" customWidth="1"/>
    <col min="3" max="3" width="9.44140625" customWidth="1"/>
    <col min="4" max="4" width="9.109375" customWidth="1"/>
    <col min="5" max="5" width="9.5546875" customWidth="1"/>
    <col min="6" max="6" width="9.88671875" customWidth="1"/>
    <col min="7" max="7" width="9" customWidth="1"/>
    <col min="8" max="8" width="8.88671875" customWidth="1"/>
    <col min="9" max="9" width="8.44140625" customWidth="1"/>
  </cols>
  <sheetData>
    <row r="1" spans="1:12" ht="15.6" x14ac:dyDescent="0.3">
      <c r="A1" s="1030" t="s">
        <v>874</v>
      </c>
      <c r="B1" s="1030"/>
    </row>
    <row r="2" spans="1:12" ht="15.6" x14ac:dyDescent="0.3">
      <c r="A2" s="498" t="s">
        <v>202</v>
      </c>
      <c r="B2" s="440"/>
    </row>
    <row r="3" spans="1:12" x14ac:dyDescent="0.3">
      <c r="C3" s="213"/>
      <c r="D3" s="213"/>
      <c r="E3" s="213"/>
    </row>
    <row r="4" spans="1:12" ht="15.75" customHeight="1" x14ac:dyDescent="0.3">
      <c r="A4" s="1072" t="s">
        <v>897</v>
      </c>
      <c r="B4" s="1072"/>
      <c r="C4" s="1072"/>
      <c r="D4" s="1072"/>
      <c r="E4" s="1072"/>
      <c r="F4" s="1072"/>
      <c r="G4" s="1072"/>
      <c r="H4" s="1072"/>
      <c r="I4" s="1072"/>
      <c r="J4" s="1072"/>
      <c r="K4" s="1072"/>
    </row>
    <row r="5" spans="1:12" ht="15.75" customHeight="1" x14ac:dyDescent="0.3">
      <c r="A5" t="s">
        <v>203</v>
      </c>
      <c r="B5" t="s">
        <v>124</v>
      </c>
      <c r="C5" s="231"/>
      <c r="D5" s="231"/>
      <c r="E5" s="231"/>
    </row>
    <row r="6" spans="1:12" ht="15.75" customHeight="1" x14ac:dyDescent="0.3">
      <c r="A6" t="s">
        <v>204</v>
      </c>
      <c r="B6" t="s">
        <v>205</v>
      </c>
      <c r="C6" s="231"/>
      <c r="D6" s="231"/>
      <c r="E6" s="231"/>
    </row>
    <row r="7" spans="1:12" ht="15.75" customHeight="1" x14ac:dyDescent="0.3">
      <c r="A7" t="s">
        <v>206</v>
      </c>
      <c r="B7" t="s">
        <v>876</v>
      </c>
      <c r="C7" s="231"/>
      <c r="D7" s="231"/>
      <c r="E7" s="231"/>
    </row>
    <row r="8" spans="1:12" x14ac:dyDescent="0.3">
      <c r="B8" s="15"/>
      <c r="C8" s="15"/>
      <c r="D8" s="15"/>
      <c r="E8" s="212"/>
      <c r="F8" s="212"/>
      <c r="G8" s="212"/>
      <c r="H8" s="212"/>
      <c r="I8" s="212"/>
    </row>
    <row r="9" spans="1:12" x14ac:dyDescent="0.3">
      <c r="A9" s="600" t="s">
        <v>209</v>
      </c>
      <c r="B9" s="828" t="s">
        <v>34</v>
      </c>
      <c r="C9" s="525" t="s">
        <v>341</v>
      </c>
      <c r="D9" s="525" t="s">
        <v>342</v>
      </c>
      <c r="E9" s="525" t="s">
        <v>213</v>
      </c>
      <c r="F9" s="525" t="s">
        <v>312</v>
      </c>
      <c r="G9" s="525" t="s">
        <v>318</v>
      </c>
      <c r="H9" s="525" t="s">
        <v>320</v>
      </c>
      <c r="I9" s="525" t="s">
        <v>325</v>
      </c>
      <c r="J9" s="647" t="s">
        <v>326</v>
      </c>
      <c r="K9" s="647" t="s">
        <v>328</v>
      </c>
      <c r="L9" s="647" t="s">
        <v>412</v>
      </c>
    </row>
    <row r="10" spans="1:12" x14ac:dyDescent="0.3">
      <c r="A10" s="718" t="s">
        <v>214</v>
      </c>
      <c r="B10" s="718" t="s">
        <v>215</v>
      </c>
      <c r="C10" s="601">
        <f>GETPIVOTDATA("Sum of 2016-17",AttacksAreaPivot!$B$4,"LA",B10)</f>
        <v>1</v>
      </c>
      <c r="D10" s="601">
        <f>GETPIVOTDATA("Sum of 2017-18",AttacksAreaPivot!$B$4,"LA",B10)</f>
        <v>1</v>
      </c>
      <c r="E10" s="601">
        <f>GETPIVOTDATA("Sum of 2018-19",AttacksAreaPivot!$B$4,"LA",B10)</f>
        <v>1</v>
      </c>
      <c r="F10" s="601">
        <f>GETPIVOTDATA("Sum of 2019-20",AttacksAreaPivot!$B$4,"LA",B10)</f>
        <v>0</v>
      </c>
      <c r="G10" s="601">
        <f>GETPIVOTDATA("Sum of 2020-21",AttacksAreaPivot!$B$4,"LA",B10)</f>
        <v>2</v>
      </c>
      <c r="H10" s="601">
        <f>GETPIVOTDATA("Sum of 2021-22",AttacksAreaPivot!$B$4,"LA",B10)</f>
        <v>1</v>
      </c>
      <c r="I10" s="601">
        <f>GETPIVOTDATA("Sum of 2022-23",AttacksAreaPivot!$B$4,"LA",B10)</f>
        <v>2</v>
      </c>
      <c r="J10" s="601">
        <f>GETPIVOTDATA("Sum of 2023-24",AttacksAreaPivot!$B$4,"LA",B10)</f>
        <v>0</v>
      </c>
      <c r="K10" s="601">
        <f>GETPIVOTDATA("Sum of 2024-25",AttacksAreaPivot!$B$4,"LA",B10)</f>
        <v>1</v>
      </c>
      <c r="L10" s="601">
        <f>GETPIVOTDATA("Sum of 2025-26",AttacksAreaPivot!$B$4,"LA",B10)</f>
        <v>1</v>
      </c>
    </row>
    <row r="11" spans="1:12" x14ac:dyDescent="0.3">
      <c r="A11" s="718" t="s">
        <v>219</v>
      </c>
      <c r="B11" s="718" t="s">
        <v>220</v>
      </c>
      <c r="C11" s="601">
        <f>GETPIVOTDATA("Sum of 2016-17",AttacksAreaPivot!$B$4,"LA",B11)</f>
        <v>3</v>
      </c>
      <c r="D11" s="601">
        <f>GETPIVOTDATA("Sum of 2017-18",AttacksAreaPivot!$B$4,"LA",B11)</f>
        <v>1</v>
      </c>
      <c r="E11" s="601">
        <f>GETPIVOTDATA("Sum of 2018-19",AttacksAreaPivot!$B$4,"LA",B11)</f>
        <v>1</v>
      </c>
      <c r="F11" s="601">
        <f>GETPIVOTDATA("Sum of 2019-20",AttacksAreaPivot!$B$4,"LA",B11)</f>
        <v>3</v>
      </c>
      <c r="G11" s="601">
        <f>GETPIVOTDATA("Sum of 2020-21",AttacksAreaPivot!$B$4,"LA",B11)</f>
        <v>1</v>
      </c>
      <c r="H11" s="601">
        <f>GETPIVOTDATA("Sum of 2021-22",AttacksAreaPivot!$B$4,"LA",B11)</f>
        <v>1</v>
      </c>
      <c r="I11" s="601">
        <f>GETPIVOTDATA("Sum of 2022-23",AttacksAreaPivot!$B$4,"LA",B11)</f>
        <v>0</v>
      </c>
      <c r="J11" s="601">
        <f>GETPIVOTDATA("Sum of 2023-24",AttacksAreaPivot!$B$4,"LA",B11)</f>
        <v>1</v>
      </c>
      <c r="K11" s="601">
        <f>GETPIVOTDATA("Sum of 2024-25",AttacksAreaPivot!$B$4,"LA",B11)</f>
        <v>0</v>
      </c>
      <c r="L11" s="601">
        <f>GETPIVOTDATA("Sum of 2025-26",AttacksAreaPivot!$B$4,"LA",B11)</f>
        <v>1</v>
      </c>
    </row>
    <row r="12" spans="1:12" x14ac:dyDescent="0.3">
      <c r="A12" s="718" t="s">
        <v>223</v>
      </c>
      <c r="B12" s="718" t="s">
        <v>224</v>
      </c>
      <c r="C12" s="601" t="str">
        <f>IFERROR(GETPIVOTDATA("Sum of 2016-17",AttacksAreaPivot!$B$4,"LA",B12), "-")</f>
        <v>-</v>
      </c>
      <c r="D12" s="601" t="str">
        <f>IFERROR(GETPIVOTDATA("Sum of 2017-18",AttacksAreaPivot!$B$4,"LA",B12), "-")</f>
        <v>-</v>
      </c>
      <c r="E12" s="601" t="str">
        <f>IFERROR(GETPIVOTDATA("Sum of 2018-19",AttacksAreaPivot!$B$4,"LA",B12), "-")</f>
        <v>-</v>
      </c>
      <c r="F12" s="601" t="str">
        <f>IFERROR(GETPIVOTDATA("Sum of 2019-20",AttacksAreaPivot!$B$4,"LA",B12), "-")</f>
        <v>-</v>
      </c>
      <c r="G12" s="601" t="str">
        <f>IFERROR(GETPIVOTDATA("Sum of 2020-21",AttacksAreaPivot!$B$4,"LA",B12), "-")</f>
        <v>-</v>
      </c>
      <c r="H12" s="601" t="str">
        <f>IFERROR(GETPIVOTDATA("Sum of 2021-22",AttacksAreaPivot!$B$4,"LA",B12), "-")</f>
        <v>-</v>
      </c>
      <c r="I12" s="601" t="str">
        <f>IFERROR(GETPIVOTDATA("Sum of 2022-23",AttacksAreaPivot!$B$4,"LA",B12), "-")</f>
        <v>-</v>
      </c>
      <c r="J12" s="601" t="str">
        <f>IFERROR(GETPIVOTDATA("Sum of 2023-24",AttacksAreaPivot!$B$4,"LA",B12), "-")</f>
        <v>-</v>
      </c>
      <c r="K12" s="601" t="str">
        <f>IFERROR(GETPIVOTDATA("Sum of 2024-25",AttacksAreaPivot!$B$4,"LA",B12), "-")</f>
        <v>-</v>
      </c>
      <c r="L12" s="601" t="str">
        <f>IFERROR(GETPIVOTDATA("Sum of 2025-26",AttacksAreaPivot!$B$4,"LA",B12), "-")</f>
        <v>-</v>
      </c>
    </row>
    <row r="13" spans="1:12" x14ac:dyDescent="0.3">
      <c r="A13" s="718" t="s">
        <v>227</v>
      </c>
      <c r="B13" s="718" t="s">
        <v>228</v>
      </c>
      <c r="C13" s="601">
        <f>GETPIVOTDATA("Sum of 2016-17",AttacksAreaPivot!$B$4,"LA",B13)</f>
        <v>3</v>
      </c>
      <c r="D13" s="601">
        <f>GETPIVOTDATA("Sum of 2017-18",AttacksAreaPivot!$B$4,"LA",B13)</f>
        <v>0</v>
      </c>
      <c r="E13" s="601">
        <f>GETPIVOTDATA("Sum of 2018-19",AttacksAreaPivot!$B$4,"LA",B13)</f>
        <v>1</v>
      </c>
      <c r="F13" s="601">
        <f>GETPIVOTDATA("Sum of 2019-20",AttacksAreaPivot!$B$4,"LA",B13)</f>
        <v>0</v>
      </c>
      <c r="G13" s="601">
        <f>GETPIVOTDATA("Sum of 2020-21",AttacksAreaPivot!$B$4,"LA",B13)</f>
        <v>0</v>
      </c>
      <c r="H13" s="601">
        <f>GETPIVOTDATA("Sum of 2021-22",AttacksAreaPivot!$B$4,"LA",B13)</f>
        <v>1</v>
      </c>
      <c r="I13" s="601">
        <f>GETPIVOTDATA("Sum of 2022-23",AttacksAreaPivot!$B$4,"LA",B13)</f>
        <v>0</v>
      </c>
      <c r="J13" s="601">
        <f>GETPIVOTDATA("Sum of 2023-24",AttacksAreaPivot!$B$4,"LA",B13)</f>
        <v>0</v>
      </c>
      <c r="K13" s="601">
        <f>GETPIVOTDATA("Sum of 2024-25",AttacksAreaPivot!$B$4,"LA",B13)</f>
        <v>0</v>
      </c>
      <c r="L13" s="601">
        <f>GETPIVOTDATA("Sum of 2025-26",AttacksAreaPivot!$B$4,"LA",B13)</f>
        <v>1</v>
      </c>
    </row>
    <row r="14" spans="1:12" x14ac:dyDescent="0.3">
      <c r="A14" s="718" t="s">
        <v>233</v>
      </c>
      <c r="B14" s="718" t="s">
        <v>234</v>
      </c>
      <c r="C14" s="601">
        <f>GETPIVOTDATA("Sum of 2016-17",AttacksAreaPivot!$B$4,"LA",B14)</f>
        <v>4</v>
      </c>
      <c r="D14" s="601">
        <f>GETPIVOTDATA("Sum of 2017-18",AttacksAreaPivot!$B$4,"LA",B14)</f>
        <v>2</v>
      </c>
      <c r="E14" s="601">
        <f>GETPIVOTDATA("Sum of 2018-19",AttacksAreaPivot!$B$4,"LA",B14)</f>
        <v>8</v>
      </c>
      <c r="F14" s="601">
        <f>GETPIVOTDATA("Sum of 2019-20",AttacksAreaPivot!$B$4,"LA",B14)</f>
        <v>6</v>
      </c>
      <c r="G14" s="601">
        <f>GETPIVOTDATA("Sum of 2020-21",AttacksAreaPivot!$B$4,"LA",B14)</f>
        <v>3</v>
      </c>
      <c r="H14" s="601">
        <f>GETPIVOTDATA("Sum of 2021-22",AttacksAreaPivot!$B$4,"LA",B14)</f>
        <v>15</v>
      </c>
      <c r="I14" s="601">
        <f>GETPIVOTDATA("Sum of 2022-23",AttacksAreaPivot!$B$4,"LA",B14)</f>
        <v>9</v>
      </c>
      <c r="J14" s="601">
        <f>GETPIVOTDATA("Sum of 2023-24",AttacksAreaPivot!$B$4,"LA",B14)</f>
        <v>6</v>
      </c>
      <c r="K14" s="601">
        <f>GETPIVOTDATA("Sum of 2024-25",AttacksAreaPivot!$B$4,"LA",B14)</f>
        <v>7</v>
      </c>
      <c r="L14" s="601">
        <f>GETPIVOTDATA("Sum of 2025-26",AttacksAreaPivot!$B$4,"LA",B14)</f>
        <v>5</v>
      </c>
    </row>
    <row r="15" spans="1:12" x14ac:dyDescent="0.3">
      <c r="A15" s="718" t="s">
        <v>239</v>
      </c>
      <c r="B15" s="718" t="s">
        <v>240</v>
      </c>
      <c r="C15" s="601">
        <f>GETPIVOTDATA("Sum of 2016-17",AttacksAreaPivot!$B$4,"LA",B15)</f>
        <v>0</v>
      </c>
      <c r="D15" s="601">
        <f>GETPIVOTDATA("Sum of 2017-18",AttacksAreaPivot!$B$4,"LA",B15)</f>
        <v>0</v>
      </c>
      <c r="E15" s="601">
        <f>GETPIVOTDATA("Sum of 2018-19",AttacksAreaPivot!$B$4,"LA",B15)</f>
        <v>0</v>
      </c>
      <c r="F15" s="601">
        <f>GETPIVOTDATA("Sum of 2019-20",AttacksAreaPivot!$B$4,"LA",B15)</f>
        <v>0</v>
      </c>
      <c r="G15" s="601">
        <f>GETPIVOTDATA("Sum of 2020-21",AttacksAreaPivot!$B$4,"LA",B15)</f>
        <v>0</v>
      </c>
      <c r="H15" s="601">
        <f>GETPIVOTDATA("Sum of 2021-22",AttacksAreaPivot!$B$4,"LA",B15)</f>
        <v>0</v>
      </c>
      <c r="I15" s="601">
        <f>GETPIVOTDATA("Sum of 2022-23",AttacksAreaPivot!$B$4,"LA",B15)</f>
        <v>0</v>
      </c>
      <c r="J15" s="601">
        <f>GETPIVOTDATA("Sum of 2023-24",AttacksAreaPivot!$B$4,"LA",B15)</f>
        <v>0</v>
      </c>
      <c r="K15" s="601">
        <f>GETPIVOTDATA("Sum of 2024-25",AttacksAreaPivot!$B$4,"LA",B15)</f>
        <v>0</v>
      </c>
      <c r="L15" s="601">
        <f>GETPIVOTDATA("Sum of 2025-26",AttacksAreaPivot!$B$4,"LA",B15)</f>
        <v>0</v>
      </c>
    </row>
    <row r="16" spans="1:12" x14ac:dyDescent="0.3">
      <c r="A16" s="718" t="s">
        <v>243</v>
      </c>
      <c r="B16" s="718" t="s">
        <v>244</v>
      </c>
      <c r="C16" s="601">
        <f>GETPIVOTDATA("Sum of 2016-17",AttacksAreaPivot!$B$4,"LA",B16)</f>
        <v>1</v>
      </c>
      <c r="D16" s="601">
        <f>GETPIVOTDATA("Sum of 2017-18",AttacksAreaPivot!$B$4,"LA",B16)</f>
        <v>0</v>
      </c>
      <c r="E16" s="601">
        <f>GETPIVOTDATA("Sum of 2018-19",AttacksAreaPivot!$B$4,"LA",B16)</f>
        <v>0</v>
      </c>
      <c r="F16" s="601">
        <f>GETPIVOTDATA("Sum of 2019-20",AttacksAreaPivot!$B$4,"LA",B16)</f>
        <v>3</v>
      </c>
      <c r="G16" s="601">
        <f>GETPIVOTDATA("Sum of 2020-21",AttacksAreaPivot!$B$4,"LA",B16)</f>
        <v>2</v>
      </c>
      <c r="H16" s="601">
        <f>GETPIVOTDATA("Sum of 2021-22",AttacksAreaPivot!$B$4,"LA",B16)</f>
        <v>1</v>
      </c>
      <c r="I16" s="601">
        <f>GETPIVOTDATA("Sum of 2022-23",AttacksAreaPivot!$B$4,"LA",B16)</f>
        <v>1</v>
      </c>
      <c r="J16" s="601">
        <f>GETPIVOTDATA("Sum of 2023-24",AttacksAreaPivot!$B$4,"LA",B16)</f>
        <v>1</v>
      </c>
      <c r="K16" s="601">
        <f>GETPIVOTDATA("Sum of 2024-25",AttacksAreaPivot!$B$4,"LA",B16)</f>
        <v>1</v>
      </c>
      <c r="L16" s="601">
        <f>GETPIVOTDATA("Sum of 2025-26",AttacksAreaPivot!$B$4,"LA",B16)</f>
        <v>1</v>
      </c>
    </row>
    <row r="17" spans="1:12" x14ac:dyDescent="0.3">
      <c r="A17" s="718" t="s">
        <v>246</v>
      </c>
      <c r="B17" s="718" t="s">
        <v>247</v>
      </c>
      <c r="C17" s="601">
        <f>GETPIVOTDATA("Sum of 2016-17",AttacksAreaPivot!$B$4,"LA",B17)</f>
        <v>9</v>
      </c>
      <c r="D17" s="601">
        <f>GETPIVOTDATA("Sum of 2017-18",AttacksAreaPivot!$B$4,"LA",B17)</f>
        <v>3</v>
      </c>
      <c r="E17" s="601">
        <f>GETPIVOTDATA("Sum of 2018-19",AttacksAreaPivot!$B$4,"LA",B17)</f>
        <v>3</v>
      </c>
      <c r="F17" s="601">
        <f>GETPIVOTDATA("Sum of 2019-20",AttacksAreaPivot!$B$4,"LA",B17)</f>
        <v>3</v>
      </c>
      <c r="G17" s="601">
        <f>GETPIVOTDATA("Sum of 2020-21",AttacksAreaPivot!$B$4,"LA",B17)</f>
        <v>5</v>
      </c>
      <c r="H17" s="601">
        <f>GETPIVOTDATA("Sum of 2021-22",AttacksAreaPivot!$B$4,"LA",B17)</f>
        <v>13</v>
      </c>
      <c r="I17" s="601">
        <f>GETPIVOTDATA("Sum of 2022-23",AttacksAreaPivot!$B$4,"LA",B17)</f>
        <v>6</v>
      </c>
      <c r="J17" s="601">
        <f>GETPIVOTDATA("Sum of 2023-24",AttacksAreaPivot!$B$4,"LA",B17)</f>
        <v>0</v>
      </c>
      <c r="K17" s="601">
        <f>GETPIVOTDATA("Sum of 2024-25",AttacksAreaPivot!$B$4,"LA",B17)</f>
        <v>2</v>
      </c>
      <c r="L17" s="601">
        <f>GETPIVOTDATA("Sum of 2025-26",AttacksAreaPivot!$B$4,"LA",B17)</f>
        <v>5</v>
      </c>
    </row>
    <row r="18" spans="1:12" x14ac:dyDescent="0.3">
      <c r="A18" s="718" t="s">
        <v>248</v>
      </c>
      <c r="B18" s="718" t="s">
        <v>249</v>
      </c>
      <c r="C18" s="601">
        <f>GETPIVOTDATA("Sum of 2016-17",AttacksAreaPivot!$B$4,"LA",B18)</f>
        <v>1</v>
      </c>
      <c r="D18" s="601">
        <f>GETPIVOTDATA("Sum of 2017-18",AttacksAreaPivot!$B$4,"LA",B18)</f>
        <v>1</v>
      </c>
      <c r="E18" s="601">
        <f>GETPIVOTDATA("Sum of 2018-19",AttacksAreaPivot!$B$4,"LA",B18)</f>
        <v>3</v>
      </c>
      <c r="F18" s="601">
        <f>GETPIVOTDATA("Sum of 2019-20",AttacksAreaPivot!$B$4,"LA",B18)</f>
        <v>0</v>
      </c>
      <c r="G18" s="601">
        <f>GETPIVOTDATA("Sum of 2020-21",AttacksAreaPivot!$B$4,"LA",B18)</f>
        <v>1</v>
      </c>
      <c r="H18" s="601">
        <f>GETPIVOTDATA("Sum of 2021-22",AttacksAreaPivot!$B$4,"LA",B18)</f>
        <v>1</v>
      </c>
      <c r="I18" s="601">
        <f>GETPIVOTDATA("Sum of 2022-23",AttacksAreaPivot!$B$4,"LA",B18)</f>
        <v>0</v>
      </c>
      <c r="J18" s="601">
        <f>GETPIVOTDATA("Sum of 2023-24",AttacksAreaPivot!$B$4,"LA",B18)</f>
        <v>1</v>
      </c>
      <c r="K18" s="601">
        <f>GETPIVOTDATA("Sum of 2024-25",AttacksAreaPivot!$B$4,"LA",B18)</f>
        <v>0</v>
      </c>
      <c r="L18" s="601">
        <f>GETPIVOTDATA("Sum of 2025-26",AttacksAreaPivot!$B$4,"LA",B18)</f>
        <v>2</v>
      </c>
    </row>
    <row r="19" spans="1:12" x14ac:dyDescent="0.3">
      <c r="A19" s="718" t="s">
        <v>252</v>
      </c>
      <c r="B19" s="718" t="s">
        <v>253</v>
      </c>
      <c r="C19" s="601">
        <f>GETPIVOTDATA("Sum of 2016-17",AttacksAreaPivot!$B$4,"LA",B19)</f>
        <v>3</v>
      </c>
      <c r="D19" s="601">
        <f>GETPIVOTDATA("Sum of 2017-18",AttacksAreaPivot!$B$4,"LA",B19)</f>
        <v>0</v>
      </c>
      <c r="E19" s="601">
        <f>GETPIVOTDATA("Sum of 2018-19",AttacksAreaPivot!$B$4,"LA",B19)</f>
        <v>4</v>
      </c>
      <c r="F19" s="601">
        <f>GETPIVOTDATA("Sum of 2019-20",AttacksAreaPivot!$B$4,"LA",B19)</f>
        <v>0</v>
      </c>
      <c r="G19" s="601">
        <f>GETPIVOTDATA("Sum of 2020-21",AttacksAreaPivot!$B$4,"LA",B19)</f>
        <v>1</v>
      </c>
      <c r="H19" s="601">
        <f>GETPIVOTDATA("Sum of 2021-22",AttacksAreaPivot!$B$4,"LA",B19)</f>
        <v>0</v>
      </c>
      <c r="I19" s="601">
        <f>GETPIVOTDATA("Sum of 2022-23",AttacksAreaPivot!$B$4,"LA",B19)</f>
        <v>1</v>
      </c>
      <c r="J19" s="601">
        <f>GETPIVOTDATA("Sum of 2023-24",AttacksAreaPivot!$B$4,"LA",B19)</f>
        <v>0</v>
      </c>
      <c r="K19" s="601">
        <f>GETPIVOTDATA("Sum of 2024-25",AttacksAreaPivot!$B$4,"LA",B19)</f>
        <v>0</v>
      </c>
      <c r="L19" s="601">
        <f>GETPIVOTDATA("Sum of 2025-26",AttacksAreaPivot!$B$4,"LA",B19)</f>
        <v>2</v>
      </c>
    </row>
    <row r="20" spans="1:12" x14ac:dyDescent="0.3">
      <c r="A20" s="718" t="s">
        <v>254</v>
      </c>
      <c r="B20" s="718" t="s">
        <v>255</v>
      </c>
      <c r="C20" s="601">
        <f>GETPIVOTDATA("Sum of 2016-17",AttacksAreaPivot!$B$4,"LA",B20)</f>
        <v>2</v>
      </c>
      <c r="D20" s="601">
        <f>GETPIVOTDATA("Sum of 2017-18",AttacksAreaPivot!$B$4,"LA",B20)</f>
        <v>0</v>
      </c>
      <c r="E20" s="601">
        <f>GETPIVOTDATA("Sum of 2018-19",AttacksAreaPivot!$B$4,"LA",B20)</f>
        <v>0</v>
      </c>
      <c r="F20" s="601">
        <f>GETPIVOTDATA("Sum of 2019-20",AttacksAreaPivot!$B$4,"LA",B20)</f>
        <v>0</v>
      </c>
      <c r="G20" s="601">
        <f>GETPIVOTDATA("Sum of 2020-21",AttacksAreaPivot!$B$4,"LA",B20)</f>
        <v>2</v>
      </c>
      <c r="H20" s="601">
        <f>GETPIVOTDATA("Sum of 2021-22",AttacksAreaPivot!$B$4,"LA",B20)</f>
        <v>1</v>
      </c>
      <c r="I20" s="601">
        <f>GETPIVOTDATA("Sum of 2022-23",AttacksAreaPivot!$B$4,"LA",B20)</f>
        <v>1</v>
      </c>
      <c r="J20" s="601">
        <f>GETPIVOTDATA("Sum of 2023-24",AttacksAreaPivot!$B$4,"LA",B20)</f>
        <v>1</v>
      </c>
      <c r="K20" s="601">
        <f>GETPIVOTDATA("Sum of 2024-25",AttacksAreaPivot!$B$4,"LA",B20)</f>
        <v>1</v>
      </c>
      <c r="L20" s="601">
        <f>GETPIVOTDATA("Sum of 2025-26",AttacksAreaPivot!$B$4,"LA",B20)</f>
        <v>1</v>
      </c>
    </row>
    <row r="21" spans="1:12" x14ac:dyDescent="0.3">
      <c r="A21" s="718" t="s">
        <v>258</v>
      </c>
      <c r="B21" s="718" t="s">
        <v>259</v>
      </c>
      <c r="C21" s="601">
        <f>GETPIVOTDATA("Sum of 2016-17",AttacksAreaPivot!$B$4,"LA",B21)</f>
        <v>0</v>
      </c>
      <c r="D21" s="601">
        <f>GETPIVOTDATA("Sum of 2017-18",AttacksAreaPivot!$B$4,"LA",B21)</f>
        <v>0</v>
      </c>
      <c r="E21" s="601">
        <f>GETPIVOTDATA("Sum of 2018-19",AttacksAreaPivot!$B$4,"LA",B21)</f>
        <v>0</v>
      </c>
      <c r="F21" s="601">
        <f>GETPIVOTDATA("Sum of 2019-20",AttacksAreaPivot!$B$4,"LA",B21)</f>
        <v>0</v>
      </c>
      <c r="G21" s="601">
        <f>GETPIVOTDATA("Sum of 2020-21",AttacksAreaPivot!$B$4,"LA",B21)</f>
        <v>0</v>
      </c>
      <c r="H21" s="601">
        <f>GETPIVOTDATA("Sum of 2021-22",AttacksAreaPivot!$B$4,"LA",B21)</f>
        <v>0</v>
      </c>
      <c r="I21" s="601">
        <f>GETPIVOTDATA("Sum of 2022-23",AttacksAreaPivot!$B$4,"LA",B21)</f>
        <v>0</v>
      </c>
      <c r="J21" s="601">
        <f>GETPIVOTDATA("Sum of 2023-24",AttacksAreaPivot!$B$4,"LA",B21)</f>
        <v>0</v>
      </c>
      <c r="K21" s="601">
        <f>GETPIVOTDATA("Sum of 2024-25",AttacksAreaPivot!$B$4,"LA",B21)</f>
        <v>1</v>
      </c>
      <c r="L21" s="601">
        <f>GETPIVOTDATA("Sum of 2025-26",AttacksAreaPivot!$B$4,"LA",B21)</f>
        <v>0</v>
      </c>
    </row>
    <row r="22" spans="1:12" x14ac:dyDescent="0.3">
      <c r="A22" s="718" t="s">
        <v>262</v>
      </c>
      <c r="B22" s="718" t="s">
        <v>263</v>
      </c>
      <c r="C22" s="601">
        <f>GETPIVOTDATA("Sum of 2016-17",AttacksAreaPivot!$B$4,"LA",B22)</f>
        <v>2</v>
      </c>
      <c r="D22" s="601">
        <f>GETPIVOTDATA("Sum of 2017-18",AttacksAreaPivot!$B$4,"LA",B22)</f>
        <v>0</v>
      </c>
      <c r="E22" s="601">
        <f>GETPIVOTDATA("Sum of 2018-19",AttacksAreaPivot!$B$4,"LA",B22)</f>
        <v>0</v>
      </c>
      <c r="F22" s="601">
        <f>GETPIVOTDATA("Sum of 2019-20",AttacksAreaPivot!$B$4,"LA",B22)</f>
        <v>0</v>
      </c>
      <c r="G22" s="601">
        <f>GETPIVOTDATA("Sum of 2020-21",AttacksAreaPivot!$B$4,"LA",B22)</f>
        <v>2</v>
      </c>
      <c r="H22" s="601">
        <f>GETPIVOTDATA("Sum of 2021-22",AttacksAreaPivot!$B$4,"LA",B22)</f>
        <v>3</v>
      </c>
      <c r="I22" s="601">
        <f>GETPIVOTDATA("Sum of 2022-23",AttacksAreaPivot!$B$4,"LA",B22)</f>
        <v>4</v>
      </c>
      <c r="J22" s="601">
        <f>GETPIVOTDATA("Sum of 2023-24",AttacksAreaPivot!$B$4,"LA",B22)</f>
        <v>1</v>
      </c>
      <c r="K22" s="601">
        <f>GETPIVOTDATA("Sum of 2024-25",AttacksAreaPivot!$B$4,"LA",B22)</f>
        <v>1</v>
      </c>
      <c r="L22" s="601">
        <f>GETPIVOTDATA("Sum of 2025-26",AttacksAreaPivot!$B$4,"LA",B22)</f>
        <v>1</v>
      </c>
    </row>
    <row r="23" spans="1:12" x14ac:dyDescent="0.3">
      <c r="A23" s="718" t="s">
        <v>266</v>
      </c>
      <c r="B23" s="718" t="s">
        <v>267</v>
      </c>
      <c r="C23" s="601">
        <f>GETPIVOTDATA("Sum of 2016-17",AttacksAreaPivot!$B$4,"LA",B23)</f>
        <v>0</v>
      </c>
      <c r="D23" s="601">
        <f>GETPIVOTDATA("Sum of 2017-18",AttacksAreaPivot!$B$4,"LA",B23)</f>
        <v>3</v>
      </c>
      <c r="E23" s="601">
        <f>GETPIVOTDATA("Sum of 2018-19",AttacksAreaPivot!$B$4,"LA",B23)</f>
        <v>6</v>
      </c>
      <c r="F23" s="601">
        <f>GETPIVOTDATA("Sum of 2019-20",AttacksAreaPivot!$B$4,"LA",B23)</f>
        <v>2</v>
      </c>
      <c r="G23" s="601">
        <f>GETPIVOTDATA("Sum of 2020-21",AttacksAreaPivot!$B$4,"LA",B23)</f>
        <v>7</v>
      </c>
      <c r="H23" s="601">
        <f>GETPIVOTDATA("Sum of 2021-22",AttacksAreaPivot!$B$4,"LA",B23)</f>
        <v>1</v>
      </c>
      <c r="I23" s="601">
        <f>GETPIVOTDATA("Sum of 2022-23",AttacksAreaPivot!$B$4,"LA",B23)</f>
        <v>7</v>
      </c>
      <c r="J23" s="601">
        <f>GETPIVOTDATA("Sum of 2023-24",AttacksAreaPivot!$B$4,"LA",B23)</f>
        <v>2</v>
      </c>
      <c r="K23" s="601">
        <f>GETPIVOTDATA("Sum of 2024-25",AttacksAreaPivot!$B$4,"LA",B23)</f>
        <v>2</v>
      </c>
      <c r="L23" s="601">
        <f>GETPIVOTDATA("Sum of 2025-26",AttacksAreaPivot!$B$4,"LA",B23)</f>
        <v>0</v>
      </c>
    </row>
    <row r="24" spans="1:12" x14ac:dyDescent="0.3">
      <c r="A24" s="718" t="s">
        <v>314</v>
      </c>
      <c r="B24" s="718" t="s">
        <v>270</v>
      </c>
      <c r="C24" s="601">
        <f>GETPIVOTDATA("Sum of 2016-17",AttacksAreaPivot!$B$4,"LA",B24)</f>
        <v>19</v>
      </c>
      <c r="D24" s="601">
        <f>GETPIVOTDATA("Sum of 2017-18",AttacksAreaPivot!$B$4,"LA",B24)</f>
        <v>20</v>
      </c>
      <c r="E24" s="601">
        <f>GETPIVOTDATA("Sum of 2018-19",AttacksAreaPivot!$B$4,"LA",B24)</f>
        <v>23</v>
      </c>
      <c r="F24" s="601">
        <f>GETPIVOTDATA("Sum of 2019-20",AttacksAreaPivot!$B$4,"LA",B24)</f>
        <v>12</v>
      </c>
      <c r="G24" s="601">
        <f>GETPIVOTDATA("Sum of 2020-21",AttacksAreaPivot!$B$4,"LA",B24)</f>
        <v>14</v>
      </c>
      <c r="H24" s="601">
        <f>GETPIVOTDATA("Sum of 2021-22",AttacksAreaPivot!$B$4,"LA",B24)</f>
        <v>9</v>
      </c>
      <c r="I24" s="601">
        <f>GETPIVOTDATA("Sum of 2022-23",AttacksAreaPivot!$B$4,"LA",B24)</f>
        <v>8</v>
      </c>
      <c r="J24" s="601">
        <f>GETPIVOTDATA("Sum of 2023-24",AttacksAreaPivot!$B$4,"LA",B24)</f>
        <v>9</v>
      </c>
      <c r="K24" s="601">
        <f>GETPIVOTDATA("Sum of 2024-25",AttacksAreaPivot!$B$4,"LA",B24)</f>
        <v>11</v>
      </c>
      <c r="L24" s="601">
        <f>GETPIVOTDATA("Sum of 2025-26",AttacksAreaPivot!$B$4,"LA",B24)</f>
        <v>7</v>
      </c>
    </row>
    <row r="25" spans="1:12" x14ac:dyDescent="0.3">
      <c r="A25" s="718" t="s">
        <v>272</v>
      </c>
      <c r="B25" s="718" t="s">
        <v>273</v>
      </c>
      <c r="C25" s="601">
        <f>GETPIVOTDATA("Sum of 2016-17",AttacksAreaPivot!$B$4,"LA",B25)</f>
        <v>1</v>
      </c>
      <c r="D25" s="601">
        <f>GETPIVOTDATA("Sum of 2017-18",AttacksAreaPivot!$B$4,"LA",B25)</f>
        <v>0</v>
      </c>
      <c r="E25" s="601">
        <f>GETPIVOTDATA("Sum of 2018-19",AttacksAreaPivot!$B$4,"LA",B25)</f>
        <v>0</v>
      </c>
      <c r="F25" s="601">
        <f>GETPIVOTDATA("Sum of 2019-20",AttacksAreaPivot!$B$4,"LA",B25)</f>
        <v>0</v>
      </c>
      <c r="G25" s="601">
        <f>GETPIVOTDATA("Sum of 2020-21",AttacksAreaPivot!$B$4,"LA",B25)</f>
        <v>0</v>
      </c>
      <c r="H25" s="601">
        <f>GETPIVOTDATA("Sum of 2021-22",AttacksAreaPivot!$B$4,"LA",B25)</f>
        <v>1</v>
      </c>
      <c r="I25" s="601">
        <f>GETPIVOTDATA("Sum of 2022-23",AttacksAreaPivot!$B$4,"LA",B25)</f>
        <v>1</v>
      </c>
      <c r="J25" s="601">
        <f>GETPIVOTDATA("Sum of 2023-24",AttacksAreaPivot!$B$4,"LA",B25)</f>
        <v>0</v>
      </c>
      <c r="K25" s="601">
        <f>GETPIVOTDATA("Sum of 2024-25",AttacksAreaPivot!$B$4,"LA",B25)</f>
        <v>2</v>
      </c>
      <c r="L25" s="601">
        <f>GETPIVOTDATA("Sum of 2025-26",AttacksAreaPivot!$B$4,"LA",B25)</f>
        <v>2</v>
      </c>
    </row>
    <row r="26" spans="1:12" x14ac:dyDescent="0.3">
      <c r="A26" s="718" t="s">
        <v>276</v>
      </c>
      <c r="B26" s="718" t="s">
        <v>277</v>
      </c>
      <c r="C26" s="601">
        <f>GETPIVOTDATA("Sum of 2016-17",AttacksAreaPivot!$B$4,"LA",B26)</f>
        <v>4</v>
      </c>
      <c r="D26" s="601">
        <f>GETPIVOTDATA("Sum of 2017-18",AttacksAreaPivot!$B$4,"LA",B26)</f>
        <v>3</v>
      </c>
      <c r="E26" s="601">
        <f>GETPIVOTDATA("Sum of 2018-19",AttacksAreaPivot!$B$4,"LA",B26)</f>
        <v>2</v>
      </c>
      <c r="F26" s="601">
        <f>GETPIVOTDATA("Sum of 2019-20",AttacksAreaPivot!$B$4,"LA",B26)</f>
        <v>1</v>
      </c>
      <c r="G26" s="601">
        <f>GETPIVOTDATA("Sum of 2020-21",AttacksAreaPivot!$B$4,"LA",B26)</f>
        <v>2</v>
      </c>
      <c r="H26" s="601">
        <f>GETPIVOTDATA("Sum of 2021-22",AttacksAreaPivot!$B$4,"LA",B26)</f>
        <v>2</v>
      </c>
      <c r="I26" s="601">
        <f>GETPIVOTDATA("Sum of 2022-23",AttacksAreaPivot!$B$4,"LA",B26)</f>
        <v>2</v>
      </c>
      <c r="J26" s="601">
        <f>GETPIVOTDATA("Sum of 2023-24",AttacksAreaPivot!$B$4,"LA",B26)</f>
        <v>2</v>
      </c>
      <c r="K26" s="601">
        <f>GETPIVOTDATA("Sum of 2024-25",AttacksAreaPivot!$B$4,"LA",B26)</f>
        <v>0</v>
      </c>
      <c r="L26" s="601">
        <f>GETPIVOTDATA("Sum of 2025-26",AttacksAreaPivot!$B$4,"LA",B26)</f>
        <v>1</v>
      </c>
    </row>
    <row r="27" spans="1:12" x14ac:dyDescent="0.3">
      <c r="A27" s="718" t="s">
        <v>278</v>
      </c>
      <c r="B27" s="718" t="s">
        <v>279</v>
      </c>
      <c r="C27" s="601">
        <f>GETPIVOTDATA("Sum of 2016-17",AttacksAreaPivot!$B$4,"LA",B27)</f>
        <v>3</v>
      </c>
      <c r="D27" s="601">
        <f>GETPIVOTDATA("Sum of 2017-18",AttacksAreaPivot!$B$4,"LA",B27)</f>
        <v>2</v>
      </c>
      <c r="E27" s="601">
        <f>GETPIVOTDATA("Sum of 2018-19",AttacksAreaPivot!$B$4,"LA",B27)</f>
        <v>1</v>
      </c>
      <c r="F27" s="601">
        <f>GETPIVOTDATA("Sum of 2019-20",AttacksAreaPivot!$B$4,"LA",B27)</f>
        <v>3</v>
      </c>
      <c r="G27" s="601">
        <f>GETPIVOTDATA("Sum of 2020-21",AttacksAreaPivot!$B$4,"LA",B27)</f>
        <v>1</v>
      </c>
      <c r="H27" s="601">
        <f>GETPIVOTDATA("Sum of 2021-22",AttacksAreaPivot!$B$4,"LA",B27)</f>
        <v>0</v>
      </c>
      <c r="I27" s="601">
        <f>GETPIVOTDATA("Sum of 2022-23",AttacksAreaPivot!$B$4,"LA",B27)</f>
        <v>1</v>
      </c>
      <c r="J27" s="601">
        <f>GETPIVOTDATA("Sum of 2023-24",AttacksAreaPivot!$B$4,"LA",B27)</f>
        <v>0</v>
      </c>
      <c r="K27" s="601">
        <f>GETPIVOTDATA("Sum of 2024-25",AttacksAreaPivot!$B$4,"LA",B27)</f>
        <v>0</v>
      </c>
      <c r="L27" s="601">
        <f>GETPIVOTDATA("Sum of 2025-26",AttacksAreaPivot!$B$4,"LA",B27)</f>
        <v>0</v>
      </c>
    </row>
    <row r="28" spans="1:12" x14ac:dyDescent="0.3">
      <c r="A28" s="718" t="s">
        <v>280</v>
      </c>
      <c r="B28" s="718" t="s">
        <v>281</v>
      </c>
      <c r="C28" s="601">
        <f>GETPIVOTDATA("Sum of 2016-17",AttacksAreaPivot!$B$4,"LA",B28)</f>
        <v>0</v>
      </c>
      <c r="D28" s="601">
        <f>GETPIVOTDATA("Sum of 2017-18",AttacksAreaPivot!$B$4,"LA",B28)</f>
        <v>0</v>
      </c>
      <c r="E28" s="601">
        <f>GETPIVOTDATA("Sum of 2018-19",AttacksAreaPivot!$B$4,"LA",B28)</f>
        <v>1</v>
      </c>
      <c r="F28" s="601">
        <f>GETPIVOTDATA("Sum of 2019-20",AttacksAreaPivot!$B$4,"LA",B28)</f>
        <v>3</v>
      </c>
      <c r="G28" s="601">
        <f>GETPIVOTDATA("Sum of 2020-21",AttacksAreaPivot!$B$4,"LA",B28)</f>
        <v>0</v>
      </c>
      <c r="H28" s="601">
        <f>GETPIVOTDATA("Sum of 2021-22",AttacksAreaPivot!$B$4,"LA",B28)</f>
        <v>2</v>
      </c>
      <c r="I28" s="601">
        <f>GETPIVOTDATA("Sum of 2022-23",AttacksAreaPivot!$B$4,"LA",B28)</f>
        <v>1</v>
      </c>
      <c r="J28" s="601">
        <f>GETPIVOTDATA("Sum of 2023-24",AttacksAreaPivot!$B$4,"LA",B28)</f>
        <v>1</v>
      </c>
      <c r="K28" s="601">
        <f>GETPIVOTDATA("Sum of 2024-25",AttacksAreaPivot!$B$4,"LA",B28)</f>
        <v>0</v>
      </c>
      <c r="L28" s="601">
        <f>GETPIVOTDATA("Sum of 2025-26",AttacksAreaPivot!$B$4,"LA",B28)</f>
        <v>2</v>
      </c>
    </row>
    <row r="29" spans="1:12" x14ac:dyDescent="0.3">
      <c r="A29" s="718" t="s">
        <v>282</v>
      </c>
      <c r="B29" s="718" t="s">
        <v>283</v>
      </c>
      <c r="C29" s="601" t="str">
        <f>IFERROR(GETPIVOTDATA("Sum of 2016-17",AttacksAreaPivot!$B$4,"LA",B29), "-")</f>
        <v>-</v>
      </c>
      <c r="D29" s="601" t="str">
        <f>IFERROR(GETPIVOTDATA("Sum of 2017-18",AttacksAreaPivot!$B$4,"LA",B29), "-")</f>
        <v>-</v>
      </c>
      <c r="E29" s="601" t="str">
        <f>IFERROR(GETPIVOTDATA("Sum of 2018-19",AttacksAreaPivot!$B$4,"LA",B29), "-")</f>
        <v>-</v>
      </c>
      <c r="F29" s="601" t="str">
        <f>IFERROR(GETPIVOTDATA("Sum of 2019-20",AttacksAreaPivot!$B$4,"LA",B29), "-")</f>
        <v>-</v>
      </c>
      <c r="G29" s="601" t="str">
        <f>IFERROR(GETPIVOTDATA("Sum of 2020-21",AttacksAreaPivot!$B$4,"LA",B29), "-")</f>
        <v>-</v>
      </c>
      <c r="H29" s="601" t="str">
        <f>IFERROR(GETPIVOTDATA("Sum of 2021-22",AttacksAreaPivot!$B$4,"LA",B29), "-")</f>
        <v>-</v>
      </c>
      <c r="I29" s="601" t="str">
        <f>IFERROR(GETPIVOTDATA("Sum of 2022-23",AttacksAreaPivot!$B$4,"LA",B29), "-")</f>
        <v>-</v>
      </c>
      <c r="J29" s="601" t="str">
        <f>IFERROR(GETPIVOTDATA("Sum of 2023-24",AttacksAreaPivot!$B$4,"LA",B29), "-")</f>
        <v>-</v>
      </c>
      <c r="K29" s="601" t="str">
        <f>IFERROR(GETPIVOTDATA("Sum of 2024-25",AttacksAreaPivot!$B$4,"LA",B29), "-")</f>
        <v>-</v>
      </c>
      <c r="L29" s="601" t="str">
        <f>IFERROR(GETPIVOTDATA("Sum of 2025-26",AttacksAreaPivot!$B$4,"LA",B29), "-")</f>
        <v>-</v>
      </c>
    </row>
    <row r="30" spans="1:12" x14ac:dyDescent="0.3">
      <c r="A30" s="718" t="s">
        <v>286</v>
      </c>
      <c r="B30" s="718" t="s">
        <v>287</v>
      </c>
      <c r="C30" s="601">
        <f>GETPIVOTDATA("Sum of 2016-17",AttacksAreaPivot!$B$4,"LA",B30)</f>
        <v>5</v>
      </c>
      <c r="D30" s="601">
        <f>GETPIVOTDATA("Sum of 2017-18",AttacksAreaPivot!$B$4,"LA",B30)</f>
        <v>2</v>
      </c>
      <c r="E30" s="601">
        <f>GETPIVOTDATA("Sum of 2018-19",AttacksAreaPivot!$B$4,"LA",B30)</f>
        <v>2</v>
      </c>
      <c r="F30" s="601">
        <f>GETPIVOTDATA("Sum of 2019-20",AttacksAreaPivot!$B$4,"LA",B30)</f>
        <v>3</v>
      </c>
      <c r="G30" s="601">
        <f>GETPIVOTDATA("Sum of 2020-21",AttacksAreaPivot!$B$4,"LA",B30)</f>
        <v>1</v>
      </c>
      <c r="H30" s="601">
        <f>GETPIVOTDATA("Sum of 2021-22",AttacksAreaPivot!$B$4,"LA",B30)</f>
        <v>3</v>
      </c>
      <c r="I30" s="601">
        <f>GETPIVOTDATA("Sum of 2022-23",AttacksAreaPivot!$B$4,"LA",B30)</f>
        <v>2</v>
      </c>
      <c r="J30" s="601">
        <f>GETPIVOTDATA("Sum of 2023-24",AttacksAreaPivot!$B$4,"LA",B30)</f>
        <v>5</v>
      </c>
      <c r="K30" s="601">
        <f>GETPIVOTDATA("Sum of 2024-25",AttacksAreaPivot!$B$4,"LA",B30)</f>
        <v>2</v>
      </c>
      <c r="L30" s="601">
        <f>GETPIVOTDATA("Sum of 2025-26",AttacksAreaPivot!$B$4,"LA",B30)</f>
        <v>5</v>
      </c>
    </row>
    <row r="31" spans="1:12" x14ac:dyDescent="0.3">
      <c r="A31" s="718" t="s">
        <v>316</v>
      </c>
      <c r="B31" s="718" t="s">
        <v>289</v>
      </c>
      <c r="C31" s="601">
        <f>GETPIVOTDATA("Sum of 2016-17",AttacksAreaPivot!$B$4,"LA",B31)</f>
        <v>3</v>
      </c>
      <c r="D31" s="601">
        <f>GETPIVOTDATA("Sum of 2017-18",AttacksAreaPivot!$B$4,"LA",B31)</f>
        <v>6</v>
      </c>
      <c r="E31" s="601">
        <f>GETPIVOTDATA("Sum of 2018-19",AttacksAreaPivot!$B$4,"LA",B31)</f>
        <v>3</v>
      </c>
      <c r="F31" s="601">
        <f>GETPIVOTDATA("Sum of 2019-20",AttacksAreaPivot!$B$4,"LA",B31)</f>
        <v>8</v>
      </c>
      <c r="G31" s="601">
        <f>GETPIVOTDATA("Sum of 2020-21",AttacksAreaPivot!$B$4,"LA",B31)</f>
        <v>4</v>
      </c>
      <c r="H31" s="601">
        <f>GETPIVOTDATA("Sum of 2021-22",AttacksAreaPivot!$B$4,"LA",B31)</f>
        <v>5</v>
      </c>
      <c r="I31" s="601">
        <f>GETPIVOTDATA("Sum of 2022-23",AttacksAreaPivot!$B$4,"LA",B31)</f>
        <v>8</v>
      </c>
      <c r="J31" s="601">
        <f>GETPIVOTDATA("Sum of 2023-24",AttacksAreaPivot!$B$4,"LA",B31)</f>
        <v>7</v>
      </c>
      <c r="K31" s="601">
        <f>GETPIVOTDATA("Sum of 2024-25",AttacksAreaPivot!$B$4,"LA",B31)</f>
        <v>1</v>
      </c>
      <c r="L31" s="601">
        <f>GETPIVOTDATA("Sum of 2025-26",AttacksAreaPivot!$B$4,"LA",B31)</f>
        <v>5</v>
      </c>
    </row>
    <row r="32" spans="1:12" x14ac:dyDescent="0.3">
      <c r="A32" s="718" t="s">
        <v>291</v>
      </c>
      <c r="B32" s="718" t="s">
        <v>292</v>
      </c>
      <c r="C32" s="601" t="str">
        <f>IFERROR(GETPIVOTDATA("Sum of 2016-17",AttacksAreaPivot!$B$4,"LA",B32), "-")</f>
        <v>-</v>
      </c>
      <c r="D32" s="601" t="str">
        <f>IFERROR(GETPIVOTDATA("Sum of 2017-18",AttacksAreaPivot!$B$4,"LA",B32), "-")</f>
        <v>-</v>
      </c>
      <c r="E32" s="601" t="str">
        <f>IFERROR(GETPIVOTDATA("Sum of 2018-19",AttacksAreaPivot!$B$4,"LA",B32), "-")</f>
        <v>-</v>
      </c>
      <c r="F32" s="601" t="str">
        <f>IFERROR(GETPIVOTDATA("Sum of 2019-20",AttacksAreaPivot!$B$4,"LA",B32), "-")</f>
        <v>-</v>
      </c>
      <c r="G32" s="601" t="str">
        <f>IFERROR(GETPIVOTDATA("Sum of 2020-21",AttacksAreaPivot!$B$4,"LA",B32), "-")</f>
        <v>-</v>
      </c>
      <c r="H32" s="601" t="str">
        <f>IFERROR(GETPIVOTDATA("Sum of 2021-22",AttacksAreaPivot!$B$4,"LA",B32), "-")</f>
        <v>-</v>
      </c>
      <c r="I32" s="601" t="str">
        <f>IFERROR(GETPIVOTDATA("Sum of 2022-23",AttacksAreaPivot!$B$4,"LA",B32), "-")</f>
        <v>-</v>
      </c>
      <c r="J32" s="601" t="str">
        <f>IFERROR(GETPIVOTDATA("Sum of 2023-24",AttacksAreaPivot!$B$4,"LA",B32), "-")</f>
        <v>-</v>
      </c>
      <c r="K32" s="601" t="str">
        <f>IFERROR(GETPIVOTDATA("Sum of 2024-25",AttacksAreaPivot!$B$4,"LA",B32), "-")</f>
        <v>-</v>
      </c>
      <c r="L32" s="601" t="str">
        <f>IFERROR(GETPIVOTDATA("Sum of 2025-26",AttacksAreaPivot!$B$4,"LA",B32), "-")</f>
        <v>-</v>
      </c>
    </row>
    <row r="33" spans="1:12" x14ac:dyDescent="0.3">
      <c r="A33" s="718" t="s">
        <v>293</v>
      </c>
      <c r="B33" s="827" t="s">
        <v>294</v>
      </c>
      <c r="C33" s="601">
        <f>GETPIVOTDATA("Sum of 2016-17",AttacksAreaPivot!$B$4,"LA",B33)</f>
        <v>0</v>
      </c>
      <c r="D33" s="601">
        <f>GETPIVOTDATA("Sum of 2017-18",AttacksAreaPivot!$B$4,"LA",B33)</f>
        <v>0</v>
      </c>
      <c r="E33" s="601">
        <f>GETPIVOTDATA("Sum of 2018-19",AttacksAreaPivot!$B$4,"LA",B33)</f>
        <v>0</v>
      </c>
      <c r="F33" s="601">
        <f>GETPIVOTDATA("Sum of 2019-20",AttacksAreaPivot!$B$4,"LA",B33)</f>
        <v>0</v>
      </c>
      <c r="G33" s="601">
        <f>GETPIVOTDATA("Sum of 2020-21",AttacksAreaPivot!$B$4,"LA",B33)</f>
        <v>0</v>
      </c>
      <c r="H33" s="601">
        <f>GETPIVOTDATA("Sum of 2021-22",AttacksAreaPivot!$B$4,"LA",B33)</f>
        <v>0</v>
      </c>
      <c r="I33" s="601">
        <f>GETPIVOTDATA("Sum of 2022-23",AttacksAreaPivot!$B$4,"LA",B33)</f>
        <v>0</v>
      </c>
      <c r="J33" s="601">
        <f>GETPIVOTDATA("Sum of 2023-24",AttacksAreaPivot!$B$4,"LA",B33)</f>
        <v>1</v>
      </c>
      <c r="K33" s="601">
        <f>GETPIVOTDATA("Sum of 2024-25",AttacksAreaPivot!$B$4,"LA",B33)</f>
        <v>0</v>
      </c>
      <c r="L33" s="601">
        <f>GETPIVOTDATA("Sum of 2025-26",AttacksAreaPivot!$B$4,"LA",B33)</f>
        <v>1</v>
      </c>
    </row>
    <row r="34" spans="1:12" x14ac:dyDescent="0.3">
      <c r="A34" s="718" t="s">
        <v>295</v>
      </c>
      <c r="B34" s="827" t="s">
        <v>296</v>
      </c>
      <c r="C34" s="601">
        <f>GETPIVOTDATA("Sum of 2016-17",AttacksAreaPivot!$B$4,"LA",B34)</f>
        <v>2</v>
      </c>
      <c r="D34" s="601">
        <f>GETPIVOTDATA("Sum of 2017-18",AttacksAreaPivot!$B$4,"LA",B34)</f>
        <v>1</v>
      </c>
      <c r="E34" s="601">
        <f>GETPIVOTDATA("Sum of 2018-19",AttacksAreaPivot!$B$4,"LA",B34)</f>
        <v>1</v>
      </c>
      <c r="F34" s="601">
        <f>GETPIVOTDATA("Sum of 2019-20",AttacksAreaPivot!$B$4,"LA",B34)</f>
        <v>2</v>
      </c>
      <c r="G34" s="601">
        <f>GETPIVOTDATA("Sum of 2020-21",AttacksAreaPivot!$B$4,"LA",B34)</f>
        <v>3</v>
      </c>
      <c r="H34" s="601">
        <f>GETPIVOTDATA("Sum of 2021-22",AttacksAreaPivot!$B$4,"LA",B34)</f>
        <v>1</v>
      </c>
      <c r="I34" s="601">
        <f>GETPIVOTDATA("Sum of 2022-23",AttacksAreaPivot!$B$4,"LA",B34)</f>
        <v>2</v>
      </c>
      <c r="J34" s="601">
        <f>GETPIVOTDATA("Sum of 2023-24",AttacksAreaPivot!$B$4,"LA",B34)</f>
        <v>3</v>
      </c>
      <c r="K34" s="601">
        <f>GETPIVOTDATA("Sum of 2024-25",AttacksAreaPivot!$B$4,"LA",B34)</f>
        <v>0</v>
      </c>
      <c r="L34" s="601">
        <f>GETPIVOTDATA("Sum of 2025-26",AttacksAreaPivot!$B$4,"LA",B34)</f>
        <v>2</v>
      </c>
    </row>
    <row r="35" spans="1:12" x14ac:dyDescent="0.3">
      <c r="A35" s="718" t="s">
        <v>297</v>
      </c>
      <c r="B35" s="827" t="s">
        <v>298</v>
      </c>
      <c r="C35" s="601">
        <f>GETPIVOTDATA("Sum of 2016-17",AttacksAreaPivot!$B$4,"LA",B35)</f>
        <v>2</v>
      </c>
      <c r="D35" s="601">
        <f>GETPIVOTDATA("Sum of 2017-18",AttacksAreaPivot!$B$4,"LA",B35)</f>
        <v>3</v>
      </c>
      <c r="E35" s="601">
        <f>GETPIVOTDATA("Sum of 2018-19",AttacksAreaPivot!$B$4,"LA",B35)</f>
        <v>3</v>
      </c>
      <c r="F35" s="601">
        <f>GETPIVOTDATA("Sum of 2019-20",AttacksAreaPivot!$B$4,"LA",B35)</f>
        <v>1</v>
      </c>
      <c r="G35" s="601">
        <f>GETPIVOTDATA("Sum of 2020-21",AttacksAreaPivot!$B$4,"LA",B35)</f>
        <v>2</v>
      </c>
      <c r="H35" s="601">
        <f>GETPIVOTDATA("Sum of 2021-22",AttacksAreaPivot!$B$4,"LA",B35)</f>
        <v>0</v>
      </c>
      <c r="I35" s="601">
        <f>GETPIVOTDATA("Sum of 2022-23",AttacksAreaPivot!$B$4,"LA",B35)</f>
        <v>0</v>
      </c>
      <c r="J35" s="601">
        <f>GETPIVOTDATA("Sum of 2023-24",AttacksAreaPivot!$B$4,"LA",B35)</f>
        <v>0</v>
      </c>
      <c r="K35" s="601">
        <f>GETPIVOTDATA("Sum of 2024-25",AttacksAreaPivot!$B$4,"LA",B35)</f>
        <v>3</v>
      </c>
      <c r="L35" s="601">
        <f>GETPIVOTDATA("Sum of 2025-26",AttacksAreaPivot!$B$4,"LA",B35)</f>
        <v>0</v>
      </c>
    </row>
    <row r="36" spans="1:12" x14ac:dyDescent="0.3">
      <c r="A36" s="718" t="s">
        <v>299</v>
      </c>
      <c r="B36" s="827" t="s">
        <v>300</v>
      </c>
      <c r="C36" s="601" t="str">
        <f>IFERROR(GETPIVOTDATA("Sum of 2016-17",AttacksAreaPivot!$B$4,"LA",B36), "-")</f>
        <v>-</v>
      </c>
      <c r="D36" s="601" t="str">
        <f>IFERROR(GETPIVOTDATA("Sum of 2017-18",AttacksAreaPivot!$B$4,"LA",B36), "-")</f>
        <v>-</v>
      </c>
      <c r="E36" s="601" t="str">
        <f>IFERROR(GETPIVOTDATA("Sum of 2018-19",AttacksAreaPivot!$B$4,"LA",B36), "-")</f>
        <v>-</v>
      </c>
      <c r="F36" s="601" t="str">
        <f>IFERROR(GETPIVOTDATA("Sum of 2019-20",AttacksAreaPivot!$B$4,"LA",B36), "-")</f>
        <v>-</v>
      </c>
      <c r="G36" s="601" t="str">
        <f>IFERROR(GETPIVOTDATA("Sum of 2020-21",AttacksAreaPivot!$B$4,"LA",B36), "-")</f>
        <v>-</v>
      </c>
      <c r="H36" s="601" t="str">
        <f>IFERROR(GETPIVOTDATA("Sum of 2021-22",AttacksAreaPivot!$B$4,"LA",B36), "-")</f>
        <v>-</v>
      </c>
      <c r="I36" s="601" t="str">
        <f>IFERROR(GETPIVOTDATA("Sum of 2022-23",AttacksAreaPivot!$B$4,"LA",B36), "-")</f>
        <v>-</v>
      </c>
      <c r="J36" s="601" t="str">
        <f>IFERROR(GETPIVOTDATA("Sum of 2023-24",AttacksAreaPivot!$B$4,"LA",B36), "-")</f>
        <v>-</v>
      </c>
      <c r="K36" s="601" t="str">
        <f>IFERROR(GETPIVOTDATA("Sum of 2024-25",AttacksAreaPivot!$B$4,"LA",B36), "-")</f>
        <v>-</v>
      </c>
      <c r="L36" s="601" t="str">
        <f>IFERROR(GETPIVOTDATA("Sum of 2025-26",AttacksAreaPivot!$B$4,"LA",B36), "-")</f>
        <v>-</v>
      </c>
    </row>
    <row r="37" spans="1:12" x14ac:dyDescent="0.3">
      <c r="A37" s="718" t="s">
        <v>301</v>
      </c>
      <c r="B37" s="827" t="s">
        <v>302</v>
      </c>
      <c r="C37" s="601">
        <f>GETPIVOTDATA("Sum of 2016-17",AttacksAreaPivot!$B$4,"LA",B37)</f>
        <v>0</v>
      </c>
      <c r="D37" s="601">
        <f>GETPIVOTDATA("Sum of 2017-18",AttacksAreaPivot!$B$4,"LA",B37)</f>
        <v>1</v>
      </c>
      <c r="E37" s="601">
        <f>GETPIVOTDATA("Sum of 2018-19",AttacksAreaPivot!$B$4,"LA",B37)</f>
        <v>0</v>
      </c>
      <c r="F37" s="601">
        <f>GETPIVOTDATA("Sum of 2019-20",AttacksAreaPivot!$B$4,"LA",B37)</f>
        <v>0</v>
      </c>
      <c r="G37" s="601">
        <f>GETPIVOTDATA("Sum of 2020-21",AttacksAreaPivot!$B$4,"LA",B37)</f>
        <v>2</v>
      </c>
      <c r="H37" s="601">
        <f>GETPIVOTDATA("Sum of 2021-22",AttacksAreaPivot!$B$4,"LA",B37)</f>
        <v>1</v>
      </c>
      <c r="I37" s="601">
        <f>GETPIVOTDATA("Sum of 2022-23",AttacksAreaPivot!$B$4,"LA",B37)</f>
        <v>0</v>
      </c>
      <c r="J37" s="601">
        <f>GETPIVOTDATA("Sum of 2023-24",AttacksAreaPivot!$B$4,"LA",B37)</f>
        <v>1</v>
      </c>
      <c r="K37" s="601">
        <f>GETPIVOTDATA("Sum of 2024-25",AttacksAreaPivot!$B$4,"LA",B37)</f>
        <v>0</v>
      </c>
      <c r="L37" s="601">
        <f>GETPIVOTDATA("Sum of 2025-26",AttacksAreaPivot!$B$4,"LA",B37)</f>
        <v>0</v>
      </c>
    </row>
    <row r="38" spans="1:12" x14ac:dyDescent="0.3">
      <c r="A38" s="718" t="s">
        <v>303</v>
      </c>
      <c r="B38" s="827" t="s">
        <v>304</v>
      </c>
      <c r="C38" s="601">
        <f>GETPIVOTDATA("Sum of 2016-17",AttacksAreaPivot!$B$4,"LA",B38)</f>
        <v>2</v>
      </c>
      <c r="D38" s="601">
        <f>GETPIVOTDATA("Sum of 2017-18",AttacksAreaPivot!$B$4,"LA",B38)</f>
        <v>0</v>
      </c>
      <c r="E38" s="601">
        <f>GETPIVOTDATA("Sum of 2018-19",AttacksAreaPivot!$B$4,"LA",B38)</f>
        <v>1</v>
      </c>
      <c r="F38" s="601">
        <f>GETPIVOTDATA("Sum of 2019-20",AttacksAreaPivot!$B$4,"LA",B38)</f>
        <v>1</v>
      </c>
      <c r="G38" s="601">
        <f>GETPIVOTDATA("Sum of 2020-21",AttacksAreaPivot!$B$4,"LA",B38)</f>
        <v>5</v>
      </c>
      <c r="H38" s="601">
        <f>GETPIVOTDATA("Sum of 2021-22",AttacksAreaPivot!$B$4,"LA",B38)</f>
        <v>2</v>
      </c>
      <c r="I38" s="601">
        <f>GETPIVOTDATA("Sum of 2022-23",AttacksAreaPivot!$B$4,"LA",B38)</f>
        <v>2</v>
      </c>
      <c r="J38" s="601">
        <f>GETPIVOTDATA("Sum of 2023-24",AttacksAreaPivot!$B$4,"LA",B38)</f>
        <v>5</v>
      </c>
      <c r="K38" s="601">
        <f>GETPIVOTDATA("Sum of 2024-25",AttacksAreaPivot!$B$4,"LA",B38)</f>
        <v>6</v>
      </c>
      <c r="L38" s="601">
        <f>GETPIVOTDATA("Sum of 2025-26",AttacksAreaPivot!$B$4,"LA",B38)</f>
        <v>2</v>
      </c>
    </row>
    <row r="39" spans="1:12" x14ac:dyDescent="0.3">
      <c r="A39" s="718" t="s">
        <v>306</v>
      </c>
      <c r="B39" s="827" t="s">
        <v>307</v>
      </c>
      <c r="C39" s="601">
        <f>GETPIVOTDATA("Sum of 2016-17",AttacksAreaPivot!$B$4,"LA",B39)</f>
        <v>3</v>
      </c>
      <c r="D39" s="601">
        <f>GETPIVOTDATA("Sum of 2017-18",AttacksAreaPivot!$B$4,"LA",B39)</f>
        <v>0</v>
      </c>
      <c r="E39" s="601">
        <f>GETPIVOTDATA("Sum of 2018-19",AttacksAreaPivot!$B$4,"LA",B39)</f>
        <v>1</v>
      </c>
      <c r="F39" s="601">
        <f>GETPIVOTDATA("Sum of 2019-20",AttacksAreaPivot!$B$4,"LA",B39)</f>
        <v>0</v>
      </c>
      <c r="G39" s="601">
        <f>GETPIVOTDATA("Sum of 2020-21",AttacksAreaPivot!$B$4,"LA",B39)</f>
        <v>1</v>
      </c>
      <c r="H39" s="601">
        <f>GETPIVOTDATA("Sum of 2021-22",AttacksAreaPivot!$B$4,"LA",B39)</f>
        <v>0</v>
      </c>
      <c r="I39" s="601">
        <f>GETPIVOTDATA("Sum of 2022-23",AttacksAreaPivot!$B$4,"LA",B39)</f>
        <v>0</v>
      </c>
      <c r="J39" s="601">
        <f>GETPIVOTDATA("Sum of 2023-24",AttacksAreaPivot!$B$4,"LA",B39)</f>
        <v>0</v>
      </c>
      <c r="K39" s="601">
        <f>GETPIVOTDATA("Sum of 2024-25",AttacksAreaPivot!$B$4,"LA",B39)</f>
        <v>0</v>
      </c>
      <c r="L39" s="601">
        <f>GETPIVOTDATA("Sum of 2025-26",AttacksAreaPivot!$B$4,"LA",B39)</f>
        <v>0</v>
      </c>
    </row>
    <row r="40" spans="1:12" x14ac:dyDescent="0.3">
      <c r="A40" s="718" t="s">
        <v>308</v>
      </c>
      <c r="B40" s="827" t="s">
        <v>309</v>
      </c>
      <c r="C40" s="601">
        <f>GETPIVOTDATA("Sum of 2016-17",AttacksAreaPivot!$B$4,"LA",B40)</f>
        <v>1</v>
      </c>
      <c r="D40" s="601">
        <f>GETPIVOTDATA("Sum of 2017-18",AttacksAreaPivot!$B$4,"LA",B40)</f>
        <v>0</v>
      </c>
      <c r="E40" s="601">
        <f>GETPIVOTDATA("Sum of 2018-19",AttacksAreaPivot!$B$4,"LA",B40)</f>
        <v>2</v>
      </c>
      <c r="F40" s="601">
        <f>GETPIVOTDATA("Sum of 2019-20",AttacksAreaPivot!$B$4,"LA",B40)</f>
        <v>0</v>
      </c>
      <c r="G40" s="601">
        <f>GETPIVOTDATA("Sum of 2020-21",AttacksAreaPivot!$B$4,"LA",B40)</f>
        <v>0</v>
      </c>
      <c r="H40" s="601">
        <f>GETPIVOTDATA("Sum of 2021-22",AttacksAreaPivot!$B$4,"LA",B40)</f>
        <v>0</v>
      </c>
      <c r="I40" s="601">
        <f>GETPIVOTDATA("Sum of 2022-23",AttacksAreaPivot!$B$4,"LA",B40)</f>
        <v>1</v>
      </c>
      <c r="J40" s="601">
        <f>GETPIVOTDATA("Sum of 2023-24",AttacksAreaPivot!$B$4,"LA",B40)</f>
        <v>0</v>
      </c>
      <c r="K40" s="601">
        <f>GETPIVOTDATA("Sum of 2024-25",AttacksAreaPivot!$B$4,"LA",B40)</f>
        <v>4</v>
      </c>
      <c r="L40" s="601">
        <f>GETPIVOTDATA("Sum of 2025-26",AttacksAreaPivot!$B$4,"LA",B40)</f>
        <v>2</v>
      </c>
    </row>
    <row r="41" spans="1:12" x14ac:dyDescent="0.3">
      <c r="A41" s="600" t="s">
        <v>310</v>
      </c>
      <c r="B41" s="828" t="s">
        <v>311</v>
      </c>
      <c r="C41" s="601">
        <f>GETPIVOTDATA("Sum of 2016-17",AttacksAreaPivot!$B$4,"LA",B41)</f>
        <v>3</v>
      </c>
      <c r="D41" s="601">
        <f>GETPIVOTDATA("Sum of 2017-18",AttacksAreaPivot!$B$4,"LA",B41)</f>
        <v>4</v>
      </c>
      <c r="E41" s="601">
        <f>GETPIVOTDATA("Sum of 2018-19",AttacksAreaPivot!$B$4,"LA",B41)</f>
        <v>5</v>
      </c>
      <c r="F41" s="601">
        <f>GETPIVOTDATA("Sum of 2019-20",AttacksAreaPivot!$B$4,"LA",B41)</f>
        <v>2</v>
      </c>
      <c r="G41" s="601">
        <f>GETPIVOTDATA("Sum of 2020-21",AttacksAreaPivot!$B$4,"LA",B41)</f>
        <v>2</v>
      </c>
      <c r="H41" s="601">
        <f>GETPIVOTDATA("Sum of 2021-22",AttacksAreaPivot!$B$4,"LA",B41)</f>
        <v>2</v>
      </c>
      <c r="I41" s="601">
        <f>GETPIVOTDATA("Sum of 2022-23",AttacksAreaPivot!$B$4,"LA",B41)</f>
        <v>7</v>
      </c>
      <c r="J41" s="601">
        <f>GETPIVOTDATA("Sum of 2023-24",AttacksAreaPivot!$B$4,"LA",B41)</f>
        <v>4</v>
      </c>
      <c r="K41" s="601">
        <f>GETPIVOTDATA("Sum of 2024-25",AttacksAreaPivot!$B$4,"LA",B41)</f>
        <v>6</v>
      </c>
      <c r="L41" s="601">
        <f>GETPIVOTDATA("Sum of 2025-26",AttacksAreaPivot!$B$4,"LA",B41)</f>
        <v>2</v>
      </c>
    </row>
    <row r="42" spans="1:12" ht="15" thickBot="1" x14ac:dyDescent="0.35">
      <c r="A42" s="538"/>
      <c r="B42" s="719" t="s">
        <v>348</v>
      </c>
      <c r="C42" s="683">
        <f t="shared" ref="C42:K42" si="0">SUM(C10:C41)</f>
        <v>77</v>
      </c>
      <c r="D42" s="683">
        <f t="shared" si="0"/>
        <v>53</v>
      </c>
      <c r="E42" s="683">
        <f t="shared" si="0"/>
        <v>72</v>
      </c>
      <c r="F42" s="683">
        <f t="shared" si="0"/>
        <v>53</v>
      </c>
      <c r="G42" s="683">
        <f t="shared" si="0"/>
        <v>63</v>
      </c>
      <c r="H42" s="683">
        <f t="shared" si="0"/>
        <v>66</v>
      </c>
      <c r="I42" s="683">
        <f t="shared" si="0"/>
        <v>66</v>
      </c>
      <c r="J42" s="683">
        <f t="shared" si="0"/>
        <v>51</v>
      </c>
      <c r="K42" s="683">
        <f t="shared" si="0"/>
        <v>51</v>
      </c>
      <c r="L42" s="683">
        <f t="shared" ref="L42" si="1">SUM(L10:L41)</f>
        <v>51</v>
      </c>
    </row>
    <row r="43" spans="1:12" x14ac:dyDescent="0.3">
      <c r="B43" s="215"/>
      <c r="C43" s="274"/>
      <c r="D43" s="29"/>
      <c r="E43" s="275"/>
    </row>
    <row r="44" spans="1:12" x14ac:dyDescent="0.3">
      <c r="A44" s="358" t="s">
        <v>329</v>
      </c>
      <c r="C44" s="361"/>
      <c r="D44" s="257"/>
      <c r="E44" s="362"/>
    </row>
    <row r="45" spans="1:12" ht="45.9" customHeight="1" x14ac:dyDescent="0.3">
      <c r="A45" s="1048" t="s">
        <v>882</v>
      </c>
      <c r="B45" s="1048"/>
      <c r="C45" s="1048"/>
      <c r="D45" s="1048"/>
      <c r="E45" s="1048"/>
      <c r="F45" s="1048"/>
      <c r="G45" s="421"/>
      <c r="H45" s="421"/>
      <c r="I45" s="421"/>
    </row>
  </sheetData>
  <sheetProtection algorithmName="SHA-512" hashValue="6+Eg4lDYPj469lx5aBiQnMbiobiDcaUnVIR8iv0gTdn9cOPFQF2tsH5mghd3NiPcwzJaNlvc3X/GQU9sc0PmRg==" saltValue="fUywxt06WhEY2ny6T7oGIA==" spinCount="100000" sheet="1" formatCells="0" sort="0" autoFilter="0" pivotTables="0"/>
  <mergeCells count="3">
    <mergeCell ref="A1:B1"/>
    <mergeCell ref="A4:K4"/>
    <mergeCell ref="A45:F45"/>
  </mergeCells>
  <phoneticPr fontId="53" type="noConversion"/>
  <hyperlinks>
    <hyperlink ref="A2" location="'Table of Contents'!A1" display="Back to Table of Contents" xr:uid="{00000000-0004-0000-7B00-000000000000}"/>
  </hyperlinks>
  <pageMargins left="0.70866141732283472" right="0.70866141732283472" top="0.74803149606299213" bottom="0.74803149606299213" header="0.31496062992125984" footer="0.31496062992125984"/>
  <pageSetup paperSize="9" scale="98" orientation="portrait" r:id="rId1"/>
</worksheet>
</file>

<file path=xl/worksheets/sheet1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tabColor theme="5" tint="0.39997558519241921"/>
    <pageSetUpPr fitToPage="1"/>
  </sheetPr>
  <dimension ref="A1:H6"/>
  <sheetViews>
    <sheetView showGridLines="0" zoomScaleNormal="100" workbookViewId="0">
      <pane ySplit="2" topLeftCell="A3" activePane="bottomLeft" state="frozen"/>
      <selection pane="bottomLeft"/>
    </sheetView>
  </sheetViews>
  <sheetFormatPr defaultRowHeight="14.4" x14ac:dyDescent="0.3"/>
  <sheetData>
    <row r="1" spans="1:8" ht="15.75" customHeight="1" x14ac:dyDescent="0.3">
      <c r="A1" s="513" t="s">
        <v>874</v>
      </c>
      <c r="B1" s="513"/>
      <c r="C1" s="513"/>
    </row>
    <row r="2" spans="1:8" ht="15.6" x14ac:dyDescent="0.3">
      <c r="A2" s="498" t="s">
        <v>202</v>
      </c>
      <c r="B2" s="440"/>
      <c r="C2" s="440"/>
    </row>
    <row r="4" spans="1:8" ht="15.6" x14ac:dyDescent="0.3">
      <c r="A4" s="1031" t="s">
        <v>898</v>
      </c>
      <c r="B4" s="1031"/>
      <c r="C4" s="1031"/>
      <c r="D4" s="1031"/>
      <c r="E4" s="1031"/>
      <c r="F4" s="1031"/>
      <c r="G4" s="1031"/>
      <c r="H4" s="1031"/>
    </row>
    <row r="5" spans="1:8" x14ac:dyDescent="0.3">
      <c r="A5" s="560" t="s">
        <v>454</v>
      </c>
    </row>
    <row r="6" spans="1:8" x14ac:dyDescent="0.3">
      <c r="A6" s="560" t="s">
        <v>127</v>
      </c>
    </row>
  </sheetData>
  <sheetProtection algorithmName="SHA-512" hashValue="xpZOsU5ak2ZTJikcYokPf5o9BRyGrxAkakV0Xuq/KgiJr2nnpORZJR4CVfnOQjpjfQl4juEVMLjGwGNvTbmPew==" saltValue="ODF36J9k9eFeKbiG3pBWKQ==" spinCount="100000" sheet="1" scenarios="1" formatCells="0" sort="0" autoFilter="0" pivotTables="0"/>
  <mergeCells count="1">
    <mergeCell ref="A4:H4"/>
  </mergeCells>
  <hyperlinks>
    <hyperlink ref="A2" location="'Table of Contents'!A1" display="Back to Table of Contents" xr:uid="{00000000-0004-0000-7D00-000000000000}"/>
  </hyperlinks>
  <pageMargins left="0.70866141732283472" right="0.70866141732283472" top="0.74803149606299213" bottom="0.74803149606299213" header="0.31496062992125984" footer="0.31496062992125984"/>
  <pageSetup paperSize="9" scale="79" orientation="portrait" r:id="rId1"/>
  <drawing r:id="rId2"/>
</worksheet>
</file>

<file path=xl/worksheets/sheet1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tabColor theme="5" tint="0.39997558519241921"/>
    <pageSetUpPr fitToPage="1"/>
  </sheetPr>
  <dimension ref="A1:H6"/>
  <sheetViews>
    <sheetView showGridLines="0" zoomScaleNormal="100" workbookViewId="0">
      <pane ySplit="2" topLeftCell="A3" activePane="bottomLeft" state="frozen"/>
      <selection pane="bottomLeft"/>
    </sheetView>
  </sheetViews>
  <sheetFormatPr defaultRowHeight="14.4" x14ac:dyDescent="0.3"/>
  <sheetData>
    <row r="1" spans="1:8" ht="15.75" customHeight="1" x14ac:dyDescent="0.3">
      <c r="A1" s="513" t="s">
        <v>874</v>
      </c>
      <c r="B1" s="513"/>
      <c r="C1" s="513"/>
    </row>
    <row r="2" spans="1:8" ht="15.6" x14ac:dyDescent="0.3">
      <c r="A2" s="498" t="s">
        <v>202</v>
      </c>
      <c r="B2" s="440"/>
      <c r="C2" s="440"/>
    </row>
    <row r="4" spans="1:8" ht="15.6" x14ac:dyDescent="0.3">
      <c r="A4" s="514" t="s">
        <v>899</v>
      </c>
      <c r="B4" s="514"/>
      <c r="C4" s="514"/>
      <c r="D4" s="514"/>
      <c r="E4" s="514"/>
      <c r="F4" s="514"/>
      <c r="G4" s="514"/>
      <c r="H4" s="514"/>
    </row>
    <row r="5" spans="1:8" x14ac:dyDescent="0.3">
      <c r="A5" s="560" t="s">
        <v>454</v>
      </c>
    </row>
    <row r="6" spans="1:8" x14ac:dyDescent="0.3">
      <c r="A6" s="560" t="s">
        <v>129</v>
      </c>
    </row>
  </sheetData>
  <sheetProtection algorithmName="SHA-512" hashValue="zEsJADr21uxit1gW255dslrl9BHh/fOFvUpKQ0vD/IVAG7dHn3Fad2OiCSq/E4u+Oiwaio+wugYFk4hlheBY8Q==" saltValue="q2xxJjh1jmkceGKEa9O2GQ==" spinCount="100000" sheet="1" scenarios="1" formatCells="0" sort="0" autoFilter="0" pivotTables="0"/>
  <hyperlinks>
    <hyperlink ref="A2" location="'Table of Contents'!A1" display="Back to Table of Contents" xr:uid="{00000000-0004-0000-7E00-000000000000}"/>
  </hyperlinks>
  <pageMargins left="0.70866141732283472" right="0.70866141732283472" top="0.74803149606299213" bottom="0.74803149606299213" header="0.31496062992125984" footer="0.31496062992125984"/>
  <pageSetup paperSize="9" scale="79" orientation="portrait" r:id="rId1"/>
  <drawing r:id="rId2"/>
</worksheet>
</file>

<file path=xl/worksheets/sheet1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tabColor theme="5" tint="0.39997558519241921"/>
  </sheetPr>
  <dimension ref="A1:E6"/>
  <sheetViews>
    <sheetView showGridLines="0" zoomScale="85" zoomScaleNormal="85" workbookViewId="0">
      <pane ySplit="2" topLeftCell="A3" activePane="bottomLeft" state="frozen"/>
      <selection pane="bottomLeft"/>
    </sheetView>
  </sheetViews>
  <sheetFormatPr defaultRowHeight="14.4" x14ac:dyDescent="0.3"/>
  <sheetData>
    <row r="1" spans="1:5" ht="15.6" x14ac:dyDescent="0.3">
      <c r="A1" s="513" t="s">
        <v>874</v>
      </c>
      <c r="B1" s="513"/>
      <c r="C1" s="513"/>
    </row>
    <row r="2" spans="1:5" ht="15.6" x14ac:dyDescent="0.3">
      <c r="A2" s="498" t="s">
        <v>202</v>
      </c>
      <c r="B2" s="440"/>
      <c r="C2" s="440"/>
    </row>
    <row r="4" spans="1:5" ht="15.6" x14ac:dyDescent="0.3">
      <c r="A4" s="514" t="s">
        <v>898</v>
      </c>
      <c r="B4" s="514"/>
      <c r="C4" s="514"/>
      <c r="D4" s="514"/>
      <c r="E4" s="514"/>
    </row>
    <row r="5" spans="1:5" x14ac:dyDescent="0.3">
      <c r="A5" s="560" t="s">
        <v>454</v>
      </c>
    </row>
    <row r="6" spans="1:5" x14ac:dyDescent="0.3">
      <c r="A6" s="560" t="s">
        <v>131</v>
      </c>
    </row>
  </sheetData>
  <sheetProtection algorithmName="SHA-512" hashValue="mRhfk2WtDvAYS4xHvxcftXJLmc6XCGdrR1aK4SzDn/e3MzL1xq3BGXRtIEL/VjDf2QnOLndkOYASIYiXNQegnA==" saltValue="oQt5raYhTqMxhrhacJaXUQ==" spinCount="100000" sheet="1" scenarios="1" formatCells="0" sort="0" autoFilter="0" pivotTables="0"/>
  <hyperlinks>
    <hyperlink ref="A2" location="'Table of Contents'!A1" display="Back to Table of Contents" xr:uid="{00000000-0004-0000-7F00-000000000000}"/>
  </hyperlinks>
  <pageMargins left="0.7" right="0.7" top="0.75" bottom="0.75" header="0.3" footer="0.3"/>
  <drawing r:id="rId1"/>
</worksheet>
</file>

<file path=xl/worksheets/sheet1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91B5EB-1E24-4302-9472-41B27FDFCF6C}">
  <dimension ref="B3:H20"/>
  <sheetViews>
    <sheetView topLeftCell="B1" workbookViewId="0">
      <selection activeCell="E17" sqref="E17"/>
    </sheetView>
  </sheetViews>
  <sheetFormatPr defaultRowHeight="14.4" x14ac:dyDescent="0.3"/>
  <cols>
    <col min="2" max="2" width="12.77734375" bestFit="1" customWidth="1"/>
    <col min="3" max="3" width="11.33203125" bestFit="1" customWidth="1"/>
    <col min="4" max="4" width="19" bestFit="1" customWidth="1"/>
    <col min="5" max="5" width="18.88671875" bestFit="1" customWidth="1"/>
    <col min="6" max="6" width="17.33203125" bestFit="1" customWidth="1"/>
    <col min="7" max="7" width="23" bestFit="1" customWidth="1"/>
    <col min="8" max="8" width="26.77734375" bestFit="1" customWidth="1"/>
  </cols>
  <sheetData>
    <row r="3" spans="2:8" x14ac:dyDescent="0.3">
      <c r="B3" s="386" t="s">
        <v>350</v>
      </c>
      <c r="C3" t="s">
        <v>900</v>
      </c>
      <c r="D3" t="s">
        <v>901</v>
      </c>
      <c r="E3" t="s">
        <v>902</v>
      </c>
      <c r="F3" t="s">
        <v>903</v>
      </c>
      <c r="G3" t="s">
        <v>904</v>
      </c>
      <c r="H3" t="s">
        <v>905</v>
      </c>
    </row>
    <row r="4" spans="2:8" x14ac:dyDescent="0.3">
      <c r="B4" s="387" t="s">
        <v>510</v>
      </c>
      <c r="F4">
        <v>52730</v>
      </c>
      <c r="G4">
        <v>18732</v>
      </c>
      <c r="H4">
        <v>33998</v>
      </c>
    </row>
    <row r="5" spans="2:8" x14ac:dyDescent="0.3">
      <c r="B5" s="387" t="s">
        <v>362</v>
      </c>
      <c r="E5">
        <v>46395</v>
      </c>
      <c r="F5">
        <v>56545</v>
      </c>
      <c r="G5">
        <v>27699</v>
      </c>
      <c r="H5">
        <v>28846</v>
      </c>
    </row>
    <row r="6" spans="2:8" x14ac:dyDescent="0.3">
      <c r="B6" s="387" t="s">
        <v>363</v>
      </c>
      <c r="E6">
        <v>44122</v>
      </c>
      <c r="F6">
        <v>56251</v>
      </c>
      <c r="G6">
        <v>30238</v>
      </c>
      <c r="H6">
        <v>26013</v>
      </c>
    </row>
    <row r="7" spans="2:8" x14ac:dyDescent="0.3">
      <c r="B7" s="387" t="s">
        <v>364</v>
      </c>
      <c r="C7">
        <v>30359</v>
      </c>
      <c r="D7">
        <v>15805</v>
      </c>
      <c r="E7">
        <v>46164</v>
      </c>
      <c r="F7">
        <v>71048</v>
      </c>
      <c r="G7">
        <v>41472</v>
      </c>
      <c r="H7">
        <v>29576</v>
      </c>
    </row>
    <row r="8" spans="2:8" x14ac:dyDescent="0.3">
      <c r="B8" s="387" t="s">
        <v>365</v>
      </c>
      <c r="C8">
        <v>28032</v>
      </c>
      <c r="D8">
        <v>13800</v>
      </c>
      <c r="E8">
        <v>41832</v>
      </c>
      <c r="F8">
        <v>65715</v>
      </c>
      <c r="G8">
        <v>38729</v>
      </c>
      <c r="H8">
        <v>26986</v>
      </c>
    </row>
    <row r="9" spans="2:8" x14ac:dyDescent="0.3">
      <c r="B9" s="387" t="s">
        <v>366</v>
      </c>
      <c r="C9">
        <v>28897</v>
      </c>
      <c r="D9">
        <v>14813</v>
      </c>
      <c r="E9">
        <v>43710</v>
      </c>
      <c r="F9">
        <v>71717</v>
      </c>
      <c r="G9">
        <v>43379</v>
      </c>
      <c r="H9">
        <v>28338</v>
      </c>
    </row>
    <row r="10" spans="2:8" x14ac:dyDescent="0.3">
      <c r="B10" s="387" t="s">
        <v>341</v>
      </c>
      <c r="C10">
        <v>27955</v>
      </c>
      <c r="D10">
        <v>16366</v>
      </c>
      <c r="E10">
        <v>44321</v>
      </c>
      <c r="F10">
        <v>70801</v>
      </c>
      <c r="G10">
        <v>41785</v>
      </c>
      <c r="H10">
        <v>29016</v>
      </c>
    </row>
    <row r="11" spans="2:8" x14ac:dyDescent="0.3">
      <c r="B11" s="387" t="s">
        <v>342</v>
      </c>
      <c r="C11">
        <v>28114</v>
      </c>
      <c r="D11">
        <v>14271</v>
      </c>
      <c r="E11">
        <v>42385</v>
      </c>
      <c r="F11">
        <v>69831</v>
      </c>
      <c r="G11">
        <v>42077</v>
      </c>
      <c r="H11">
        <v>27754</v>
      </c>
    </row>
    <row r="12" spans="2:8" x14ac:dyDescent="0.3">
      <c r="B12" s="387" t="s">
        <v>213</v>
      </c>
      <c r="C12">
        <v>25645</v>
      </c>
      <c r="D12">
        <v>11904</v>
      </c>
      <c r="E12">
        <v>37549</v>
      </c>
      <c r="F12">
        <v>69202</v>
      </c>
      <c r="G12">
        <v>44740</v>
      </c>
      <c r="H12">
        <v>24462</v>
      </c>
    </row>
    <row r="13" spans="2:8" x14ac:dyDescent="0.3">
      <c r="B13" s="387" t="s">
        <v>312</v>
      </c>
      <c r="C13">
        <v>24016</v>
      </c>
      <c r="D13">
        <v>10594</v>
      </c>
      <c r="E13">
        <v>34610</v>
      </c>
      <c r="F13">
        <v>69237</v>
      </c>
      <c r="G13">
        <v>46945</v>
      </c>
      <c r="H13">
        <v>22292</v>
      </c>
    </row>
    <row r="14" spans="2:8" x14ac:dyDescent="0.3">
      <c r="B14" s="387" t="s">
        <v>318</v>
      </c>
      <c r="C14">
        <v>8696</v>
      </c>
      <c r="D14">
        <v>3839</v>
      </c>
      <c r="E14">
        <v>12535</v>
      </c>
      <c r="F14">
        <v>19998</v>
      </c>
      <c r="G14">
        <v>12319</v>
      </c>
      <c r="H14">
        <v>7679</v>
      </c>
    </row>
    <row r="15" spans="2:8" x14ac:dyDescent="0.3">
      <c r="B15" s="387" t="s">
        <v>325</v>
      </c>
      <c r="E15">
        <v>15690</v>
      </c>
      <c r="F15">
        <v>38699</v>
      </c>
      <c r="G15">
        <v>31935</v>
      </c>
      <c r="H15">
        <v>6764</v>
      </c>
    </row>
    <row r="16" spans="2:8" x14ac:dyDescent="0.3">
      <c r="B16" s="387" t="s">
        <v>326</v>
      </c>
      <c r="C16">
        <v>11486</v>
      </c>
      <c r="D16">
        <v>4308</v>
      </c>
      <c r="E16">
        <v>15794</v>
      </c>
      <c r="F16">
        <v>36742</v>
      </c>
      <c r="G16">
        <v>30802</v>
      </c>
      <c r="H16">
        <v>5940</v>
      </c>
    </row>
    <row r="17" spans="2:8" x14ac:dyDescent="0.3">
      <c r="B17" s="387" t="s">
        <v>320</v>
      </c>
      <c r="E17">
        <v>45586</v>
      </c>
      <c r="F17">
        <v>44196</v>
      </c>
      <c r="G17">
        <v>27692</v>
      </c>
      <c r="H17">
        <v>16504</v>
      </c>
    </row>
    <row r="18" spans="2:8" x14ac:dyDescent="0.3">
      <c r="B18" s="387" t="s">
        <v>328</v>
      </c>
      <c r="C18">
        <v>7870</v>
      </c>
      <c r="D18">
        <v>2907</v>
      </c>
      <c r="E18">
        <v>11636</v>
      </c>
      <c r="F18">
        <v>34019</v>
      </c>
      <c r="G18">
        <v>29800</v>
      </c>
      <c r="H18">
        <v>4219</v>
      </c>
    </row>
    <row r="19" spans="2:8" x14ac:dyDescent="0.3">
      <c r="B19" s="387" t="s">
        <v>412</v>
      </c>
      <c r="D19">
        <v>0</v>
      </c>
      <c r="E19">
        <v>10740</v>
      </c>
      <c r="F19">
        <v>20423</v>
      </c>
      <c r="G19">
        <v>16942</v>
      </c>
      <c r="H19">
        <v>3481</v>
      </c>
    </row>
    <row r="20" spans="2:8" x14ac:dyDescent="0.3">
      <c r="B20" s="387" t="s">
        <v>357</v>
      </c>
      <c r="C20">
        <v>221070</v>
      </c>
      <c r="D20">
        <v>108607</v>
      </c>
      <c r="E20">
        <v>493069</v>
      </c>
      <c r="F20">
        <v>847154</v>
      </c>
      <c r="G20">
        <v>525286</v>
      </c>
      <c r="H20">
        <v>321868</v>
      </c>
    </row>
  </sheetData>
  <pageMargins left="0.7" right="0.7" top="0.75" bottom="0.75" header="0.3" footer="0.3"/>
</worksheet>
</file>

<file path=xl/worksheets/sheet1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5BE67B-0033-483E-811F-6D3CAD72BC28}">
  <dimension ref="A1:G17"/>
  <sheetViews>
    <sheetView workbookViewId="0">
      <selection activeCell="C14" sqref="C14"/>
    </sheetView>
  </sheetViews>
  <sheetFormatPr defaultRowHeight="14.4" x14ac:dyDescent="0.3"/>
  <cols>
    <col min="1" max="1" width="7.6640625" bestFit="1" customWidth="1"/>
    <col min="2" max="2" width="22.33203125" bestFit="1" customWidth="1"/>
    <col min="3" max="3" width="18.5546875" bestFit="1" customWidth="1"/>
    <col min="4" max="4" width="12.88671875" bestFit="1" customWidth="1"/>
    <col min="5" max="5" width="14.44140625" bestFit="1" customWidth="1"/>
    <col min="6" max="6" width="7.21875" bestFit="1" customWidth="1"/>
    <col min="7" max="7" width="14.5546875" bestFit="1" customWidth="1"/>
  </cols>
  <sheetData>
    <row r="1" spans="1:7" x14ac:dyDescent="0.3">
      <c r="A1" t="s">
        <v>208</v>
      </c>
      <c r="B1" t="s">
        <v>906</v>
      </c>
      <c r="C1" t="s">
        <v>907</v>
      </c>
      <c r="D1" t="s">
        <v>908</v>
      </c>
      <c r="E1" t="s">
        <v>909</v>
      </c>
      <c r="F1" t="s">
        <v>910</v>
      </c>
      <c r="G1" t="s">
        <v>911</v>
      </c>
    </row>
    <row r="2" spans="1:7" x14ac:dyDescent="0.3">
      <c r="A2" t="s">
        <v>510</v>
      </c>
      <c r="B2">
        <v>33998</v>
      </c>
      <c r="C2">
        <v>18732</v>
      </c>
      <c r="D2">
        <v>52730</v>
      </c>
    </row>
    <row r="3" spans="1:7" x14ac:dyDescent="0.3">
      <c r="A3" t="s">
        <v>362</v>
      </c>
      <c r="B3">
        <v>28846</v>
      </c>
      <c r="C3">
        <v>27699</v>
      </c>
      <c r="D3">
        <v>56545</v>
      </c>
      <c r="E3">
        <v>46395</v>
      </c>
    </row>
    <row r="4" spans="1:7" x14ac:dyDescent="0.3">
      <c r="A4" t="s">
        <v>363</v>
      </c>
      <c r="B4">
        <v>26013</v>
      </c>
      <c r="C4">
        <v>30238</v>
      </c>
      <c r="D4">
        <v>56251</v>
      </c>
      <c r="E4">
        <v>44122</v>
      </c>
    </row>
    <row r="5" spans="1:7" x14ac:dyDescent="0.3">
      <c r="A5" t="s">
        <v>364</v>
      </c>
      <c r="B5">
        <v>29576</v>
      </c>
      <c r="C5">
        <v>41472</v>
      </c>
      <c r="D5">
        <v>71048</v>
      </c>
      <c r="E5">
        <v>46164</v>
      </c>
      <c r="F5">
        <v>30359</v>
      </c>
      <c r="G5">
        <v>15805</v>
      </c>
    </row>
    <row r="6" spans="1:7" x14ac:dyDescent="0.3">
      <c r="A6" t="s">
        <v>365</v>
      </c>
      <c r="B6">
        <v>26986</v>
      </c>
      <c r="C6">
        <v>38729</v>
      </c>
      <c r="D6">
        <v>65715</v>
      </c>
      <c r="E6">
        <v>41832</v>
      </c>
      <c r="F6">
        <v>28032</v>
      </c>
      <c r="G6">
        <v>13800</v>
      </c>
    </row>
    <row r="7" spans="1:7" x14ac:dyDescent="0.3">
      <c r="A7" t="s">
        <v>366</v>
      </c>
      <c r="B7">
        <v>28338</v>
      </c>
      <c r="C7">
        <v>43379</v>
      </c>
      <c r="D7">
        <v>71717</v>
      </c>
      <c r="E7">
        <v>43710</v>
      </c>
      <c r="F7">
        <v>28897</v>
      </c>
      <c r="G7">
        <v>14813</v>
      </c>
    </row>
    <row r="8" spans="1:7" x14ac:dyDescent="0.3">
      <c r="A8" t="s">
        <v>341</v>
      </c>
      <c r="B8">
        <v>29016</v>
      </c>
      <c r="C8">
        <v>41785</v>
      </c>
      <c r="D8">
        <v>70801</v>
      </c>
      <c r="E8">
        <v>44321</v>
      </c>
      <c r="F8">
        <v>27955</v>
      </c>
      <c r="G8">
        <v>16366</v>
      </c>
    </row>
    <row r="9" spans="1:7" x14ac:dyDescent="0.3">
      <c r="A9" t="s">
        <v>342</v>
      </c>
      <c r="B9">
        <v>27754</v>
      </c>
      <c r="C9">
        <v>42077</v>
      </c>
      <c r="D9">
        <v>69831</v>
      </c>
      <c r="E9">
        <v>42385</v>
      </c>
      <c r="F9">
        <v>28114</v>
      </c>
      <c r="G9">
        <v>14271</v>
      </c>
    </row>
    <row r="10" spans="1:7" x14ac:dyDescent="0.3">
      <c r="A10" t="s">
        <v>213</v>
      </c>
      <c r="B10">
        <v>24462</v>
      </c>
      <c r="C10">
        <v>44740</v>
      </c>
      <c r="D10">
        <v>69202</v>
      </c>
      <c r="E10">
        <v>37549</v>
      </c>
      <c r="F10">
        <v>25645</v>
      </c>
      <c r="G10">
        <v>11904</v>
      </c>
    </row>
    <row r="11" spans="1:7" x14ac:dyDescent="0.3">
      <c r="A11" t="s">
        <v>312</v>
      </c>
      <c r="B11">
        <v>22292</v>
      </c>
      <c r="C11">
        <v>46945</v>
      </c>
      <c r="D11">
        <v>69237</v>
      </c>
      <c r="E11">
        <v>34610</v>
      </c>
      <c r="F11">
        <v>24016</v>
      </c>
      <c r="G11">
        <v>10594</v>
      </c>
    </row>
    <row r="12" spans="1:7" x14ac:dyDescent="0.3">
      <c r="A12" t="s">
        <v>318</v>
      </c>
      <c r="B12">
        <v>7679</v>
      </c>
      <c r="C12">
        <v>12319</v>
      </c>
      <c r="D12">
        <v>19998</v>
      </c>
      <c r="E12">
        <v>12535</v>
      </c>
      <c r="F12">
        <v>8696</v>
      </c>
      <c r="G12">
        <v>3839</v>
      </c>
    </row>
    <row r="13" spans="1:7" x14ac:dyDescent="0.3">
      <c r="A13" t="s">
        <v>320</v>
      </c>
      <c r="B13">
        <v>16504</v>
      </c>
      <c r="C13">
        <v>27692</v>
      </c>
      <c r="D13">
        <v>44196</v>
      </c>
      <c r="E13">
        <v>45586</v>
      </c>
    </row>
    <row r="14" spans="1:7" x14ac:dyDescent="0.3">
      <c r="A14" t="s">
        <v>325</v>
      </c>
      <c r="B14">
        <v>6764</v>
      </c>
      <c r="C14">
        <v>31935</v>
      </c>
      <c r="D14">
        <v>38699</v>
      </c>
      <c r="E14">
        <v>15690</v>
      </c>
    </row>
    <row r="15" spans="1:7" x14ac:dyDescent="0.3">
      <c r="A15" t="s">
        <v>326</v>
      </c>
      <c r="B15">
        <v>5940</v>
      </c>
      <c r="C15">
        <v>30802</v>
      </c>
      <c r="D15">
        <v>36742</v>
      </c>
      <c r="E15">
        <v>15794</v>
      </c>
      <c r="F15">
        <v>11486</v>
      </c>
      <c r="G15">
        <v>4308</v>
      </c>
    </row>
    <row r="16" spans="1:7" x14ac:dyDescent="0.3">
      <c r="A16" t="s">
        <v>328</v>
      </c>
      <c r="B16">
        <v>4219</v>
      </c>
      <c r="C16">
        <v>29800</v>
      </c>
      <c r="D16">
        <v>34019</v>
      </c>
      <c r="E16">
        <v>11636</v>
      </c>
      <c r="F16">
        <v>7870</v>
      </c>
      <c r="G16">
        <v>2907</v>
      </c>
    </row>
    <row r="17" spans="1:7" x14ac:dyDescent="0.3">
      <c r="A17" t="s">
        <v>412</v>
      </c>
      <c r="B17">
        <v>3481</v>
      </c>
      <c r="C17">
        <v>16942</v>
      </c>
      <c r="D17">
        <v>20423</v>
      </c>
      <c r="E17">
        <v>10740</v>
      </c>
      <c r="G17">
        <v>0</v>
      </c>
    </row>
  </sheetData>
  <pageMargins left="0.7" right="0.7" top="0.75" bottom="0.75" header="0.3" footer="0.3"/>
  <tableParts count="1">
    <tablePart r:id="rId1"/>
  </tableParts>
</worksheet>
</file>

<file path=xl/worksheets/sheet1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789B1A2-3C66-4941-85A8-AFBD24D4DE8F}">
  <dimension ref="A1:C4"/>
  <sheetViews>
    <sheetView workbookViewId="0">
      <selection activeCell="A3" sqref="A3:C4"/>
    </sheetView>
  </sheetViews>
  <sheetFormatPr defaultRowHeight="14.4" x14ac:dyDescent="0.3"/>
  <cols>
    <col min="1" max="1" width="9.33203125" customWidth="1"/>
    <col min="3" max="3" width="13.109375" customWidth="1"/>
  </cols>
  <sheetData>
    <row r="1" spans="1:3" x14ac:dyDescent="0.3">
      <c r="A1" s="312" t="s">
        <v>1292</v>
      </c>
    </row>
    <row r="3" spans="1:3" x14ac:dyDescent="0.3">
      <c r="A3" t="s">
        <v>912</v>
      </c>
      <c r="B3" t="s">
        <v>208</v>
      </c>
      <c r="C3" t="s">
        <v>913</v>
      </c>
    </row>
    <row r="4" spans="1:3" x14ac:dyDescent="0.3">
      <c r="A4" t="s">
        <v>545</v>
      </c>
      <c r="B4">
        <v>2011</v>
      </c>
      <c r="C4">
        <v>2376424</v>
      </c>
    </row>
  </sheetData>
  <pageMargins left="0.7" right="0.7" top="0.75" bottom="0.75" header="0.3" footer="0.3"/>
  <tableParts count="1">
    <tablePart r:id="rId1"/>
  </tableParts>
</worksheet>
</file>

<file path=xl/worksheets/sheet1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E2C371-7B96-4616-A0A7-C2E280814A85}">
  <dimension ref="A1:K32"/>
  <sheetViews>
    <sheetView workbookViewId="0">
      <selection activeCell="K22" sqref="K22"/>
    </sheetView>
  </sheetViews>
  <sheetFormatPr defaultRowHeight="14.4" x14ac:dyDescent="0.3"/>
  <cols>
    <col min="1" max="1" width="9.5546875" bestFit="1" customWidth="1"/>
    <col min="2" max="2" width="7.109375" bestFit="1" customWidth="1"/>
    <col min="3" max="3" width="13.33203125" bestFit="1" customWidth="1"/>
    <col min="10" max="10" width="12.77734375" bestFit="1" customWidth="1"/>
    <col min="11" max="11" width="17.77734375" bestFit="1" customWidth="1"/>
    <col min="12" max="12" width="17.109375" bestFit="1" customWidth="1"/>
  </cols>
  <sheetData>
    <row r="1" spans="1:11" x14ac:dyDescent="0.3">
      <c r="A1" t="s">
        <v>912</v>
      </c>
      <c r="B1" t="s">
        <v>208</v>
      </c>
      <c r="C1" t="s">
        <v>913</v>
      </c>
    </row>
    <row r="2" spans="1:11" x14ac:dyDescent="0.3">
      <c r="A2" t="s">
        <v>545</v>
      </c>
      <c r="B2">
        <v>1991</v>
      </c>
      <c r="C2">
        <v>2042809</v>
      </c>
    </row>
    <row r="3" spans="1:11" x14ac:dyDescent="0.3">
      <c r="A3" t="s">
        <v>545</v>
      </c>
      <c r="B3">
        <v>2001</v>
      </c>
      <c r="C3">
        <v>2194564</v>
      </c>
    </row>
    <row r="4" spans="1:11" x14ac:dyDescent="0.3">
      <c r="A4" t="s">
        <v>545</v>
      </c>
      <c r="B4">
        <v>2002</v>
      </c>
      <c r="C4">
        <v>2211430</v>
      </c>
    </row>
    <row r="5" spans="1:11" x14ac:dyDescent="0.3">
      <c r="A5" t="s">
        <v>545</v>
      </c>
      <c r="B5">
        <v>2003</v>
      </c>
      <c r="C5">
        <v>2230797</v>
      </c>
      <c r="J5" s="386" t="s">
        <v>350</v>
      </c>
      <c r="K5" t="s">
        <v>914</v>
      </c>
    </row>
    <row r="6" spans="1:11" x14ac:dyDescent="0.3">
      <c r="A6" t="s">
        <v>545</v>
      </c>
      <c r="B6">
        <v>2004</v>
      </c>
      <c r="C6">
        <v>2251262</v>
      </c>
      <c r="J6" s="387">
        <v>1991</v>
      </c>
      <c r="K6">
        <v>2042809</v>
      </c>
    </row>
    <row r="7" spans="1:11" x14ac:dyDescent="0.3">
      <c r="A7" t="s">
        <v>545</v>
      </c>
      <c r="B7">
        <v>2005</v>
      </c>
      <c r="C7">
        <v>2274283</v>
      </c>
      <c r="J7" s="387">
        <v>2001</v>
      </c>
      <c r="K7">
        <v>2194564</v>
      </c>
    </row>
    <row r="8" spans="1:11" x14ac:dyDescent="0.3">
      <c r="A8" t="s">
        <v>545</v>
      </c>
      <c r="B8">
        <v>2006</v>
      </c>
      <c r="C8">
        <v>2295185</v>
      </c>
      <c r="J8" s="387">
        <v>2002</v>
      </c>
      <c r="K8">
        <v>2211430</v>
      </c>
    </row>
    <row r="9" spans="1:11" x14ac:dyDescent="0.3">
      <c r="A9" t="s">
        <v>545</v>
      </c>
      <c r="B9">
        <v>2007</v>
      </c>
      <c r="C9">
        <v>2318966</v>
      </c>
      <c r="J9" s="387">
        <v>2003</v>
      </c>
      <c r="K9">
        <v>2230797</v>
      </c>
    </row>
    <row r="10" spans="1:11" x14ac:dyDescent="0.3">
      <c r="A10" t="s">
        <v>545</v>
      </c>
      <c r="B10">
        <v>2008</v>
      </c>
      <c r="C10">
        <v>2337967</v>
      </c>
      <c r="J10" s="387">
        <v>2004</v>
      </c>
      <c r="K10">
        <v>2251262</v>
      </c>
    </row>
    <row r="11" spans="1:11" x14ac:dyDescent="0.3">
      <c r="A11" t="s">
        <v>545</v>
      </c>
      <c r="B11">
        <v>2009</v>
      </c>
      <c r="C11">
        <v>2351780</v>
      </c>
      <c r="J11" s="387">
        <v>2005</v>
      </c>
      <c r="K11">
        <v>2274283</v>
      </c>
    </row>
    <row r="12" spans="1:11" x14ac:dyDescent="0.3">
      <c r="A12" t="s">
        <v>545</v>
      </c>
      <c r="B12">
        <v>2010</v>
      </c>
      <c r="C12">
        <v>2364850</v>
      </c>
      <c r="J12" s="387">
        <v>2006</v>
      </c>
      <c r="K12">
        <v>2295185</v>
      </c>
    </row>
    <row r="13" spans="1:11" x14ac:dyDescent="0.3">
      <c r="A13" t="s">
        <v>545</v>
      </c>
      <c r="B13">
        <v>2011</v>
      </c>
      <c r="C13">
        <v>2376424</v>
      </c>
      <c r="J13" s="387">
        <v>2007</v>
      </c>
      <c r="K13">
        <v>2318966</v>
      </c>
    </row>
    <row r="14" spans="1:11" x14ac:dyDescent="0.3">
      <c r="A14" t="s">
        <v>545</v>
      </c>
      <c r="B14">
        <v>2012</v>
      </c>
      <c r="C14">
        <v>2386660</v>
      </c>
      <c r="J14" s="387">
        <v>2008</v>
      </c>
      <c r="K14">
        <v>2337967</v>
      </c>
    </row>
    <row r="15" spans="1:11" x14ac:dyDescent="0.3">
      <c r="A15" t="s">
        <v>545</v>
      </c>
      <c r="B15">
        <v>2013</v>
      </c>
      <c r="C15">
        <v>2400342</v>
      </c>
      <c r="J15" s="387">
        <v>2009</v>
      </c>
      <c r="K15">
        <v>2351780</v>
      </c>
    </row>
    <row r="16" spans="1:11" x14ac:dyDescent="0.3">
      <c r="A16" t="s">
        <v>545</v>
      </c>
      <c r="B16">
        <v>2014</v>
      </c>
      <c r="C16">
        <v>2416014</v>
      </c>
      <c r="J16" s="387">
        <v>2010</v>
      </c>
      <c r="K16">
        <v>2364850</v>
      </c>
    </row>
    <row r="17" spans="1:11" x14ac:dyDescent="0.3">
      <c r="A17" t="s">
        <v>545</v>
      </c>
      <c r="B17">
        <v>2015</v>
      </c>
      <c r="C17">
        <v>2429943</v>
      </c>
      <c r="J17" s="387">
        <v>2011</v>
      </c>
      <c r="K17">
        <v>2376424</v>
      </c>
    </row>
    <row r="18" spans="1:11" x14ac:dyDescent="0.3">
      <c r="A18" t="s">
        <v>545</v>
      </c>
      <c r="B18">
        <v>2016</v>
      </c>
      <c r="C18">
        <v>2446171</v>
      </c>
      <c r="J18" s="387">
        <v>2012</v>
      </c>
      <c r="K18">
        <v>2386660</v>
      </c>
    </row>
    <row r="19" spans="1:11" x14ac:dyDescent="0.3">
      <c r="A19" t="s">
        <v>545</v>
      </c>
      <c r="B19">
        <v>2017</v>
      </c>
      <c r="C19">
        <v>2462736</v>
      </c>
      <c r="J19" s="387">
        <v>2013</v>
      </c>
      <c r="K19">
        <v>2400342</v>
      </c>
    </row>
    <row r="20" spans="1:11" x14ac:dyDescent="0.3">
      <c r="A20" t="s">
        <v>545</v>
      </c>
      <c r="B20">
        <v>2018</v>
      </c>
      <c r="C20">
        <v>2477275</v>
      </c>
      <c r="J20" s="387">
        <v>2014</v>
      </c>
      <c r="K20">
        <v>2416014</v>
      </c>
    </row>
    <row r="21" spans="1:11" x14ac:dyDescent="0.3">
      <c r="A21" t="s">
        <v>545</v>
      </c>
      <c r="B21">
        <v>2019</v>
      </c>
      <c r="C21">
        <v>2495623</v>
      </c>
      <c r="J21" s="387">
        <v>2015</v>
      </c>
      <c r="K21">
        <v>2429943</v>
      </c>
    </row>
    <row r="22" spans="1:11" x14ac:dyDescent="0.3">
      <c r="A22" t="s">
        <v>545</v>
      </c>
      <c r="B22">
        <v>2020</v>
      </c>
      <c r="C22">
        <v>2507625</v>
      </c>
      <c r="J22" s="387">
        <v>2016</v>
      </c>
      <c r="K22">
        <v>2446171</v>
      </c>
    </row>
    <row r="23" spans="1:11" x14ac:dyDescent="0.3">
      <c r="A23" t="s">
        <v>545</v>
      </c>
      <c r="B23">
        <v>2021</v>
      </c>
      <c r="C23">
        <v>2528823</v>
      </c>
      <c r="J23" s="387">
        <v>2017</v>
      </c>
      <c r="K23">
        <v>2462736</v>
      </c>
    </row>
    <row r="24" spans="1:11" x14ac:dyDescent="0.3">
      <c r="A24" t="s">
        <v>545</v>
      </c>
      <c r="B24">
        <v>2022</v>
      </c>
      <c r="C24">
        <v>2549797</v>
      </c>
      <c r="J24" s="387">
        <v>2018</v>
      </c>
      <c r="K24">
        <v>2477275</v>
      </c>
    </row>
    <row r="25" spans="1:11" x14ac:dyDescent="0.3">
      <c r="A25" t="s">
        <v>545</v>
      </c>
      <c r="B25">
        <v>2023</v>
      </c>
      <c r="C25">
        <v>2535310</v>
      </c>
      <c r="J25" s="387">
        <v>2019</v>
      </c>
      <c r="K25">
        <v>2495623</v>
      </c>
    </row>
    <row r="26" spans="1:11" x14ac:dyDescent="0.3">
      <c r="A26" t="s">
        <v>545</v>
      </c>
      <c r="B26">
        <v>2024</v>
      </c>
      <c r="C26">
        <v>2552388.2351710973</v>
      </c>
      <c r="J26" s="387">
        <v>2020</v>
      </c>
      <c r="K26">
        <v>2507625</v>
      </c>
    </row>
    <row r="27" spans="1:11" x14ac:dyDescent="0.3">
      <c r="A27" t="s">
        <v>545</v>
      </c>
      <c r="B27">
        <v>2025</v>
      </c>
      <c r="C27">
        <v>2570799</v>
      </c>
      <c r="J27" s="387">
        <v>2021</v>
      </c>
      <c r="K27">
        <v>2528823</v>
      </c>
    </row>
    <row r="28" spans="1:11" x14ac:dyDescent="0.3">
      <c r="J28" s="387">
        <v>2022</v>
      </c>
      <c r="K28">
        <v>2549797</v>
      </c>
    </row>
    <row r="29" spans="1:11" x14ac:dyDescent="0.3">
      <c r="J29" s="387">
        <v>2023</v>
      </c>
      <c r="K29">
        <v>2535310</v>
      </c>
    </row>
    <row r="30" spans="1:11" x14ac:dyDescent="0.3">
      <c r="J30" s="387">
        <v>2024</v>
      </c>
      <c r="K30">
        <v>2552388.2351710973</v>
      </c>
    </row>
    <row r="31" spans="1:11" x14ac:dyDescent="0.3">
      <c r="J31" s="387">
        <v>2025</v>
      </c>
      <c r="K31">
        <v>2570799</v>
      </c>
    </row>
    <row r="32" spans="1:11" x14ac:dyDescent="0.3">
      <c r="J32" s="387" t="s">
        <v>357</v>
      </c>
      <c r="K32">
        <v>62009823.235171095</v>
      </c>
    </row>
  </sheetData>
  <pageMargins left="0.7" right="0.7" top="0.75" bottom="0.75" header="0.3" footer="0.3"/>
  <tableParts count="1">
    <tablePart r:id="rId2"/>
  </tableParts>
</worksheet>
</file>

<file path=xl/worksheets/sheet1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Sheet27">
    <tabColor theme="7" tint="-0.249977111117893"/>
    <pageSetUpPr fitToPage="1"/>
  </sheetPr>
  <dimension ref="A1:K106"/>
  <sheetViews>
    <sheetView showGridLines="0" zoomScaleNormal="100" workbookViewId="0">
      <pane ySplit="2" topLeftCell="A25" activePane="bottomLeft" state="frozen"/>
      <selection pane="bottomLeft"/>
    </sheetView>
  </sheetViews>
  <sheetFormatPr defaultRowHeight="14.4" x14ac:dyDescent="0.3"/>
  <cols>
    <col min="1" max="1" width="33.5546875" customWidth="1"/>
    <col min="2" max="2" width="20.5546875" bestFit="1" customWidth="1"/>
    <col min="3" max="3" width="19.44140625" customWidth="1"/>
    <col min="4" max="4" width="9.88671875" bestFit="1" customWidth="1"/>
    <col min="5" max="5" width="31.6640625" bestFit="1" customWidth="1"/>
    <col min="6" max="6" width="13.109375" customWidth="1"/>
    <col min="7" max="7" width="23.33203125" customWidth="1"/>
    <col min="8" max="8" width="9.109375" style="370"/>
    <col min="12" max="12" width="16.109375" bestFit="1" customWidth="1"/>
    <col min="13" max="13" width="14.6640625" bestFit="1" customWidth="1"/>
  </cols>
  <sheetData>
    <row r="1" spans="1:8" ht="15.6" x14ac:dyDescent="0.3">
      <c r="A1" s="513" t="s">
        <v>915</v>
      </c>
    </row>
    <row r="2" spans="1:8" x14ac:dyDescent="0.3">
      <c r="A2" s="498" t="s">
        <v>202</v>
      </c>
    </row>
    <row r="3" spans="1:8" x14ac:dyDescent="0.3">
      <c r="A3" s="25"/>
      <c r="B3" s="25"/>
      <c r="C3" s="25"/>
      <c r="D3" s="25"/>
      <c r="E3" s="25"/>
      <c r="F3" s="25"/>
      <c r="G3" s="25"/>
    </row>
    <row r="4" spans="1:8" ht="15.75" customHeight="1" x14ac:dyDescent="0.3">
      <c r="A4" s="425" t="s">
        <v>916</v>
      </c>
      <c r="B4" s="425"/>
      <c r="C4" s="425"/>
      <c r="D4" s="425"/>
      <c r="E4" s="425"/>
      <c r="F4" s="425"/>
      <c r="G4" s="425"/>
    </row>
    <row r="5" spans="1:8" ht="15.75" customHeight="1" x14ac:dyDescent="0.3">
      <c r="A5" t="s">
        <v>203</v>
      </c>
      <c r="B5" t="s">
        <v>134</v>
      </c>
      <c r="C5" s="233"/>
      <c r="D5" s="233"/>
      <c r="E5" s="233"/>
      <c r="F5" s="233"/>
      <c r="G5" s="233"/>
    </row>
    <row r="6" spans="1:8" ht="15.75" customHeight="1" x14ac:dyDescent="0.3">
      <c r="A6" t="s">
        <v>204</v>
      </c>
      <c r="B6" t="s">
        <v>205</v>
      </c>
      <c r="C6" s="233"/>
      <c r="D6" s="233"/>
      <c r="E6" s="233"/>
      <c r="G6" s="233"/>
    </row>
    <row r="7" spans="1:8" ht="15.75" customHeight="1" x14ac:dyDescent="0.3">
      <c r="A7" t="s">
        <v>206</v>
      </c>
      <c r="B7" t="s">
        <v>917</v>
      </c>
      <c r="C7" s="233"/>
      <c r="D7" s="233"/>
      <c r="E7" s="233"/>
      <c r="F7" s="233"/>
      <c r="G7" s="233"/>
    </row>
    <row r="8" spans="1:8" ht="15.6" customHeight="1" x14ac:dyDescent="0.3">
      <c r="A8" s="25"/>
      <c r="B8" s="25"/>
      <c r="C8" s="25"/>
      <c r="D8" s="25"/>
      <c r="E8" s="25"/>
      <c r="F8" s="1075" t="s">
        <v>918</v>
      </c>
      <c r="G8" s="1075"/>
    </row>
    <row r="9" spans="1:8" s="459" customFormat="1" ht="28.8" x14ac:dyDescent="0.3">
      <c r="A9" s="598" t="s">
        <v>208</v>
      </c>
      <c r="B9" s="495" t="s">
        <v>919</v>
      </c>
      <c r="C9" s="495" t="s">
        <v>920</v>
      </c>
      <c r="D9" s="495" t="s">
        <v>921</v>
      </c>
      <c r="E9" s="495" t="s">
        <v>922</v>
      </c>
      <c r="F9" s="643" t="s">
        <v>910</v>
      </c>
      <c r="G9" s="643" t="s">
        <v>911</v>
      </c>
    </row>
    <row r="10" spans="1:8" x14ac:dyDescent="0.3">
      <c r="A10" s="595" t="s">
        <v>510</v>
      </c>
      <c r="B10" s="601">
        <f>GETPIVOTDATA("Sum of HFSV_AlarmsInstalled",HFSVPivot!$B$3,"Year",Table_s_srs_v01_pds_RAP_HFSV_Outcome[[#This Row],[Year]])</f>
        <v>33998</v>
      </c>
      <c r="C10" s="601">
        <f>GETPIVOTDATA("Sum of HFSV_AdviceOnly",HFSVPivot!$B$3,"Year",Table_s_srs_v01_pds_RAP_HFSV_Outcome[[#This Row],[Year]])</f>
        <v>18732</v>
      </c>
      <c r="D10" s="602">
        <f>GETPIVOTDATA("Sum of Total_HFSV",HFSVPivot!$B$3,"Year",Table_s_srs_v01_pds_RAP_HFSV_Outcome[[#This Row],[Year]])</f>
        <v>52730</v>
      </c>
      <c r="E10" s="700"/>
      <c r="F10" s="714"/>
      <c r="G10" s="700"/>
      <c r="H10"/>
    </row>
    <row r="11" spans="1:8" x14ac:dyDescent="0.3">
      <c r="A11" s="595" t="s">
        <v>362</v>
      </c>
      <c r="B11" s="601">
        <f>GETPIVOTDATA("Sum of HFSV_AlarmsInstalled",HFSVPivot!$B$3,"Year",Table_s_srs_v01_pds_RAP_HFSV_Outcome[[#This Row],[Year]])</f>
        <v>28846</v>
      </c>
      <c r="C11" s="601">
        <f>GETPIVOTDATA("Sum of HFSV_AdviceOnly",HFSVPivot!$B$3,"Year",Table_s_srs_v01_pds_RAP_HFSV_Outcome[[#This Row],[Year]])</f>
        <v>27699</v>
      </c>
      <c r="D11" s="602">
        <f>GETPIVOTDATA("Sum of Total_HFSV",HFSVPivot!$B$3,"Year",Table_s_srs_v01_pds_RAP_HFSV_Outcome[[#This Row],[Year]])</f>
        <v>56545</v>
      </c>
      <c r="E11" s="601">
        <f>GETPIVOTDATA("Sum of Total_Alarms",HFSVPivot!$B$3,"Year",Table_s_srs_v01_pds_RAP_HFSV_Outcome[[#This Row],[Year]])</f>
        <v>46395</v>
      </c>
      <c r="F11" s="714"/>
      <c r="G11" s="700"/>
      <c r="H11"/>
    </row>
    <row r="12" spans="1:8" x14ac:dyDescent="0.3">
      <c r="A12" s="595" t="s">
        <v>363</v>
      </c>
      <c r="B12" s="601">
        <f>GETPIVOTDATA("Sum of HFSV_AlarmsInstalled",HFSVPivot!$B$3,"Year",Table_s_srs_v01_pds_RAP_HFSV_Outcome[[#This Row],[Year]])</f>
        <v>26013</v>
      </c>
      <c r="C12" s="601">
        <f>GETPIVOTDATA("Sum of HFSV_AdviceOnly",HFSVPivot!$B$3,"Year",Table_s_srs_v01_pds_RAP_HFSV_Outcome[[#This Row],[Year]])</f>
        <v>30238</v>
      </c>
      <c r="D12" s="602">
        <f>GETPIVOTDATA("Sum of Total_HFSV",HFSVPivot!$B$3,"Year",Table_s_srs_v01_pds_RAP_HFSV_Outcome[[#This Row],[Year]])</f>
        <v>56251</v>
      </c>
      <c r="E12" s="601">
        <f>GETPIVOTDATA("Sum of Total_Alarms",HFSVPivot!$B$3,"Year",Table_s_srs_v01_pds_RAP_HFSV_Outcome[[#This Row],[Year]])</f>
        <v>44122</v>
      </c>
      <c r="F12" s="714"/>
      <c r="G12" s="700"/>
      <c r="H12"/>
    </row>
    <row r="13" spans="1:8" x14ac:dyDescent="0.3">
      <c r="A13" s="595" t="s">
        <v>364</v>
      </c>
      <c r="B13" s="601">
        <f>GETPIVOTDATA("Sum of HFSV_AlarmsInstalled",HFSVPivot!$B$3,"Year",Table_s_srs_v01_pds_RAP_HFSV_Outcome[[#This Row],[Year]])</f>
        <v>29576</v>
      </c>
      <c r="C13" s="601">
        <f>GETPIVOTDATA("Sum of HFSV_AdviceOnly",HFSVPivot!$B$3,"Year",Table_s_srs_v01_pds_RAP_HFSV_Outcome[[#This Row],[Year]])</f>
        <v>41472</v>
      </c>
      <c r="D13" s="602">
        <f>GETPIVOTDATA("Sum of Total_HFSV",HFSVPivot!$B$3,"Year",Table_s_srs_v01_pds_RAP_HFSV_Outcome[[#This Row],[Year]])</f>
        <v>71048</v>
      </c>
      <c r="E13" s="601">
        <f>GETPIVOTDATA("Sum of Total_Alarms",HFSVPivot!$B$3,"Year",Table_s_srs_v01_pds_RAP_HFSV_Outcome[[#This Row],[Year]])</f>
        <v>46164</v>
      </c>
      <c r="F13" s="609">
        <f>GETPIVOTDATA("Sum of New",HFSVPivot!$B$3,"Year",Table_s_srs_v01_pds_RAP_HFSV_Outcome[[#This Row],[Year]])</f>
        <v>30359</v>
      </c>
      <c r="G13" s="601">
        <f>GETPIVOTDATA("Sum of Replacement",HFSVPivot!$B$3,"Year",Table_s_srs_v01_pds_RAP_HFSV_Outcome[[#This Row],[Year]])</f>
        <v>15805</v>
      </c>
      <c r="H13"/>
    </row>
    <row r="14" spans="1:8" x14ac:dyDescent="0.3">
      <c r="A14" s="595" t="s">
        <v>365</v>
      </c>
      <c r="B14" s="601">
        <f>GETPIVOTDATA("Sum of HFSV_AlarmsInstalled",HFSVPivot!$B$3,"Year",Table_s_srs_v01_pds_RAP_HFSV_Outcome[[#This Row],[Year]])</f>
        <v>26986</v>
      </c>
      <c r="C14" s="601">
        <f>GETPIVOTDATA("Sum of HFSV_AdviceOnly",HFSVPivot!$B$3,"Year",Table_s_srs_v01_pds_RAP_HFSV_Outcome[[#This Row],[Year]])</f>
        <v>38729</v>
      </c>
      <c r="D14" s="602">
        <f>GETPIVOTDATA("Sum of Total_HFSV",HFSVPivot!$B$3,"Year",Table_s_srs_v01_pds_RAP_HFSV_Outcome[[#This Row],[Year]])</f>
        <v>65715</v>
      </c>
      <c r="E14" s="601">
        <f>GETPIVOTDATA("Sum of Total_Alarms",HFSVPivot!$B$3,"Year",Table_s_srs_v01_pds_RAP_HFSV_Outcome[[#This Row],[Year]])</f>
        <v>41832</v>
      </c>
      <c r="F14" s="609">
        <f>GETPIVOTDATA("Sum of New",HFSVPivot!$B$3,"Year",Table_s_srs_v01_pds_RAP_HFSV_Outcome[[#This Row],[Year]])</f>
        <v>28032</v>
      </c>
      <c r="G14" s="601">
        <f>GETPIVOTDATA("Sum of Replacement",HFSVPivot!$B$3,"Year",Table_s_srs_v01_pds_RAP_HFSV_Outcome[[#This Row],[Year]])</f>
        <v>13800</v>
      </c>
      <c r="H14"/>
    </row>
    <row r="15" spans="1:8" x14ac:dyDescent="0.3">
      <c r="A15" s="595" t="s">
        <v>366</v>
      </c>
      <c r="B15" s="601">
        <f>GETPIVOTDATA("Sum of HFSV_AlarmsInstalled",HFSVPivot!$B$3,"Year",Table_s_srs_v01_pds_RAP_HFSV_Outcome[[#This Row],[Year]])</f>
        <v>28338</v>
      </c>
      <c r="C15" s="601">
        <f>GETPIVOTDATA("Sum of HFSV_AdviceOnly",HFSVPivot!$B$3,"Year",Table_s_srs_v01_pds_RAP_HFSV_Outcome[[#This Row],[Year]])</f>
        <v>43379</v>
      </c>
      <c r="D15" s="602">
        <f>GETPIVOTDATA("Sum of Total_HFSV",HFSVPivot!$B$3,"Year",Table_s_srs_v01_pds_RAP_HFSV_Outcome[[#This Row],[Year]])</f>
        <v>71717</v>
      </c>
      <c r="E15" s="601">
        <f>GETPIVOTDATA("Sum of Total_Alarms",HFSVPivot!$B$3,"Year",Table_s_srs_v01_pds_RAP_HFSV_Outcome[[#This Row],[Year]])</f>
        <v>43710</v>
      </c>
      <c r="F15" s="609">
        <f>GETPIVOTDATA("Sum of New",HFSVPivot!$B$3,"Year",Table_s_srs_v01_pds_RAP_HFSV_Outcome[[#This Row],[Year]])</f>
        <v>28897</v>
      </c>
      <c r="G15" s="601">
        <f>GETPIVOTDATA("Sum of Replacement",HFSVPivot!$B$3,"Year",Table_s_srs_v01_pds_RAP_HFSV_Outcome[[#This Row],[Year]])</f>
        <v>14813</v>
      </c>
      <c r="H15"/>
    </row>
    <row r="16" spans="1:8" x14ac:dyDescent="0.3">
      <c r="A16" s="595" t="s">
        <v>341</v>
      </c>
      <c r="B16" s="601">
        <f>GETPIVOTDATA("Sum of HFSV_AlarmsInstalled",HFSVPivot!$B$3,"Year",Table_s_srs_v01_pds_RAP_HFSV_Outcome[[#This Row],[Year]])</f>
        <v>29016</v>
      </c>
      <c r="C16" s="601">
        <f>GETPIVOTDATA("Sum of HFSV_AdviceOnly",HFSVPivot!$B$3,"Year",Table_s_srs_v01_pds_RAP_HFSV_Outcome[[#This Row],[Year]])</f>
        <v>41785</v>
      </c>
      <c r="D16" s="602">
        <f>GETPIVOTDATA("Sum of Total_HFSV",HFSVPivot!$B$3,"Year",Table_s_srs_v01_pds_RAP_HFSV_Outcome[[#This Row],[Year]])</f>
        <v>70801</v>
      </c>
      <c r="E16" s="601">
        <f>GETPIVOTDATA("Sum of Total_Alarms",HFSVPivot!$B$3,"Year",Table_s_srs_v01_pds_RAP_HFSV_Outcome[[#This Row],[Year]])</f>
        <v>44321</v>
      </c>
      <c r="F16" s="609">
        <f>GETPIVOTDATA("Sum of New",HFSVPivot!$B$3,"Year",Table_s_srs_v01_pds_RAP_HFSV_Outcome[[#This Row],[Year]])</f>
        <v>27955</v>
      </c>
      <c r="G16" s="601">
        <f>GETPIVOTDATA("Sum of Replacement",HFSVPivot!$B$3,"Year",Table_s_srs_v01_pds_RAP_HFSV_Outcome[[#This Row],[Year]])</f>
        <v>16366</v>
      </c>
      <c r="H16"/>
    </row>
    <row r="17" spans="1:8" x14ac:dyDescent="0.3">
      <c r="A17" s="595" t="s">
        <v>342</v>
      </c>
      <c r="B17" s="601">
        <f>GETPIVOTDATA("Sum of HFSV_AlarmsInstalled",HFSVPivot!$B$3,"Year",Table_s_srs_v01_pds_RAP_HFSV_Outcome[[#This Row],[Year]])</f>
        <v>27754</v>
      </c>
      <c r="C17" s="601">
        <f>GETPIVOTDATA("Sum of HFSV_AdviceOnly",HFSVPivot!$B$3,"Year",Table_s_srs_v01_pds_RAP_HFSV_Outcome[[#This Row],[Year]])</f>
        <v>42077</v>
      </c>
      <c r="D17" s="602">
        <f>GETPIVOTDATA("Sum of Total_HFSV",HFSVPivot!$B$3,"Year",Table_s_srs_v01_pds_RAP_HFSV_Outcome[[#This Row],[Year]])</f>
        <v>69831</v>
      </c>
      <c r="E17" s="601">
        <f>GETPIVOTDATA("Sum of Total_Alarms",HFSVPivot!$B$3,"Year",Table_s_srs_v01_pds_RAP_HFSV_Outcome[[#This Row],[Year]])</f>
        <v>42385</v>
      </c>
      <c r="F17" s="609">
        <f>GETPIVOTDATA("Sum of New",HFSVPivot!$B$3,"Year",Table_s_srs_v01_pds_RAP_HFSV_Outcome[[#This Row],[Year]])</f>
        <v>28114</v>
      </c>
      <c r="G17" s="601">
        <f>GETPIVOTDATA("Sum of Replacement",HFSVPivot!$B$3,"Year",Table_s_srs_v01_pds_RAP_HFSV_Outcome[[#This Row],[Year]])</f>
        <v>14271</v>
      </c>
      <c r="H17"/>
    </row>
    <row r="18" spans="1:8" x14ac:dyDescent="0.3">
      <c r="A18" s="595" t="s">
        <v>213</v>
      </c>
      <c r="B18" s="601">
        <f>GETPIVOTDATA("Sum of HFSV_AlarmsInstalled",HFSVPivot!$B$3,"Year",Table_s_srs_v01_pds_RAP_HFSV_Outcome[[#This Row],[Year]])</f>
        <v>24462</v>
      </c>
      <c r="C18" s="601">
        <f>GETPIVOTDATA("Sum of HFSV_AdviceOnly",HFSVPivot!$B$3,"Year",Table_s_srs_v01_pds_RAP_HFSV_Outcome[[#This Row],[Year]])</f>
        <v>44740</v>
      </c>
      <c r="D18" s="602">
        <f>GETPIVOTDATA("Sum of Total_HFSV",HFSVPivot!$B$3,"Year",Table_s_srs_v01_pds_RAP_HFSV_Outcome[[#This Row],[Year]])</f>
        <v>69202</v>
      </c>
      <c r="E18" s="601">
        <f>GETPIVOTDATA("Sum of Total_Alarms",HFSVPivot!$B$3,"Year",Table_s_srs_v01_pds_RAP_HFSV_Outcome[[#This Row],[Year]])</f>
        <v>37549</v>
      </c>
      <c r="F18" s="609">
        <f>GETPIVOTDATA("Sum of New",HFSVPivot!$B$3,"Year",Table_s_srs_v01_pds_RAP_HFSV_Outcome[[#This Row],[Year]])</f>
        <v>25645</v>
      </c>
      <c r="G18" s="601">
        <f>GETPIVOTDATA("Sum of Replacement",HFSVPivot!$B$3,"Year",Table_s_srs_v01_pds_RAP_HFSV_Outcome[[#This Row],[Year]])</f>
        <v>11904</v>
      </c>
      <c r="H18"/>
    </row>
    <row r="19" spans="1:8" x14ac:dyDescent="0.3">
      <c r="A19" s="595" t="s">
        <v>312</v>
      </c>
      <c r="B19" s="601">
        <f>GETPIVOTDATA("Sum of HFSV_AlarmsInstalled",HFSVPivot!$B$3,"Year",Table_s_srs_v01_pds_RAP_HFSV_Outcome[[#This Row],[Year]])</f>
        <v>22292</v>
      </c>
      <c r="C19" s="601">
        <f>GETPIVOTDATA("Sum of HFSV_AdviceOnly",HFSVPivot!$B$3,"Year",Table_s_srs_v01_pds_RAP_HFSV_Outcome[[#This Row],[Year]])</f>
        <v>46945</v>
      </c>
      <c r="D19" s="602">
        <f>GETPIVOTDATA("Sum of Total_HFSV",HFSVPivot!$B$3,"Year",Table_s_srs_v01_pds_RAP_HFSV_Outcome[[#This Row],[Year]])</f>
        <v>69237</v>
      </c>
      <c r="E19" s="601">
        <f>GETPIVOTDATA("Sum of Total_Alarms",HFSVPivot!$B$3,"Year",Table_s_srs_v01_pds_RAP_HFSV_Outcome[[#This Row],[Year]])</f>
        <v>34610</v>
      </c>
      <c r="F19" s="609">
        <f>GETPIVOTDATA("Sum of New",HFSVPivot!$B$3,"Year",Table_s_srs_v01_pds_RAP_HFSV_Outcome[[#This Row],[Year]])</f>
        <v>24016</v>
      </c>
      <c r="G19" s="601">
        <f>GETPIVOTDATA("Sum of Replacement",HFSVPivot!$B$3,"Year",Table_s_srs_v01_pds_RAP_HFSV_Outcome[[#This Row],[Year]])</f>
        <v>10594</v>
      </c>
      <c r="H19"/>
    </row>
    <row r="20" spans="1:8" x14ac:dyDescent="0.3">
      <c r="A20" s="595" t="s">
        <v>318</v>
      </c>
      <c r="B20" s="601">
        <f>GETPIVOTDATA("Sum of HFSV_AlarmsInstalled",HFSVPivot!$B$3,"Year",Table_s_srs_v01_pds_RAP_HFSV_Outcome[[#This Row],[Year]])</f>
        <v>7679</v>
      </c>
      <c r="C20" s="601">
        <f>GETPIVOTDATA("Sum of HFSV_AdviceOnly",HFSVPivot!$B$3,"Year",Table_s_srs_v01_pds_RAP_HFSV_Outcome[[#This Row],[Year]])</f>
        <v>12319</v>
      </c>
      <c r="D20" s="602">
        <f>GETPIVOTDATA("Sum of Total_HFSV",HFSVPivot!$B$3,"Year",Table_s_srs_v01_pds_RAP_HFSV_Outcome[[#This Row],[Year]])</f>
        <v>19998</v>
      </c>
      <c r="E20" s="601">
        <f>GETPIVOTDATA("Sum of Total_Alarms",HFSVPivot!$B$3,"Year",Table_s_srs_v01_pds_RAP_HFSV_Outcome[[#This Row],[Year]])</f>
        <v>12535</v>
      </c>
      <c r="F20" s="609">
        <f>GETPIVOTDATA("Sum of New",HFSVPivot!$B$3,"Year",Table_s_srs_v01_pds_RAP_HFSV_Outcome[[#This Row],[Year]])</f>
        <v>8696</v>
      </c>
      <c r="G20" s="601">
        <f>GETPIVOTDATA("Sum of Replacement",HFSVPivot!$B$3,"Year",Table_s_srs_v01_pds_RAP_HFSV_Outcome[[#This Row],[Year]])</f>
        <v>3839</v>
      </c>
      <c r="H20"/>
    </row>
    <row r="21" spans="1:8" x14ac:dyDescent="0.3">
      <c r="A21" s="595" t="s">
        <v>320</v>
      </c>
      <c r="B21" s="700">
        <f>GETPIVOTDATA("Sum of HFSV_AlarmsInstalled",HFSVPivot!$B$3,"Year",Table_s_srs_v01_pds_RAP_HFSV_Outcome[[#This Row],[Year]])</f>
        <v>16504</v>
      </c>
      <c r="C21" s="700">
        <f>GETPIVOTDATA("Sum of HFSV_AdviceOnly",HFSVPivot!$B$3,"Year",Table_s_srs_v01_pds_RAP_HFSV_Outcome[[#This Row],[Year]])</f>
        <v>27692</v>
      </c>
      <c r="D21" s="602">
        <f>GETPIVOTDATA("Sum of Total_HFSV",HFSVPivot!$B$3,"Year",Table_s_srs_v01_pds_RAP_HFSV_Outcome[[#This Row],[Year]])</f>
        <v>44196</v>
      </c>
      <c r="E21" s="700">
        <f>GETPIVOTDATA("Sum of Total_Alarms",HFSVPivot!$B$3,"Year",Table_s_srs_v01_pds_RAP_HFSV_Outcome[[#This Row],[Year]])</f>
        <v>45586</v>
      </c>
      <c r="F21" s="714"/>
      <c r="G21" s="700"/>
    </row>
    <row r="22" spans="1:8" x14ac:dyDescent="0.3">
      <c r="A22" s="595" t="s">
        <v>325</v>
      </c>
      <c r="B22" s="700">
        <f>GETPIVOTDATA("Sum of HFSV_AlarmsInstalled",HFSVPivot!$B$3,"Year",Table_s_srs_v01_pds_RAP_HFSV_Outcome[[#This Row],[Year]])</f>
        <v>6764</v>
      </c>
      <c r="C22" s="700">
        <f>GETPIVOTDATA("Sum of HFSV_AdviceOnly",HFSVPivot!$B$3,"Year",Table_s_srs_v01_pds_RAP_HFSV_Outcome[[#This Row],[Year]])</f>
        <v>31935</v>
      </c>
      <c r="D22" s="602">
        <f>GETPIVOTDATA("Sum of Total_HFSV",HFSVPivot!$B$3,"Year",Table_s_srs_v01_pds_RAP_HFSV_Outcome[[#This Row],[Year]])</f>
        <v>38699</v>
      </c>
      <c r="E22" s="700">
        <f>GETPIVOTDATA("Sum of Total_Alarms",HFSVPivot!$B$3,"Year",Table_s_srs_v01_pds_RAP_HFSV_Outcome[[#This Row],[Year]])</f>
        <v>15690</v>
      </c>
      <c r="F22" s="714"/>
      <c r="G22" s="700"/>
    </row>
    <row r="23" spans="1:8" ht="15" customHeight="1" x14ac:dyDescent="0.3">
      <c r="A23" s="853" t="s">
        <v>326</v>
      </c>
      <c r="B23" s="601">
        <f>GETPIVOTDATA("Sum of HFSV_AlarmsInstalled",HFSVPivot!$B$3,"Year",Table_s_srs_v01_pds_RAP_HFSV_Outcome[[#This Row],[Year]])</f>
        <v>5940</v>
      </c>
      <c r="C23" s="601">
        <f>GETPIVOTDATA("Sum of HFSV_AdviceOnly",HFSVPivot!$B$3,"Year",Table_s_srs_v01_pds_RAP_HFSV_Outcome[[#This Row],[Year]])</f>
        <v>30802</v>
      </c>
      <c r="D23" s="602">
        <f>GETPIVOTDATA("Sum of Total_HFSV",HFSVPivot!$B$3,"Year",Table_s_srs_v01_pds_RAP_HFSV_Outcome[[#This Row],[Year]])</f>
        <v>36742</v>
      </c>
      <c r="E23" s="601">
        <f>GETPIVOTDATA("Sum of Total_Alarms",HFSVPivot!$B$3,"Year",Table_s_srs_v01_pds_RAP_HFSV_Outcome[[#This Row],[Year]])</f>
        <v>15794</v>
      </c>
      <c r="F23" s="609">
        <f>GETPIVOTDATA("Sum of New",HFSVPivot!$B$3,"Year",Table_s_srs_v01_pds_RAP_HFSV_Outcome[[#This Row],[Year]])</f>
        <v>11486</v>
      </c>
      <c r="G23" s="601">
        <f>GETPIVOTDATA("Sum of Replacement",HFSVPivot!$B$3,"Year",Table_s_srs_v01_pds_RAP_HFSV_Outcome[[#This Row],[Year]])</f>
        <v>4308</v>
      </c>
    </row>
    <row r="24" spans="1:8" ht="15" customHeight="1" x14ac:dyDescent="0.3">
      <c r="A24" s="853" t="s">
        <v>328</v>
      </c>
      <c r="B24" s="601">
        <f>GETPIVOTDATA("Sum of HFSV_AlarmsInstalled",HFSVPivot!$B$3,"Year",Table_s_srs_v01_pds_RAP_HFSV_Outcome[[#This Row],[Year]])</f>
        <v>4219</v>
      </c>
      <c r="C24" s="601">
        <f>GETPIVOTDATA("Sum of HFSV_AdviceOnly",HFSVPivot!$B$3,"Year",Table_s_srs_v01_pds_RAP_HFSV_Outcome[[#This Row],[Year]])</f>
        <v>29800</v>
      </c>
      <c r="D24" s="602">
        <f>GETPIVOTDATA("Sum of Total_HFSV",HFSVPivot!$B$3,"Year",Table_s_srs_v01_pds_RAP_HFSV_Outcome[[#This Row],[Year]])</f>
        <v>34019</v>
      </c>
      <c r="E24" s="601">
        <f>GETPIVOTDATA("Sum of Total_Alarms",HFSVPivot!$B$3,"Year",Table_s_srs_v01_pds_RAP_HFSV_Outcome[[#This Row],[Year]])</f>
        <v>11636</v>
      </c>
      <c r="F24" s="990">
        <f>GETPIVOTDATA("Sum of New",HFSVPivot!$B$3,"Year",Table_s_srs_v01_pds_RAP_HFSV_Outcome[[#This Row],[Year]])</f>
        <v>7870</v>
      </c>
      <c r="G24" s="991">
        <f>GETPIVOTDATA("Sum of Replacement",HFSVPivot!$B$3,"Year",Table_s_srs_v01_pds_RAP_HFSV_Outcome[[#This Row],[Year]])</f>
        <v>2907</v>
      </c>
    </row>
    <row r="25" spans="1:8" ht="15" customHeight="1" x14ac:dyDescent="0.3">
      <c r="A25" s="853" t="s">
        <v>412</v>
      </c>
      <c r="B25" s="601">
        <f>GETPIVOTDATA("Sum of HFSV_AlarmsInstalled",HFSVPivot!$B$3,"Year",Table_s_srs_v01_pds_RAP_HFSV_Outcome[[#This Row],[Year]])</f>
        <v>3481</v>
      </c>
      <c r="C25" s="601">
        <f>GETPIVOTDATA("Sum of HFSV_AdviceOnly",HFSVPivot!$B$3,"Year",Table_s_srs_v01_pds_RAP_HFSV_Outcome[[#This Row],[Year]])</f>
        <v>16942</v>
      </c>
      <c r="D25" s="602">
        <f>GETPIVOTDATA("Sum of Total_HFSV",HFSVPivot!$B$3,"Year",Table_s_srs_v01_pds_RAP_HFSV_Outcome[[#This Row],[Year]])</f>
        <v>20423</v>
      </c>
      <c r="E25" s="601">
        <f>GETPIVOTDATA("Sum of Total_Alarms",HFSVPivot!$B$3,"Year",Table_s_srs_v01_pds_RAP_HFSV_Outcome[[#This Row],[Year]])</f>
        <v>10740</v>
      </c>
      <c r="F25" s="990">
        <f>GETPIVOTDATA("Sum of New",HFSVPivot!$B$3,"Year",Table_s_srs_v01_pds_RAP_HFSV_Outcome[[#This Row],[Year]])</f>
        <v>0</v>
      </c>
      <c r="G25" s="991">
        <f>GETPIVOTDATA("Sum of Replacement",HFSVPivot!$B$3,"Year",Table_s_srs_v01_pds_RAP_HFSV_Outcome[[#This Row],[Year]])</f>
        <v>0</v>
      </c>
    </row>
    <row r="26" spans="1:8" ht="15" customHeight="1" x14ac:dyDescent="0.3">
      <c r="A26" s="176"/>
      <c r="B26" s="202"/>
      <c r="C26" s="202"/>
      <c r="D26" s="596"/>
      <c r="E26" s="202"/>
      <c r="F26" s="202"/>
      <c r="G26" s="202"/>
    </row>
    <row r="27" spans="1:8" ht="27" x14ac:dyDescent="0.3">
      <c r="A27" s="771" t="str">
        <f xml:space="preserve"> "One Year Change " &amp; A24 &amp; " to " &amp;A25</f>
        <v>One Year Change 2024-25 to 2025-26</v>
      </c>
      <c r="B27" s="771"/>
      <c r="C27" s="771"/>
      <c r="D27" s="771"/>
      <c r="E27" s="202"/>
      <c r="F27" s="25"/>
      <c r="G27" s="25"/>
    </row>
    <row r="28" spans="1:8" x14ac:dyDescent="0.3">
      <c r="A28" s="218" t="s">
        <v>346</v>
      </c>
      <c r="B28" s="1000">
        <f>B25-B24</f>
        <v>-738</v>
      </c>
      <c r="C28" s="1000">
        <f>C25-C24</f>
        <v>-12858</v>
      </c>
      <c r="D28" s="1000">
        <f>D25-D24</f>
        <v>-13596</v>
      </c>
      <c r="E28" s="1000">
        <f>E25-E24</f>
        <v>-896</v>
      </c>
      <c r="F28" s="854"/>
      <c r="G28" s="854"/>
    </row>
    <row r="29" spans="1:8" ht="14.4" customHeight="1" thickBot="1" x14ac:dyDescent="0.35">
      <c r="A29" s="219" t="s">
        <v>94</v>
      </c>
      <c r="B29" s="932">
        <f>B28/B24</f>
        <v>-0.17492296752785019</v>
      </c>
      <c r="C29" s="932">
        <f t="shared" ref="C29:E29" si="0">C28/C24</f>
        <v>-0.43147651006711407</v>
      </c>
      <c r="D29" s="932">
        <f t="shared" si="0"/>
        <v>-0.39965901408036686</v>
      </c>
      <c r="E29" s="932">
        <f t="shared" si="0"/>
        <v>-7.7002406325197656E-2</v>
      </c>
      <c r="F29" s="855"/>
      <c r="G29" s="855"/>
    </row>
    <row r="30" spans="1:8" ht="14.4" customHeight="1" x14ac:dyDescent="0.3"/>
    <row r="31" spans="1:8" ht="29.1" customHeight="1" x14ac:dyDescent="0.3">
      <c r="A31" s="771" t="str">
        <f>"Five Year Change " &amp; A20 &amp; " to " &amp; A25</f>
        <v>Five Year Change 2020-21 to 2025-26</v>
      </c>
      <c r="B31" s="771"/>
      <c r="C31" s="771"/>
      <c r="D31" s="771"/>
      <c r="E31" s="202"/>
      <c r="F31" s="25"/>
      <c r="G31" s="25"/>
    </row>
    <row r="32" spans="1:8" x14ac:dyDescent="0.3">
      <c r="A32" s="218" t="s">
        <v>346</v>
      </c>
      <c r="B32" s="854">
        <f>B25-B20</f>
        <v>-4198</v>
      </c>
      <c r="C32" s="854">
        <f t="shared" ref="C32:E32" si="1">C25-C20</f>
        <v>4623</v>
      </c>
      <c r="D32" s="854">
        <f t="shared" si="1"/>
        <v>425</v>
      </c>
      <c r="E32" s="854">
        <f t="shared" si="1"/>
        <v>-1795</v>
      </c>
      <c r="F32" s="856"/>
      <c r="G32" s="856"/>
    </row>
    <row r="33" spans="1:8" ht="15" thickBot="1" x14ac:dyDescent="0.35">
      <c r="A33" s="219" t="s">
        <v>94</v>
      </c>
      <c r="B33" s="855">
        <f>B32/B20</f>
        <v>-0.54668576637583022</v>
      </c>
      <c r="C33" s="855">
        <f t="shared" ref="C33:E33" si="2">C32/C20</f>
        <v>0.37527396704277943</v>
      </c>
      <c r="D33" s="855">
        <f t="shared" si="2"/>
        <v>2.1252125212521251E-2</v>
      </c>
      <c r="E33" s="855">
        <f t="shared" si="2"/>
        <v>-0.1431990426804946</v>
      </c>
      <c r="F33" s="857"/>
      <c r="G33" s="857"/>
    </row>
    <row r="34" spans="1:8" ht="30" customHeight="1" x14ac:dyDescent="0.3">
      <c r="A34" s="377"/>
      <c r="B34" s="378"/>
      <c r="C34" s="378"/>
      <c r="D34" s="379"/>
      <c r="E34" s="378"/>
      <c r="F34" s="378"/>
      <c r="G34" s="378"/>
    </row>
    <row r="35" spans="1:8" x14ac:dyDescent="0.3">
      <c r="A35" s="660" t="s">
        <v>329</v>
      </c>
      <c r="B35" s="378"/>
      <c r="C35" s="378"/>
      <c r="D35" s="379"/>
      <c r="E35" s="378"/>
      <c r="F35" s="378"/>
      <c r="G35" s="378"/>
      <c r="H35" s="557"/>
    </row>
    <row r="36" spans="1:8" ht="60.6" customHeight="1" x14ac:dyDescent="0.3">
      <c r="A36" s="1076" t="s">
        <v>923</v>
      </c>
      <c r="B36" s="1076"/>
      <c r="C36" s="1076"/>
      <c r="D36" s="1076"/>
      <c r="E36" s="1076"/>
      <c r="F36" s="1076"/>
      <c r="G36" s="414"/>
    </row>
    <row r="37" spans="1:8" ht="27.6" customHeight="1" x14ac:dyDescent="0.3">
      <c r="A37" s="1064" t="s">
        <v>924</v>
      </c>
      <c r="B37" s="1064"/>
      <c r="C37" s="1064"/>
      <c r="D37" s="1064"/>
      <c r="E37" s="1064"/>
      <c r="F37" s="1064"/>
      <c r="G37" s="1064"/>
      <c r="H37" s="297"/>
    </row>
    <row r="38" spans="1:8" ht="45.6" customHeight="1" x14ac:dyDescent="0.3">
      <c r="A38" s="1033" t="s">
        <v>925</v>
      </c>
      <c r="B38" s="1033"/>
      <c r="C38" s="1033"/>
      <c r="D38" s="1033"/>
      <c r="E38" s="1033"/>
      <c r="F38" s="1033"/>
      <c r="G38" s="1033"/>
      <c r="H38" s="297"/>
    </row>
    <row r="39" spans="1:8" ht="30.9" customHeight="1" x14ac:dyDescent="0.3">
      <c r="A39" s="1077" t="s">
        <v>926</v>
      </c>
      <c r="B39" s="1077"/>
      <c r="C39" s="1077"/>
      <c r="D39" s="1077"/>
      <c r="E39" s="1077"/>
      <c r="F39" s="1077"/>
      <c r="G39" s="1077"/>
      <c r="H39" s="297"/>
    </row>
    <row r="40" spans="1:8" ht="24" customHeight="1" x14ac:dyDescent="0.3">
      <c r="A40" s="172"/>
      <c r="B40" s="220"/>
      <c r="C40" s="220"/>
      <c r="D40" s="220"/>
      <c r="E40" s="220"/>
      <c r="F40" s="25"/>
      <c r="G40" s="25"/>
      <c r="H40" s="297"/>
    </row>
    <row r="41" spans="1:8" ht="41.4" customHeight="1" x14ac:dyDescent="0.3">
      <c r="A41" s="1062" t="s">
        <v>927</v>
      </c>
      <c r="B41" s="1062"/>
      <c r="C41" s="1062"/>
      <c r="D41" s="1062"/>
      <c r="E41" s="297"/>
      <c r="F41" s="297"/>
      <c r="G41" s="297"/>
      <c r="H41" s="297"/>
    </row>
    <row r="42" spans="1:8" ht="15.6" x14ac:dyDescent="0.3">
      <c r="A42" t="s">
        <v>203</v>
      </c>
      <c r="B42" t="s">
        <v>136</v>
      </c>
      <c r="C42" s="297"/>
      <c r="D42" s="297"/>
      <c r="E42" s="297"/>
      <c r="F42" s="297"/>
      <c r="G42" s="297"/>
      <c r="H42" s="297"/>
    </row>
    <row r="43" spans="1:8" ht="15.6" x14ac:dyDescent="0.3">
      <c r="A43" t="s">
        <v>204</v>
      </c>
      <c r="B43" t="s">
        <v>205</v>
      </c>
      <c r="C43" s="297"/>
      <c r="D43" s="297"/>
      <c r="E43" s="297"/>
      <c r="F43" s="297"/>
      <c r="G43" s="297"/>
      <c r="H43" s="297"/>
    </row>
    <row r="44" spans="1:8" ht="15.6" x14ac:dyDescent="0.3">
      <c r="A44" t="s">
        <v>206</v>
      </c>
      <c r="B44" t="s">
        <v>917</v>
      </c>
      <c r="C44" s="297"/>
      <c r="D44" s="297"/>
      <c r="E44" s="297"/>
      <c r="F44" s="297"/>
      <c r="G44" s="297"/>
    </row>
    <row r="45" spans="1:8" ht="15.6" x14ac:dyDescent="0.3">
      <c r="C45" s="297"/>
      <c r="D45" s="297"/>
      <c r="E45" s="297"/>
      <c r="F45" s="297"/>
      <c r="G45" s="297"/>
    </row>
    <row r="46" spans="1:8" x14ac:dyDescent="0.3">
      <c r="A46" s="131"/>
      <c r="B46" s="221" t="s">
        <v>94</v>
      </c>
      <c r="C46" s="300"/>
      <c r="D46" s="501"/>
      <c r="E46" s="501" t="s">
        <v>928</v>
      </c>
      <c r="G46" s="25"/>
    </row>
    <row r="47" spans="1:8" ht="27" x14ac:dyDescent="0.3">
      <c r="A47" s="222" t="s">
        <v>208</v>
      </c>
      <c r="B47" s="216" t="s">
        <v>919</v>
      </c>
      <c r="C47" s="170" t="s">
        <v>920</v>
      </c>
      <c r="D47" s="530" t="s">
        <v>929</v>
      </c>
      <c r="E47" s="532" t="s">
        <v>930</v>
      </c>
    </row>
    <row r="48" spans="1:8" x14ac:dyDescent="0.3">
      <c r="A48" s="236" t="str">
        <f t="shared" ref="A48:A60" si="3">A10</f>
        <v>2010-11</v>
      </c>
      <c r="B48" s="699">
        <f t="shared" ref="B48:C63" si="4">B10/$D10%</f>
        <v>64.47563057083255</v>
      </c>
      <c r="C48" s="699">
        <f t="shared" si="4"/>
        <v>35.524369429167457</v>
      </c>
      <c r="D48" s="533"/>
      <c r="E48" s="685"/>
      <c r="G48" s="25"/>
    </row>
    <row r="49" spans="1:10" x14ac:dyDescent="0.3">
      <c r="A49" s="236" t="str">
        <f t="shared" si="3"/>
        <v>2011-12</v>
      </c>
      <c r="B49" s="699">
        <f t="shared" si="4"/>
        <v>51.014236448846049</v>
      </c>
      <c r="C49" s="699">
        <f t="shared" si="4"/>
        <v>48.985763551153944</v>
      </c>
      <c r="D49" s="534">
        <f t="shared" ref="D49:D63" si="5">E11/D11</f>
        <v>0.82049694933239015</v>
      </c>
      <c r="E49" s="686">
        <f t="shared" ref="E49:E63" si="6">E11/B11</f>
        <v>1.6083685779657491</v>
      </c>
      <c r="G49" s="25"/>
    </row>
    <row r="50" spans="1:10" x14ac:dyDescent="0.3">
      <c r="A50" s="236" t="str">
        <f t="shared" si="3"/>
        <v>2012-13</v>
      </c>
      <c r="B50" s="699">
        <f t="shared" si="4"/>
        <v>46.244511208689623</v>
      </c>
      <c r="C50" s="699">
        <f t="shared" si="4"/>
        <v>53.755488791310377</v>
      </c>
      <c r="D50" s="534">
        <f t="shared" si="5"/>
        <v>0.78437716662814883</v>
      </c>
      <c r="E50" s="686">
        <f t="shared" si="6"/>
        <v>1.696151924037981</v>
      </c>
      <c r="G50" s="25"/>
    </row>
    <row r="51" spans="1:10" x14ac:dyDescent="0.3">
      <c r="A51" s="236" t="str">
        <f t="shared" si="3"/>
        <v>2013-14</v>
      </c>
      <c r="B51" s="699">
        <f t="shared" si="4"/>
        <v>41.628195023082988</v>
      </c>
      <c r="C51" s="699">
        <f t="shared" si="4"/>
        <v>58.371804976917012</v>
      </c>
      <c r="D51" s="534">
        <f t="shared" si="5"/>
        <v>0.64975791014525386</v>
      </c>
      <c r="E51" s="686">
        <f t="shared" si="6"/>
        <v>1.56086015688396</v>
      </c>
      <c r="G51" s="25"/>
    </row>
    <row r="52" spans="1:10" ht="15" customHeight="1" x14ac:dyDescent="0.3">
      <c r="A52" s="236" t="str">
        <f t="shared" si="3"/>
        <v>2014-15</v>
      </c>
      <c r="B52" s="699">
        <f t="shared" si="4"/>
        <v>41.065205812980295</v>
      </c>
      <c r="C52" s="699">
        <f t="shared" si="4"/>
        <v>58.934794187019712</v>
      </c>
      <c r="D52" s="534">
        <f t="shared" si="5"/>
        <v>0.63656699383702353</v>
      </c>
      <c r="E52" s="686">
        <f t="shared" si="6"/>
        <v>1.5501371081301416</v>
      </c>
      <c r="G52" s="25"/>
    </row>
    <row r="53" spans="1:10" x14ac:dyDescent="0.3">
      <c r="A53" s="236" t="str">
        <f t="shared" si="3"/>
        <v>2015-16</v>
      </c>
      <c r="B53" s="699">
        <f t="shared" si="4"/>
        <v>39.513643905907948</v>
      </c>
      <c r="C53" s="699">
        <f t="shared" si="4"/>
        <v>60.486356094092059</v>
      </c>
      <c r="D53" s="534">
        <f t="shared" si="5"/>
        <v>0.60947892410446614</v>
      </c>
      <c r="E53" s="686">
        <f t="shared" si="6"/>
        <v>1.5424518314630531</v>
      </c>
      <c r="G53" s="25"/>
    </row>
    <row r="54" spans="1:10" x14ac:dyDescent="0.3">
      <c r="A54" s="236" t="str">
        <f t="shared" si="3"/>
        <v>2016-17</v>
      </c>
      <c r="B54" s="699">
        <f t="shared" si="4"/>
        <v>40.982471998983065</v>
      </c>
      <c r="C54" s="699">
        <f t="shared" si="4"/>
        <v>59.017528001016935</v>
      </c>
      <c r="D54" s="534">
        <f t="shared" si="5"/>
        <v>0.62599398313583143</v>
      </c>
      <c r="E54" s="686">
        <f t="shared" si="6"/>
        <v>1.5274676040805073</v>
      </c>
      <c r="G54" s="25"/>
    </row>
    <row r="55" spans="1:10" x14ac:dyDescent="0.3">
      <c r="A55" s="236" t="str">
        <f t="shared" si="3"/>
        <v>2017-18</v>
      </c>
      <c r="B55" s="699">
        <f t="shared" si="4"/>
        <v>39.744526070083488</v>
      </c>
      <c r="C55" s="699">
        <f t="shared" si="4"/>
        <v>60.255473929916519</v>
      </c>
      <c r="D55" s="534">
        <f t="shared" si="5"/>
        <v>0.60696538786498833</v>
      </c>
      <c r="E55" s="686">
        <f t="shared" si="6"/>
        <v>1.5271672551704258</v>
      </c>
      <c r="G55" s="25"/>
    </row>
    <row r="56" spans="1:10" x14ac:dyDescent="0.3">
      <c r="A56" s="236" t="str">
        <f t="shared" si="3"/>
        <v>2018-19</v>
      </c>
      <c r="B56" s="699">
        <f t="shared" si="4"/>
        <v>35.348689344238608</v>
      </c>
      <c r="C56" s="699">
        <f t="shared" si="4"/>
        <v>64.651310655761392</v>
      </c>
      <c r="D56" s="534">
        <f t="shared" si="5"/>
        <v>0.54259992485766306</v>
      </c>
      <c r="E56" s="686">
        <f t="shared" si="6"/>
        <v>1.5349930504455891</v>
      </c>
      <c r="G56" s="25"/>
    </row>
    <row r="57" spans="1:10" x14ac:dyDescent="0.3">
      <c r="A57" s="236" t="str">
        <f t="shared" si="3"/>
        <v>2019-20</v>
      </c>
      <c r="B57" s="699">
        <f t="shared" si="4"/>
        <v>32.196657856348487</v>
      </c>
      <c r="C57" s="699">
        <f t="shared" si="4"/>
        <v>67.80334214365152</v>
      </c>
      <c r="D57" s="534">
        <f t="shared" si="5"/>
        <v>0.49987723327122779</v>
      </c>
      <c r="E57" s="686">
        <f t="shared" si="6"/>
        <v>1.5525749147676295</v>
      </c>
      <c r="G57" s="25"/>
    </row>
    <row r="58" spans="1:10" x14ac:dyDescent="0.3">
      <c r="A58" s="236" t="str">
        <f t="shared" si="3"/>
        <v>2020-21</v>
      </c>
      <c r="B58" s="699">
        <f t="shared" si="4"/>
        <v>38.398839883988401</v>
      </c>
      <c r="C58" s="699">
        <f t="shared" si="4"/>
        <v>61.601160116011606</v>
      </c>
      <c r="D58" s="534">
        <f t="shared" si="5"/>
        <v>0.62681268126812684</v>
      </c>
      <c r="E58" s="686">
        <f t="shared" si="6"/>
        <v>1.6323740070321657</v>
      </c>
    </row>
    <row r="59" spans="1:10" ht="15.75" customHeight="1" x14ac:dyDescent="0.3">
      <c r="A59" s="236" t="str">
        <f t="shared" si="3"/>
        <v>2021-22</v>
      </c>
      <c r="B59" s="865">
        <f t="shared" si="4"/>
        <v>37.342745949859719</v>
      </c>
      <c r="C59" s="915">
        <f t="shared" si="4"/>
        <v>62.657254050140288</v>
      </c>
      <c r="D59" s="772">
        <f t="shared" si="5"/>
        <v>1.0314508100280568</v>
      </c>
      <c r="E59" s="773">
        <f t="shared" si="6"/>
        <v>2.7621182743577313</v>
      </c>
      <c r="H59" s="297"/>
      <c r="I59" s="297"/>
      <c r="J59" s="297"/>
    </row>
    <row r="60" spans="1:10" ht="15.75" customHeight="1" x14ac:dyDescent="0.3">
      <c r="A60" s="236" t="str">
        <f t="shared" si="3"/>
        <v>2022-23</v>
      </c>
      <c r="B60" s="865">
        <f t="shared" si="4"/>
        <v>17.478487816222643</v>
      </c>
      <c r="C60" s="915">
        <f t="shared" si="4"/>
        <v>82.521512183777361</v>
      </c>
      <c r="D60" s="773">
        <f t="shared" si="5"/>
        <v>0.40543683299310057</v>
      </c>
      <c r="E60" s="773">
        <f t="shared" si="6"/>
        <v>2.3196333530455351</v>
      </c>
      <c r="F60" s="517"/>
      <c r="G60" s="25"/>
      <c r="H60" s="297"/>
      <c r="I60" s="297"/>
      <c r="J60" s="297"/>
    </row>
    <row r="61" spans="1:10" ht="15.75" customHeight="1" x14ac:dyDescent="0.3">
      <c r="A61" s="236" t="s">
        <v>326</v>
      </c>
      <c r="B61" s="699">
        <f t="shared" si="4"/>
        <v>16.166784606172772</v>
      </c>
      <c r="C61" s="933">
        <f t="shared" si="4"/>
        <v>83.833215393827217</v>
      </c>
      <c r="D61" s="686">
        <f t="shared" si="5"/>
        <v>0.42986228294594742</v>
      </c>
      <c r="E61" s="934">
        <f t="shared" si="6"/>
        <v>2.6589225589225589</v>
      </c>
      <c r="F61" s="517"/>
      <c r="G61" s="25"/>
      <c r="H61" s="297"/>
      <c r="I61" s="297"/>
      <c r="J61" s="297"/>
    </row>
    <row r="62" spans="1:10" ht="15.75" customHeight="1" x14ac:dyDescent="0.3">
      <c r="A62" s="236" t="s">
        <v>328</v>
      </c>
      <c r="B62" s="699">
        <f t="shared" si="4"/>
        <v>12.401893059760722</v>
      </c>
      <c r="C62" s="933">
        <f t="shared" si="4"/>
        <v>87.598106940239276</v>
      </c>
      <c r="D62" s="686">
        <f t="shared" si="5"/>
        <v>0.3420441517975249</v>
      </c>
      <c r="E62" s="686">
        <f t="shared" si="6"/>
        <v>2.7579995259540175</v>
      </c>
      <c r="F62" s="517"/>
      <c r="G62" s="25"/>
      <c r="H62" s="297"/>
      <c r="I62" s="297"/>
      <c r="J62" s="297"/>
    </row>
    <row r="63" spans="1:10" ht="15.75" customHeight="1" thickBot="1" x14ac:dyDescent="0.35">
      <c r="A63" s="684" t="s">
        <v>412</v>
      </c>
      <c r="B63" s="864">
        <f t="shared" si="4"/>
        <v>17.04450864221711</v>
      </c>
      <c r="C63" s="916">
        <f t="shared" si="4"/>
        <v>82.95549135778289</v>
      </c>
      <c r="D63" s="858">
        <f t="shared" si="5"/>
        <v>0.52587768692160797</v>
      </c>
      <c r="E63" s="859">
        <f t="shared" si="6"/>
        <v>3.0853203102556734</v>
      </c>
      <c r="F63" s="517"/>
      <c r="G63" s="25"/>
      <c r="H63" s="297"/>
      <c r="I63" s="297"/>
      <c r="J63" s="297"/>
    </row>
    <row r="64" spans="1:10" ht="15.75" customHeight="1" x14ac:dyDescent="0.3">
      <c r="A64" s="236"/>
      <c r="B64" s="100"/>
      <c r="C64" s="100"/>
      <c r="D64" s="935"/>
      <c r="E64" s="935"/>
      <c r="F64" s="517"/>
      <c r="G64" s="25"/>
      <c r="H64" s="297"/>
      <c r="I64" s="297"/>
      <c r="J64" s="297"/>
    </row>
    <row r="65" spans="1:10" ht="15.6" x14ac:dyDescent="0.3">
      <c r="A65" s="312" t="s">
        <v>329</v>
      </c>
      <c r="B65" s="220"/>
      <c r="C65" s="220"/>
      <c r="D65" s="516"/>
      <c r="E65" s="517"/>
      <c r="F65" s="517"/>
      <c r="G65" s="25"/>
      <c r="H65" s="297"/>
      <c r="I65" s="297"/>
      <c r="J65" s="297"/>
    </row>
    <row r="66" spans="1:10" ht="60" customHeight="1" x14ac:dyDescent="0.3">
      <c r="A66" s="1033" t="s">
        <v>931</v>
      </c>
      <c r="B66" s="1033"/>
      <c r="C66" s="1033"/>
      <c r="D66" s="1033"/>
      <c r="E66" s="1033"/>
      <c r="F66" s="1033"/>
      <c r="G66" s="25"/>
      <c r="H66" s="297"/>
      <c r="I66" s="297"/>
      <c r="J66" s="297"/>
    </row>
    <row r="67" spans="1:10" ht="27.6" customHeight="1" x14ac:dyDescent="0.3">
      <c r="A67" s="1064" t="s">
        <v>924</v>
      </c>
      <c r="B67" s="1064"/>
      <c r="C67" s="1064"/>
      <c r="D67" s="1064"/>
      <c r="E67" s="1064"/>
      <c r="F67" s="1064"/>
      <c r="G67" s="1064"/>
      <c r="H67" s="297"/>
    </row>
    <row r="68" spans="1:10" ht="47.1" customHeight="1" x14ac:dyDescent="0.3">
      <c r="A68" s="1033" t="s">
        <v>932</v>
      </c>
      <c r="B68" s="1033"/>
      <c r="C68" s="1033"/>
      <c r="D68" s="1033"/>
      <c r="E68" s="1033"/>
      <c r="F68" s="1033"/>
      <c r="G68" s="1033"/>
      <c r="H68" s="297"/>
    </row>
    <row r="69" spans="1:10" ht="15.75" customHeight="1" x14ac:dyDescent="0.3">
      <c r="A69" s="558"/>
      <c r="B69" s="558"/>
      <c r="C69" s="558"/>
      <c r="D69" s="558"/>
      <c r="E69" s="558"/>
      <c r="F69" s="558"/>
      <c r="G69" s="25"/>
      <c r="H69" s="297"/>
      <c r="I69" s="297"/>
      <c r="J69" s="297"/>
    </row>
    <row r="70" spans="1:10" ht="15.75" customHeight="1" x14ac:dyDescent="0.3">
      <c r="A70" s="1078" t="s">
        <v>933</v>
      </c>
      <c r="B70" s="1078"/>
      <c r="C70" s="1078"/>
      <c r="D70" s="232"/>
      <c r="E70" s="232"/>
      <c r="F70" s="232"/>
      <c r="G70" s="297"/>
      <c r="H70" s="297"/>
      <c r="I70" s="297"/>
      <c r="J70" s="297"/>
    </row>
    <row r="71" spans="1:10" ht="15.6" x14ac:dyDescent="0.3">
      <c r="A71" t="s">
        <v>203</v>
      </c>
      <c r="B71" t="s">
        <v>139</v>
      </c>
      <c r="C71" s="297"/>
      <c r="D71" s="297"/>
      <c r="E71" s="297"/>
      <c r="F71" s="297"/>
      <c r="G71" s="297"/>
    </row>
    <row r="72" spans="1:10" ht="15.6" x14ac:dyDescent="0.3">
      <c r="A72" t="s">
        <v>204</v>
      </c>
      <c r="B72" t="s">
        <v>205</v>
      </c>
      <c r="C72" s="297"/>
      <c r="D72" s="297"/>
      <c r="E72" s="297"/>
      <c r="F72" s="297"/>
      <c r="G72" s="297"/>
    </row>
    <row r="73" spans="1:10" x14ac:dyDescent="0.3">
      <c r="A73" t="s">
        <v>206</v>
      </c>
      <c r="B73" t="s">
        <v>917</v>
      </c>
      <c r="C73" s="25"/>
      <c r="D73" s="107"/>
      <c r="E73" s="25"/>
      <c r="F73" s="25"/>
      <c r="G73" s="25"/>
    </row>
    <row r="74" spans="1:10" x14ac:dyDescent="0.3">
      <c r="A74" s="25"/>
      <c r="B74" s="25"/>
      <c r="C74" s="131"/>
      <c r="D74" s="131"/>
      <c r="E74" s="228" t="s">
        <v>934</v>
      </c>
      <c r="F74" s="554" t="s">
        <v>346</v>
      </c>
      <c r="G74" s="25"/>
    </row>
    <row r="75" spans="1:10" ht="27" x14ac:dyDescent="0.3">
      <c r="A75" s="173" t="s">
        <v>208</v>
      </c>
      <c r="B75" s="216" t="s">
        <v>935</v>
      </c>
      <c r="C75" s="170" t="s">
        <v>920</v>
      </c>
      <c r="D75" s="170" t="s">
        <v>936</v>
      </c>
      <c r="E75" s="224" t="s">
        <v>937</v>
      </c>
      <c r="F75" s="555" t="s">
        <v>913</v>
      </c>
      <c r="G75" s="25"/>
    </row>
    <row r="76" spans="1:10" x14ac:dyDescent="0.3">
      <c r="A76" s="176" t="str">
        <f t="shared" ref="A76:A88" si="7">A10</f>
        <v>2010-11</v>
      </c>
      <c r="B76" s="393">
        <f t="shared" ref="B76:B89" si="8">B10/F76*100</f>
        <v>1.4376387508721484</v>
      </c>
      <c r="C76" s="393">
        <f t="shared" ref="C76:C89" si="9">C10/F76*100</f>
        <v>0.79210097892043896</v>
      </c>
      <c r="D76" s="394">
        <f t="shared" ref="D76:D89" si="10">D10/F76*100</f>
        <v>2.2297397297925872</v>
      </c>
      <c r="E76" s="687"/>
      <c r="F76" s="368">
        <f>GETPIVOTDATA("Households",ReferenceHouseholds!$J$5,"Year",2010)</f>
        <v>2364850</v>
      </c>
      <c r="G76" s="25"/>
    </row>
    <row r="77" spans="1:10" x14ac:dyDescent="0.3">
      <c r="A77" s="176" t="str">
        <f t="shared" si="7"/>
        <v>2011-12</v>
      </c>
      <c r="B77" s="393">
        <f t="shared" si="8"/>
        <v>1.2138406277667622</v>
      </c>
      <c r="C77" s="393">
        <f t="shared" si="9"/>
        <v>1.1655748300808273</v>
      </c>
      <c r="D77" s="394">
        <f t="shared" si="10"/>
        <v>2.3794154578475895</v>
      </c>
      <c r="E77" s="393">
        <f t="shared" ref="E77:E89" si="11">E11/F77*100</f>
        <v>1.9523031243582796</v>
      </c>
      <c r="F77" s="368">
        <f>GETPIVOTDATA("Households",ReferenceHouseholds!$J$5,"Year",2011)</f>
        <v>2376424</v>
      </c>
      <c r="G77" s="25"/>
    </row>
    <row r="78" spans="1:10" x14ac:dyDescent="0.3">
      <c r="A78" s="176" t="str">
        <f t="shared" si="7"/>
        <v>2012-13</v>
      </c>
      <c r="B78" s="393">
        <f t="shared" si="8"/>
        <v>1.0899332121039444</v>
      </c>
      <c r="C78" s="393">
        <f t="shared" si="9"/>
        <v>1.2669588462537604</v>
      </c>
      <c r="D78" s="394">
        <f t="shared" si="10"/>
        <v>2.3568920583577047</v>
      </c>
      <c r="E78" s="393">
        <f t="shared" si="11"/>
        <v>1.8486923147830021</v>
      </c>
      <c r="F78" s="368">
        <f>GETPIVOTDATA("Households",ReferenceHouseholds!$J$5,"Year",2012)</f>
        <v>2386660</v>
      </c>
      <c r="G78" s="25"/>
    </row>
    <row r="79" spans="1:10" x14ac:dyDescent="0.3">
      <c r="A79" s="176" t="str">
        <f t="shared" si="7"/>
        <v>2013-14</v>
      </c>
      <c r="B79" s="393">
        <f t="shared" si="8"/>
        <v>1.2321577508538366</v>
      </c>
      <c r="C79" s="393">
        <f t="shared" si="9"/>
        <v>1.7277537950842006</v>
      </c>
      <c r="D79" s="394">
        <f t="shared" si="10"/>
        <v>2.9599115459380374</v>
      </c>
      <c r="E79" s="393">
        <f t="shared" si="11"/>
        <v>1.9232259403035068</v>
      </c>
      <c r="F79" s="368">
        <f>GETPIVOTDATA("Households",ReferenceHouseholds!$J$5,"Year",2013)</f>
        <v>2400342</v>
      </c>
      <c r="G79" s="25"/>
    </row>
    <row r="80" spans="1:10" ht="15" customHeight="1" x14ac:dyDescent="0.3">
      <c r="A80" s="176" t="str">
        <f t="shared" si="7"/>
        <v>2014-15</v>
      </c>
      <c r="B80" s="393">
        <f t="shared" si="8"/>
        <v>1.1169637262035732</v>
      </c>
      <c r="C80" s="393">
        <f t="shared" si="9"/>
        <v>1.6030122342006297</v>
      </c>
      <c r="D80" s="394">
        <f t="shared" si="10"/>
        <v>2.7199759604042031</v>
      </c>
      <c r="E80" s="393">
        <f t="shared" si="11"/>
        <v>1.7314469204234744</v>
      </c>
      <c r="F80" s="368">
        <f>GETPIVOTDATA("Households",ReferenceHouseholds!$J$5,"Year",2014)</f>
        <v>2416014</v>
      </c>
      <c r="G80" s="25"/>
    </row>
    <row r="81" spans="1:11" ht="15" customHeight="1" x14ac:dyDescent="0.3">
      <c r="A81" s="176" t="str">
        <f t="shared" si="7"/>
        <v>2015-16</v>
      </c>
      <c r="B81" s="393">
        <f t="shared" si="8"/>
        <v>1.1662001948193845</v>
      </c>
      <c r="C81" s="393">
        <f t="shared" si="9"/>
        <v>1.7851859076529779</v>
      </c>
      <c r="D81" s="394">
        <f t="shared" si="10"/>
        <v>2.9513861024723624</v>
      </c>
      <c r="E81" s="393">
        <f t="shared" si="11"/>
        <v>1.7988076263517294</v>
      </c>
      <c r="F81" s="368">
        <f>GETPIVOTDATA("Households",ReferenceHouseholds!$J$5,"Year",2015)</f>
        <v>2429943</v>
      </c>
      <c r="G81" s="25"/>
    </row>
    <row r="82" spans="1:11" ht="15" customHeight="1" x14ac:dyDescent="0.3">
      <c r="A82" s="176" t="str">
        <f t="shared" si="7"/>
        <v>2016-17</v>
      </c>
      <c r="B82" s="393">
        <f t="shared" si="8"/>
        <v>1.1861803610622479</v>
      </c>
      <c r="C82" s="393">
        <f t="shared" si="9"/>
        <v>1.7081798451539159</v>
      </c>
      <c r="D82" s="394">
        <f t="shared" si="10"/>
        <v>2.894360206216164</v>
      </c>
      <c r="E82" s="393">
        <f t="shared" si="11"/>
        <v>1.8118520741191029</v>
      </c>
      <c r="F82" s="368">
        <f>GETPIVOTDATA("Households",ReferenceHouseholds!$J$5,"Year",2016)</f>
        <v>2446171</v>
      </c>
      <c r="G82" s="25"/>
    </row>
    <row r="83" spans="1:11" ht="15" customHeight="1" x14ac:dyDescent="0.3">
      <c r="A83" s="176" t="str">
        <f t="shared" si="7"/>
        <v>2017-18</v>
      </c>
      <c r="B83" s="393">
        <f t="shared" si="8"/>
        <v>1.1269579849403264</v>
      </c>
      <c r="C83" s="393">
        <f t="shared" si="9"/>
        <v>1.7085469169249159</v>
      </c>
      <c r="D83" s="394">
        <f t="shared" si="10"/>
        <v>2.8355049018652427</v>
      </c>
      <c r="E83" s="393">
        <f t="shared" si="11"/>
        <v>1.7210533325537125</v>
      </c>
      <c r="F83" s="368">
        <f>GETPIVOTDATA("Households",ReferenceHouseholds!$J$5,"Year",2017)</f>
        <v>2462736</v>
      </c>
      <c r="G83" s="25"/>
    </row>
    <row r="84" spans="1:11" x14ac:dyDescent="0.3">
      <c r="A84" s="176" t="str">
        <f t="shared" si="7"/>
        <v>2018-19</v>
      </c>
      <c r="B84" s="393">
        <f t="shared" si="8"/>
        <v>0.98745597481103231</v>
      </c>
      <c r="C84" s="393">
        <f t="shared" si="9"/>
        <v>1.8060166917278058</v>
      </c>
      <c r="D84" s="394">
        <f t="shared" si="10"/>
        <v>2.7934726665388379</v>
      </c>
      <c r="E84" s="393">
        <f t="shared" si="11"/>
        <v>1.5157380589559093</v>
      </c>
      <c r="F84" s="368">
        <f>GETPIVOTDATA("Households",ReferenceHouseholds!$J$5,"Year",2018)</f>
        <v>2477275</v>
      </c>
      <c r="G84" s="25"/>
    </row>
    <row r="85" spans="1:11" x14ac:dyDescent="0.3">
      <c r="A85" s="176" t="str">
        <f t="shared" si="7"/>
        <v>2019-20</v>
      </c>
      <c r="B85" s="393">
        <f t="shared" si="8"/>
        <v>0.89324389140507199</v>
      </c>
      <c r="C85" s="393">
        <f t="shared" si="9"/>
        <v>1.8810934183568593</v>
      </c>
      <c r="D85" s="394">
        <f t="shared" si="10"/>
        <v>2.7743373097619308</v>
      </c>
      <c r="E85" s="393">
        <f t="shared" si="11"/>
        <v>1.3868280585649355</v>
      </c>
      <c r="F85" s="368">
        <f>GETPIVOTDATA("Households",ReferenceHouseholds!$J$5,"Year",2019)</f>
        <v>2495623</v>
      </c>
      <c r="G85" s="25"/>
    </row>
    <row r="86" spans="1:11" x14ac:dyDescent="0.3">
      <c r="A86" s="176" t="str">
        <f t="shared" si="7"/>
        <v>2020-21</v>
      </c>
      <c r="B86" s="393">
        <f t="shared" si="8"/>
        <v>0.30622601066746424</v>
      </c>
      <c r="C86" s="393">
        <f t="shared" si="9"/>
        <v>0.49126165196151739</v>
      </c>
      <c r="D86" s="394">
        <f t="shared" si="10"/>
        <v>0.79748766262898152</v>
      </c>
      <c r="E86" s="393">
        <f t="shared" si="11"/>
        <v>0.4998753800907233</v>
      </c>
      <c r="F86" s="368">
        <f>GETPIVOTDATA("Households",ReferenceHouseholds!$J$5,"Year",2020)</f>
        <v>2507625</v>
      </c>
      <c r="G86" s="25"/>
    </row>
    <row r="87" spans="1:11" x14ac:dyDescent="0.3">
      <c r="A87" s="176" t="str">
        <f t="shared" si="7"/>
        <v>2021-22</v>
      </c>
      <c r="B87" s="687">
        <f t="shared" si="8"/>
        <v>0.65263563325705276</v>
      </c>
      <c r="C87" s="687">
        <f t="shared" si="9"/>
        <v>1.0950548931261697</v>
      </c>
      <c r="D87" s="774">
        <f t="shared" si="10"/>
        <v>1.7476905263832225</v>
      </c>
      <c r="E87" s="687">
        <f t="shared" si="11"/>
        <v>1.8026568091163357</v>
      </c>
      <c r="F87" s="368">
        <f>GETPIVOTDATA("Households",ReferenceHouseholds!$J$5,"Year",2021)</f>
        <v>2528823</v>
      </c>
      <c r="G87" s="25"/>
    </row>
    <row r="88" spans="1:11" x14ac:dyDescent="0.3">
      <c r="A88" s="176" t="str">
        <f t="shared" si="7"/>
        <v>2022-23</v>
      </c>
      <c r="B88" s="687">
        <f t="shared" si="8"/>
        <v>0.26527602001257355</v>
      </c>
      <c r="C88" s="687">
        <f t="shared" si="9"/>
        <v>1.2524526462302685</v>
      </c>
      <c r="D88" s="774">
        <f t="shared" si="10"/>
        <v>1.5177286662428422</v>
      </c>
      <c r="E88" s="687">
        <f t="shared" si="11"/>
        <v>0.61534310378434043</v>
      </c>
      <c r="F88" s="368">
        <f>GETPIVOTDATA("Households",ReferenceHouseholds!$J$5,"Year",2022)</f>
        <v>2549797</v>
      </c>
      <c r="G88" s="25"/>
      <c r="K88" s="176"/>
    </row>
    <row r="89" spans="1:11" x14ac:dyDescent="0.3">
      <c r="A89" s="176" t="s">
        <v>326</v>
      </c>
      <c r="B89" s="393">
        <f t="shared" si="8"/>
        <v>0.23429087567200854</v>
      </c>
      <c r="C89" s="393">
        <f t="shared" si="9"/>
        <v>1.2149204633752875</v>
      </c>
      <c r="D89" s="394">
        <f t="shared" si="10"/>
        <v>1.449211339047296</v>
      </c>
      <c r="E89" s="393">
        <f t="shared" si="11"/>
        <v>0.62296129467402406</v>
      </c>
      <c r="F89" s="368">
        <f>GETPIVOTDATA("Households",ReferenceHouseholds!$J$5,"Year",2023)</f>
        <v>2535310</v>
      </c>
      <c r="G89" s="25"/>
      <c r="K89" s="176"/>
    </row>
    <row r="90" spans="1:11" x14ac:dyDescent="0.3">
      <c r="A90" s="176" t="s">
        <v>328</v>
      </c>
      <c r="B90" s="393">
        <f t="shared" ref="B90" si="12">B24/F90*100</f>
        <v>0.16529617014619966</v>
      </c>
      <c r="C90" s="393">
        <f t="shared" ref="C90" si="13">C24/F90*100</f>
        <v>1.1675339820708108</v>
      </c>
      <c r="D90" s="394">
        <f t="shared" ref="D90" si="14">D24/F90*100</f>
        <v>1.3328301522170103</v>
      </c>
      <c r="E90" s="393">
        <f t="shared" ref="E90" si="15">E24/F90*100</f>
        <v>0.45588675890523334</v>
      </c>
      <c r="F90" s="368">
        <f>GETPIVOTDATA("Households",ReferenceHouseholds!$J$5,"Year",2024)</f>
        <v>2552388.2351710973</v>
      </c>
      <c r="G90" s="25"/>
      <c r="K90" s="176"/>
    </row>
    <row r="91" spans="1:11" ht="15" thickBot="1" x14ac:dyDescent="0.35">
      <c r="A91" s="184" t="s">
        <v>412</v>
      </c>
      <c r="B91" s="860">
        <f t="shared" ref="B91" si="16">B25/F91*100</f>
        <v>0.13540537397128286</v>
      </c>
      <c r="C91" s="860">
        <f t="shared" ref="C91" si="17">C25/F91*100</f>
        <v>0.65901690486109576</v>
      </c>
      <c r="D91" s="861">
        <f t="shared" ref="D91" si="18">D25/F91*100</f>
        <v>0.79442227883237859</v>
      </c>
      <c r="E91" s="860">
        <f t="shared" ref="E91" si="19">E25/F91*100</f>
        <v>0.41776895043136397</v>
      </c>
      <c r="F91" s="755">
        <f>GETPIVOTDATA("Households",ReferenceHouseholds!$J$5,"Year",2025)</f>
        <v>2570799</v>
      </c>
      <c r="G91" s="25"/>
      <c r="K91" s="176"/>
    </row>
    <row r="92" spans="1:11" x14ac:dyDescent="0.3">
      <c r="A92" s="176"/>
      <c r="B92" s="775"/>
      <c r="C92" s="775"/>
      <c r="D92" s="776"/>
      <c r="E92" s="775"/>
      <c r="F92" s="368"/>
      <c r="G92" s="25"/>
      <c r="K92" s="176"/>
    </row>
    <row r="93" spans="1:11" x14ac:dyDescent="0.3">
      <c r="A93" s="334" t="s">
        <v>329</v>
      </c>
      <c r="B93" s="339"/>
      <c r="C93" s="339"/>
      <c r="D93" s="339"/>
      <c r="E93" s="339"/>
      <c r="F93" s="339"/>
      <c r="G93" s="339"/>
      <c r="K93" s="176"/>
    </row>
    <row r="94" spans="1:11" ht="61.5" customHeight="1" x14ac:dyDescent="0.3">
      <c r="A94" s="1033" t="s">
        <v>938</v>
      </c>
      <c r="B94" s="1033"/>
      <c r="C94" s="1033"/>
      <c r="D94" s="1033"/>
      <c r="E94" s="1033"/>
      <c r="F94" s="558"/>
      <c r="G94" s="339"/>
      <c r="K94" s="176"/>
    </row>
    <row r="95" spans="1:11" ht="27.6" customHeight="1" x14ac:dyDescent="0.3">
      <c r="A95" s="1064" t="s">
        <v>924</v>
      </c>
      <c r="B95" s="1064"/>
      <c r="C95" s="1064"/>
      <c r="D95" s="1064"/>
      <c r="E95" s="1064"/>
      <c r="F95" s="1064"/>
      <c r="G95" s="1064"/>
      <c r="H95" s="297"/>
    </row>
    <row r="96" spans="1:11" ht="47.1" customHeight="1" x14ac:dyDescent="0.3">
      <c r="A96" s="1033" t="s">
        <v>925</v>
      </c>
      <c r="B96" s="1033"/>
      <c r="C96" s="1033"/>
      <c r="D96" s="1033"/>
      <c r="E96" s="1033"/>
      <c r="F96" s="1033"/>
      <c r="G96" s="1033"/>
      <c r="H96" s="297"/>
    </row>
    <row r="97" spans="1:11" x14ac:dyDescent="0.3">
      <c r="A97" s="515" t="s">
        <v>939</v>
      </c>
      <c r="B97" s="418"/>
      <c r="C97" s="418"/>
      <c r="D97" s="418"/>
      <c r="E97" s="418"/>
      <c r="F97" s="418"/>
      <c r="G97" s="418"/>
      <c r="K97" s="176"/>
    </row>
    <row r="98" spans="1:11" x14ac:dyDescent="0.3">
      <c r="A98" s="498" t="s">
        <v>940</v>
      </c>
      <c r="B98" s="364"/>
      <c r="C98" s="557"/>
      <c r="D98" s="557"/>
      <c r="E98" s="557"/>
      <c r="F98" s="557"/>
      <c r="G98" s="365"/>
      <c r="K98" s="176"/>
    </row>
    <row r="99" spans="1:11" x14ac:dyDescent="0.3">
      <c r="J99" s="176"/>
      <c r="K99" s="176"/>
    </row>
    <row r="100" spans="1:11" x14ac:dyDescent="0.3">
      <c r="J100" s="176"/>
      <c r="K100" s="176"/>
    </row>
    <row r="101" spans="1:11" x14ac:dyDescent="0.3">
      <c r="J101" s="176"/>
      <c r="K101" s="176"/>
    </row>
    <row r="102" spans="1:11" x14ac:dyDescent="0.3">
      <c r="J102" s="176"/>
    </row>
    <row r="103" spans="1:11" x14ac:dyDescent="0.3">
      <c r="J103" s="176"/>
    </row>
    <row r="104" spans="1:11" x14ac:dyDescent="0.3">
      <c r="A104" s="357"/>
      <c r="J104" s="176"/>
    </row>
    <row r="105" spans="1:11" x14ac:dyDescent="0.3">
      <c r="J105" s="176"/>
    </row>
    <row r="106" spans="1:11" x14ac:dyDescent="0.3">
      <c r="J106" s="176"/>
    </row>
  </sheetData>
  <sheetProtection algorithmName="SHA-512" hashValue="Nr0r+IPb7ts9aFp821V9UhiIenWpTCQNaZl5kNSXS/dTsYuyLuAnGKmHxIrmkeHkYrnZkkV3+ysIyAfAYL7cnw==" saltValue="Xifks817zPBSJ6jIr+FdzQ==" spinCount="100000" sheet="1" formatCells="0" sort="0" autoFilter="0" pivotTables="0"/>
  <mergeCells count="13">
    <mergeCell ref="A95:G95"/>
    <mergeCell ref="A96:G96"/>
    <mergeCell ref="A41:D41"/>
    <mergeCell ref="A70:C70"/>
    <mergeCell ref="A94:E94"/>
    <mergeCell ref="A66:F66"/>
    <mergeCell ref="A68:G68"/>
    <mergeCell ref="F8:G8"/>
    <mergeCell ref="A36:F36"/>
    <mergeCell ref="A37:G37"/>
    <mergeCell ref="A38:G38"/>
    <mergeCell ref="A67:G67"/>
    <mergeCell ref="A39:G39"/>
  </mergeCells>
  <phoneticPr fontId="53" type="noConversion"/>
  <hyperlinks>
    <hyperlink ref="A97:G97" r:id="rId1" display="https://www.nrscotland.gov.uk/statistics-and-data/statistics/statistics-by-theme/households/household-estimates/2016/list-of-tables" xr:uid="{00000000-0004-0000-8000-000000000000}"/>
    <hyperlink ref="A2" location="'Table of Contents'!A1" display="Back to Table of Contents" xr:uid="{00000000-0004-0000-8000-000001000000}"/>
    <hyperlink ref="A98" r:id="rId2" xr:uid="{00000000-0004-0000-8000-000002000000}"/>
  </hyperlinks>
  <pageMargins left="0.70866141732283472" right="0.70866141732283472" top="0.74803149606299213" bottom="0.74803149606299213" header="0.31496062992125984" footer="0.31496062992125984"/>
  <pageSetup paperSize="9" scale="61" orientation="portrait" r:id="rId3"/>
  <tableParts count="1">
    <tablePart r:id="rId4"/>
  </tableParts>
</worksheet>
</file>

<file path=xl/worksheets/sheet1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5148CB-879C-4EB2-9243-573977D07D53}">
  <sheetPr>
    <tabColor theme="7" tint="-0.249977111117893"/>
  </sheetPr>
  <dimension ref="B4:F32"/>
  <sheetViews>
    <sheetView workbookViewId="0">
      <selection activeCell="D24" sqref="D24"/>
    </sheetView>
  </sheetViews>
  <sheetFormatPr defaultRowHeight="14.4" x14ac:dyDescent="0.3"/>
  <cols>
    <col min="2" max="2" width="20.33203125" bestFit="1" customWidth="1"/>
    <col min="3" max="3" width="19.5546875" bestFit="1" customWidth="1"/>
    <col min="4" max="4" width="21.109375" bestFit="1" customWidth="1"/>
    <col min="5" max="5" width="19.5546875" bestFit="1" customWidth="1"/>
    <col min="6" max="6" width="23.77734375" bestFit="1" customWidth="1"/>
  </cols>
  <sheetData>
    <row r="4" spans="2:6" x14ac:dyDescent="0.3">
      <c r="B4" s="386" t="s">
        <v>350</v>
      </c>
      <c r="C4" t="s">
        <v>941</v>
      </c>
      <c r="D4" t="s">
        <v>942</v>
      </c>
      <c r="E4" t="s">
        <v>943</v>
      </c>
      <c r="F4" t="s">
        <v>944</v>
      </c>
    </row>
    <row r="5" spans="2:6" x14ac:dyDescent="0.3">
      <c r="B5" s="387" t="s">
        <v>701</v>
      </c>
      <c r="C5">
        <v>644223</v>
      </c>
      <c r="D5">
        <v>1482392</v>
      </c>
      <c r="E5">
        <v>1882392</v>
      </c>
      <c r="F5">
        <v>326084</v>
      </c>
    </row>
    <row r="6" spans="2:6" x14ac:dyDescent="0.3">
      <c r="B6" s="388" t="s">
        <v>364</v>
      </c>
      <c r="C6">
        <v>66828</v>
      </c>
    </row>
    <row r="7" spans="2:6" x14ac:dyDescent="0.3">
      <c r="B7" s="388" t="s">
        <v>365</v>
      </c>
      <c r="C7">
        <v>63640</v>
      </c>
    </row>
    <row r="8" spans="2:6" x14ac:dyDescent="0.3">
      <c r="B8" s="388" t="s">
        <v>366</v>
      </c>
      <c r="C8">
        <v>69038</v>
      </c>
      <c r="D8">
        <v>176331</v>
      </c>
    </row>
    <row r="9" spans="2:6" x14ac:dyDescent="0.3">
      <c r="B9" s="388" t="s">
        <v>341</v>
      </c>
      <c r="C9">
        <v>68202</v>
      </c>
      <c r="D9">
        <v>177208</v>
      </c>
      <c r="F9">
        <v>45412</v>
      </c>
    </row>
    <row r="10" spans="2:6" x14ac:dyDescent="0.3">
      <c r="B10" s="388" t="s">
        <v>342</v>
      </c>
      <c r="C10">
        <v>67131</v>
      </c>
      <c r="D10">
        <v>180398</v>
      </c>
      <c r="E10">
        <v>264044</v>
      </c>
      <c r="F10">
        <v>45808</v>
      </c>
    </row>
    <row r="11" spans="2:6" x14ac:dyDescent="0.3">
      <c r="B11" s="388" t="s">
        <v>213</v>
      </c>
      <c r="C11">
        <v>66180</v>
      </c>
      <c r="D11">
        <v>176578</v>
      </c>
      <c r="E11">
        <v>267536</v>
      </c>
      <c r="F11">
        <v>47304</v>
      </c>
    </row>
    <row r="12" spans="2:6" x14ac:dyDescent="0.3">
      <c r="B12" s="388" t="s">
        <v>312</v>
      </c>
      <c r="C12">
        <v>66056</v>
      </c>
      <c r="D12">
        <v>174615</v>
      </c>
      <c r="E12">
        <v>272384</v>
      </c>
      <c r="F12">
        <v>47485</v>
      </c>
    </row>
    <row r="13" spans="2:6" x14ac:dyDescent="0.3">
      <c r="B13" s="388" t="s">
        <v>318</v>
      </c>
      <c r="C13">
        <v>19380</v>
      </c>
      <c r="D13">
        <v>135928</v>
      </c>
      <c r="E13">
        <v>235923</v>
      </c>
      <c r="F13">
        <v>12799</v>
      </c>
    </row>
    <row r="14" spans="2:6" x14ac:dyDescent="0.3">
      <c r="B14" s="388" t="s">
        <v>320</v>
      </c>
      <c r="C14">
        <v>42606</v>
      </c>
      <c r="D14">
        <v>116376</v>
      </c>
      <c r="E14">
        <v>217787</v>
      </c>
      <c r="F14">
        <v>32582</v>
      </c>
    </row>
    <row r="15" spans="2:6" x14ac:dyDescent="0.3">
      <c r="B15" s="388" t="s">
        <v>325</v>
      </c>
      <c r="C15">
        <v>36957</v>
      </c>
      <c r="D15">
        <v>87999</v>
      </c>
      <c r="E15">
        <v>193539</v>
      </c>
      <c r="F15">
        <v>26709</v>
      </c>
    </row>
    <row r="16" spans="2:6" x14ac:dyDescent="0.3">
      <c r="B16" s="388" t="s">
        <v>326</v>
      </c>
      <c r="C16">
        <v>35004</v>
      </c>
      <c r="D16">
        <v>100837</v>
      </c>
      <c r="E16">
        <v>168448</v>
      </c>
      <c r="F16">
        <v>27140</v>
      </c>
    </row>
    <row r="17" spans="2:6" x14ac:dyDescent="0.3">
      <c r="B17" s="388" t="s">
        <v>328</v>
      </c>
      <c r="C17">
        <v>31965</v>
      </c>
      <c r="D17">
        <v>91896</v>
      </c>
      <c r="E17">
        <v>138125</v>
      </c>
      <c r="F17">
        <v>24639</v>
      </c>
    </row>
    <row r="18" spans="2:6" x14ac:dyDescent="0.3">
      <c r="B18" s="388" t="s">
        <v>412</v>
      </c>
      <c r="C18">
        <v>11236</v>
      </c>
      <c r="D18">
        <v>64226</v>
      </c>
      <c r="E18">
        <v>124606</v>
      </c>
      <c r="F18">
        <v>16206</v>
      </c>
    </row>
    <row r="19" spans="2:6" x14ac:dyDescent="0.3">
      <c r="B19" s="387" t="s">
        <v>945</v>
      </c>
      <c r="C19">
        <v>208986</v>
      </c>
      <c r="D19">
        <v>491655</v>
      </c>
      <c r="E19">
        <v>597983</v>
      </c>
    </row>
    <row r="20" spans="2:6" x14ac:dyDescent="0.3">
      <c r="B20" s="388" t="s">
        <v>364</v>
      </c>
      <c r="C20">
        <v>29094</v>
      </c>
    </row>
    <row r="21" spans="2:6" x14ac:dyDescent="0.3">
      <c r="B21" s="388" t="s">
        <v>365</v>
      </c>
      <c r="C21">
        <v>26541</v>
      </c>
    </row>
    <row r="22" spans="2:6" x14ac:dyDescent="0.3">
      <c r="B22" s="388" t="s">
        <v>366</v>
      </c>
      <c r="C22">
        <v>27846</v>
      </c>
      <c r="D22">
        <v>79298</v>
      </c>
    </row>
    <row r="23" spans="2:6" x14ac:dyDescent="0.3">
      <c r="B23" s="388" t="s">
        <v>341</v>
      </c>
      <c r="C23">
        <v>28400</v>
      </c>
      <c r="D23">
        <v>78665</v>
      </c>
    </row>
    <row r="24" spans="2:6" x14ac:dyDescent="0.3">
      <c r="B24" s="388" t="s">
        <v>342</v>
      </c>
      <c r="C24">
        <v>27184</v>
      </c>
      <c r="D24">
        <v>79049</v>
      </c>
      <c r="E24">
        <v>121558</v>
      </c>
    </row>
    <row r="25" spans="2:6" x14ac:dyDescent="0.3">
      <c r="B25" s="388" t="s">
        <v>213</v>
      </c>
      <c r="C25">
        <v>23995</v>
      </c>
      <c r="D25">
        <v>75250</v>
      </c>
      <c r="E25">
        <v>119658</v>
      </c>
    </row>
    <row r="26" spans="2:6" x14ac:dyDescent="0.3">
      <c r="B26" s="388" t="s">
        <v>312</v>
      </c>
      <c r="C26">
        <v>21868</v>
      </c>
      <c r="D26">
        <v>69792</v>
      </c>
      <c r="E26">
        <v>117387</v>
      </c>
    </row>
    <row r="27" spans="2:6" x14ac:dyDescent="0.3">
      <c r="B27" s="388" t="s">
        <v>318</v>
      </c>
      <c r="C27">
        <v>7589</v>
      </c>
      <c r="D27">
        <v>51886</v>
      </c>
      <c r="E27">
        <v>100274</v>
      </c>
    </row>
    <row r="28" spans="2:6" x14ac:dyDescent="0.3">
      <c r="B28" s="388" t="s">
        <v>320</v>
      </c>
      <c r="C28">
        <v>5932</v>
      </c>
      <c r="D28">
        <v>34580</v>
      </c>
      <c r="E28">
        <v>81267</v>
      </c>
    </row>
    <row r="29" spans="2:6" x14ac:dyDescent="0.3">
      <c r="B29" s="388" t="s">
        <v>326</v>
      </c>
      <c r="C29">
        <v>5807</v>
      </c>
      <c r="D29">
        <v>10280</v>
      </c>
      <c r="E29">
        <v>38667</v>
      </c>
    </row>
    <row r="30" spans="2:6" x14ac:dyDescent="0.3">
      <c r="B30" s="388" t="s">
        <v>328</v>
      </c>
      <c r="C30">
        <v>1741</v>
      </c>
      <c r="D30">
        <v>6102</v>
      </c>
      <c r="E30">
        <v>19172</v>
      </c>
    </row>
    <row r="31" spans="2:6" x14ac:dyDescent="0.3">
      <c r="B31" s="388" t="s">
        <v>412</v>
      </c>
      <c r="C31">
        <v>2989</v>
      </c>
      <c r="D31">
        <v>6753</v>
      </c>
    </row>
    <row r="32" spans="2:6" x14ac:dyDescent="0.3">
      <c r="B32" s="387" t="s">
        <v>357</v>
      </c>
      <c r="C32">
        <v>853209</v>
      </c>
      <c r="D32">
        <v>1974047</v>
      </c>
      <c r="E32">
        <v>2480375</v>
      </c>
      <c r="F32">
        <v>326084</v>
      </c>
    </row>
  </sheetData>
  <pageMargins left="0.7" right="0.7" top="0.75" bottom="0.75" header="0.3" footer="0.3"/>
</worksheet>
</file>

<file path=xl/worksheets/sheet1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D06E77-72F2-4933-BDB2-1D2C42641947}">
  <sheetPr>
    <tabColor theme="7" tint="-0.249977111117893"/>
  </sheetPr>
  <dimension ref="A1:L26"/>
  <sheetViews>
    <sheetView workbookViewId="0">
      <selection activeCell="E21" sqref="E21"/>
    </sheetView>
  </sheetViews>
  <sheetFormatPr defaultRowHeight="14.4" x14ac:dyDescent="0.3"/>
  <cols>
    <col min="1" max="1" width="7.6640625" bestFit="1" customWidth="1"/>
    <col min="2" max="2" width="18.5546875" bestFit="1" customWidth="1"/>
    <col min="3" max="3" width="15.21875" bestFit="1" customWidth="1"/>
    <col min="4" max="4" width="16.6640625" bestFit="1" customWidth="1"/>
    <col min="5" max="5" width="15.21875" bestFit="1" customWidth="1"/>
    <col min="6" max="6" width="19.44140625" bestFit="1" customWidth="1"/>
    <col min="7" max="7" width="16.88671875" bestFit="1" customWidth="1"/>
    <col min="8" max="8" width="22.6640625" bestFit="1" customWidth="1"/>
    <col min="9" max="9" width="21.21875" bestFit="1" customWidth="1"/>
    <col min="10" max="10" width="10.109375" bestFit="1" customWidth="1"/>
    <col min="11" max="12" width="9.6640625" bestFit="1" customWidth="1"/>
  </cols>
  <sheetData>
    <row r="1" spans="1:12" x14ac:dyDescent="0.3">
      <c r="A1" t="s">
        <v>806</v>
      </c>
      <c r="B1" t="s">
        <v>946</v>
      </c>
      <c r="C1" t="s">
        <v>947</v>
      </c>
      <c r="D1" t="s">
        <v>948</v>
      </c>
      <c r="E1" t="s">
        <v>949</v>
      </c>
      <c r="F1" t="s">
        <v>950</v>
      </c>
      <c r="G1" t="s">
        <v>951</v>
      </c>
      <c r="H1" t="s">
        <v>952</v>
      </c>
      <c r="I1" t="s">
        <v>953</v>
      </c>
      <c r="J1" t="s">
        <v>954</v>
      </c>
      <c r="K1" t="s">
        <v>955</v>
      </c>
      <c r="L1" t="s">
        <v>956</v>
      </c>
    </row>
    <row r="2" spans="1:12" x14ac:dyDescent="0.3">
      <c r="A2" t="s">
        <v>364</v>
      </c>
      <c r="B2" t="s">
        <v>701</v>
      </c>
      <c r="C2">
        <v>66828</v>
      </c>
      <c r="G2">
        <v>2400342</v>
      </c>
      <c r="H2">
        <v>2387809</v>
      </c>
      <c r="I2">
        <v>2376011</v>
      </c>
      <c r="J2">
        <v>2.7800000000000002</v>
      </c>
    </row>
    <row r="3" spans="1:12" x14ac:dyDescent="0.3">
      <c r="A3" t="s">
        <v>364</v>
      </c>
      <c r="B3" t="s">
        <v>945</v>
      </c>
      <c r="C3">
        <v>29094</v>
      </c>
      <c r="G3">
        <v>2400342</v>
      </c>
      <c r="H3">
        <v>2387809</v>
      </c>
      <c r="I3">
        <v>2376011</v>
      </c>
      <c r="J3">
        <v>1.21</v>
      </c>
    </row>
    <row r="4" spans="1:12" x14ac:dyDescent="0.3">
      <c r="A4" t="s">
        <v>365</v>
      </c>
      <c r="B4" t="s">
        <v>701</v>
      </c>
      <c r="C4">
        <v>63640</v>
      </c>
      <c r="G4">
        <v>2416014</v>
      </c>
      <c r="H4">
        <v>2401005</v>
      </c>
      <c r="I4">
        <v>2388858</v>
      </c>
      <c r="J4">
        <v>2.63</v>
      </c>
    </row>
    <row r="5" spans="1:12" x14ac:dyDescent="0.3">
      <c r="A5" t="s">
        <v>365</v>
      </c>
      <c r="B5" t="s">
        <v>945</v>
      </c>
      <c r="C5">
        <v>26541</v>
      </c>
      <c r="G5">
        <v>2416014</v>
      </c>
      <c r="H5">
        <v>2401005</v>
      </c>
      <c r="I5">
        <v>2388858</v>
      </c>
      <c r="J5">
        <v>1.1000000000000001</v>
      </c>
    </row>
    <row r="6" spans="1:12" x14ac:dyDescent="0.3">
      <c r="A6" t="s">
        <v>366</v>
      </c>
      <c r="B6" t="s">
        <v>701</v>
      </c>
      <c r="C6">
        <v>69038</v>
      </c>
      <c r="D6">
        <v>176331</v>
      </c>
      <c r="G6">
        <v>2429943</v>
      </c>
      <c r="H6">
        <v>2415433</v>
      </c>
      <c r="I6">
        <v>2401877</v>
      </c>
      <c r="J6">
        <v>2.84</v>
      </c>
      <c r="K6">
        <v>7.3</v>
      </c>
    </row>
    <row r="7" spans="1:12" x14ac:dyDescent="0.3">
      <c r="A7" t="s">
        <v>366</v>
      </c>
      <c r="B7" t="s">
        <v>945</v>
      </c>
      <c r="C7">
        <v>27846</v>
      </c>
      <c r="D7">
        <v>79298</v>
      </c>
      <c r="G7">
        <v>2429943</v>
      </c>
      <c r="H7">
        <v>2415433</v>
      </c>
      <c r="I7">
        <v>2401877</v>
      </c>
      <c r="J7">
        <v>1.1499999999999999</v>
      </c>
      <c r="K7">
        <v>3.2800000000000002</v>
      </c>
    </row>
    <row r="8" spans="1:12" x14ac:dyDescent="0.3">
      <c r="A8" t="s">
        <v>341</v>
      </c>
      <c r="B8" t="s">
        <v>701</v>
      </c>
      <c r="C8">
        <v>68202</v>
      </c>
      <c r="D8">
        <v>177208</v>
      </c>
      <c r="F8">
        <v>45412</v>
      </c>
      <c r="G8">
        <v>2446171</v>
      </c>
      <c r="H8">
        <v>2430709</v>
      </c>
      <c r="I8">
        <v>2415826</v>
      </c>
      <c r="J8">
        <v>2.79</v>
      </c>
      <c r="K8">
        <v>7.29</v>
      </c>
    </row>
    <row r="9" spans="1:12" x14ac:dyDescent="0.3">
      <c r="A9" t="s">
        <v>341</v>
      </c>
      <c r="B9" t="s">
        <v>945</v>
      </c>
      <c r="C9">
        <v>28400</v>
      </c>
      <c r="D9">
        <v>78665</v>
      </c>
      <c r="G9">
        <v>2446171</v>
      </c>
      <c r="H9">
        <v>2430709</v>
      </c>
      <c r="I9">
        <v>2415826</v>
      </c>
      <c r="J9">
        <v>1.1599999999999999</v>
      </c>
      <c r="K9">
        <v>3.24</v>
      </c>
    </row>
    <row r="10" spans="1:12" x14ac:dyDescent="0.3">
      <c r="A10" t="s">
        <v>342</v>
      </c>
      <c r="B10" t="s">
        <v>701</v>
      </c>
      <c r="C10">
        <v>67131</v>
      </c>
      <c r="D10">
        <v>180398</v>
      </c>
      <c r="E10">
        <v>264044</v>
      </c>
      <c r="F10">
        <v>45808</v>
      </c>
      <c r="G10">
        <v>2462736</v>
      </c>
      <c r="H10">
        <v>2446283</v>
      </c>
      <c r="I10">
        <v>2431041</v>
      </c>
      <c r="J10">
        <v>2.73</v>
      </c>
      <c r="K10">
        <v>7.37</v>
      </c>
      <c r="L10">
        <v>10.79</v>
      </c>
    </row>
    <row r="11" spans="1:12" x14ac:dyDescent="0.3">
      <c r="A11" t="s">
        <v>342</v>
      </c>
      <c r="B11" t="s">
        <v>945</v>
      </c>
      <c r="C11">
        <v>27184</v>
      </c>
      <c r="D11">
        <v>79049</v>
      </c>
      <c r="E11">
        <v>121558</v>
      </c>
      <c r="G11">
        <v>2462736</v>
      </c>
      <c r="H11">
        <v>2446283</v>
      </c>
      <c r="I11">
        <v>2431041</v>
      </c>
      <c r="J11">
        <v>1.1000000000000001</v>
      </c>
      <c r="K11">
        <v>3.23</v>
      </c>
      <c r="L11">
        <v>4.97</v>
      </c>
    </row>
    <row r="12" spans="1:12" x14ac:dyDescent="0.3">
      <c r="A12" t="s">
        <v>213</v>
      </c>
      <c r="B12" t="s">
        <v>701</v>
      </c>
      <c r="C12">
        <v>66180</v>
      </c>
      <c r="D12">
        <v>176578</v>
      </c>
      <c r="E12">
        <v>267536</v>
      </c>
      <c r="F12">
        <v>47304</v>
      </c>
      <c r="G12">
        <v>2477275</v>
      </c>
      <c r="H12">
        <v>2462061</v>
      </c>
      <c r="I12">
        <v>2446428</v>
      </c>
      <c r="J12">
        <v>2.67</v>
      </c>
      <c r="K12">
        <v>7.17</v>
      </c>
      <c r="L12">
        <v>10.87</v>
      </c>
    </row>
    <row r="13" spans="1:12" x14ac:dyDescent="0.3">
      <c r="A13" t="s">
        <v>213</v>
      </c>
      <c r="B13" t="s">
        <v>945</v>
      </c>
      <c r="C13">
        <v>23995</v>
      </c>
      <c r="D13">
        <v>75250</v>
      </c>
      <c r="E13">
        <v>119658</v>
      </c>
      <c r="G13">
        <v>2477275</v>
      </c>
      <c r="H13">
        <v>2462061</v>
      </c>
      <c r="I13">
        <v>2446428</v>
      </c>
      <c r="J13">
        <v>0.97</v>
      </c>
      <c r="K13">
        <v>3.06</v>
      </c>
      <c r="L13">
        <v>4.8600000000000003</v>
      </c>
    </row>
    <row r="14" spans="1:12" x14ac:dyDescent="0.3">
      <c r="A14" t="s">
        <v>312</v>
      </c>
      <c r="B14" t="s">
        <v>701</v>
      </c>
      <c r="C14">
        <v>66056</v>
      </c>
      <c r="D14">
        <v>174615</v>
      </c>
      <c r="E14">
        <v>272384</v>
      </c>
      <c r="F14">
        <v>47485</v>
      </c>
      <c r="G14">
        <v>2495623</v>
      </c>
      <c r="H14">
        <v>2478545</v>
      </c>
      <c r="I14">
        <v>2462350</v>
      </c>
      <c r="J14">
        <v>2.65</v>
      </c>
      <c r="K14">
        <v>7.05</v>
      </c>
      <c r="L14">
        <v>10.99</v>
      </c>
    </row>
    <row r="15" spans="1:12" x14ac:dyDescent="0.3">
      <c r="A15" t="s">
        <v>312</v>
      </c>
      <c r="B15" t="s">
        <v>945</v>
      </c>
      <c r="C15">
        <v>21868</v>
      </c>
      <c r="D15">
        <v>69792</v>
      </c>
      <c r="E15">
        <v>117387</v>
      </c>
      <c r="G15">
        <v>2495623</v>
      </c>
      <c r="H15">
        <v>2478545</v>
      </c>
      <c r="I15">
        <v>2462350</v>
      </c>
      <c r="J15">
        <v>0.88</v>
      </c>
      <c r="K15">
        <v>2.82</v>
      </c>
      <c r="L15">
        <v>4.74</v>
      </c>
    </row>
    <row r="16" spans="1:12" x14ac:dyDescent="0.3">
      <c r="A16" t="s">
        <v>318</v>
      </c>
      <c r="B16" t="s">
        <v>701</v>
      </c>
      <c r="C16">
        <v>19380</v>
      </c>
      <c r="D16">
        <v>135928</v>
      </c>
      <c r="E16">
        <v>235923</v>
      </c>
      <c r="F16">
        <v>12799</v>
      </c>
      <c r="G16">
        <v>2507625</v>
      </c>
      <c r="H16">
        <v>2493508</v>
      </c>
      <c r="I16">
        <v>2477886</v>
      </c>
      <c r="J16">
        <v>0.77</v>
      </c>
      <c r="K16">
        <v>5.45</v>
      </c>
      <c r="L16">
        <v>9.4600000000000009</v>
      </c>
    </row>
    <row r="17" spans="1:12" x14ac:dyDescent="0.3">
      <c r="A17" t="s">
        <v>318</v>
      </c>
      <c r="B17" t="s">
        <v>945</v>
      </c>
      <c r="C17">
        <v>7589</v>
      </c>
      <c r="D17">
        <v>51886</v>
      </c>
      <c r="E17">
        <v>100274</v>
      </c>
      <c r="G17">
        <v>2507625</v>
      </c>
      <c r="H17">
        <v>2493508</v>
      </c>
      <c r="I17">
        <v>2477886</v>
      </c>
      <c r="J17">
        <v>0.3</v>
      </c>
      <c r="K17">
        <v>2.08</v>
      </c>
      <c r="L17">
        <v>4.0199999999999996</v>
      </c>
    </row>
    <row r="18" spans="1:12" x14ac:dyDescent="0.3">
      <c r="A18" t="s">
        <v>320</v>
      </c>
      <c r="B18" t="s">
        <v>701</v>
      </c>
      <c r="C18">
        <v>42606</v>
      </c>
      <c r="D18">
        <v>116376</v>
      </c>
      <c r="E18">
        <v>217787</v>
      </c>
      <c r="F18">
        <v>32582</v>
      </c>
      <c r="G18">
        <v>2528823</v>
      </c>
      <c r="H18">
        <v>2510690</v>
      </c>
      <c r="I18">
        <v>2494416</v>
      </c>
      <c r="J18">
        <v>1.6800000000000002</v>
      </c>
      <c r="K18">
        <v>4.6399999999999997</v>
      </c>
      <c r="L18">
        <v>8.67</v>
      </c>
    </row>
    <row r="19" spans="1:12" x14ac:dyDescent="0.3">
      <c r="A19" t="s">
        <v>320</v>
      </c>
      <c r="B19" t="s">
        <v>945</v>
      </c>
      <c r="C19">
        <v>5932</v>
      </c>
      <c r="D19">
        <v>34580</v>
      </c>
      <c r="E19">
        <v>81267</v>
      </c>
      <c r="G19">
        <v>2528823</v>
      </c>
      <c r="H19">
        <v>2510690</v>
      </c>
      <c r="I19">
        <v>2494416</v>
      </c>
      <c r="J19">
        <v>0.23</v>
      </c>
      <c r="K19">
        <v>1.38</v>
      </c>
      <c r="L19">
        <v>3.24</v>
      </c>
    </row>
    <row r="20" spans="1:12" x14ac:dyDescent="0.3">
      <c r="A20" t="s">
        <v>325</v>
      </c>
      <c r="B20" t="s">
        <v>701</v>
      </c>
      <c r="C20">
        <v>36957</v>
      </c>
      <c r="D20">
        <v>87999</v>
      </c>
      <c r="E20">
        <v>193539</v>
      </c>
      <c r="F20">
        <v>26709</v>
      </c>
      <c r="G20">
        <v>2549797</v>
      </c>
      <c r="H20">
        <v>2528748</v>
      </c>
      <c r="I20">
        <v>2511829</v>
      </c>
      <c r="J20">
        <v>1.45</v>
      </c>
      <c r="K20">
        <v>3.48</v>
      </c>
      <c r="L20">
        <v>7.65</v>
      </c>
    </row>
    <row r="21" spans="1:12" x14ac:dyDescent="0.3">
      <c r="A21" t="s">
        <v>326</v>
      </c>
      <c r="B21" t="s">
        <v>701</v>
      </c>
      <c r="C21">
        <v>35004</v>
      </c>
      <c r="D21">
        <v>100837</v>
      </c>
      <c r="E21">
        <v>168448</v>
      </c>
      <c r="F21">
        <v>27140</v>
      </c>
      <c r="G21">
        <v>2535310</v>
      </c>
      <c r="H21">
        <v>2537977</v>
      </c>
      <c r="I21">
        <v>2523436</v>
      </c>
      <c r="J21">
        <v>1.38</v>
      </c>
      <c r="K21">
        <v>3.9699999999999998</v>
      </c>
      <c r="L21">
        <v>6.64</v>
      </c>
    </row>
    <row r="22" spans="1:12" x14ac:dyDescent="0.3">
      <c r="A22" t="s">
        <v>326</v>
      </c>
      <c r="B22" t="s">
        <v>945</v>
      </c>
      <c r="C22">
        <v>5807</v>
      </c>
      <c r="D22">
        <v>10280</v>
      </c>
      <c r="E22">
        <v>38667</v>
      </c>
      <c r="G22">
        <v>2535310</v>
      </c>
      <c r="H22">
        <v>2537977</v>
      </c>
      <c r="I22">
        <v>2523436</v>
      </c>
      <c r="J22">
        <v>0.23</v>
      </c>
      <c r="K22">
        <v>0.41</v>
      </c>
      <c r="L22">
        <v>1.52</v>
      </c>
    </row>
    <row r="23" spans="1:12" x14ac:dyDescent="0.3">
      <c r="A23" t="s">
        <v>328</v>
      </c>
      <c r="B23" t="s">
        <v>701</v>
      </c>
      <c r="C23">
        <v>31965</v>
      </c>
      <c r="D23">
        <v>91896</v>
      </c>
      <c r="E23">
        <v>138125</v>
      </c>
      <c r="F23">
        <v>24639</v>
      </c>
      <c r="G23">
        <v>2552388.2351710973</v>
      </c>
      <c r="H23">
        <v>2545832</v>
      </c>
      <c r="I23">
        <v>2534789</v>
      </c>
      <c r="J23">
        <v>1.25</v>
      </c>
      <c r="K23">
        <v>3.61</v>
      </c>
      <c r="L23">
        <v>5.43</v>
      </c>
    </row>
    <row r="24" spans="1:12" x14ac:dyDescent="0.3">
      <c r="A24" t="s">
        <v>328</v>
      </c>
      <c r="B24" t="s">
        <v>945</v>
      </c>
      <c r="C24">
        <v>1741</v>
      </c>
      <c r="D24">
        <v>6102</v>
      </c>
      <c r="E24">
        <v>19172</v>
      </c>
      <c r="G24">
        <v>2552388.2351710973</v>
      </c>
      <c r="H24">
        <v>2545832</v>
      </c>
      <c r="I24">
        <v>2534789</v>
      </c>
      <c r="J24">
        <v>7.0000000000000007E-2</v>
      </c>
      <c r="K24">
        <v>0.24</v>
      </c>
      <c r="L24">
        <v>0.75</v>
      </c>
    </row>
    <row r="25" spans="1:12" x14ac:dyDescent="0.3">
      <c r="A25" t="s">
        <v>412</v>
      </c>
      <c r="B25" t="s">
        <v>701</v>
      </c>
      <c r="C25">
        <v>11236</v>
      </c>
      <c r="D25">
        <v>64226</v>
      </c>
      <c r="E25">
        <v>124606</v>
      </c>
      <c r="F25">
        <v>16206</v>
      </c>
      <c r="G25">
        <v>2570799</v>
      </c>
      <c r="H25">
        <v>2552832</v>
      </c>
      <c r="I25">
        <v>2547423</v>
      </c>
      <c r="J25">
        <v>0.44</v>
      </c>
      <c r="K25">
        <v>2.52</v>
      </c>
      <c r="L25">
        <v>4.88</v>
      </c>
    </row>
    <row r="26" spans="1:12" x14ac:dyDescent="0.3">
      <c r="A26" t="s">
        <v>412</v>
      </c>
      <c r="B26" t="s">
        <v>945</v>
      </c>
      <c r="C26">
        <v>2989</v>
      </c>
      <c r="D26">
        <v>6753</v>
      </c>
      <c r="G26">
        <v>2570799</v>
      </c>
      <c r="H26">
        <v>2552832</v>
      </c>
      <c r="I26">
        <v>2547423</v>
      </c>
      <c r="J26">
        <v>0.12</v>
      </c>
      <c r="K26">
        <v>0.26</v>
      </c>
    </row>
  </sheetData>
  <pageMargins left="0.7" right="0.7" top="0.75" bottom="0.75" header="0.3" footer="0.3"/>
  <tableParts count="1">
    <tablePart r:id="rId1"/>
  </tableParts>
</worksheet>
</file>

<file path=xl/worksheets/sheet1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tabColor theme="7" tint="-0.249977111117893"/>
  </sheetPr>
  <dimension ref="A1:K52"/>
  <sheetViews>
    <sheetView showGridLines="0" zoomScaleNormal="100" workbookViewId="0">
      <pane ySplit="2" topLeftCell="A20" activePane="bottomLeft" state="frozen"/>
      <selection pane="bottomLeft"/>
    </sheetView>
  </sheetViews>
  <sheetFormatPr defaultRowHeight="14.4" x14ac:dyDescent="0.3"/>
  <cols>
    <col min="1" max="1" width="19.44140625" customWidth="1"/>
    <col min="2" max="2" width="16.44140625" customWidth="1"/>
    <col min="3" max="3" width="18.109375" customWidth="1"/>
    <col min="4" max="4" width="16.5546875" customWidth="1"/>
    <col min="5" max="5" width="10.6640625" bestFit="1" customWidth="1"/>
    <col min="6" max="6" width="16.44140625" bestFit="1" customWidth="1"/>
  </cols>
  <sheetData>
    <row r="1" spans="1:11" ht="15.6" x14ac:dyDescent="0.3">
      <c r="A1" s="513" t="s">
        <v>915</v>
      </c>
      <c r="B1" s="513"/>
      <c r="C1" s="513"/>
    </row>
    <row r="2" spans="1:11" ht="15.6" x14ac:dyDescent="0.3">
      <c r="A2" s="498" t="s">
        <v>202</v>
      </c>
      <c r="B2" s="440"/>
      <c r="C2" s="440"/>
    </row>
    <row r="3" spans="1:11" x14ac:dyDescent="0.3">
      <c r="A3" s="25"/>
      <c r="B3" s="25"/>
      <c r="C3" s="25"/>
      <c r="D3" s="25"/>
      <c r="E3" s="25"/>
      <c r="F3" s="25"/>
      <c r="G3" s="25"/>
      <c r="H3" s="25"/>
      <c r="I3" s="25"/>
      <c r="J3" s="25"/>
      <c r="K3" s="25"/>
    </row>
    <row r="4" spans="1:11" ht="15.6" x14ac:dyDescent="0.3">
      <c r="A4" s="1072" t="s">
        <v>957</v>
      </c>
      <c r="B4" s="1072"/>
      <c r="C4" s="1072"/>
      <c r="D4" s="1072"/>
      <c r="E4" s="1072"/>
      <c r="F4" s="1072"/>
      <c r="G4" s="1072"/>
      <c r="H4" s="1072"/>
      <c r="I4" s="1072"/>
      <c r="J4" s="1072"/>
      <c r="K4" s="1072"/>
    </row>
    <row r="5" spans="1:11" ht="15.6" x14ac:dyDescent="0.3">
      <c r="A5" t="s">
        <v>203</v>
      </c>
      <c r="B5" t="s">
        <v>141</v>
      </c>
      <c r="C5" s="499"/>
      <c r="D5" s="499"/>
      <c r="E5" s="499"/>
      <c r="F5" s="499"/>
      <c r="G5" s="499"/>
      <c r="H5" s="499"/>
      <c r="I5" s="499"/>
      <c r="J5" s="499"/>
      <c r="K5" s="499"/>
    </row>
    <row r="6" spans="1:11" ht="15.6" x14ac:dyDescent="0.3">
      <c r="A6" t="s">
        <v>204</v>
      </c>
      <c r="B6" t="s">
        <v>205</v>
      </c>
      <c r="C6" s="499"/>
      <c r="D6" s="499"/>
      <c r="E6" s="499"/>
      <c r="F6" s="499"/>
      <c r="G6" s="499"/>
      <c r="H6" s="499"/>
      <c r="I6" s="499"/>
      <c r="J6" s="499"/>
      <c r="K6" s="499"/>
    </row>
    <row r="7" spans="1:11" ht="15.6" x14ac:dyDescent="0.3">
      <c r="A7" t="s">
        <v>206</v>
      </c>
      <c r="B7" t="s">
        <v>917</v>
      </c>
      <c r="C7" s="499"/>
      <c r="D7" s="499"/>
      <c r="E7" s="499"/>
      <c r="F7" s="499"/>
      <c r="G7" s="499"/>
      <c r="H7" s="499"/>
      <c r="I7" s="499"/>
      <c r="J7" s="499"/>
      <c r="K7" s="499"/>
    </row>
    <row r="8" spans="1:11" ht="15.6" x14ac:dyDescent="0.3">
      <c r="C8" s="499"/>
      <c r="D8" s="499"/>
      <c r="E8" s="499"/>
      <c r="F8" s="499"/>
      <c r="G8" s="499"/>
      <c r="H8" s="499"/>
      <c r="I8" s="499"/>
      <c r="J8" s="499"/>
      <c r="K8" s="499"/>
    </row>
    <row r="9" spans="1:11" ht="15.6" x14ac:dyDescent="0.3">
      <c r="A9" s="312"/>
      <c r="B9" s="1079" t="s">
        <v>958</v>
      </c>
      <c r="C9" s="1079"/>
      <c r="D9" s="1079"/>
      <c r="E9" s="499"/>
      <c r="F9" s="499"/>
      <c r="G9" s="499"/>
      <c r="H9" s="499"/>
      <c r="I9" s="499"/>
      <c r="J9" s="499"/>
      <c r="K9" s="499"/>
    </row>
    <row r="10" spans="1:11" ht="28.8" x14ac:dyDescent="0.3">
      <c r="A10" s="525" t="s">
        <v>208</v>
      </c>
      <c r="B10" s="691" t="s">
        <v>959</v>
      </c>
      <c r="C10" s="903" t="s">
        <v>960</v>
      </c>
      <c r="D10" s="902" t="s">
        <v>961</v>
      </c>
      <c r="E10" s="688" t="s">
        <v>962</v>
      </c>
      <c r="F10" s="902" t="s">
        <v>963</v>
      </c>
      <c r="G10" s="499"/>
      <c r="H10" s="499"/>
      <c r="I10" s="499"/>
      <c r="J10" s="499"/>
      <c r="K10" s="499"/>
    </row>
    <row r="11" spans="1:11" ht="15.6" x14ac:dyDescent="0.3">
      <c r="A11" s="908" t="s">
        <v>364</v>
      </c>
      <c r="B11" s="368">
        <f>GETPIVOTDATA("Sum of OneYrDistinct",DistinctPropertiesPivot!$B$4,"FisYr",A11,"Counted","All")</f>
        <v>66828</v>
      </c>
      <c r="C11" s="900"/>
      <c r="D11" s="904"/>
      <c r="E11" s="909"/>
      <c r="F11" s="912"/>
      <c r="G11" s="499"/>
      <c r="H11" s="499"/>
      <c r="I11" s="499"/>
      <c r="J11" s="499"/>
      <c r="K11" s="499"/>
    </row>
    <row r="12" spans="1:11" ht="15.6" x14ac:dyDescent="0.3">
      <c r="A12" s="718" t="s">
        <v>365</v>
      </c>
      <c r="B12" s="368">
        <f>GETPIVOTDATA("Sum of OneYrDistinct",DistinctPropertiesPivot!$B$4,"FisYr",A12,"Counted","All")</f>
        <v>63640</v>
      </c>
      <c r="C12" s="900"/>
      <c r="D12" s="905"/>
      <c r="E12" s="909"/>
      <c r="F12" s="913"/>
      <c r="G12" s="499"/>
      <c r="H12" s="499"/>
      <c r="I12" s="499"/>
      <c r="J12" s="499"/>
      <c r="K12" s="499"/>
    </row>
    <row r="13" spans="1:11" ht="15.6" x14ac:dyDescent="0.3">
      <c r="A13" s="718" t="s">
        <v>366</v>
      </c>
      <c r="B13" s="368">
        <f>GETPIVOTDATA("Sum of OneYrDistinct",DistinctPropertiesPivot!$B$4,"FisYr",A13,"Counted","All")</f>
        <v>69038</v>
      </c>
      <c r="C13" s="899">
        <f>GETPIVOTDATA("Sum of ThreeYrDistinct",DistinctPropertiesPivot!$B$4,"FisYr",A13,"Counted","All")</f>
        <v>176331</v>
      </c>
      <c r="D13" s="905"/>
      <c r="E13" s="909"/>
      <c r="F13" s="913"/>
      <c r="G13" s="499"/>
      <c r="H13" s="499"/>
      <c r="I13" s="499"/>
      <c r="J13" s="499"/>
      <c r="K13" s="499"/>
    </row>
    <row r="14" spans="1:11" ht="15.6" x14ac:dyDescent="0.3">
      <c r="A14" s="718" t="s">
        <v>341</v>
      </c>
      <c r="B14" s="368">
        <f>GETPIVOTDATA("Sum of OneYrDistinct",DistinctPropertiesPivot!$B$4,"FisYr",A14,"Counted","All")</f>
        <v>68202</v>
      </c>
      <c r="C14" s="899">
        <f>GETPIVOTDATA("Sum of ThreeYrDistinct",DistinctPropertiesPivot!$B$4,"FisYr",A14,"Counted","All")</f>
        <v>177208</v>
      </c>
      <c r="D14" s="905"/>
      <c r="E14" s="911">
        <f>GETPIVOTDATA("Sum of OneYrDistinctNew",DistinctPropertiesPivot!$B$4,"FisYr",A14,"Counted","All")</f>
        <v>45412</v>
      </c>
      <c r="F14" s="910">
        <f>E14/HFSVs!D16</f>
        <v>0.64140337000889813</v>
      </c>
      <c r="G14" s="499"/>
      <c r="H14" s="499"/>
      <c r="I14" s="499"/>
      <c r="J14" s="499"/>
      <c r="K14" s="499"/>
    </row>
    <row r="15" spans="1:11" ht="15.6" x14ac:dyDescent="0.3">
      <c r="A15" s="718" t="s">
        <v>342</v>
      </c>
      <c r="B15" s="368">
        <f>GETPIVOTDATA("Sum of OneYrDistinct",DistinctPropertiesPivot!$B$4,"FisYr",A15,"Counted","All")</f>
        <v>67131</v>
      </c>
      <c r="C15" s="899">
        <f>GETPIVOTDATA("Sum of ThreeYrDistinct",DistinctPropertiesPivot!$B$4,"FisYr",A15,"Counted","All")</f>
        <v>180398</v>
      </c>
      <c r="D15" s="906">
        <f>GETPIVOTDATA("Sum of FiveYrDistinct",DistinctPropertiesPivot!$B$4,"FisYr",A15,"Counted","All")</f>
        <v>264044</v>
      </c>
      <c r="E15" s="911">
        <f>GETPIVOTDATA("Sum of OneYrDistinctNew",DistinctPropertiesPivot!$B$4,"FisYr",A15,"Counted","All")</f>
        <v>45808</v>
      </c>
      <c r="F15" s="910">
        <f>E15/HFSVs!D17</f>
        <v>0.6559837321533416</v>
      </c>
      <c r="G15" s="499"/>
      <c r="H15" s="499"/>
      <c r="I15" s="499"/>
      <c r="J15" s="499"/>
      <c r="K15" s="499"/>
    </row>
    <row r="16" spans="1:11" ht="15.6" x14ac:dyDescent="0.3">
      <c r="A16" s="718" t="s">
        <v>213</v>
      </c>
      <c r="B16" s="368">
        <f>GETPIVOTDATA("Sum of OneYrDistinct",DistinctPropertiesPivot!$B$4,"FisYr",A16,"Counted","All")</f>
        <v>66180</v>
      </c>
      <c r="C16" s="899">
        <f>GETPIVOTDATA("Sum of ThreeYrDistinct",DistinctPropertiesPivot!$B$4,"FisYr",A16,"Counted","All")</f>
        <v>176578</v>
      </c>
      <c r="D16" s="906">
        <f>GETPIVOTDATA("Sum of FiveYrDistinct",DistinctPropertiesPivot!$B$4,"FisYr",A16,"Counted","All")</f>
        <v>267536</v>
      </c>
      <c r="E16" s="911">
        <f>GETPIVOTDATA("Sum of OneYrDistinctNew",DistinctPropertiesPivot!$B$4,"FisYr",A16,"Counted","All")</f>
        <v>47304</v>
      </c>
      <c r="F16" s="910">
        <f>E16/HFSVs!D18</f>
        <v>0.68356405884223004</v>
      </c>
      <c r="G16" s="499"/>
      <c r="H16" s="499"/>
      <c r="I16" s="499"/>
      <c r="J16" s="499"/>
      <c r="K16" s="499"/>
    </row>
    <row r="17" spans="1:11" ht="15.6" x14ac:dyDescent="0.3">
      <c r="A17" s="718" t="s">
        <v>312</v>
      </c>
      <c r="B17" s="368">
        <f>GETPIVOTDATA("Sum of OneYrDistinct",DistinctPropertiesPivot!$B$4,"FisYr",A17,"Counted","All")</f>
        <v>66056</v>
      </c>
      <c r="C17" s="899">
        <f>GETPIVOTDATA("Sum of ThreeYrDistinct",DistinctPropertiesPivot!$B$4,"FisYr",A17,"Counted","All")</f>
        <v>174615</v>
      </c>
      <c r="D17" s="906">
        <f>GETPIVOTDATA("Sum of FiveYrDistinct",DistinctPropertiesPivot!$B$4,"FisYr",A17,"Counted","All")</f>
        <v>272384</v>
      </c>
      <c r="E17" s="911">
        <f>GETPIVOTDATA("Sum of OneYrDistinctNew",DistinctPropertiesPivot!$B$4,"FisYr",A17,"Counted","All")</f>
        <v>47485</v>
      </c>
      <c r="F17" s="910">
        <f>E17/HFSVs!D19</f>
        <v>0.68583271949968949</v>
      </c>
      <c r="G17" s="499"/>
      <c r="H17" s="499"/>
      <c r="I17" s="499"/>
      <c r="J17" s="499"/>
      <c r="K17" s="499"/>
    </row>
    <row r="18" spans="1:11" ht="15.6" x14ac:dyDescent="0.3">
      <c r="A18" s="718" t="s">
        <v>318</v>
      </c>
      <c r="B18" s="368">
        <f>GETPIVOTDATA("Sum of OneYrDistinct",DistinctPropertiesPivot!$B$4,"FisYr",A18,"Counted","All")</f>
        <v>19380</v>
      </c>
      <c r="C18" s="899">
        <f>GETPIVOTDATA("Sum of ThreeYrDistinct",DistinctPropertiesPivot!$B$4,"FisYr",A18,"Counted","All")</f>
        <v>135928</v>
      </c>
      <c r="D18" s="906">
        <f>GETPIVOTDATA("Sum of FiveYrDistinct",DistinctPropertiesPivot!$B$4,"FisYr",A18,"Counted","All")</f>
        <v>235923</v>
      </c>
      <c r="E18" s="911">
        <f>GETPIVOTDATA("Sum of OneYrDistinctNew",DistinctPropertiesPivot!$B$4,"FisYr",A18,"Counted","All")</f>
        <v>12799</v>
      </c>
      <c r="F18" s="910">
        <f>E18/HFSVs!D20</f>
        <v>0.64001400140013998</v>
      </c>
      <c r="G18" s="499"/>
      <c r="H18" s="499"/>
      <c r="I18" s="499"/>
      <c r="J18" s="499"/>
      <c r="K18" s="499"/>
    </row>
    <row r="19" spans="1:11" ht="15.6" x14ac:dyDescent="0.3">
      <c r="A19" s="718" t="s">
        <v>320</v>
      </c>
      <c r="B19" s="368">
        <f>GETPIVOTDATA("Sum of OneYrDistinct",DistinctPropertiesPivot!$B$4,"FisYr",A19,"Counted","All")</f>
        <v>42606</v>
      </c>
      <c r="C19" s="899">
        <f>GETPIVOTDATA("Sum of ThreeYrDistinct",DistinctPropertiesPivot!$B$4,"FisYr",A19,"Counted","All")</f>
        <v>116376</v>
      </c>
      <c r="D19" s="906">
        <f>GETPIVOTDATA("Sum of FiveYrDistinct",DistinctPropertiesPivot!$B$4,"FisYr",A19,"Counted","All")</f>
        <v>217787</v>
      </c>
      <c r="E19" s="911">
        <f>GETPIVOTDATA("Sum of OneYrDistinctNew",DistinctPropertiesPivot!$B$4,"FisYr",A19,"Counted","All")</f>
        <v>32582</v>
      </c>
      <c r="F19" s="910">
        <f>E19/HFSVs!D21</f>
        <v>0.73721603765046606</v>
      </c>
      <c r="G19" s="499"/>
      <c r="H19" s="499"/>
      <c r="I19" s="499"/>
      <c r="J19" s="499"/>
      <c r="K19" s="499"/>
    </row>
    <row r="20" spans="1:11" ht="15.6" x14ac:dyDescent="0.3">
      <c r="A20" s="718" t="s">
        <v>325</v>
      </c>
      <c r="B20" s="368">
        <f>GETPIVOTDATA("Sum of OneYrDistinct",DistinctPropertiesPivot!$B$4,"FisYr",A20,"Counted","All")</f>
        <v>36957</v>
      </c>
      <c r="C20" s="899">
        <f>GETPIVOTDATA("Sum of ThreeYrDistinct",DistinctPropertiesPivot!$B$4,"FisYr",A20,"Counted","All")</f>
        <v>87999</v>
      </c>
      <c r="D20" s="906">
        <f>GETPIVOTDATA("Sum of FiveYrDistinct",DistinctPropertiesPivot!$B$4,"FisYr",A20,"Counted","All")</f>
        <v>193539</v>
      </c>
      <c r="E20" s="911">
        <f>GETPIVOTDATA("Sum of OneYrDistinctNew",DistinctPropertiesPivot!$B$4,"FisYr",A20,"Counted","All")</f>
        <v>26709</v>
      </c>
      <c r="F20" s="910">
        <f>E20/HFSVs!D22</f>
        <v>0.6901728726840487</v>
      </c>
      <c r="G20" s="499"/>
      <c r="H20" s="499"/>
      <c r="I20" s="499"/>
      <c r="J20" s="499"/>
      <c r="K20" s="499"/>
    </row>
    <row r="21" spans="1:11" ht="15.6" x14ac:dyDescent="0.3">
      <c r="A21" s="718" t="s">
        <v>326</v>
      </c>
      <c r="B21" s="368">
        <f>GETPIVOTDATA("Sum of OneYrDistinct",DistinctPropertiesPivot!$B$4,"FisYr",A21,"Counted","All")</f>
        <v>35004</v>
      </c>
      <c r="C21" s="899">
        <f>GETPIVOTDATA("Sum of ThreeYrDistinct",DistinctPropertiesPivot!$B$4,"FisYr",A21,"Counted","All")</f>
        <v>100837</v>
      </c>
      <c r="D21" s="906">
        <f>GETPIVOTDATA("Sum of FiveYrDistinct",DistinctPropertiesPivot!$B$4,"FisYr",A21,"Counted","All")</f>
        <v>168448</v>
      </c>
      <c r="E21" s="911">
        <f>GETPIVOTDATA("Sum of OneYrDistinctNew",DistinctPropertiesPivot!$B$4,"FisYr",A21,"Counted","All")</f>
        <v>27140</v>
      </c>
      <c r="F21" s="910">
        <f>E21/HFSVs!D23</f>
        <v>0.73866419900930813</v>
      </c>
      <c r="G21" s="499"/>
      <c r="H21" s="499"/>
      <c r="I21" s="499"/>
      <c r="J21" s="499"/>
      <c r="K21" s="499"/>
    </row>
    <row r="22" spans="1:11" ht="15.6" x14ac:dyDescent="0.3">
      <c r="A22" s="718" t="s">
        <v>328</v>
      </c>
      <c r="B22" s="368">
        <f>GETPIVOTDATA("Sum of OneYrDistinct",DistinctPropertiesPivot!$B$4,"FisYr",A22,"Counted","All")</f>
        <v>31965</v>
      </c>
      <c r="C22" s="899">
        <f>GETPIVOTDATA("Sum of ThreeYrDistinct",DistinctPropertiesPivot!$B$4,"FisYr",A22,"Counted","All")</f>
        <v>91896</v>
      </c>
      <c r="D22" s="906">
        <f>GETPIVOTDATA("Sum of FiveYrDistinct",DistinctPropertiesPivot!$B$4,"FisYr",A22,"Counted","All")</f>
        <v>138125</v>
      </c>
      <c r="E22" s="911">
        <f>GETPIVOTDATA("Sum of OneYrDistinctNew",DistinctPropertiesPivot!$B$4,"FisYr",A22,"Counted","All")</f>
        <v>24639</v>
      </c>
      <c r="F22" s="910">
        <f>E22/HFSVs!D24</f>
        <v>0.7242717305035421</v>
      </c>
      <c r="G22" s="499"/>
      <c r="H22" s="499"/>
      <c r="I22" s="499"/>
      <c r="J22" s="499"/>
      <c r="K22" s="499"/>
    </row>
    <row r="23" spans="1:11" ht="16.2" thickBot="1" x14ac:dyDescent="0.35">
      <c r="A23" s="782" t="s">
        <v>412</v>
      </c>
      <c r="B23" s="1019">
        <f>GETPIVOTDATA("Sum of OneYrDistinct",DistinctPropertiesPivot!$B$4,"FisYr",A23,"Counted","All")</f>
        <v>11236</v>
      </c>
      <c r="C23" s="901">
        <f>GETPIVOTDATA("Sum of ThreeYrDistinct",DistinctPropertiesPivot!$B$4,"FisYr",A23,"Counted","All")</f>
        <v>64226</v>
      </c>
      <c r="D23" s="907">
        <f>GETPIVOTDATA("Sum of FiveYrDistinct",DistinctPropertiesPivot!$B$4,"FisYr",A23,"Counted","All")</f>
        <v>124606</v>
      </c>
      <c r="E23" s="1008">
        <f>GETPIVOTDATA("Sum of OneYrDistinctNew",DistinctPropertiesPivot!$B$4,"FisYr",A23,"Counted","All")</f>
        <v>16206</v>
      </c>
      <c r="F23" s="914">
        <f>E23/HFSVs!D25</f>
        <v>0.79351711305880623</v>
      </c>
      <c r="G23" s="499"/>
      <c r="H23" s="499"/>
      <c r="I23" s="499"/>
      <c r="J23" s="499"/>
      <c r="K23" s="499"/>
    </row>
    <row r="24" spans="1:11" ht="15.6" x14ac:dyDescent="0.3">
      <c r="C24" s="499"/>
      <c r="D24" s="499"/>
      <c r="E24" s="499"/>
      <c r="F24" s="499"/>
      <c r="G24" s="499"/>
      <c r="H24" s="499"/>
      <c r="I24" s="499"/>
      <c r="J24" s="499"/>
      <c r="K24" s="499"/>
    </row>
    <row r="25" spans="1:11" x14ac:dyDescent="0.3">
      <c r="A25" s="312" t="s">
        <v>329</v>
      </c>
    </row>
    <row r="26" spans="1:11" ht="30.6" customHeight="1" x14ac:dyDescent="0.3">
      <c r="A26" s="1029" t="s">
        <v>964</v>
      </c>
      <c r="B26" s="1029"/>
      <c r="C26" s="1029"/>
      <c r="D26" s="1029"/>
      <c r="E26" s="1029"/>
      <c r="F26" s="1029"/>
    </row>
    <row r="27" spans="1:11" ht="17.399999999999999" customHeight="1" x14ac:dyDescent="0.3">
      <c r="A27" t="s">
        <v>965</v>
      </c>
    </row>
    <row r="28" spans="1:11" ht="15.6" x14ac:dyDescent="0.3">
      <c r="G28" s="499"/>
      <c r="H28" s="499"/>
      <c r="I28" s="499"/>
      <c r="J28" s="499"/>
      <c r="K28" s="499"/>
    </row>
    <row r="29" spans="1:11" ht="15.6" x14ac:dyDescent="0.3">
      <c r="A29" s="1074" t="s">
        <v>966</v>
      </c>
      <c r="B29" s="1074"/>
      <c r="C29" s="1074"/>
      <c r="D29" s="1074"/>
      <c r="E29" s="1074"/>
      <c r="F29" s="499"/>
      <c r="G29" s="499"/>
      <c r="H29" s="499"/>
      <c r="I29" s="499"/>
      <c r="J29" s="499"/>
      <c r="K29" s="499"/>
    </row>
    <row r="30" spans="1:11" ht="15.6" x14ac:dyDescent="0.3">
      <c r="A30" t="s">
        <v>203</v>
      </c>
      <c r="B30" t="s">
        <v>143</v>
      </c>
      <c r="C30" s="499"/>
      <c r="D30" s="499"/>
      <c r="E30" s="499"/>
      <c r="F30" s="499"/>
      <c r="G30" s="499"/>
      <c r="H30" s="499"/>
      <c r="I30" s="499"/>
      <c r="J30" s="499"/>
      <c r="K30" s="499"/>
    </row>
    <row r="31" spans="1:11" ht="15.6" x14ac:dyDescent="0.3">
      <c r="A31" t="s">
        <v>204</v>
      </c>
      <c r="B31" t="s">
        <v>205</v>
      </c>
      <c r="C31" s="499"/>
      <c r="D31" s="499"/>
      <c r="E31" s="499"/>
      <c r="F31" s="499"/>
    </row>
    <row r="32" spans="1:11" ht="16.5" customHeight="1" x14ac:dyDescent="0.3">
      <c r="A32" t="s">
        <v>206</v>
      </c>
      <c r="B32" t="s">
        <v>917</v>
      </c>
      <c r="C32" s="499"/>
      <c r="D32" s="499"/>
      <c r="E32" s="499"/>
      <c r="F32" s="499"/>
    </row>
    <row r="33" spans="1:6" ht="17.399999999999999" customHeight="1" x14ac:dyDescent="0.3"/>
    <row r="34" spans="1:6" x14ac:dyDescent="0.3">
      <c r="A34" s="312"/>
      <c r="B34" s="312" t="s">
        <v>967</v>
      </c>
      <c r="C34" s="312"/>
      <c r="D34" s="312"/>
    </row>
    <row r="35" spans="1:6" x14ac:dyDescent="0.3">
      <c r="A35" s="600" t="s">
        <v>208</v>
      </c>
      <c r="B35" s="691" t="s">
        <v>959</v>
      </c>
      <c r="C35" s="691" t="s">
        <v>960</v>
      </c>
      <c r="D35" s="692" t="s">
        <v>961</v>
      </c>
    </row>
    <row r="36" spans="1:6" x14ac:dyDescent="0.3">
      <c r="A36" s="718" t="s">
        <v>364</v>
      </c>
      <c r="B36" s="601">
        <f>GETPIVOTDATA("Sum of OneYrDistinct",DistinctPropertiesPivot!$B$4,"FisYr",A36,"Counted","withAlarmsInstalled")</f>
        <v>29094</v>
      </c>
      <c r="C36" s="700"/>
      <c r="D36" s="809"/>
    </row>
    <row r="37" spans="1:6" x14ac:dyDescent="0.3">
      <c r="A37" s="718" t="s">
        <v>365</v>
      </c>
      <c r="B37" s="601">
        <f>GETPIVOTDATA("Sum of OneYrDistinct",DistinctPropertiesPivot!$B$4,"FisYr",A37,"Counted","withAlarmsInstalled")</f>
        <v>26541</v>
      </c>
      <c r="C37" s="700"/>
      <c r="D37" s="809"/>
    </row>
    <row r="38" spans="1:6" x14ac:dyDescent="0.3">
      <c r="A38" s="718" t="s">
        <v>366</v>
      </c>
      <c r="B38" s="601">
        <f>GETPIVOTDATA("Sum of OneYrDistinct",DistinctPropertiesPivot!$B$4,"FisYr",A38,"Counted","withAlarmsInstalled")</f>
        <v>27846</v>
      </c>
      <c r="C38" s="601">
        <f>GETPIVOTDATA("Sum of ThreeYrDistinct",DistinctPropertiesPivot!$B$4,"FisYr","2015-16","Counted","withAlarmsInstalled")</f>
        <v>79298</v>
      </c>
      <c r="D38" s="809"/>
    </row>
    <row r="39" spans="1:6" x14ac:dyDescent="0.3">
      <c r="A39" s="718" t="s">
        <v>341</v>
      </c>
      <c r="B39" s="601">
        <f>GETPIVOTDATA("Sum of OneYrDistinct",DistinctPropertiesPivot!$B$4,"FisYr",A39,"Counted","withAlarmsInstalled")</f>
        <v>28400</v>
      </c>
      <c r="C39" s="601">
        <f>GETPIVOTDATA("Sum of ThreeYrDistinct",DistinctPropertiesPivot!$B$4,"FisYr","2016-17","Counted","withAlarmsInstalled")</f>
        <v>78665</v>
      </c>
      <c r="D39" s="809"/>
    </row>
    <row r="40" spans="1:6" x14ac:dyDescent="0.3">
      <c r="A40" s="718" t="s">
        <v>342</v>
      </c>
      <c r="B40" s="601">
        <f>GETPIVOTDATA("Sum of OneYrDistinct",DistinctPropertiesPivot!$B$4,"FisYr",A40,"Counted","withAlarmsInstalled")</f>
        <v>27184</v>
      </c>
      <c r="C40" s="601">
        <f>GETPIVOTDATA("Sum of ThreeYrDistinct",DistinctPropertiesPivot!$B$4,"FisYr","2017-18","Counted","withAlarmsInstalled")</f>
        <v>79049</v>
      </c>
      <c r="D40" s="607">
        <f>GETPIVOTDATA("Sum of FiveYrDistinct",DistinctPropertiesPivot!$B$4,"FisYr","2017-18","Counted","withAlarmsInstalled")</f>
        <v>121558</v>
      </c>
    </row>
    <row r="41" spans="1:6" x14ac:dyDescent="0.3">
      <c r="A41" s="718" t="s">
        <v>213</v>
      </c>
      <c r="B41" s="601">
        <f>GETPIVOTDATA("Sum of OneYrDistinct",DistinctPropertiesPivot!$B$4,"FisYr",A41,"Counted","withAlarmsInstalled")</f>
        <v>23995</v>
      </c>
      <c r="C41" s="601">
        <f>GETPIVOTDATA("Sum of ThreeYrDistinct",DistinctPropertiesPivot!$B$4,"FisYr","2018-19","Counted","withAlarmsInstalled")</f>
        <v>75250</v>
      </c>
      <c r="D41" s="607">
        <f>GETPIVOTDATA("Sum of FiveYrDistinct",DistinctPropertiesPivot!$B$4,"FisYr","2018-19","Counted","withAlarmsInstalled")</f>
        <v>119658</v>
      </c>
    </row>
    <row r="42" spans="1:6" x14ac:dyDescent="0.3">
      <c r="A42" s="718" t="s">
        <v>312</v>
      </c>
      <c r="B42" s="601">
        <f>GETPIVOTDATA("Sum of OneYrDistinct",DistinctPropertiesPivot!$B$4,"FisYr",A42,"Counted","withAlarmsInstalled")</f>
        <v>21868</v>
      </c>
      <c r="C42" s="601">
        <f>GETPIVOTDATA("Sum of ThreeYrDistinct",DistinctPropertiesPivot!$B$4,"FisYr","2019-20","Counted","withAlarmsInstalled")</f>
        <v>69792</v>
      </c>
      <c r="D42" s="607">
        <f>GETPIVOTDATA("Sum of FiveYrDistinct",DistinctPropertiesPivot!$B$4,"FisYr","2019-20","Counted","withAlarmsInstalled")</f>
        <v>117387</v>
      </c>
    </row>
    <row r="43" spans="1:6" x14ac:dyDescent="0.3">
      <c r="A43" s="718" t="s">
        <v>318</v>
      </c>
      <c r="B43" s="601">
        <f>GETPIVOTDATA("Sum of OneYrDistinct",DistinctPropertiesPivot!$B$4,"FisYr",A43,"Counted","withAlarmsInstalled")</f>
        <v>7589</v>
      </c>
      <c r="C43" s="601">
        <f>GETPIVOTDATA("Sum of ThreeYrDistinct",DistinctPropertiesPivot!$B$4,"FisYr","2020-21","Counted","withAlarmsInstalled")</f>
        <v>51886</v>
      </c>
      <c r="D43" s="607">
        <f>GETPIVOTDATA("Sum of FiveYrDistinct",DistinctPropertiesPivot!$B$4,"FisYr","2020-21","Counted","withAlarmsInstalled")</f>
        <v>100274</v>
      </c>
    </row>
    <row r="44" spans="1:6" x14ac:dyDescent="0.3">
      <c r="A44" s="718" t="s">
        <v>320</v>
      </c>
      <c r="B44" s="700"/>
      <c r="C44" s="700"/>
      <c r="D44" s="809"/>
    </row>
    <row r="45" spans="1:6" x14ac:dyDescent="0.3">
      <c r="A45" s="718" t="s">
        <v>325</v>
      </c>
      <c r="B45" s="700"/>
      <c r="C45" s="700"/>
      <c r="D45" s="809"/>
    </row>
    <row r="46" spans="1:6" x14ac:dyDescent="0.3">
      <c r="A46" s="718" t="s">
        <v>326</v>
      </c>
      <c r="B46" s="601">
        <f>GETPIVOTDATA("Sum of OneYrDistinct",DistinctPropertiesPivot!$B$4,"FisYr","2023-24","Counted","withAlarmsInstalled")</f>
        <v>5807</v>
      </c>
      <c r="C46" s="700"/>
      <c r="D46" s="809"/>
      <c r="E46" s="414"/>
      <c r="F46" s="414"/>
    </row>
    <row r="47" spans="1:6" x14ac:dyDescent="0.3">
      <c r="A47" s="718" t="s">
        <v>328</v>
      </c>
      <c r="B47" s="601">
        <f>GETPIVOTDATA("Sum of OneYrDistinct",DistinctPropertiesPivot!$B$4,"FisYr","2024-25","Counted","withAlarmsInstalled")</f>
        <v>1741</v>
      </c>
      <c r="C47" s="700"/>
      <c r="D47" s="1009"/>
      <c r="E47" s="414"/>
      <c r="F47" s="414"/>
    </row>
    <row r="48" spans="1:6" ht="15" thickBot="1" x14ac:dyDescent="0.35">
      <c r="A48" s="782" t="s">
        <v>412</v>
      </c>
      <c r="B48" s="1020">
        <f>GETPIVOTDATA("Sum of OneYrDistinct",DistinctPropertiesPivot!$B$4,"FisYr","2025-26","Counted","withAlarmsInstalled")</f>
        <v>2989</v>
      </c>
      <c r="C48" s="918">
        <f>GETPIVOTDATA("Sum of ThreeYrDistinct",DistinctPropertiesPivot!$B$4,"FisYr","2025-26","Counted","withAlarmsInstalled")</f>
        <v>6753</v>
      </c>
      <c r="D48" s="975"/>
      <c r="E48" s="414"/>
      <c r="F48" s="414"/>
    </row>
    <row r="49" spans="1:8" x14ac:dyDescent="0.3">
      <c r="E49" s="414"/>
      <c r="F49" s="414"/>
    </row>
    <row r="50" spans="1:8" ht="14.4" customHeight="1" x14ac:dyDescent="0.3">
      <c r="A50" s="312" t="s">
        <v>329</v>
      </c>
      <c r="E50" s="414"/>
      <c r="F50" s="414"/>
    </row>
    <row r="51" spans="1:8" ht="39.6" customHeight="1" x14ac:dyDescent="0.3">
      <c r="A51" s="1029" t="s">
        <v>968</v>
      </c>
      <c r="B51" s="1029"/>
      <c r="C51" s="1029"/>
      <c r="D51" s="1029"/>
      <c r="E51" s="1029"/>
      <c r="F51" s="1029"/>
      <c r="G51" s="1029"/>
      <c r="H51" s="1029"/>
    </row>
    <row r="52" spans="1:8" ht="15" customHeight="1" x14ac:dyDescent="0.3">
      <c r="A52" t="s">
        <v>969</v>
      </c>
    </row>
  </sheetData>
  <sheetProtection algorithmName="SHA-512" hashValue="Kc91tjsh/k0OZD60RlTNTO7tOUvuiWhJmDbQTD4AXQjT/YohRvdfn3gnKd+a8AEtJjzbgdKilvJmxG8MZTWZCg==" saltValue="eZBZC2s9LIkrDLIDKFceeA==" spinCount="100000" sheet="1" formatCells="0" sort="0" autoFilter="0" pivotTables="0"/>
  <mergeCells count="5">
    <mergeCell ref="A51:H51"/>
    <mergeCell ref="A4:K4"/>
    <mergeCell ref="A26:F26"/>
    <mergeCell ref="A29:E29"/>
    <mergeCell ref="B9:D9"/>
  </mergeCells>
  <phoneticPr fontId="53" type="noConversion"/>
  <hyperlinks>
    <hyperlink ref="A2" location="'Table of Contents'!A1" display="Back to Table of Contents" xr:uid="{00000000-0004-0000-8100-000000000000}"/>
  </hyperlinks>
  <pageMargins left="0.7" right="0.7" top="0.75" bottom="0.75" header="0.3" footer="0.3"/>
  <pageSetup paperSize="9" orientation="portrait" r:id="rId1"/>
</worksheet>
</file>

<file path=xl/worksheets/sheet1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7A92B8-1EBF-4874-BA9F-AD29C1610575}">
  <sheetPr>
    <tabColor theme="7" tint="-0.249977111117893"/>
  </sheetPr>
  <dimension ref="B4:E18"/>
  <sheetViews>
    <sheetView workbookViewId="0">
      <selection activeCell="E15" sqref="E15"/>
    </sheetView>
  </sheetViews>
  <sheetFormatPr defaultRowHeight="14.4" x14ac:dyDescent="0.3"/>
  <cols>
    <col min="2" max="2" width="12.77734375" bestFit="1" customWidth="1"/>
    <col min="3" max="3" width="17.6640625" bestFit="1" customWidth="1"/>
    <col min="4" max="4" width="22.44140625" bestFit="1" customWidth="1"/>
    <col min="5" max="5" width="21.109375" bestFit="1" customWidth="1"/>
  </cols>
  <sheetData>
    <row r="4" spans="2:5" x14ac:dyDescent="0.3">
      <c r="B4" s="386" t="s">
        <v>350</v>
      </c>
      <c r="C4" t="s">
        <v>970</v>
      </c>
      <c r="D4" t="s">
        <v>971</v>
      </c>
      <c r="E4" t="s">
        <v>972</v>
      </c>
    </row>
    <row r="5" spans="2:5" x14ac:dyDescent="0.3">
      <c r="B5" s="387" t="s">
        <v>364</v>
      </c>
      <c r="C5">
        <v>2.7800000000000002E-2</v>
      </c>
    </row>
    <row r="6" spans="2:5" x14ac:dyDescent="0.3">
      <c r="B6" s="387" t="s">
        <v>365</v>
      </c>
      <c r="C6">
        <v>2.63E-2</v>
      </c>
    </row>
    <row r="7" spans="2:5" x14ac:dyDescent="0.3">
      <c r="B7" s="387" t="s">
        <v>366</v>
      </c>
      <c r="C7">
        <v>2.8399999999999998E-2</v>
      </c>
      <c r="D7">
        <v>7.2999999999999995E-2</v>
      </c>
    </row>
    <row r="8" spans="2:5" x14ac:dyDescent="0.3">
      <c r="B8" s="387" t="s">
        <v>341</v>
      </c>
      <c r="C8">
        <v>2.7900000000000001E-2</v>
      </c>
      <c r="D8">
        <v>7.2900000000000006E-2</v>
      </c>
    </row>
    <row r="9" spans="2:5" x14ac:dyDescent="0.3">
      <c r="B9" s="387" t="s">
        <v>342</v>
      </c>
      <c r="C9">
        <v>2.7300000000000001E-2</v>
      </c>
      <c r="D9">
        <v>7.3700000000000002E-2</v>
      </c>
      <c r="E9">
        <v>0.1079</v>
      </c>
    </row>
    <row r="10" spans="2:5" x14ac:dyDescent="0.3">
      <c r="B10" s="387" t="s">
        <v>213</v>
      </c>
      <c r="C10">
        <v>2.6699999999999998E-2</v>
      </c>
      <c r="D10">
        <v>7.17E-2</v>
      </c>
      <c r="E10">
        <v>0.10869999999999999</v>
      </c>
    </row>
    <row r="11" spans="2:5" x14ac:dyDescent="0.3">
      <c r="B11" s="387" t="s">
        <v>312</v>
      </c>
      <c r="C11">
        <v>2.6499999999999999E-2</v>
      </c>
      <c r="D11">
        <v>7.0499999999999993E-2</v>
      </c>
      <c r="E11">
        <v>0.1099</v>
      </c>
    </row>
    <row r="12" spans="2:5" x14ac:dyDescent="0.3">
      <c r="B12" s="387" t="s">
        <v>318</v>
      </c>
      <c r="C12">
        <v>7.7000000000000002E-3</v>
      </c>
      <c r="D12">
        <v>5.45E-2</v>
      </c>
      <c r="E12">
        <v>9.4600000000000004E-2</v>
      </c>
    </row>
    <row r="13" spans="2:5" x14ac:dyDescent="0.3">
      <c r="B13" s="387" t="s">
        <v>320</v>
      </c>
      <c r="C13">
        <v>1.6800000000000002E-2</v>
      </c>
      <c r="D13">
        <v>4.6399999999999997E-2</v>
      </c>
      <c r="E13">
        <v>8.6699999999999999E-2</v>
      </c>
    </row>
    <row r="14" spans="2:5" x14ac:dyDescent="0.3">
      <c r="B14" s="387" t="s">
        <v>325</v>
      </c>
      <c r="C14">
        <v>1.4499999999999999E-2</v>
      </c>
      <c r="D14">
        <v>3.4799999999999998E-2</v>
      </c>
      <c r="E14">
        <v>7.6499999999999999E-2</v>
      </c>
    </row>
    <row r="15" spans="2:5" x14ac:dyDescent="0.3">
      <c r="B15" s="387" t="s">
        <v>326</v>
      </c>
      <c r="C15">
        <v>1.38E-2</v>
      </c>
      <c r="D15">
        <v>3.9699999999999999E-2</v>
      </c>
      <c r="E15">
        <v>6.6400000000000001E-2</v>
      </c>
    </row>
    <row r="16" spans="2:5" x14ac:dyDescent="0.3">
      <c r="B16" s="387" t="s">
        <v>328</v>
      </c>
      <c r="C16">
        <v>1.2500000000000001E-2</v>
      </c>
      <c r="D16">
        <v>3.61E-2</v>
      </c>
      <c r="E16">
        <v>5.4299999999999994E-2</v>
      </c>
    </row>
    <row r="17" spans="2:5" x14ac:dyDescent="0.3">
      <c r="B17" s="387" t="s">
        <v>412</v>
      </c>
      <c r="C17">
        <v>4.4000000000000003E-3</v>
      </c>
      <c r="D17">
        <v>2.52E-2</v>
      </c>
      <c r="E17">
        <v>4.8799999999999996E-2</v>
      </c>
    </row>
    <row r="18" spans="2:5" x14ac:dyDescent="0.3">
      <c r="B18" s="387" t="s">
        <v>357</v>
      </c>
      <c r="C18">
        <v>0.2606</v>
      </c>
      <c r="D18">
        <v>0.59850000000000003</v>
      </c>
      <c r="E18">
        <v>0.75380000000000003</v>
      </c>
    </row>
  </sheetData>
  <pageMargins left="0.7" right="0.7" top="0.75" bottom="0.75" header="0.3" footer="0.3"/>
</worksheet>
</file>

<file path=xl/worksheets/sheet1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116555-7E6F-4D0D-9BD4-AF9A194DDA55}">
  <sheetPr>
    <tabColor theme="7" tint="-0.249977111117893"/>
  </sheetPr>
  <dimension ref="B4:E17"/>
  <sheetViews>
    <sheetView workbookViewId="0">
      <selection activeCell="D12" sqref="D12"/>
    </sheetView>
  </sheetViews>
  <sheetFormatPr defaultRowHeight="14.4" x14ac:dyDescent="0.3"/>
  <cols>
    <col min="2" max="2" width="7.6640625" bestFit="1" customWidth="1"/>
    <col min="3" max="3" width="13.21875" bestFit="1" customWidth="1"/>
    <col min="4" max="4" width="18" bestFit="1" customWidth="1"/>
    <col min="5" max="5" width="16.6640625" bestFit="1" customWidth="1"/>
  </cols>
  <sheetData>
    <row r="4" spans="2:5" x14ac:dyDescent="0.3">
      <c r="B4" t="s">
        <v>208</v>
      </c>
      <c r="C4" t="s">
        <v>959</v>
      </c>
      <c r="D4" t="s">
        <v>960</v>
      </c>
      <c r="E4" t="s">
        <v>961</v>
      </c>
    </row>
    <row r="5" spans="2:5" x14ac:dyDescent="0.3">
      <c r="B5" t="s">
        <v>364</v>
      </c>
      <c r="C5">
        <v>2.7800000000000002E-2</v>
      </c>
    </row>
    <row r="6" spans="2:5" x14ac:dyDescent="0.3">
      <c r="B6" t="s">
        <v>365</v>
      </c>
      <c r="C6">
        <v>2.63E-2</v>
      </c>
    </row>
    <row r="7" spans="2:5" x14ac:dyDescent="0.3">
      <c r="B7" t="s">
        <v>366</v>
      </c>
      <c r="C7">
        <v>2.8399999999999998E-2</v>
      </c>
      <c r="D7">
        <v>7.2999999999999995E-2</v>
      </c>
    </row>
    <row r="8" spans="2:5" x14ac:dyDescent="0.3">
      <c r="B8" t="s">
        <v>341</v>
      </c>
      <c r="C8">
        <v>2.7900000000000001E-2</v>
      </c>
      <c r="D8">
        <v>7.2900000000000006E-2</v>
      </c>
    </row>
    <row r="9" spans="2:5" x14ac:dyDescent="0.3">
      <c r="B9" t="s">
        <v>342</v>
      </c>
      <c r="C9">
        <v>2.7300000000000001E-2</v>
      </c>
      <c r="D9">
        <v>7.3700000000000002E-2</v>
      </c>
      <c r="E9">
        <v>0.1079</v>
      </c>
    </row>
    <row r="10" spans="2:5" x14ac:dyDescent="0.3">
      <c r="B10" t="s">
        <v>213</v>
      </c>
      <c r="C10">
        <v>2.6699999999999998E-2</v>
      </c>
      <c r="D10">
        <v>7.17E-2</v>
      </c>
      <c r="E10">
        <v>0.10869999999999999</v>
      </c>
    </row>
    <row r="11" spans="2:5" x14ac:dyDescent="0.3">
      <c r="B11" t="s">
        <v>312</v>
      </c>
      <c r="C11">
        <v>2.6499999999999999E-2</v>
      </c>
      <c r="D11">
        <v>7.0499999999999993E-2</v>
      </c>
      <c r="E11">
        <v>0.1099</v>
      </c>
    </row>
    <row r="12" spans="2:5" x14ac:dyDescent="0.3">
      <c r="B12" t="s">
        <v>318</v>
      </c>
      <c r="C12">
        <v>7.7000000000000002E-3</v>
      </c>
      <c r="D12">
        <v>5.45E-2</v>
      </c>
      <c r="E12">
        <v>9.4600000000000004E-2</v>
      </c>
    </row>
    <row r="13" spans="2:5" x14ac:dyDescent="0.3">
      <c r="B13" t="s">
        <v>320</v>
      </c>
      <c r="C13">
        <v>1.6800000000000002E-2</v>
      </c>
      <c r="D13">
        <v>4.6399999999999997E-2</v>
      </c>
      <c r="E13">
        <v>8.6699999999999999E-2</v>
      </c>
    </row>
    <row r="14" spans="2:5" x14ac:dyDescent="0.3">
      <c r="B14" t="s">
        <v>325</v>
      </c>
      <c r="C14">
        <v>1.4499999999999999E-2</v>
      </c>
      <c r="D14">
        <v>3.4799999999999998E-2</v>
      </c>
      <c r="E14">
        <v>7.6499999999999999E-2</v>
      </c>
    </row>
    <row r="15" spans="2:5" x14ac:dyDescent="0.3">
      <c r="B15" t="s">
        <v>326</v>
      </c>
      <c r="C15">
        <v>1.38E-2</v>
      </c>
      <c r="D15">
        <v>3.9699999999999999E-2</v>
      </c>
      <c r="E15">
        <v>6.6400000000000001E-2</v>
      </c>
    </row>
    <row r="16" spans="2:5" x14ac:dyDescent="0.3">
      <c r="B16" t="s">
        <v>328</v>
      </c>
      <c r="C16">
        <v>1.2500000000000001E-2</v>
      </c>
      <c r="D16">
        <v>3.61E-2</v>
      </c>
      <c r="E16">
        <v>5.4299999999999994E-2</v>
      </c>
    </row>
    <row r="17" spans="2:5" x14ac:dyDescent="0.3">
      <c r="B17" t="s">
        <v>412</v>
      </c>
      <c r="C17">
        <v>4.4000000000000003E-3</v>
      </c>
      <c r="D17">
        <v>2.52E-2</v>
      </c>
      <c r="E17">
        <v>4.8799999999999996E-2</v>
      </c>
    </row>
  </sheetData>
  <phoneticPr fontId="53" type="noConversion"/>
  <pageMargins left="0.7" right="0.7" top="0.75" bottom="0.75" header="0.3" footer="0.3"/>
  <tableParts count="1">
    <tablePart r:id="rId1"/>
  </tableParts>
</worksheet>
</file>

<file path=xl/worksheets/sheet1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tabColor theme="7" tint="-0.249977111117893"/>
  </sheetPr>
  <dimension ref="A1:K52"/>
  <sheetViews>
    <sheetView showGridLines="0" workbookViewId="0">
      <pane ySplit="2" topLeftCell="A31" activePane="bottomLeft" state="frozen"/>
      <selection pane="bottomLeft"/>
    </sheetView>
  </sheetViews>
  <sheetFormatPr defaultRowHeight="14.4" x14ac:dyDescent="0.3"/>
  <cols>
    <col min="1" max="1" width="21.5546875" customWidth="1"/>
    <col min="2" max="2" width="15.88671875" customWidth="1"/>
    <col min="3" max="3" width="20.109375" customWidth="1"/>
    <col min="4" max="4" width="19.88671875" customWidth="1"/>
    <col min="5" max="5" width="11.44140625" customWidth="1"/>
  </cols>
  <sheetData>
    <row r="1" spans="1:11" ht="15.6" x14ac:dyDescent="0.3">
      <c r="A1" s="513" t="s">
        <v>915</v>
      </c>
      <c r="B1" s="513"/>
      <c r="C1" s="513"/>
    </row>
    <row r="2" spans="1:11" ht="15.6" x14ac:dyDescent="0.3">
      <c r="A2" s="498" t="s">
        <v>202</v>
      </c>
      <c r="B2" s="440"/>
      <c r="C2" s="440"/>
    </row>
    <row r="3" spans="1:11" x14ac:dyDescent="0.3">
      <c r="A3" s="25"/>
      <c r="B3" s="25"/>
      <c r="C3" s="25"/>
      <c r="D3" s="25"/>
      <c r="E3" s="25"/>
      <c r="F3" s="25"/>
      <c r="G3" s="25"/>
      <c r="H3" s="25"/>
      <c r="I3" s="25"/>
      <c r="J3" s="25"/>
      <c r="K3" s="25"/>
    </row>
    <row r="4" spans="1:11" ht="15.75" customHeight="1" x14ac:dyDescent="0.3">
      <c r="A4" s="522" t="s">
        <v>973</v>
      </c>
      <c r="B4" s="522"/>
      <c r="C4" s="522"/>
      <c r="D4" s="522"/>
      <c r="E4" s="522"/>
      <c r="F4" s="522"/>
      <c r="G4" s="522"/>
      <c r="H4" s="522"/>
      <c r="I4" s="522"/>
      <c r="J4" s="522"/>
      <c r="K4" s="522"/>
    </row>
    <row r="5" spans="1:11" ht="15.6" x14ac:dyDescent="0.3">
      <c r="A5" t="s">
        <v>203</v>
      </c>
      <c r="B5" t="s">
        <v>144</v>
      </c>
      <c r="C5" s="499"/>
      <c r="D5" s="499"/>
      <c r="E5" s="499"/>
      <c r="F5" s="499"/>
      <c r="G5" s="499"/>
      <c r="H5" s="499"/>
      <c r="I5" s="499"/>
      <c r="J5" s="499"/>
      <c r="K5" s="499"/>
    </row>
    <row r="6" spans="1:11" ht="15.6" x14ac:dyDescent="0.3">
      <c r="A6" t="s">
        <v>204</v>
      </c>
      <c r="B6" t="s">
        <v>205</v>
      </c>
      <c r="C6" s="499"/>
      <c r="D6" s="499"/>
      <c r="E6" s="499"/>
      <c r="F6" s="499"/>
      <c r="G6" s="499"/>
      <c r="H6" s="499"/>
      <c r="I6" s="499"/>
      <c r="J6" s="499"/>
      <c r="K6" s="499"/>
    </row>
    <row r="7" spans="1:11" ht="15.6" x14ac:dyDescent="0.3">
      <c r="A7" t="s">
        <v>206</v>
      </c>
      <c r="B7" t="s">
        <v>917</v>
      </c>
      <c r="C7" s="499"/>
      <c r="D7" s="499"/>
      <c r="E7" s="499"/>
      <c r="F7" s="499"/>
      <c r="G7" s="499"/>
      <c r="H7" s="499"/>
      <c r="I7" s="499"/>
      <c r="J7" s="499"/>
      <c r="K7" s="499"/>
    </row>
    <row r="9" spans="1:11" s="459" customFormat="1" x14ac:dyDescent="0.3">
      <c r="A9" s="312"/>
      <c r="B9" s="312"/>
      <c r="C9" s="312" t="s">
        <v>974</v>
      </c>
      <c r="D9" s="312"/>
    </row>
    <row r="10" spans="1:11" x14ac:dyDescent="0.3">
      <c r="A10" s="600" t="s">
        <v>208</v>
      </c>
      <c r="B10" s="692" t="s">
        <v>959</v>
      </c>
      <c r="C10" s="691" t="s">
        <v>960</v>
      </c>
      <c r="D10" s="692" t="s">
        <v>961</v>
      </c>
    </row>
    <row r="11" spans="1:11" x14ac:dyDescent="0.3">
      <c r="A11" s="718" t="s">
        <v>364</v>
      </c>
      <c r="B11" s="693">
        <f>GETPIVOTDATA("Sum of In One Year",DistinctPropertPopPivot!$B$4,"Year",A11)</f>
        <v>2.7800000000000002E-2</v>
      </c>
      <c r="C11" s="694"/>
      <c r="D11" s="695"/>
    </row>
    <row r="12" spans="1:11" x14ac:dyDescent="0.3">
      <c r="A12" s="718" t="s">
        <v>365</v>
      </c>
      <c r="B12" s="693">
        <f>GETPIVOTDATA("Sum of In One Year",DistinctPropertPopPivot!$B$4,"Year",A12)</f>
        <v>2.63E-2</v>
      </c>
      <c r="C12" s="694"/>
      <c r="D12" s="696"/>
    </row>
    <row r="13" spans="1:11" x14ac:dyDescent="0.3">
      <c r="A13" s="718" t="s">
        <v>366</v>
      </c>
      <c r="B13" s="693">
        <f>GETPIVOTDATA("Sum of In One Year",DistinctPropertPopPivot!$B$4,"Year",A13)</f>
        <v>2.8399999999999998E-2</v>
      </c>
      <c r="C13" s="693">
        <f>GETPIVOTDATA("Sum of Over Three Years",DistinctPropertPopPivot!$B$4,"Year",A13)</f>
        <v>7.2999999999999995E-2</v>
      </c>
      <c r="D13" s="696"/>
    </row>
    <row r="14" spans="1:11" x14ac:dyDescent="0.3">
      <c r="A14" s="718" t="s">
        <v>341</v>
      </c>
      <c r="B14" s="693">
        <f>GETPIVOTDATA("Sum of In One Year",DistinctPropertPopPivot!$B$4,"Year",A14)</f>
        <v>2.7900000000000001E-2</v>
      </c>
      <c r="C14" s="693">
        <f>GETPIVOTDATA("Sum of Over Three Years",DistinctPropertPopPivot!$B$4,"Year",A14)</f>
        <v>7.2900000000000006E-2</v>
      </c>
      <c r="D14" s="696"/>
    </row>
    <row r="15" spans="1:11" x14ac:dyDescent="0.3">
      <c r="A15" s="718" t="s">
        <v>342</v>
      </c>
      <c r="B15" s="693">
        <f>GETPIVOTDATA("Sum of In One Year",DistinctPropertPopPivot!$B$4,"Year",A15)</f>
        <v>2.7300000000000001E-2</v>
      </c>
      <c r="C15" s="693">
        <f>GETPIVOTDATA("Sum of Over Three Years",DistinctPropertPopPivot!$B$4,"Year",A15)</f>
        <v>7.3700000000000002E-2</v>
      </c>
      <c r="D15" s="689">
        <f>GETPIVOTDATA("Sum of Over Five Years",DistinctPropertPopPivot!$B$4,"Year",A15)</f>
        <v>0.1079</v>
      </c>
    </row>
    <row r="16" spans="1:11" x14ac:dyDescent="0.3">
      <c r="A16" s="718" t="s">
        <v>213</v>
      </c>
      <c r="B16" s="693">
        <f>GETPIVOTDATA("Sum of In One Year",DistinctPropertPopPivot!$B$4,"Year",A16)</f>
        <v>2.6699999999999998E-2</v>
      </c>
      <c r="C16" s="693">
        <f>GETPIVOTDATA("Sum of Over Three Years",DistinctPropertPopPivot!$B$4,"Year",A16)</f>
        <v>7.17E-2</v>
      </c>
      <c r="D16" s="689">
        <f>GETPIVOTDATA("Sum of Over Five Years",DistinctPropertPopPivot!$B$4,"Year",A16)</f>
        <v>0.10869999999999999</v>
      </c>
    </row>
    <row r="17" spans="1:11" x14ac:dyDescent="0.3">
      <c r="A17" s="718" t="s">
        <v>312</v>
      </c>
      <c r="B17" s="693">
        <f>GETPIVOTDATA("Sum of In One Year",DistinctPropertPopPivot!$B$4,"Year",A17)</f>
        <v>2.6499999999999999E-2</v>
      </c>
      <c r="C17" s="693">
        <f>GETPIVOTDATA("Sum of Over Three Years",DistinctPropertPopPivot!$B$4,"Year",A17)</f>
        <v>7.0499999999999993E-2</v>
      </c>
      <c r="D17" s="689">
        <f>GETPIVOTDATA("Sum of Over Five Years",DistinctPropertPopPivot!$B$4,"Year",A17)</f>
        <v>0.1099</v>
      </c>
    </row>
    <row r="18" spans="1:11" x14ac:dyDescent="0.3">
      <c r="A18" s="718" t="s">
        <v>318</v>
      </c>
      <c r="B18" s="693">
        <f>GETPIVOTDATA("Sum of In One Year",DistinctPropertPopPivot!$B$4,"Year",A18)</f>
        <v>7.7000000000000002E-3</v>
      </c>
      <c r="C18" s="693">
        <f>GETPIVOTDATA("Sum of Over Three Years",DistinctPropertPopPivot!$B$4,"Year",A18)</f>
        <v>5.45E-2</v>
      </c>
      <c r="D18" s="689">
        <f>GETPIVOTDATA("Sum of Over Five Years",DistinctPropertPopPivot!$B$4,"Year",A18)</f>
        <v>9.4600000000000004E-2</v>
      </c>
    </row>
    <row r="19" spans="1:11" x14ac:dyDescent="0.3">
      <c r="A19" s="718" t="s">
        <v>320</v>
      </c>
      <c r="B19" s="693">
        <f>GETPIVOTDATA("Sum of In One Year",DistinctPropertPopPivot!$B$4,"Year",A19)</f>
        <v>1.6800000000000002E-2</v>
      </c>
      <c r="C19" s="693">
        <f>GETPIVOTDATA("Sum of Over Three Years",DistinctPropertPopPivot!$B$4,"Year",A19)</f>
        <v>4.6399999999999997E-2</v>
      </c>
      <c r="D19" s="689">
        <f>GETPIVOTDATA("Sum of Over Five Years",DistinctPropertPopPivot!$B$4,"Year",A19)</f>
        <v>8.6699999999999999E-2</v>
      </c>
    </row>
    <row r="20" spans="1:11" x14ac:dyDescent="0.3">
      <c r="A20" s="718" t="s">
        <v>325</v>
      </c>
      <c r="B20" s="693">
        <f>GETPIVOTDATA("Sum of In One Year",DistinctPropertPopPivot!$B$4,"Year",A20)</f>
        <v>1.4499999999999999E-2</v>
      </c>
      <c r="C20" s="693">
        <f>GETPIVOTDATA("Sum of Over Three Years",DistinctPropertPopPivot!$B$4,"Year",A20)</f>
        <v>3.4799999999999998E-2</v>
      </c>
      <c r="D20" s="689">
        <f>GETPIVOTDATA("Sum of Over Five Years",DistinctPropertPopPivot!$B$4,"Year",A20)</f>
        <v>7.6499999999999999E-2</v>
      </c>
      <c r="E20" s="414"/>
      <c r="F20" s="414"/>
      <c r="G20" s="414"/>
      <c r="H20" s="414"/>
      <c r="I20" s="414"/>
    </row>
    <row r="21" spans="1:11" x14ac:dyDescent="0.3">
      <c r="A21" s="718" t="s">
        <v>326</v>
      </c>
      <c r="B21" s="693">
        <f>GETPIVOTDATA("Sum of In One Year",DistinctPropertPopPivot!$B$4,"Year",A21)</f>
        <v>1.38E-2</v>
      </c>
      <c r="C21" s="693">
        <f>GETPIVOTDATA("Sum of Over Three Years",DistinctPropertPopPivot!$B$4,"Year",A21)</f>
        <v>3.9699999999999999E-2</v>
      </c>
      <c r="D21" s="689">
        <f>GETPIVOTDATA("Sum of Over Five Years",DistinctPropertPopPivot!$B$4,"Year",A21)</f>
        <v>6.6400000000000001E-2</v>
      </c>
      <c r="E21" s="414"/>
      <c r="F21" s="414"/>
      <c r="G21" s="414"/>
      <c r="H21" s="414"/>
      <c r="I21" s="414"/>
    </row>
    <row r="22" spans="1:11" x14ac:dyDescent="0.3">
      <c r="A22" s="718" t="s">
        <v>328</v>
      </c>
      <c r="B22" s="693">
        <f>GETPIVOTDATA("Sum of In One Year",DistinctPropertPopPivot!$B$4,"Year",A22)</f>
        <v>1.2500000000000001E-2</v>
      </c>
      <c r="C22" s="693">
        <f>GETPIVOTDATA("Sum of Over Three Years",DistinctPropertPopPivot!$B$4,"Year",A22)</f>
        <v>3.61E-2</v>
      </c>
      <c r="D22" s="689">
        <f>GETPIVOTDATA("Sum of Over Five Years",DistinctPropertPopPivot!$B$4,"Year",A22)</f>
        <v>5.4299999999999994E-2</v>
      </c>
      <c r="E22" s="414"/>
      <c r="F22" s="414"/>
      <c r="G22" s="414"/>
      <c r="H22" s="414"/>
      <c r="I22" s="414"/>
    </row>
    <row r="23" spans="1:11" ht="15" customHeight="1" thickBot="1" x14ac:dyDescent="0.35">
      <c r="A23" s="782" t="s">
        <v>412</v>
      </c>
      <c r="B23" s="697">
        <f>GETPIVOTDATA("Sum of In One Year",DistinctPropertPopPivot!$B$4,"Year",A23)</f>
        <v>4.4000000000000003E-3</v>
      </c>
      <c r="C23" s="697">
        <f>GETPIVOTDATA("Sum of Over Three Years",DistinctPropertPopPivot!$B$4,"Year",A23)</f>
        <v>2.52E-2</v>
      </c>
      <c r="D23" s="690">
        <f>GETPIVOTDATA("Sum of Over Five Years",DistinctPropertPopPivot!$B$4,"Year",A23)</f>
        <v>4.8799999999999996E-2</v>
      </c>
      <c r="E23" s="414"/>
      <c r="F23" s="414"/>
      <c r="G23" s="414"/>
      <c r="H23" s="414"/>
      <c r="I23" s="414"/>
    </row>
    <row r="24" spans="1:11" x14ac:dyDescent="0.3">
      <c r="A24" s="312" t="s">
        <v>329</v>
      </c>
      <c r="E24" s="414"/>
      <c r="F24" s="414"/>
      <c r="G24" s="414"/>
    </row>
    <row r="25" spans="1:11" ht="28.5" customHeight="1" x14ac:dyDescent="0.3">
      <c r="A25" s="1029" t="s">
        <v>975</v>
      </c>
      <c r="B25" s="1029"/>
      <c r="C25" s="1029"/>
      <c r="D25" s="1029"/>
      <c r="E25" s="1029"/>
      <c r="F25" s="1029"/>
      <c r="G25" s="1029"/>
    </row>
    <row r="26" spans="1:11" ht="15.75" customHeight="1" x14ac:dyDescent="0.3">
      <c r="A26" s="498" t="s">
        <v>940</v>
      </c>
      <c r="E26" s="522"/>
      <c r="F26" s="522"/>
      <c r="G26" s="522"/>
      <c r="H26" s="522"/>
      <c r="I26" s="522"/>
      <c r="J26" s="522"/>
      <c r="K26" s="522"/>
    </row>
    <row r="27" spans="1:11" ht="15.6" x14ac:dyDescent="0.3">
      <c r="E27" s="499"/>
      <c r="F27" s="499"/>
      <c r="G27" s="499"/>
      <c r="H27" s="499"/>
      <c r="I27" s="499"/>
      <c r="J27" s="499"/>
      <c r="K27" s="499"/>
    </row>
    <row r="28" spans="1:11" ht="15.6" x14ac:dyDescent="0.3">
      <c r="A28" s="522" t="s">
        <v>976</v>
      </c>
      <c r="B28" s="522"/>
      <c r="C28" s="522"/>
      <c r="D28" s="522"/>
      <c r="E28" s="499"/>
      <c r="F28" s="499"/>
      <c r="G28" s="499"/>
      <c r="H28" s="499"/>
      <c r="I28" s="499"/>
      <c r="J28" s="499"/>
      <c r="K28" s="499"/>
    </row>
    <row r="29" spans="1:11" ht="15.6" x14ac:dyDescent="0.3">
      <c r="A29" t="s">
        <v>203</v>
      </c>
      <c r="B29" t="s">
        <v>145</v>
      </c>
      <c r="C29" s="499"/>
      <c r="D29" s="499"/>
      <c r="E29" s="499"/>
      <c r="F29" s="499"/>
      <c r="G29" s="499"/>
      <c r="H29" s="499"/>
      <c r="I29" s="499"/>
      <c r="J29" s="499"/>
      <c r="K29" s="499"/>
    </row>
    <row r="30" spans="1:11" ht="15.6" x14ac:dyDescent="0.3">
      <c r="A30" t="s">
        <v>204</v>
      </c>
      <c r="B30" t="s">
        <v>205</v>
      </c>
      <c r="C30" s="499"/>
      <c r="D30" s="499"/>
    </row>
    <row r="31" spans="1:11" ht="15.6" x14ac:dyDescent="0.3">
      <c r="A31" t="s">
        <v>206</v>
      </c>
      <c r="B31" t="s">
        <v>917</v>
      </c>
      <c r="C31" s="499"/>
      <c r="D31" s="499"/>
    </row>
    <row r="33" spans="1:4" ht="14.4" customHeight="1" x14ac:dyDescent="0.3">
      <c r="B33" s="312" t="s">
        <v>977</v>
      </c>
      <c r="C33" s="312"/>
      <c r="D33" s="312"/>
    </row>
    <row r="34" spans="1:4" x14ac:dyDescent="0.3">
      <c r="A34" s="600" t="s">
        <v>208</v>
      </c>
      <c r="B34" s="691" t="s">
        <v>959</v>
      </c>
      <c r="C34" s="691" t="s">
        <v>960</v>
      </c>
      <c r="D34" s="692" t="s">
        <v>961</v>
      </c>
    </row>
    <row r="35" spans="1:4" x14ac:dyDescent="0.3">
      <c r="A35" s="718" t="s">
        <v>364</v>
      </c>
      <c r="B35" s="693">
        <f>GETPIVOTDATA("Sum of In One Year",DistinctPropertPopPivot!$B$4,"Year",A35)</f>
        <v>2.7800000000000002E-2</v>
      </c>
      <c r="C35" s="694"/>
      <c r="D35" s="696"/>
    </row>
    <row r="36" spans="1:4" x14ac:dyDescent="0.3">
      <c r="A36" s="718" t="s">
        <v>365</v>
      </c>
      <c r="B36" s="693">
        <f>GETPIVOTDATA("Sum of In One Year",DistinctPropertPopPivot!$B$4,"Year",A36)</f>
        <v>2.63E-2</v>
      </c>
      <c r="C36" s="694"/>
      <c r="D36" s="696"/>
    </row>
    <row r="37" spans="1:4" x14ac:dyDescent="0.3">
      <c r="A37" s="718" t="s">
        <v>366</v>
      </c>
      <c r="B37" s="693">
        <f>GETPIVOTDATA("Sum of In One Year",DistinctPropertPopPivot!$B$4,"Year",A37)</f>
        <v>2.8399999999999998E-2</v>
      </c>
      <c r="C37" s="693">
        <v>3.2800000000000003E-2</v>
      </c>
      <c r="D37" s="696"/>
    </row>
    <row r="38" spans="1:4" x14ac:dyDescent="0.3">
      <c r="A38" s="718" t="s">
        <v>341</v>
      </c>
      <c r="B38" s="693">
        <f>GETPIVOTDATA("Sum of In One Year",DistinctPropertPopPivot!$B$4,"Year",A38)</f>
        <v>2.7900000000000001E-2</v>
      </c>
      <c r="C38" s="693">
        <v>3.2400000000000005E-2</v>
      </c>
      <c r="D38" s="696"/>
    </row>
    <row r="39" spans="1:4" x14ac:dyDescent="0.3">
      <c r="A39" s="718" t="s">
        <v>342</v>
      </c>
      <c r="B39" s="693">
        <f>GETPIVOTDATA("Sum of In One Year",DistinctPropertPopPivot!$B$4,"Year",A39)</f>
        <v>2.7300000000000001E-2</v>
      </c>
      <c r="C39" s="693">
        <v>3.2300000000000002E-2</v>
      </c>
      <c r="D39" s="689">
        <v>4.9699999999999994E-2</v>
      </c>
    </row>
    <row r="40" spans="1:4" x14ac:dyDescent="0.3">
      <c r="A40" s="718" t="s">
        <v>213</v>
      </c>
      <c r="B40" s="693">
        <f>GETPIVOTDATA("Sum of In One Year",DistinctPropertPopPivot!$B$4,"Year",A40)</f>
        <v>2.6699999999999998E-2</v>
      </c>
      <c r="C40" s="693">
        <v>3.0600000000000002E-2</v>
      </c>
      <c r="D40" s="689">
        <v>4.8600000000000004E-2</v>
      </c>
    </row>
    <row r="41" spans="1:4" x14ac:dyDescent="0.3">
      <c r="A41" s="718" t="s">
        <v>312</v>
      </c>
      <c r="B41" s="693">
        <f>GETPIVOTDATA("Sum of In One Year",DistinctPropertPopPivot!$B$4,"Year",A41)</f>
        <v>2.6499999999999999E-2</v>
      </c>
      <c r="C41" s="693">
        <v>2.8199999999999999E-2</v>
      </c>
      <c r="D41" s="689">
        <v>4.7400000000000005E-2</v>
      </c>
    </row>
    <row r="42" spans="1:4" x14ac:dyDescent="0.3">
      <c r="A42" s="718" t="s">
        <v>318</v>
      </c>
      <c r="B42" s="693">
        <f>GETPIVOTDATA("Sum of In One Year",DistinctPropertPopPivot!$B$4,"Year",A42)</f>
        <v>7.7000000000000002E-3</v>
      </c>
      <c r="C42" s="693">
        <v>2.0799999999999999E-2</v>
      </c>
      <c r="D42" s="689">
        <v>4.0199999999999993E-2</v>
      </c>
    </row>
    <row r="43" spans="1:4" x14ac:dyDescent="0.3">
      <c r="A43" s="718" t="s">
        <v>320</v>
      </c>
      <c r="B43" s="694"/>
      <c r="C43" s="694"/>
      <c r="D43" s="696"/>
    </row>
    <row r="44" spans="1:4" x14ac:dyDescent="0.3">
      <c r="A44" s="718" t="s">
        <v>325</v>
      </c>
      <c r="B44" s="694"/>
      <c r="C44" s="694"/>
      <c r="D44" s="696"/>
    </row>
    <row r="45" spans="1:4" x14ac:dyDescent="0.3">
      <c r="A45" s="718" t="s">
        <v>326</v>
      </c>
      <c r="B45" s="693">
        <f>GETPIVOTDATA("Sum of In One Year",DistinctPropertPopPivot!$B$4,"Year",A45)</f>
        <v>1.38E-2</v>
      </c>
      <c r="C45" s="694"/>
      <c r="D45" s="696"/>
    </row>
    <row r="46" spans="1:4" x14ac:dyDescent="0.3">
      <c r="A46" s="718" t="s">
        <v>328</v>
      </c>
      <c r="B46" s="693">
        <f>GETPIVOTDATA("Sum of In One Year",DistinctPropertPopPivot!$B$4,"Year",A46)</f>
        <v>1.2500000000000001E-2</v>
      </c>
      <c r="C46" s="597"/>
      <c r="D46" s="1009"/>
    </row>
    <row r="47" spans="1:4" ht="15" thickBot="1" x14ac:dyDescent="0.35">
      <c r="A47" s="782" t="s">
        <v>412</v>
      </c>
      <c r="B47" s="697">
        <f>GETPIVOTDATA("Sum of In One Year",DistinctPropertPopPivot!$B$4,"Year",A47)</f>
        <v>4.4000000000000003E-3</v>
      </c>
      <c r="C47" s="992"/>
      <c r="D47" s="975"/>
    </row>
    <row r="48" spans="1:4" x14ac:dyDescent="0.3">
      <c r="A48" s="312"/>
      <c r="B48" s="693"/>
    </row>
    <row r="49" spans="1:7" x14ac:dyDescent="0.3">
      <c r="A49" s="312" t="s">
        <v>329</v>
      </c>
      <c r="E49" s="414"/>
      <c r="F49" s="414"/>
      <c r="G49" s="414"/>
    </row>
    <row r="50" spans="1:7" ht="32.1" customHeight="1" x14ac:dyDescent="0.3">
      <c r="A50" s="1029" t="s">
        <v>978</v>
      </c>
      <c r="B50" s="1029"/>
      <c r="C50" s="1029"/>
      <c r="D50" s="1029"/>
      <c r="E50" s="1029"/>
      <c r="F50" s="1029"/>
      <c r="G50" s="1029"/>
    </row>
    <row r="51" spans="1:7" x14ac:dyDescent="0.3">
      <c r="A51" s="498" t="s">
        <v>940</v>
      </c>
    </row>
    <row r="52" spans="1:7" x14ac:dyDescent="0.3">
      <c r="A52" t="s">
        <v>979</v>
      </c>
    </row>
  </sheetData>
  <sheetProtection algorithmName="SHA-512" hashValue="y3UmvxQ4Wv2Wt4Jc269QWR5l7gwPDJ3U9jK7hqO31IeijcHQ7K2+ubzUCrQPRnEcNNe7ap55ruZ2n66DPcNWSQ==" saltValue="pnOFyiMesOsEoDXVDApTJw==" spinCount="100000" sheet="1" formatCells="0" sort="0" autoFilter="0" pivotTables="0"/>
  <mergeCells count="2">
    <mergeCell ref="A50:G50"/>
    <mergeCell ref="A25:G25"/>
  </mergeCells>
  <phoneticPr fontId="53" type="noConversion"/>
  <hyperlinks>
    <hyperlink ref="A2" location="'Table of Contents'!A1" display="Back to Table of Contents" xr:uid="{00000000-0004-0000-8200-000000000000}"/>
    <hyperlink ref="A26" r:id="rId1" xr:uid="{00000000-0004-0000-8200-000001000000}"/>
    <hyperlink ref="A51" r:id="rId2" xr:uid="{00000000-0004-0000-8200-000002000000}"/>
  </hyperlinks>
  <pageMargins left="0.7" right="0.7" top="0.75" bottom="0.75" header="0.3" footer="0.3"/>
</worksheet>
</file>

<file path=xl/worksheets/sheet1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E59F9F7-7EFE-4BCF-A116-2BA65891D905}">
  <sheetPr>
    <tabColor theme="7" tint="-0.249977111117893"/>
  </sheetPr>
  <dimension ref="A1:H14"/>
  <sheetViews>
    <sheetView workbookViewId="0">
      <selection activeCell="C9" sqref="C9"/>
    </sheetView>
  </sheetViews>
  <sheetFormatPr defaultRowHeight="14.4" x14ac:dyDescent="0.3"/>
  <cols>
    <col min="1" max="1" width="12.5546875" bestFit="1" customWidth="1"/>
    <col min="2" max="2" width="14.88671875" bestFit="1" customWidth="1"/>
    <col min="3" max="3" width="12.88671875" bestFit="1" customWidth="1"/>
    <col min="4" max="6" width="13.88671875" bestFit="1" customWidth="1"/>
    <col min="7" max="7" width="13.6640625" bestFit="1" customWidth="1"/>
    <col min="8" max="8" width="18.5546875" bestFit="1" customWidth="1"/>
  </cols>
  <sheetData>
    <row r="1" spans="1:8" x14ac:dyDescent="0.3">
      <c r="A1" s="386" t="s">
        <v>350</v>
      </c>
      <c r="B1" t="s">
        <v>980</v>
      </c>
      <c r="C1" t="s">
        <v>981</v>
      </c>
      <c r="D1" t="s">
        <v>982</v>
      </c>
      <c r="E1" t="s">
        <v>983</v>
      </c>
      <c r="F1" t="s">
        <v>984</v>
      </c>
      <c r="G1" t="s">
        <v>985</v>
      </c>
      <c r="H1" t="s">
        <v>986</v>
      </c>
    </row>
    <row r="2" spans="1:8" x14ac:dyDescent="0.3">
      <c r="A2" s="387" t="s">
        <v>364</v>
      </c>
      <c r="B2">
        <v>9522</v>
      </c>
      <c r="C2">
        <v>8378</v>
      </c>
      <c r="D2">
        <v>6148</v>
      </c>
      <c r="E2">
        <v>21422</v>
      </c>
      <c r="F2">
        <v>45974</v>
      </c>
      <c r="G2">
        <v>43449</v>
      </c>
      <c r="H2">
        <v>134893</v>
      </c>
    </row>
    <row r="3" spans="1:8" x14ac:dyDescent="0.3">
      <c r="A3" s="387" t="s">
        <v>365</v>
      </c>
      <c r="B3">
        <v>9301</v>
      </c>
      <c r="C3">
        <v>8100</v>
      </c>
      <c r="D3">
        <v>5611</v>
      </c>
      <c r="E3">
        <v>17596</v>
      </c>
      <c r="F3">
        <v>41757</v>
      </c>
      <c r="G3">
        <v>43048</v>
      </c>
      <c r="H3">
        <v>125413</v>
      </c>
    </row>
    <row r="4" spans="1:8" x14ac:dyDescent="0.3">
      <c r="A4" s="387" t="s">
        <v>366</v>
      </c>
      <c r="B4">
        <v>9270</v>
      </c>
      <c r="C4">
        <v>8385</v>
      </c>
      <c r="D4">
        <v>5779</v>
      </c>
      <c r="E4">
        <v>17567</v>
      </c>
      <c r="F4">
        <v>43991</v>
      </c>
      <c r="G4">
        <v>49733</v>
      </c>
      <c r="H4">
        <v>134725</v>
      </c>
    </row>
    <row r="5" spans="1:8" x14ac:dyDescent="0.3">
      <c r="A5" s="387" t="s">
        <v>341</v>
      </c>
      <c r="B5">
        <v>7684</v>
      </c>
      <c r="C5">
        <v>7945</v>
      </c>
      <c r="D5">
        <v>5617</v>
      </c>
      <c r="E5">
        <v>13019</v>
      </c>
      <c r="F5">
        <v>42665</v>
      </c>
      <c r="G5">
        <v>52260</v>
      </c>
      <c r="H5">
        <v>129190</v>
      </c>
    </row>
    <row r="6" spans="1:8" x14ac:dyDescent="0.3">
      <c r="A6" s="387" t="s">
        <v>342</v>
      </c>
      <c r="B6">
        <v>7694</v>
      </c>
      <c r="C6">
        <v>7954</v>
      </c>
      <c r="D6">
        <v>5364</v>
      </c>
      <c r="E6">
        <v>13881</v>
      </c>
      <c r="F6">
        <v>42205</v>
      </c>
      <c r="G6">
        <v>50848</v>
      </c>
      <c r="H6">
        <v>127946</v>
      </c>
    </row>
    <row r="7" spans="1:8" x14ac:dyDescent="0.3">
      <c r="A7" s="387" t="s">
        <v>213</v>
      </c>
      <c r="B7">
        <v>7266</v>
      </c>
      <c r="C7">
        <v>7987</v>
      </c>
      <c r="D7">
        <v>5517</v>
      </c>
      <c r="E7">
        <v>13947</v>
      </c>
      <c r="F7">
        <v>41141</v>
      </c>
      <c r="G7">
        <v>48727</v>
      </c>
      <c r="H7">
        <v>124585</v>
      </c>
    </row>
    <row r="8" spans="1:8" x14ac:dyDescent="0.3">
      <c r="A8" s="387" t="s">
        <v>312</v>
      </c>
      <c r="B8">
        <v>7040</v>
      </c>
      <c r="C8">
        <v>7889</v>
      </c>
      <c r="D8">
        <v>5512</v>
      </c>
      <c r="E8">
        <v>13665</v>
      </c>
      <c r="F8">
        <v>40173</v>
      </c>
      <c r="G8">
        <v>48769</v>
      </c>
      <c r="H8">
        <v>123048</v>
      </c>
    </row>
    <row r="9" spans="1:8" x14ac:dyDescent="0.3">
      <c r="A9" s="387" t="s">
        <v>318</v>
      </c>
      <c r="B9">
        <v>1270</v>
      </c>
      <c r="C9">
        <v>1639</v>
      </c>
      <c r="D9">
        <v>1291</v>
      </c>
      <c r="E9">
        <v>2992</v>
      </c>
      <c r="F9">
        <v>9416</v>
      </c>
      <c r="G9">
        <v>16017</v>
      </c>
      <c r="H9">
        <v>32625</v>
      </c>
    </row>
    <row r="10" spans="1:8" x14ac:dyDescent="0.3">
      <c r="A10" s="387" t="s">
        <v>320</v>
      </c>
      <c r="B10">
        <v>2198</v>
      </c>
      <c r="C10">
        <v>2826</v>
      </c>
      <c r="D10">
        <v>2403</v>
      </c>
      <c r="E10">
        <v>5628</v>
      </c>
      <c r="F10">
        <v>18596</v>
      </c>
      <c r="G10">
        <v>39107</v>
      </c>
      <c r="H10">
        <v>70758</v>
      </c>
    </row>
    <row r="11" spans="1:8" x14ac:dyDescent="0.3">
      <c r="A11" s="387" t="s">
        <v>325</v>
      </c>
      <c r="B11">
        <v>2300</v>
      </c>
      <c r="C11">
        <v>3133</v>
      </c>
      <c r="D11">
        <v>2463</v>
      </c>
      <c r="E11">
        <v>5787</v>
      </c>
      <c r="F11">
        <v>18149</v>
      </c>
      <c r="G11">
        <v>30792</v>
      </c>
      <c r="H11">
        <v>62624</v>
      </c>
    </row>
    <row r="12" spans="1:8" x14ac:dyDescent="0.3">
      <c r="A12" s="387" t="s">
        <v>326</v>
      </c>
      <c r="B12">
        <v>2410</v>
      </c>
      <c r="C12">
        <v>3147</v>
      </c>
      <c r="D12">
        <v>2485</v>
      </c>
      <c r="E12">
        <v>6086</v>
      </c>
      <c r="F12">
        <v>18432</v>
      </c>
      <c r="G12">
        <v>28179</v>
      </c>
      <c r="H12">
        <v>60739</v>
      </c>
    </row>
    <row r="13" spans="1:8" x14ac:dyDescent="0.3">
      <c r="A13" s="387" t="s">
        <v>328</v>
      </c>
      <c r="B13">
        <v>1993</v>
      </c>
      <c r="C13">
        <v>2601</v>
      </c>
      <c r="D13">
        <v>2090</v>
      </c>
      <c r="E13">
        <v>5412</v>
      </c>
      <c r="F13">
        <v>16549</v>
      </c>
      <c r="G13">
        <v>25840</v>
      </c>
      <c r="H13">
        <v>54523</v>
      </c>
    </row>
    <row r="14" spans="1:8" x14ac:dyDescent="0.3">
      <c r="A14" s="387" t="s">
        <v>357</v>
      </c>
      <c r="B14">
        <v>67948</v>
      </c>
      <c r="C14">
        <v>69984</v>
      </c>
      <c r="D14">
        <v>50280</v>
      </c>
      <c r="E14">
        <v>137002</v>
      </c>
      <c r="F14">
        <v>379048</v>
      </c>
      <c r="G14">
        <v>476769</v>
      </c>
      <c r="H14">
        <v>1181069</v>
      </c>
    </row>
  </sheetData>
  <pageMargins left="0.7" right="0.7" top="0.75" bottom="0.75" header="0.3" footer="0.3"/>
</worksheet>
</file>

<file path=xl/worksheets/sheet1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D5217C-4872-4DCE-915E-4384307FB649}">
  <sheetPr>
    <tabColor theme="7" tint="-0.249977111117893"/>
  </sheetPr>
  <dimension ref="A1:I13"/>
  <sheetViews>
    <sheetView workbookViewId="0">
      <selection activeCell="E6" sqref="E6"/>
    </sheetView>
  </sheetViews>
  <sheetFormatPr defaultRowHeight="14.4" x14ac:dyDescent="0.3"/>
  <cols>
    <col min="1" max="1" width="10.88671875" bestFit="1" customWidth="1"/>
    <col min="2" max="2" width="10.6640625" bestFit="1" customWidth="1"/>
    <col min="3" max="3" width="8.88671875" bestFit="1" customWidth="1"/>
    <col min="4" max="6" width="9.88671875" bestFit="1" customWidth="1"/>
    <col min="7" max="7" width="9.5546875" bestFit="1" customWidth="1"/>
    <col min="8" max="8" width="12.5546875" bestFit="1" customWidth="1"/>
    <col min="9" max="9" width="14.33203125" bestFit="1" customWidth="1"/>
  </cols>
  <sheetData>
    <row r="1" spans="1:9" x14ac:dyDescent="0.3">
      <c r="A1" t="s">
        <v>208</v>
      </c>
      <c r="B1" t="s">
        <v>987</v>
      </c>
      <c r="C1" t="s">
        <v>988</v>
      </c>
      <c r="D1" t="s">
        <v>989</v>
      </c>
      <c r="E1" t="s">
        <v>990</v>
      </c>
      <c r="F1" t="s">
        <v>991</v>
      </c>
      <c r="G1" t="s">
        <v>992</v>
      </c>
      <c r="H1" t="s">
        <v>850</v>
      </c>
      <c r="I1" t="s">
        <v>993</v>
      </c>
    </row>
    <row r="2" spans="1:9" x14ac:dyDescent="0.3">
      <c r="A2" t="s">
        <v>364</v>
      </c>
      <c r="B2">
        <v>9522</v>
      </c>
      <c r="C2">
        <v>8378</v>
      </c>
      <c r="D2">
        <v>6148</v>
      </c>
      <c r="E2">
        <v>21422</v>
      </c>
      <c r="F2">
        <v>45974</v>
      </c>
      <c r="G2">
        <v>43449</v>
      </c>
      <c r="H2">
        <v>0</v>
      </c>
      <c r="I2">
        <v>134893</v>
      </c>
    </row>
    <row r="3" spans="1:9" x14ac:dyDescent="0.3">
      <c r="A3" t="s">
        <v>365</v>
      </c>
      <c r="B3">
        <v>9301</v>
      </c>
      <c r="C3">
        <v>8100</v>
      </c>
      <c r="D3">
        <v>5611</v>
      </c>
      <c r="E3">
        <v>17596</v>
      </c>
      <c r="F3">
        <v>41757</v>
      </c>
      <c r="G3">
        <v>43048</v>
      </c>
      <c r="H3">
        <v>0</v>
      </c>
      <c r="I3">
        <v>125413</v>
      </c>
    </row>
    <row r="4" spans="1:9" x14ac:dyDescent="0.3">
      <c r="A4" t="s">
        <v>366</v>
      </c>
      <c r="B4">
        <v>9270</v>
      </c>
      <c r="C4">
        <v>8385</v>
      </c>
      <c r="D4">
        <v>5779</v>
      </c>
      <c r="E4">
        <v>17567</v>
      </c>
      <c r="F4">
        <v>43991</v>
      </c>
      <c r="G4">
        <v>49733</v>
      </c>
      <c r="H4">
        <v>0</v>
      </c>
      <c r="I4">
        <v>134725</v>
      </c>
    </row>
    <row r="5" spans="1:9" x14ac:dyDescent="0.3">
      <c r="A5" t="s">
        <v>341</v>
      </c>
      <c r="B5">
        <v>7684</v>
      </c>
      <c r="C5">
        <v>7945</v>
      </c>
      <c r="D5">
        <v>5617</v>
      </c>
      <c r="E5">
        <v>13019</v>
      </c>
      <c r="F5">
        <v>42665</v>
      </c>
      <c r="G5">
        <v>52260</v>
      </c>
      <c r="H5">
        <v>0</v>
      </c>
      <c r="I5">
        <v>129190</v>
      </c>
    </row>
    <row r="6" spans="1:9" x14ac:dyDescent="0.3">
      <c r="A6" t="s">
        <v>342</v>
      </c>
      <c r="B6">
        <v>7694</v>
      </c>
      <c r="C6">
        <v>7954</v>
      </c>
      <c r="D6">
        <v>5364</v>
      </c>
      <c r="E6">
        <v>13881</v>
      </c>
      <c r="F6">
        <v>42205</v>
      </c>
      <c r="G6">
        <v>50848</v>
      </c>
      <c r="H6">
        <v>0</v>
      </c>
      <c r="I6">
        <v>127946</v>
      </c>
    </row>
    <row r="7" spans="1:9" x14ac:dyDescent="0.3">
      <c r="A7" t="s">
        <v>213</v>
      </c>
      <c r="B7">
        <v>7266</v>
      </c>
      <c r="C7">
        <v>7987</v>
      </c>
      <c r="D7">
        <v>5517</v>
      </c>
      <c r="E7">
        <v>13947</v>
      </c>
      <c r="F7">
        <v>41141</v>
      </c>
      <c r="G7">
        <v>48727</v>
      </c>
      <c r="H7">
        <v>0</v>
      </c>
      <c r="I7">
        <v>124585</v>
      </c>
    </row>
    <row r="8" spans="1:9" x14ac:dyDescent="0.3">
      <c r="A8" t="s">
        <v>312</v>
      </c>
      <c r="B8">
        <v>7040</v>
      </c>
      <c r="C8">
        <v>7889</v>
      </c>
      <c r="D8">
        <v>5512</v>
      </c>
      <c r="E8">
        <v>13665</v>
      </c>
      <c r="F8">
        <v>40173</v>
      </c>
      <c r="G8">
        <v>48769</v>
      </c>
      <c r="H8">
        <v>0</v>
      </c>
      <c r="I8">
        <v>123048</v>
      </c>
    </row>
    <row r="9" spans="1:9" x14ac:dyDescent="0.3">
      <c r="A9" t="s">
        <v>318</v>
      </c>
      <c r="B9">
        <v>1270</v>
      </c>
      <c r="C9">
        <v>1639</v>
      </c>
      <c r="D9">
        <v>1291</v>
      </c>
      <c r="E9">
        <v>2992</v>
      </c>
      <c r="F9">
        <v>9416</v>
      </c>
      <c r="G9">
        <v>16017</v>
      </c>
      <c r="H9">
        <v>0</v>
      </c>
      <c r="I9">
        <v>32625</v>
      </c>
    </row>
    <row r="10" spans="1:9" x14ac:dyDescent="0.3">
      <c r="A10" t="s">
        <v>320</v>
      </c>
      <c r="B10">
        <v>2198</v>
      </c>
      <c r="C10">
        <v>2826</v>
      </c>
      <c r="D10">
        <v>2403</v>
      </c>
      <c r="E10">
        <v>5628</v>
      </c>
      <c r="F10">
        <v>18596</v>
      </c>
      <c r="G10">
        <v>39107</v>
      </c>
      <c r="H10">
        <v>0</v>
      </c>
      <c r="I10">
        <v>70758</v>
      </c>
    </row>
    <row r="11" spans="1:9" x14ac:dyDescent="0.3">
      <c r="A11" t="s">
        <v>325</v>
      </c>
      <c r="B11">
        <v>2300</v>
      </c>
      <c r="C11">
        <v>3133</v>
      </c>
      <c r="D11">
        <v>2463</v>
      </c>
      <c r="E11">
        <v>5787</v>
      </c>
      <c r="F11">
        <v>18149</v>
      </c>
      <c r="G11">
        <v>30792</v>
      </c>
      <c r="H11">
        <v>0</v>
      </c>
      <c r="I11">
        <v>62624</v>
      </c>
    </row>
    <row r="12" spans="1:9" x14ac:dyDescent="0.3">
      <c r="A12" t="s">
        <v>326</v>
      </c>
      <c r="B12">
        <v>2410</v>
      </c>
      <c r="C12">
        <v>3147</v>
      </c>
      <c r="D12">
        <v>2485</v>
      </c>
      <c r="E12">
        <v>6086</v>
      </c>
      <c r="F12">
        <v>18432</v>
      </c>
      <c r="G12">
        <v>28179</v>
      </c>
      <c r="H12">
        <v>0</v>
      </c>
      <c r="I12">
        <v>60739</v>
      </c>
    </row>
    <row r="13" spans="1:9" x14ac:dyDescent="0.3">
      <c r="A13" t="s">
        <v>328</v>
      </c>
      <c r="B13">
        <v>1993</v>
      </c>
      <c r="C13">
        <v>2601</v>
      </c>
      <c r="D13">
        <v>2090</v>
      </c>
      <c r="E13">
        <v>5412</v>
      </c>
      <c r="F13">
        <v>16549</v>
      </c>
      <c r="G13">
        <v>25840</v>
      </c>
      <c r="H13">
        <v>38</v>
      </c>
      <c r="I13">
        <v>54523</v>
      </c>
    </row>
  </sheetData>
  <pageMargins left="0.7" right="0.7" top="0.75" bottom="0.75" header="0.3" footer="0.3"/>
  <tableParts count="1">
    <tablePart r:id="rId1"/>
  </tableParts>
</worksheet>
</file>

<file path=xl/worksheets/sheet1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04DFAD-6417-488A-A832-30B5AFD9F152}">
  <sheetPr>
    <tabColor theme="7" tint="-0.249977111117893"/>
  </sheetPr>
  <dimension ref="B4:I17"/>
  <sheetViews>
    <sheetView workbookViewId="0">
      <selection activeCell="D8" sqref="D8"/>
    </sheetView>
  </sheetViews>
  <sheetFormatPr defaultRowHeight="14.4" x14ac:dyDescent="0.3"/>
  <cols>
    <col min="2" max="2" width="12.44140625" bestFit="1" customWidth="1"/>
    <col min="3" max="3" width="14.5546875" bestFit="1" customWidth="1"/>
    <col min="4" max="4" width="12.88671875" bestFit="1" customWidth="1"/>
    <col min="5" max="7" width="13.88671875" bestFit="1" customWidth="1"/>
    <col min="8" max="8" width="13.5546875" bestFit="1" customWidth="1"/>
    <col min="9" max="9" width="17.88671875" bestFit="1" customWidth="1"/>
  </cols>
  <sheetData>
    <row r="4" spans="2:9" x14ac:dyDescent="0.3">
      <c r="B4" s="386" t="s">
        <v>350</v>
      </c>
      <c r="C4" t="s">
        <v>980</v>
      </c>
      <c r="D4" t="s">
        <v>981</v>
      </c>
      <c r="E4" t="s">
        <v>982</v>
      </c>
      <c r="F4" t="s">
        <v>983</v>
      </c>
      <c r="G4" t="s">
        <v>984</v>
      </c>
      <c r="H4" t="s">
        <v>985</v>
      </c>
      <c r="I4" t="s">
        <v>986</v>
      </c>
    </row>
    <row r="5" spans="2:9" x14ac:dyDescent="0.3">
      <c r="B5" s="387" t="s">
        <v>364</v>
      </c>
      <c r="C5">
        <v>3.2383018810173998</v>
      </c>
      <c r="D5">
        <v>2.4963871217651699</v>
      </c>
      <c r="E5">
        <v>1.7888109120957101</v>
      </c>
      <c r="F5">
        <v>2.17919399729813</v>
      </c>
      <c r="G5">
        <v>2.1170750711117798</v>
      </c>
      <c r="H5">
        <v>3.6214893874166001</v>
      </c>
      <c r="I5">
        <v>2.53191808848096</v>
      </c>
    </row>
    <row r="6" spans="2:9" x14ac:dyDescent="0.3">
      <c r="B6" s="387" t="s">
        <v>365</v>
      </c>
      <c r="C6">
        <v>3.1868346484751102</v>
      </c>
      <c r="D6">
        <v>2.3587378131879699</v>
      </c>
      <c r="E6">
        <v>1.6718611261747101</v>
      </c>
      <c r="F6">
        <v>1.78860036633983</v>
      </c>
      <c r="G6">
        <v>1.9208273399</v>
      </c>
      <c r="H6">
        <v>3.5313264951207199</v>
      </c>
      <c r="I6">
        <v>2.3452202857356599</v>
      </c>
    </row>
    <row r="7" spans="2:9" x14ac:dyDescent="0.3">
      <c r="B7" s="387" t="s">
        <v>366</v>
      </c>
      <c r="C7">
        <v>3.1836633765377398</v>
      </c>
      <c r="D7">
        <v>2.4072968224256099</v>
      </c>
      <c r="E7">
        <v>1.7431198195046</v>
      </c>
      <c r="F7">
        <v>1.77315129774044</v>
      </c>
      <c r="G7">
        <v>2.02073514685482</v>
      </c>
      <c r="H7">
        <v>4.0293256937670296</v>
      </c>
      <c r="I7">
        <v>2.5074446305602098</v>
      </c>
    </row>
    <row r="8" spans="2:9" x14ac:dyDescent="0.3">
      <c r="B8" s="387" t="s">
        <v>341</v>
      </c>
      <c r="C8">
        <v>2.6751335129753002</v>
      </c>
      <c r="D8">
        <v>2.23490559668745</v>
      </c>
      <c r="E8">
        <v>1.7018839798088801</v>
      </c>
      <c r="F8">
        <v>1.3071088286823001</v>
      </c>
      <c r="G8">
        <v>1.9537466004626001</v>
      </c>
      <c r="H8">
        <v>4.1736147049239998</v>
      </c>
      <c r="I8">
        <v>2.3903269376653702</v>
      </c>
    </row>
    <row r="9" spans="2:9" x14ac:dyDescent="0.3">
      <c r="B9" s="387" t="s">
        <v>342</v>
      </c>
      <c r="C9">
        <v>2.7273436226099399</v>
      </c>
      <c r="D9">
        <v>2.2093953467700702</v>
      </c>
      <c r="E9">
        <v>1.6209257770713299</v>
      </c>
      <c r="F9">
        <v>1.39846824355774</v>
      </c>
      <c r="G9">
        <v>1.92917123571634</v>
      </c>
      <c r="H9">
        <v>3.99921035100841</v>
      </c>
      <c r="I9">
        <v>2.35853856363368</v>
      </c>
    </row>
    <row r="10" spans="2:9" x14ac:dyDescent="0.3">
      <c r="B10" s="387" t="s">
        <v>213</v>
      </c>
      <c r="C10">
        <v>2.6244121620157301</v>
      </c>
      <c r="D10">
        <v>2.2083850613962599</v>
      </c>
      <c r="E10">
        <v>1.6496084534584401</v>
      </c>
      <c r="F10">
        <v>1.4152106479203099</v>
      </c>
      <c r="G10">
        <v>1.87941605212535</v>
      </c>
      <c r="H10">
        <v>3.77556001518685</v>
      </c>
      <c r="I10">
        <v>2.2909655946010599</v>
      </c>
    </row>
    <row r="11" spans="2:9" x14ac:dyDescent="0.3">
      <c r="B11" s="387" t="s">
        <v>312</v>
      </c>
      <c r="C11">
        <v>2.5909500763667817</v>
      </c>
      <c r="D11">
        <v>2.1887441563666123</v>
      </c>
      <c r="E11">
        <v>1.6055974529491785</v>
      </c>
      <c r="F11">
        <v>1.3978495723593021</v>
      </c>
      <c r="G11">
        <v>1.8302517057382788</v>
      </c>
      <c r="H11">
        <v>3.7077274669399558</v>
      </c>
      <c r="I11">
        <v>2.2522651144912418</v>
      </c>
    </row>
    <row r="12" spans="2:9" x14ac:dyDescent="0.3">
      <c r="B12" s="387" t="s">
        <v>318</v>
      </c>
      <c r="C12">
        <v>0.48141437268295645</v>
      </c>
      <c r="D12">
        <v>0.45840896568505429</v>
      </c>
      <c r="E12">
        <v>0.36746497554977431</v>
      </c>
      <c r="F12">
        <v>0.31022444614256844</v>
      </c>
      <c r="G12">
        <v>0.42915501219418262</v>
      </c>
      <c r="H12">
        <v>1.1999685342583262</v>
      </c>
      <c r="I12">
        <v>0.59687156970362243</v>
      </c>
    </row>
    <row r="13" spans="2:9" x14ac:dyDescent="0.3">
      <c r="B13" s="387" t="s">
        <v>320</v>
      </c>
      <c r="C13">
        <v>0.86048614726918959</v>
      </c>
      <c r="D13">
        <v>0.79249568838598416</v>
      </c>
      <c r="E13">
        <v>0.67354317907895844</v>
      </c>
      <c r="F13">
        <v>0.59173152968067744</v>
      </c>
      <c r="G13">
        <v>0.8446089414273964</v>
      </c>
      <c r="H13">
        <v>2.8791941466373943</v>
      </c>
      <c r="I13">
        <v>1.291227942115732</v>
      </c>
    </row>
    <row r="14" spans="2:9" x14ac:dyDescent="0.3">
      <c r="B14" s="387" t="s">
        <v>325</v>
      </c>
      <c r="C14">
        <v>0.90041771552281002</v>
      </c>
      <c r="D14">
        <v>0.87858775361404406</v>
      </c>
      <c r="E14">
        <v>0.69036073660901975</v>
      </c>
      <c r="F14">
        <v>0.60844889165992899</v>
      </c>
      <c r="G14">
        <v>0.82430671531328326</v>
      </c>
      <c r="H14">
        <v>2.2670147585664622</v>
      </c>
      <c r="I14">
        <v>1.1427945765433676</v>
      </c>
    </row>
    <row r="15" spans="2:9" x14ac:dyDescent="0.3">
      <c r="B15" s="387" t="s">
        <v>326</v>
      </c>
      <c r="C15">
        <v>0.97465098597473188</v>
      </c>
      <c r="D15">
        <v>0.92497068133922355</v>
      </c>
      <c r="E15">
        <v>0.67739227145847869</v>
      </c>
      <c r="F15">
        <v>0.64712737542319532</v>
      </c>
      <c r="G15">
        <v>0.84588756469098614</v>
      </c>
      <c r="H15">
        <v>1.989648939475245</v>
      </c>
      <c r="I15">
        <v>1.1063368608950657</v>
      </c>
    </row>
    <row r="16" spans="2:9" x14ac:dyDescent="0.3">
      <c r="B16" s="387" t="s">
        <v>328</v>
      </c>
      <c r="C16">
        <v>0.80937625640130129</v>
      </c>
      <c r="D16">
        <v>0.76244580654806393</v>
      </c>
      <c r="E16">
        <v>0.56198960453678881</v>
      </c>
      <c r="F16">
        <v>0.56558402402791552</v>
      </c>
      <c r="G16">
        <v>0.75715843914365921</v>
      </c>
      <c r="H16">
        <v>1.7881486709986367</v>
      </c>
      <c r="I16">
        <v>0.97440011537976179</v>
      </c>
    </row>
    <row r="17" spans="2:9" x14ac:dyDescent="0.3">
      <c r="B17" s="387" t="s">
        <v>357</v>
      </c>
      <c r="C17">
        <v>24.252984757848989</v>
      </c>
      <c r="D17">
        <v>19.920760814171519</v>
      </c>
      <c r="E17">
        <v>14.752558288295868</v>
      </c>
      <c r="F17">
        <v>13.982699220832338</v>
      </c>
      <c r="G17">
        <v>17.352339824678676</v>
      </c>
      <c r="H17">
        <v>36.962229164299636</v>
      </c>
      <c r="I17">
        <v>21.788310279805732</v>
      </c>
    </row>
  </sheetData>
  <pageMargins left="0.7" right="0.7" top="0.75" bottom="0.75" header="0.3" footer="0.3"/>
</worksheet>
</file>

<file path=xl/worksheets/sheet1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9FD28D-22C2-4887-9D9A-B17147022B7E}">
  <sheetPr>
    <tabColor theme="7" tint="-0.249977111117893"/>
  </sheetPr>
  <dimension ref="A1:H13"/>
  <sheetViews>
    <sheetView workbookViewId="0"/>
  </sheetViews>
  <sheetFormatPr defaultRowHeight="14.4" x14ac:dyDescent="0.3"/>
  <cols>
    <col min="1" max="1" width="7.44140625" bestFit="1" customWidth="1"/>
    <col min="2" max="7" width="11.88671875" bestFit="1" customWidth="1"/>
    <col min="8" max="8" width="13.6640625" bestFit="1" customWidth="1"/>
  </cols>
  <sheetData>
    <row r="1" spans="1:8" x14ac:dyDescent="0.3">
      <c r="A1" t="s">
        <v>208</v>
      </c>
      <c r="B1" t="s">
        <v>987</v>
      </c>
      <c r="C1" t="s">
        <v>988</v>
      </c>
      <c r="D1" t="s">
        <v>989</v>
      </c>
      <c r="E1" t="s">
        <v>990</v>
      </c>
      <c r="F1" t="s">
        <v>991</v>
      </c>
      <c r="G1" t="s">
        <v>992</v>
      </c>
      <c r="H1" t="s">
        <v>993</v>
      </c>
    </row>
    <row r="2" spans="1:8" x14ac:dyDescent="0.3">
      <c r="A2" t="s">
        <v>364</v>
      </c>
      <c r="B2">
        <v>3.2383018810173998</v>
      </c>
      <c r="C2">
        <v>2.4963871217651699</v>
      </c>
      <c r="D2">
        <v>1.7888109120957101</v>
      </c>
      <c r="E2">
        <v>2.17919399729813</v>
      </c>
      <c r="F2">
        <v>2.1170750711117798</v>
      </c>
      <c r="G2">
        <v>3.6214893874166001</v>
      </c>
      <c r="H2">
        <v>2.53191808848096</v>
      </c>
    </row>
    <row r="3" spans="1:8" x14ac:dyDescent="0.3">
      <c r="A3" t="s">
        <v>365</v>
      </c>
      <c r="B3">
        <v>3.1868346484751102</v>
      </c>
      <c r="C3">
        <v>2.3587378131879699</v>
      </c>
      <c r="D3">
        <v>1.6718611261747101</v>
      </c>
      <c r="E3">
        <v>1.78860036633983</v>
      </c>
      <c r="F3">
        <v>1.9208273399</v>
      </c>
      <c r="G3">
        <v>3.5313264951207199</v>
      </c>
      <c r="H3">
        <v>2.3452202857356599</v>
      </c>
    </row>
    <row r="4" spans="1:8" x14ac:dyDescent="0.3">
      <c r="A4" t="s">
        <v>366</v>
      </c>
      <c r="B4">
        <v>3.1836633765377398</v>
      </c>
      <c r="C4">
        <v>2.4072968224256099</v>
      </c>
      <c r="D4">
        <v>1.7431198195046</v>
      </c>
      <c r="E4">
        <v>1.77315129774044</v>
      </c>
      <c r="F4">
        <v>2.02073514685482</v>
      </c>
      <c r="G4">
        <v>4.0293256937670296</v>
      </c>
      <c r="H4">
        <v>2.5074446305602098</v>
      </c>
    </row>
    <row r="5" spans="1:8" x14ac:dyDescent="0.3">
      <c r="A5" t="s">
        <v>341</v>
      </c>
      <c r="B5">
        <v>2.6751335129753002</v>
      </c>
      <c r="C5">
        <v>2.23490559668745</v>
      </c>
      <c r="D5">
        <v>1.7018839798088801</v>
      </c>
      <c r="E5">
        <v>1.3071088286823001</v>
      </c>
      <c r="F5">
        <v>1.9537466004626001</v>
      </c>
      <c r="G5">
        <v>4.1736147049239998</v>
      </c>
      <c r="H5">
        <v>2.3903269376653702</v>
      </c>
    </row>
    <row r="6" spans="1:8" x14ac:dyDescent="0.3">
      <c r="A6" t="s">
        <v>342</v>
      </c>
      <c r="B6">
        <v>2.7273436226099399</v>
      </c>
      <c r="C6">
        <v>2.2093953467700702</v>
      </c>
      <c r="D6">
        <v>1.6209257770713299</v>
      </c>
      <c r="E6">
        <v>1.39846824355774</v>
      </c>
      <c r="F6">
        <v>1.92917123571634</v>
      </c>
      <c r="G6">
        <v>3.99921035100841</v>
      </c>
      <c r="H6">
        <v>2.35853856363368</v>
      </c>
    </row>
    <row r="7" spans="1:8" x14ac:dyDescent="0.3">
      <c r="A7" t="s">
        <v>213</v>
      </c>
      <c r="B7">
        <v>2.6244121620157301</v>
      </c>
      <c r="C7">
        <v>2.2083850613962599</v>
      </c>
      <c r="D7">
        <v>1.6496084534584401</v>
      </c>
      <c r="E7">
        <v>1.4152106479203099</v>
      </c>
      <c r="F7">
        <v>1.87941605212535</v>
      </c>
      <c r="G7">
        <v>3.77556001518685</v>
      </c>
      <c r="H7">
        <v>2.2909655946010599</v>
      </c>
    </row>
    <row r="8" spans="1:8" x14ac:dyDescent="0.3">
      <c r="A8" t="s">
        <v>312</v>
      </c>
      <c r="B8">
        <v>2.5909500763667817</v>
      </c>
      <c r="C8">
        <v>2.1887441563666123</v>
      </c>
      <c r="D8">
        <v>1.6055974529491785</v>
      </c>
      <c r="E8">
        <v>1.3978495723593021</v>
      </c>
      <c r="F8">
        <v>1.8302517057382788</v>
      </c>
      <c r="G8">
        <v>3.7077274669399558</v>
      </c>
      <c r="H8">
        <v>2.2522651144912418</v>
      </c>
    </row>
    <row r="9" spans="1:8" x14ac:dyDescent="0.3">
      <c r="A9" t="s">
        <v>318</v>
      </c>
      <c r="B9">
        <v>0.48141437268295645</v>
      </c>
      <c r="C9">
        <v>0.45840896568505429</v>
      </c>
      <c r="D9">
        <v>0.36746497554977431</v>
      </c>
      <c r="E9">
        <v>0.31022444614256844</v>
      </c>
      <c r="F9">
        <v>0.42915501219418262</v>
      </c>
      <c r="G9">
        <v>1.1999685342583262</v>
      </c>
      <c r="H9">
        <v>0.59687156970362243</v>
      </c>
    </row>
    <row r="10" spans="1:8" x14ac:dyDescent="0.3">
      <c r="A10" t="s">
        <v>320</v>
      </c>
      <c r="B10">
        <v>0.86048614726918959</v>
      </c>
      <c r="C10">
        <v>0.79249568838598416</v>
      </c>
      <c r="D10">
        <v>0.67354317907895844</v>
      </c>
      <c r="E10">
        <v>0.59173152968067744</v>
      </c>
      <c r="F10">
        <v>0.8446089414273964</v>
      </c>
      <c r="G10">
        <v>2.8791941466373943</v>
      </c>
      <c r="H10">
        <v>1.291227942115732</v>
      </c>
    </row>
    <row r="11" spans="1:8" x14ac:dyDescent="0.3">
      <c r="A11" t="s">
        <v>325</v>
      </c>
      <c r="B11">
        <v>0.90041771552281002</v>
      </c>
      <c r="C11">
        <v>0.87858775361404406</v>
      </c>
      <c r="D11">
        <v>0.69036073660901975</v>
      </c>
      <c r="E11">
        <v>0.60844889165992899</v>
      </c>
      <c r="F11">
        <v>0.82430671531328326</v>
      </c>
      <c r="G11">
        <v>2.2670147585664622</v>
      </c>
      <c r="H11">
        <v>1.1427945765433676</v>
      </c>
    </row>
    <row r="12" spans="1:8" x14ac:dyDescent="0.3">
      <c r="A12" t="s">
        <v>326</v>
      </c>
      <c r="B12">
        <v>0.97465098597473188</v>
      </c>
      <c r="C12">
        <v>0.92497068133922355</v>
      </c>
      <c r="D12">
        <v>0.67739227145847869</v>
      </c>
      <c r="E12">
        <v>0.64712737542319532</v>
      </c>
      <c r="F12">
        <v>0.84588756469098614</v>
      </c>
      <c r="G12">
        <v>1.989648939475245</v>
      </c>
      <c r="H12">
        <v>1.1063368608950657</v>
      </c>
    </row>
    <row r="13" spans="1:8" x14ac:dyDescent="0.3">
      <c r="A13" t="s">
        <v>328</v>
      </c>
      <c r="B13">
        <v>0.80937625640130129</v>
      </c>
      <c r="C13">
        <v>0.76244580654806393</v>
      </c>
      <c r="D13">
        <v>0.56198960453678881</v>
      </c>
      <c r="E13">
        <v>0.56558402402791552</v>
      </c>
      <c r="F13">
        <v>0.75715843914365921</v>
      </c>
      <c r="G13">
        <v>1.7881486709986367</v>
      </c>
      <c r="H13">
        <v>0.97440011537976179</v>
      </c>
    </row>
  </sheetData>
  <pageMargins left="0.7" right="0.7" top="0.75" bottom="0.75" header="0.3" footer="0.3"/>
  <tableParts count="1">
    <tablePart r:id="rId1"/>
  </tableParts>
</worksheet>
</file>

<file path=xl/worksheets/sheet1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tabColor theme="7" tint="-0.249977111117893"/>
  </sheetPr>
  <dimension ref="A1:AA49"/>
  <sheetViews>
    <sheetView showGridLines="0" zoomScaleNormal="100" workbookViewId="0">
      <pane ySplit="2" topLeftCell="A3" activePane="bottomLeft" state="frozen"/>
      <selection pane="bottomLeft"/>
    </sheetView>
  </sheetViews>
  <sheetFormatPr defaultRowHeight="14.4" x14ac:dyDescent="0.3"/>
  <cols>
    <col min="1" max="1" width="18.33203125" customWidth="1"/>
    <col min="2" max="2" width="14.88671875" customWidth="1"/>
    <col min="3" max="3" width="14.6640625" customWidth="1"/>
    <col min="4" max="4" width="16" customWidth="1"/>
    <col min="5" max="5" width="14.44140625" customWidth="1"/>
    <col min="6" max="6" width="17.109375" customWidth="1"/>
    <col min="7" max="7" width="14.88671875" customWidth="1"/>
    <col min="8" max="8" width="14.44140625" customWidth="1"/>
    <col min="9" max="9" width="8.5546875" bestFit="1" customWidth="1"/>
    <col min="10" max="15" width="12.5546875" bestFit="1" customWidth="1"/>
    <col min="16" max="16" width="15.44140625" customWidth="1"/>
    <col min="17" max="17" width="18.5546875" customWidth="1"/>
    <col min="18" max="18" width="12.88671875" bestFit="1" customWidth="1"/>
    <col min="19" max="19" width="11.109375" bestFit="1" customWidth="1"/>
    <col min="20" max="22" width="12.109375" bestFit="1" customWidth="1"/>
    <col min="23" max="23" width="11.88671875" bestFit="1" customWidth="1"/>
    <col min="24" max="24" width="16" bestFit="1" customWidth="1"/>
    <col min="25" max="31" width="19.88671875" bestFit="1" customWidth="1"/>
    <col min="32" max="32" width="19.88671875" customWidth="1"/>
    <col min="33" max="37" width="19.88671875" bestFit="1" customWidth="1"/>
    <col min="38" max="38" width="17.33203125" bestFit="1" customWidth="1"/>
    <col min="39" max="39" width="24.6640625" bestFit="1" customWidth="1"/>
    <col min="40" max="40" width="18.6640625" bestFit="1" customWidth="1"/>
  </cols>
  <sheetData>
    <row r="1" spans="1:27" ht="15.6" x14ac:dyDescent="0.3">
      <c r="A1" s="513" t="s">
        <v>915</v>
      </c>
      <c r="B1" s="513"/>
      <c r="C1" s="513"/>
    </row>
    <row r="2" spans="1:27" ht="15.6" x14ac:dyDescent="0.3">
      <c r="A2" s="498" t="s">
        <v>202</v>
      </c>
      <c r="B2" s="440"/>
      <c r="C2" s="440"/>
    </row>
    <row r="3" spans="1:27" x14ac:dyDescent="0.3">
      <c r="A3" s="25"/>
      <c r="B3" s="25"/>
      <c r="C3" s="25"/>
      <c r="D3" s="25"/>
      <c r="E3" s="25"/>
      <c r="F3" s="25"/>
      <c r="G3" s="25"/>
      <c r="H3" s="25"/>
      <c r="I3" s="25"/>
      <c r="Z3" s="25"/>
      <c r="AA3" s="25"/>
    </row>
    <row r="4" spans="1:27" ht="15.75" customHeight="1" x14ac:dyDescent="0.3">
      <c r="A4" s="522" t="s">
        <v>994</v>
      </c>
      <c r="B4" s="522"/>
      <c r="C4" s="522"/>
      <c r="D4" s="522"/>
      <c r="E4" s="522"/>
      <c r="F4" s="522"/>
      <c r="G4" s="522"/>
      <c r="H4" s="522"/>
      <c r="I4" s="522"/>
      <c r="Z4" s="522"/>
      <c r="AA4" s="522"/>
    </row>
    <row r="5" spans="1:27" ht="15.6" x14ac:dyDescent="0.3">
      <c r="A5" t="s">
        <v>203</v>
      </c>
      <c r="B5" t="s">
        <v>147</v>
      </c>
      <c r="C5" s="499"/>
      <c r="D5" s="499"/>
      <c r="E5" s="499"/>
      <c r="F5" s="499"/>
      <c r="G5" s="499"/>
      <c r="H5" s="499"/>
      <c r="I5" s="499"/>
      <c r="Z5" s="499"/>
      <c r="AA5" s="499"/>
    </row>
    <row r="6" spans="1:27" ht="15.6" x14ac:dyDescent="0.3">
      <c r="A6" t="s">
        <v>204</v>
      </c>
      <c r="B6" t="s">
        <v>205</v>
      </c>
      <c r="C6" s="499"/>
      <c r="D6" s="499"/>
      <c r="E6" s="499"/>
      <c r="F6" s="499"/>
      <c r="G6" s="499"/>
      <c r="H6" s="499"/>
      <c r="I6" s="499"/>
      <c r="Z6" s="499"/>
      <c r="AA6" s="499"/>
    </row>
    <row r="7" spans="1:27" ht="15.6" x14ac:dyDescent="0.3">
      <c r="A7" t="s">
        <v>206</v>
      </c>
      <c r="B7" t="s">
        <v>917</v>
      </c>
      <c r="C7" s="499"/>
      <c r="D7" s="499"/>
      <c r="E7" s="499"/>
      <c r="F7" s="499"/>
      <c r="G7" s="499"/>
      <c r="H7" s="499"/>
      <c r="I7" s="499"/>
      <c r="Z7" s="499"/>
      <c r="AA7" s="499"/>
    </row>
    <row r="8" spans="1:27" ht="15.6" x14ac:dyDescent="0.3">
      <c r="C8" s="499"/>
      <c r="D8" s="499"/>
      <c r="E8" s="499"/>
      <c r="F8" s="499"/>
      <c r="G8" s="499"/>
      <c r="H8" s="499"/>
      <c r="I8" s="499"/>
      <c r="Z8" s="499"/>
      <c r="AA8" s="499"/>
    </row>
    <row r="9" spans="1:27" x14ac:dyDescent="0.3">
      <c r="C9" s="523" t="s">
        <v>995</v>
      </c>
    </row>
    <row r="10" spans="1:27" x14ac:dyDescent="0.3">
      <c r="A10" s="540" t="s">
        <v>208</v>
      </c>
      <c r="B10" s="647" t="s">
        <v>987</v>
      </c>
      <c r="C10" s="647" t="s">
        <v>988</v>
      </c>
      <c r="D10" s="647" t="s">
        <v>989</v>
      </c>
      <c r="E10" s="647" t="s">
        <v>990</v>
      </c>
      <c r="F10" s="647" t="s">
        <v>991</v>
      </c>
      <c r="G10" s="647" t="s">
        <v>992</v>
      </c>
      <c r="H10" s="647" t="s">
        <v>993</v>
      </c>
    </row>
    <row r="11" spans="1:27" x14ac:dyDescent="0.3">
      <c r="A11" s="312" t="s">
        <v>364</v>
      </c>
      <c r="B11" s="368">
        <f>GETPIVOTDATA("Sum of Under 5s",ResidentsPivot!$A$1,"Year",A11)</f>
        <v>9522</v>
      </c>
      <c r="C11" s="368">
        <f>GETPIVOTDATA("Sum of 5 to 10",ResidentsPivot!$A$1,"Year",A11)</f>
        <v>8378</v>
      </c>
      <c r="D11" s="368">
        <f>GETPIVOTDATA("Sum of 11 to 16",ResidentsPivot!$A$1,"Year",A11)</f>
        <v>6148</v>
      </c>
      <c r="E11" s="368">
        <f>GETPIVOTDATA("Sum of 17 to 30",ResidentsPivot!$A$1,"Year",A11)</f>
        <v>21422</v>
      </c>
      <c r="F11" s="368">
        <f>GETPIVOTDATA("Sum of 31 to 60",ResidentsPivot!$A$1,"Year",A11)</f>
        <v>45974</v>
      </c>
      <c r="G11" s="368">
        <f>GETPIVOTDATA("Sum of Over 60",ResidentsPivot!$A$1,"Year",A11)</f>
        <v>43449</v>
      </c>
      <c r="H11" s="749">
        <f>GETPIVOTDATA("Sum of All Residents",ResidentsPivot!$A$1,"Year",A11)</f>
        <v>134893</v>
      </c>
    </row>
    <row r="12" spans="1:27" x14ac:dyDescent="0.3">
      <c r="A12" s="312" t="s">
        <v>365</v>
      </c>
      <c r="B12" s="368">
        <f>GETPIVOTDATA("Sum of Under 5s",ResidentsPivot!$A$1,"Year",A12)</f>
        <v>9301</v>
      </c>
      <c r="C12" s="368">
        <f>GETPIVOTDATA("Sum of 5 to 10",ResidentsPivot!$A$1,"Year",A12)</f>
        <v>8100</v>
      </c>
      <c r="D12" s="368">
        <f>GETPIVOTDATA("Sum of 11 to 16",ResidentsPivot!$A$1,"Year",A12)</f>
        <v>5611</v>
      </c>
      <c r="E12" s="368">
        <f>GETPIVOTDATA("Sum of 17 to 30",ResidentsPivot!$A$1,"Year",A12)</f>
        <v>17596</v>
      </c>
      <c r="F12" s="368">
        <f>GETPIVOTDATA("Sum of 31 to 60",ResidentsPivot!$A$1,"Year",A12)</f>
        <v>41757</v>
      </c>
      <c r="G12" s="368">
        <f>GETPIVOTDATA("Sum of Over 60",ResidentsPivot!$A$1,"Year",A12)</f>
        <v>43048</v>
      </c>
      <c r="H12" s="749">
        <f>GETPIVOTDATA("Sum of All Residents",ResidentsPivot!$A$1,"Year",A12)</f>
        <v>125413</v>
      </c>
    </row>
    <row r="13" spans="1:27" x14ac:dyDescent="0.3">
      <c r="A13" s="312" t="s">
        <v>366</v>
      </c>
      <c r="B13" s="368">
        <f>GETPIVOTDATA("Sum of Under 5s",ResidentsPivot!$A$1,"Year",A13)</f>
        <v>9270</v>
      </c>
      <c r="C13" s="368">
        <f>GETPIVOTDATA("Sum of 5 to 10",ResidentsPivot!$A$1,"Year",A13)</f>
        <v>8385</v>
      </c>
      <c r="D13" s="368">
        <f>GETPIVOTDATA("Sum of 11 to 16",ResidentsPivot!$A$1,"Year",A13)</f>
        <v>5779</v>
      </c>
      <c r="E13" s="368">
        <f>GETPIVOTDATA("Sum of 17 to 30",ResidentsPivot!$A$1,"Year",A13)</f>
        <v>17567</v>
      </c>
      <c r="F13" s="368">
        <f>GETPIVOTDATA("Sum of 31 to 60",ResidentsPivot!$A$1,"Year",A13)</f>
        <v>43991</v>
      </c>
      <c r="G13" s="368">
        <f>GETPIVOTDATA("Sum of Over 60",ResidentsPivot!$A$1,"Year",A13)</f>
        <v>49733</v>
      </c>
      <c r="H13" s="749">
        <f>GETPIVOTDATA("Sum of All Residents",ResidentsPivot!$A$1,"Year",A13)</f>
        <v>134725</v>
      </c>
    </row>
    <row r="14" spans="1:27" x14ac:dyDescent="0.3">
      <c r="A14" s="312" t="s">
        <v>341</v>
      </c>
      <c r="B14" s="368">
        <f>GETPIVOTDATA("Sum of Under 5s",ResidentsPivot!$A$1,"Year",A14)</f>
        <v>7684</v>
      </c>
      <c r="C14" s="368">
        <f>GETPIVOTDATA("Sum of 5 to 10",ResidentsPivot!$A$1,"Year",A14)</f>
        <v>7945</v>
      </c>
      <c r="D14" s="368">
        <f>GETPIVOTDATA("Sum of 11 to 16",ResidentsPivot!$A$1,"Year",A14)</f>
        <v>5617</v>
      </c>
      <c r="E14" s="368">
        <f>GETPIVOTDATA("Sum of 17 to 30",ResidentsPivot!$A$1,"Year",A14)</f>
        <v>13019</v>
      </c>
      <c r="F14" s="368">
        <f>GETPIVOTDATA("Sum of 31 to 60",ResidentsPivot!$A$1,"Year",A14)</f>
        <v>42665</v>
      </c>
      <c r="G14" s="368">
        <f>GETPIVOTDATA("Sum of Over 60",ResidentsPivot!$A$1,"Year",A14)</f>
        <v>52260</v>
      </c>
      <c r="H14" s="749">
        <f>GETPIVOTDATA("Sum of All Residents",ResidentsPivot!$A$1,"Year",A14)</f>
        <v>129190</v>
      </c>
    </row>
    <row r="15" spans="1:27" x14ac:dyDescent="0.3">
      <c r="A15" s="312" t="s">
        <v>342</v>
      </c>
      <c r="B15" s="368">
        <f>GETPIVOTDATA("Sum of Under 5s",ResidentsPivot!$A$1,"Year",A15)</f>
        <v>7694</v>
      </c>
      <c r="C15" s="368">
        <f>GETPIVOTDATA("Sum of 5 to 10",ResidentsPivot!$A$1,"Year",A15)</f>
        <v>7954</v>
      </c>
      <c r="D15" s="368">
        <f>GETPIVOTDATA("Sum of 11 to 16",ResidentsPivot!$A$1,"Year",A15)</f>
        <v>5364</v>
      </c>
      <c r="E15" s="368">
        <f>GETPIVOTDATA("Sum of 17 to 30",ResidentsPivot!$A$1,"Year",A15)</f>
        <v>13881</v>
      </c>
      <c r="F15" s="368">
        <f>GETPIVOTDATA("Sum of 31 to 60",ResidentsPivot!$A$1,"Year",A15)</f>
        <v>42205</v>
      </c>
      <c r="G15" s="368">
        <f>GETPIVOTDATA("Sum of Over 60",ResidentsPivot!$A$1,"Year",A15)</f>
        <v>50848</v>
      </c>
      <c r="H15" s="749">
        <f>GETPIVOTDATA("Sum of All Residents",ResidentsPivot!$A$1,"Year",A15)</f>
        <v>127946</v>
      </c>
    </row>
    <row r="16" spans="1:27" x14ac:dyDescent="0.3">
      <c r="A16" s="312" t="s">
        <v>213</v>
      </c>
      <c r="B16" s="368">
        <f>GETPIVOTDATA("Sum of Under 5s",ResidentsPivot!$A$1,"Year",A16)</f>
        <v>7266</v>
      </c>
      <c r="C16" s="368">
        <f>GETPIVOTDATA("Sum of 5 to 10",ResidentsPivot!$A$1,"Year",A16)</f>
        <v>7987</v>
      </c>
      <c r="D16" s="368">
        <f>GETPIVOTDATA("Sum of 11 to 16",ResidentsPivot!$A$1,"Year",A16)</f>
        <v>5517</v>
      </c>
      <c r="E16" s="368">
        <f>GETPIVOTDATA("Sum of 17 to 30",ResidentsPivot!$A$1,"Year",A16)</f>
        <v>13947</v>
      </c>
      <c r="F16" s="368">
        <f>GETPIVOTDATA("Sum of 31 to 60",ResidentsPivot!$A$1,"Year",A16)</f>
        <v>41141</v>
      </c>
      <c r="G16" s="368">
        <f>GETPIVOTDATA("Sum of Over 60",ResidentsPivot!$A$1,"Year",A16)</f>
        <v>48727</v>
      </c>
      <c r="H16" s="749">
        <f>GETPIVOTDATA("Sum of All Residents",ResidentsPivot!$A$1,"Year",A16)</f>
        <v>124585</v>
      </c>
    </row>
    <row r="17" spans="1:27" x14ac:dyDescent="0.3">
      <c r="A17" s="312" t="s">
        <v>312</v>
      </c>
      <c r="B17" s="368">
        <f>GETPIVOTDATA("Sum of Under 5s",ResidentsPivot!$A$1,"Year",A17)</f>
        <v>7040</v>
      </c>
      <c r="C17" s="368">
        <f>GETPIVOTDATA("Sum of 5 to 10",ResidentsPivot!$A$1,"Year",A17)</f>
        <v>7889</v>
      </c>
      <c r="D17" s="368">
        <f>GETPIVOTDATA("Sum of 11 to 16",ResidentsPivot!$A$1,"Year",A17)</f>
        <v>5512</v>
      </c>
      <c r="E17" s="368">
        <f>GETPIVOTDATA("Sum of 17 to 30",ResidentsPivot!$A$1,"Year",A17)</f>
        <v>13665</v>
      </c>
      <c r="F17" s="368">
        <f>GETPIVOTDATA("Sum of 31 to 60",ResidentsPivot!$A$1,"Year",A17)</f>
        <v>40173</v>
      </c>
      <c r="G17" s="368">
        <f>GETPIVOTDATA("Sum of Over 60",ResidentsPivot!$A$1,"Year",A17)</f>
        <v>48769</v>
      </c>
      <c r="H17" s="749">
        <f>GETPIVOTDATA("Sum of All Residents",ResidentsPivot!$A$1,"Year",A17)</f>
        <v>123048</v>
      </c>
    </row>
    <row r="18" spans="1:27" x14ac:dyDescent="0.3">
      <c r="A18" s="312" t="s">
        <v>318</v>
      </c>
      <c r="B18" s="368">
        <f>GETPIVOTDATA("Sum of Under 5s",ResidentsPivot!$A$1,"Year",A18)</f>
        <v>1270</v>
      </c>
      <c r="C18" s="368">
        <f>GETPIVOTDATA("Sum of 5 to 10",ResidentsPivot!$A$1,"Year",A18)</f>
        <v>1639</v>
      </c>
      <c r="D18" s="368">
        <f>GETPIVOTDATA("Sum of 11 to 16",ResidentsPivot!$A$1,"Year",A18)</f>
        <v>1291</v>
      </c>
      <c r="E18" s="368">
        <f>GETPIVOTDATA("Sum of 17 to 30",ResidentsPivot!$A$1,"Year",A18)</f>
        <v>2992</v>
      </c>
      <c r="F18" s="368">
        <f>GETPIVOTDATA("Sum of 31 to 60",ResidentsPivot!$A$1,"Year",A18)</f>
        <v>9416</v>
      </c>
      <c r="G18" s="368">
        <f>GETPIVOTDATA("Sum of Over 60",ResidentsPivot!$A$1,"Year",A18)</f>
        <v>16017</v>
      </c>
      <c r="H18" s="749">
        <f>GETPIVOTDATA("Sum of All Residents",ResidentsPivot!$A$1,"Year",A18)</f>
        <v>32625</v>
      </c>
    </row>
    <row r="19" spans="1:27" x14ac:dyDescent="0.3">
      <c r="A19" s="312" t="s">
        <v>320</v>
      </c>
      <c r="B19" s="368">
        <f>GETPIVOTDATA("Sum of Under 5s",ResidentsPivot!$A$1,"Year",A19)</f>
        <v>2198</v>
      </c>
      <c r="C19" s="368">
        <f>GETPIVOTDATA("Sum of 5 to 10",ResidentsPivot!$A$1,"Year",A19)</f>
        <v>2826</v>
      </c>
      <c r="D19" s="368">
        <f>GETPIVOTDATA("Sum of 11 to 16",ResidentsPivot!$A$1,"Year",A19)</f>
        <v>2403</v>
      </c>
      <c r="E19" s="368">
        <f>GETPIVOTDATA("Sum of 17 to 30",ResidentsPivot!$A$1,"Year",A19)</f>
        <v>5628</v>
      </c>
      <c r="F19" s="368">
        <f>GETPIVOTDATA("Sum of 31 to 60",ResidentsPivot!$A$1,"Year",A19)</f>
        <v>18596</v>
      </c>
      <c r="G19" s="368">
        <f>GETPIVOTDATA("Sum of Over 60",ResidentsPivot!$A$1,"Year",A19)</f>
        <v>39107</v>
      </c>
      <c r="H19" s="749">
        <f>GETPIVOTDATA("Sum of All Residents",ResidentsPivot!$A$1,"Year",A19)</f>
        <v>70758</v>
      </c>
    </row>
    <row r="20" spans="1:27" x14ac:dyDescent="0.3">
      <c r="A20" s="312" t="s">
        <v>325</v>
      </c>
      <c r="B20" s="368">
        <f>GETPIVOTDATA("Sum of Under 5s",ResidentsPivot!$A$1,"Year",A20)</f>
        <v>2300</v>
      </c>
      <c r="C20" s="368">
        <f>GETPIVOTDATA("Sum of 5 to 10",ResidentsPivot!$A$1,"Year",A20)</f>
        <v>3133</v>
      </c>
      <c r="D20" s="368">
        <f>GETPIVOTDATA("Sum of 11 to 16",ResidentsPivot!$A$1,"Year",A20)</f>
        <v>2463</v>
      </c>
      <c r="E20" s="368">
        <f>GETPIVOTDATA("Sum of 17 to 30",ResidentsPivot!$A$1,"Year",A20)</f>
        <v>5787</v>
      </c>
      <c r="F20" s="368">
        <f>GETPIVOTDATA("Sum of 31 to 60",ResidentsPivot!$A$1,"Year",A20)</f>
        <v>18149</v>
      </c>
      <c r="G20" s="368">
        <f>GETPIVOTDATA("Sum of Over 60",ResidentsPivot!$A$1,"Year",A20)</f>
        <v>30792</v>
      </c>
      <c r="H20" s="749">
        <f>GETPIVOTDATA("Sum of All Residents",ResidentsPivot!$A$1,"Year",A20)</f>
        <v>62624</v>
      </c>
    </row>
    <row r="21" spans="1:27" x14ac:dyDescent="0.3">
      <c r="A21" s="312" t="s">
        <v>326</v>
      </c>
      <c r="B21" s="368">
        <f>GETPIVOTDATA("Sum of Under 5s",ResidentsPivot!$A$1,"Year",A21)</f>
        <v>2410</v>
      </c>
      <c r="C21" s="368">
        <f>GETPIVOTDATA("Sum of 5 to 10",ResidentsPivot!$A$1,"Year",A21)</f>
        <v>3147</v>
      </c>
      <c r="D21" s="368">
        <f>GETPIVOTDATA("Sum of 11 to 16",ResidentsPivot!$A$1,"Year",A21)</f>
        <v>2485</v>
      </c>
      <c r="E21" s="368">
        <f>GETPIVOTDATA("Sum of 17 to 30",ResidentsPivot!$A$1,"Year",A21)</f>
        <v>6086</v>
      </c>
      <c r="F21" s="368">
        <f>GETPIVOTDATA("Sum of 31 to 60",ResidentsPivot!$A$1,"Year",A21)</f>
        <v>18432</v>
      </c>
      <c r="G21" s="368">
        <f>GETPIVOTDATA("Sum of Over 60",ResidentsPivot!$A$1,"Year",A21)</f>
        <v>28179</v>
      </c>
      <c r="H21" s="749">
        <f>GETPIVOTDATA("Sum of All Residents",ResidentsPivot!$A$1,"Year",A21)</f>
        <v>60739</v>
      </c>
      <c r="Q21" s="176"/>
      <c r="R21" s="176"/>
      <c r="S21" s="176"/>
      <c r="T21" s="176"/>
      <c r="U21" s="176"/>
      <c r="V21" s="176"/>
      <c r="W21" s="176"/>
      <c r="X21" s="176"/>
      <c r="Y21" s="176"/>
    </row>
    <row r="22" spans="1:27" ht="15" thickBot="1" x14ac:dyDescent="0.35">
      <c r="A22" s="524" t="s">
        <v>328</v>
      </c>
      <c r="B22" s="755">
        <f>GETPIVOTDATA("Sum of Under 5s",ResidentsPivot!$A$1,"Year",A22)</f>
        <v>1993</v>
      </c>
      <c r="C22" s="755">
        <f>GETPIVOTDATA("Sum of 5 to 10",ResidentsPivot!$A$1,"Year",A22)</f>
        <v>2601</v>
      </c>
      <c r="D22" s="755">
        <f>GETPIVOTDATA("Sum of 11 to 16",ResidentsPivot!$A$1,"Year",A22)</f>
        <v>2090</v>
      </c>
      <c r="E22" s="755">
        <f>GETPIVOTDATA("Sum of 17 to 30",ResidentsPivot!$A$1,"Year",A22)</f>
        <v>5412</v>
      </c>
      <c r="F22" s="755">
        <f>GETPIVOTDATA("Sum of 31 to 60",ResidentsPivot!$A$1,"Year",A22)</f>
        <v>16549</v>
      </c>
      <c r="G22" s="755">
        <f>GETPIVOTDATA("Sum of Over 60",ResidentsPivot!$A$1,"Year",A22)</f>
        <v>25840</v>
      </c>
      <c r="H22" s="879">
        <f>GETPIVOTDATA("Sum of All Residents",ResidentsPivot!$A$1,"Year",A22)</f>
        <v>54523</v>
      </c>
      <c r="Q22" s="176"/>
      <c r="R22" s="176"/>
      <c r="S22" s="176"/>
      <c r="T22" s="176"/>
      <c r="U22" s="176"/>
      <c r="V22" s="176"/>
      <c r="W22" s="176"/>
      <c r="X22" s="176"/>
      <c r="Y22" s="176"/>
    </row>
    <row r="23" spans="1:27" x14ac:dyDescent="0.3">
      <c r="A23" s="312"/>
      <c r="Q23" s="176"/>
      <c r="R23" s="176"/>
      <c r="S23" s="176"/>
      <c r="T23" s="176"/>
      <c r="U23" s="176"/>
      <c r="V23" s="176"/>
      <c r="W23" s="176"/>
      <c r="X23" s="176"/>
      <c r="Y23" s="176"/>
    </row>
    <row r="24" spans="1:27" x14ac:dyDescent="0.3">
      <c r="A24" s="176" t="s">
        <v>329</v>
      </c>
      <c r="B24" s="176"/>
      <c r="C24" s="176"/>
      <c r="D24" s="176"/>
      <c r="E24" s="176"/>
      <c r="F24" s="176"/>
      <c r="G24" s="176"/>
      <c r="H24" s="176"/>
      <c r="Q24" s="1029"/>
      <c r="R24" s="1029"/>
      <c r="S24" s="1029"/>
      <c r="T24" s="1029"/>
      <c r="U24" s="1029"/>
      <c r="V24" s="1029"/>
      <c r="W24" s="1029"/>
      <c r="X24" s="1029"/>
    </row>
    <row r="25" spans="1:27" ht="45.6" customHeight="1" x14ac:dyDescent="0.3">
      <c r="A25" s="1029" t="s">
        <v>996</v>
      </c>
      <c r="B25" s="1029"/>
      <c r="C25" s="1029"/>
      <c r="D25" s="1029"/>
      <c r="E25" s="1029"/>
      <c r="F25" s="1029"/>
      <c r="G25" s="1029"/>
      <c r="H25" s="1029"/>
      <c r="X25" s="370"/>
    </row>
    <row r="26" spans="1:27" ht="15.6" x14ac:dyDescent="0.3">
      <c r="I26" s="522"/>
      <c r="Q26" s="522"/>
      <c r="R26" s="522"/>
      <c r="S26" s="522"/>
      <c r="T26" s="522"/>
      <c r="U26" s="522"/>
      <c r="V26" s="522"/>
      <c r="W26" s="522"/>
      <c r="X26" s="522"/>
      <c r="Y26" s="522"/>
      <c r="Z26" s="522"/>
      <c r="AA26" s="522"/>
    </row>
    <row r="27" spans="1:27" ht="15.6" x14ac:dyDescent="0.3">
      <c r="A27" s="522" t="s">
        <v>997</v>
      </c>
      <c r="B27" s="522"/>
      <c r="C27" s="522"/>
      <c r="D27" s="522"/>
      <c r="E27" s="522"/>
      <c r="F27" s="522"/>
      <c r="G27" s="522"/>
      <c r="H27" s="522"/>
      <c r="I27" s="499"/>
      <c r="S27" s="499"/>
      <c r="T27" s="499"/>
      <c r="U27" s="499"/>
      <c r="V27" s="499"/>
      <c r="W27" s="499"/>
      <c r="X27" s="499"/>
      <c r="Y27" s="499"/>
      <c r="Z27" s="499"/>
      <c r="AA27" s="499"/>
    </row>
    <row r="28" spans="1:27" ht="15.6" x14ac:dyDescent="0.3">
      <c r="A28" t="s">
        <v>203</v>
      </c>
      <c r="B28" t="s">
        <v>148</v>
      </c>
      <c r="C28" s="499"/>
      <c r="D28" s="499"/>
      <c r="E28" s="499"/>
      <c r="F28" s="499"/>
      <c r="G28" s="499"/>
      <c r="H28" s="499"/>
      <c r="I28" s="499"/>
      <c r="S28" s="499"/>
      <c r="T28" s="499"/>
      <c r="U28" s="499"/>
      <c r="V28" s="499"/>
      <c r="W28" s="499"/>
      <c r="X28" s="499"/>
      <c r="Y28" s="499"/>
      <c r="Z28" s="499"/>
      <c r="AA28" s="499"/>
    </row>
    <row r="29" spans="1:27" ht="15.6" x14ac:dyDescent="0.3">
      <c r="A29" t="s">
        <v>204</v>
      </c>
      <c r="B29" t="s">
        <v>205</v>
      </c>
      <c r="C29" s="499"/>
      <c r="D29" s="499"/>
      <c r="E29" s="499"/>
      <c r="F29" s="499"/>
      <c r="G29" s="499"/>
      <c r="H29" s="499"/>
      <c r="I29" s="499"/>
      <c r="S29" s="499"/>
      <c r="T29" s="499"/>
      <c r="U29" s="499"/>
      <c r="V29" s="499"/>
      <c r="W29" s="499"/>
      <c r="X29" s="499"/>
      <c r="Y29" s="499"/>
      <c r="Z29" s="499"/>
      <c r="AA29" s="499"/>
    </row>
    <row r="30" spans="1:27" ht="15.6" x14ac:dyDescent="0.3">
      <c r="A30" t="s">
        <v>206</v>
      </c>
      <c r="B30" t="s">
        <v>917</v>
      </c>
      <c r="C30" s="499"/>
      <c r="D30" s="499"/>
      <c r="E30" s="499"/>
      <c r="F30" s="499"/>
      <c r="G30" s="499"/>
      <c r="H30" s="499"/>
      <c r="S30" s="499"/>
      <c r="T30" s="499"/>
      <c r="U30" s="499"/>
      <c r="V30" s="499"/>
      <c r="W30" s="499"/>
      <c r="X30" s="499"/>
      <c r="Y30" s="499"/>
      <c r="Z30" s="499"/>
      <c r="AA30" s="499"/>
    </row>
    <row r="31" spans="1:27" ht="15.6" x14ac:dyDescent="0.3">
      <c r="B31" s="523"/>
      <c r="C31" s="523" t="s">
        <v>998</v>
      </c>
      <c r="D31" s="499"/>
      <c r="E31" s="499"/>
      <c r="F31" s="499"/>
      <c r="G31" s="499"/>
      <c r="Y31" s="499"/>
      <c r="Z31" s="499"/>
      <c r="AA31" s="499"/>
    </row>
    <row r="32" spans="1:27" x14ac:dyDescent="0.3">
      <c r="A32" s="540" t="s">
        <v>208</v>
      </c>
      <c r="B32" s="647" t="s">
        <v>987</v>
      </c>
      <c r="C32" s="647" t="s">
        <v>988</v>
      </c>
      <c r="D32" s="647" t="s">
        <v>989</v>
      </c>
      <c r="E32" s="647" t="s">
        <v>990</v>
      </c>
      <c r="F32" s="647" t="s">
        <v>991</v>
      </c>
      <c r="G32" s="647" t="s">
        <v>992</v>
      </c>
      <c r="H32" s="647" t="s">
        <v>993</v>
      </c>
    </row>
    <row r="33" spans="1:8" x14ac:dyDescent="0.3">
      <c r="A33" s="312" t="s">
        <v>364</v>
      </c>
      <c r="B33" s="751">
        <f>GETPIVOTDATA("Sum of Under 5s",ResidentsPercentPivot!$B$4,"Year",$A33)</f>
        <v>3.2383018810173998</v>
      </c>
      <c r="C33" s="751">
        <f>GETPIVOTDATA("Sum of 5 to 10",ResidentsPercentPivot!$B$4,"Year",$A33)</f>
        <v>2.4963871217651699</v>
      </c>
      <c r="D33" s="751">
        <f>GETPIVOTDATA("Sum of 11 to 16",ResidentsPercentPivot!$B$4,"Year",$A33)</f>
        <v>1.7888109120957101</v>
      </c>
      <c r="E33" s="751">
        <f>GETPIVOTDATA("Sum of 17 to 30",ResidentsPercentPivot!$B$4,"Year",$A33)</f>
        <v>2.17919399729813</v>
      </c>
      <c r="F33" s="751">
        <f>GETPIVOTDATA("Sum of 31 to 60",ResidentsPercentPivot!$B$4,"Year",$A33)</f>
        <v>2.1170750711117798</v>
      </c>
      <c r="G33" s="751">
        <f>GETPIVOTDATA("Sum of Over 60",ResidentsPercentPivot!$B$4,"Year",$A33)</f>
        <v>3.6214893874166001</v>
      </c>
      <c r="H33" s="752">
        <f>GETPIVOTDATA("Sum of All Residents",ResidentsPercentPivot!$B$4,"Year",A33)</f>
        <v>2.53191808848096</v>
      </c>
    </row>
    <row r="34" spans="1:8" x14ac:dyDescent="0.3">
      <c r="A34" s="312" t="s">
        <v>365</v>
      </c>
      <c r="B34" s="751">
        <f>GETPIVOTDATA("Sum of Under 5s",ResidentsPercentPivot!$B$4,"Year",$A34)</f>
        <v>3.1868346484751102</v>
      </c>
      <c r="C34" s="751">
        <f>GETPIVOTDATA("Sum of 5 to 10",ResidentsPercentPivot!$B$4,"Year",$A34)</f>
        <v>2.3587378131879699</v>
      </c>
      <c r="D34" s="751">
        <f>GETPIVOTDATA("Sum of 11 to 16",ResidentsPercentPivot!$B$4,"Year",$A34)</f>
        <v>1.6718611261747101</v>
      </c>
      <c r="E34" s="751">
        <f>GETPIVOTDATA("Sum of 17 to 30",ResidentsPercentPivot!$B$4,"Year",$A34)</f>
        <v>1.78860036633983</v>
      </c>
      <c r="F34" s="751">
        <f>GETPIVOTDATA("Sum of 31 to 60",ResidentsPercentPivot!$B$4,"Year",$A34)</f>
        <v>1.9208273399</v>
      </c>
      <c r="G34" s="751">
        <f>GETPIVOTDATA("Sum of Over 60",ResidentsPercentPivot!$B$4,"Year",$A34)</f>
        <v>3.5313264951207199</v>
      </c>
      <c r="H34" s="752">
        <f>GETPIVOTDATA("Sum of All Residents",ResidentsPercentPivot!$B$4,"Year",A34)</f>
        <v>2.3452202857356599</v>
      </c>
    </row>
    <row r="35" spans="1:8" x14ac:dyDescent="0.3">
      <c r="A35" s="312" t="s">
        <v>366</v>
      </c>
      <c r="B35" s="751">
        <f>GETPIVOTDATA("Sum of Under 5s",ResidentsPercentPivot!$B$4,"Year",$A35)</f>
        <v>3.1836633765377398</v>
      </c>
      <c r="C35" s="751">
        <f>GETPIVOTDATA("Sum of 5 to 10",ResidentsPercentPivot!$B$4,"Year",$A35)</f>
        <v>2.4072968224256099</v>
      </c>
      <c r="D35" s="751">
        <f>GETPIVOTDATA("Sum of 11 to 16",ResidentsPercentPivot!$B$4,"Year",$A35)</f>
        <v>1.7431198195046</v>
      </c>
      <c r="E35" s="751">
        <f>GETPIVOTDATA("Sum of 17 to 30",ResidentsPercentPivot!$B$4,"Year",$A35)</f>
        <v>1.77315129774044</v>
      </c>
      <c r="F35" s="751">
        <f>GETPIVOTDATA("Sum of 31 to 60",ResidentsPercentPivot!$B$4,"Year",$A35)</f>
        <v>2.02073514685482</v>
      </c>
      <c r="G35" s="751">
        <f>GETPIVOTDATA("Sum of Over 60",ResidentsPercentPivot!$B$4,"Year",$A35)</f>
        <v>4.0293256937670296</v>
      </c>
      <c r="H35" s="752">
        <f>GETPIVOTDATA("Sum of All Residents",ResidentsPercentPivot!$B$4,"Year",A35)</f>
        <v>2.5074446305602098</v>
      </c>
    </row>
    <row r="36" spans="1:8" x14ac:dyDescent="0.3">
      <c r="A36" s="312" t="s">
        <v>341</v>
      </c>
      <c r="B36" s="751">
        <f>GETPIVOTDATA("Sum of Under 5s",ResidentsPercentPivot!$B$4,"Year",$A36)</f>
        <v>2.6751335129753002</v>
      </c>
      <c r="C36" s="751">
        <f>GETPIVOTDATA("Sum of 5 to 10",ResidentsPercentPivot!$B$4,"Year",$A36)</f>
        <v>2.23490559668745</v>
      </c>
      <c r="D36" s="751">
        <f>GETPIVOTDATA("Sum of 11 to 16",ResidentsPercentPivot!$B$4,"Year",$A36)</f>
        <v>1.7018839798088801</v>
      </c>
      <c r="E36" s="751">
        <f>GETPIVOTDATA("Sum of 17 to 30",ResidentsPercentPivot!$B$4,"Year",$A36)</f>
        <v>1.3071088286823001</v>
      </c>
      <c r="F36" s="751">
        <f>GETPIVOTDATA("Sum of 31 to 60",ResidentsPercentPivot!$B$4,"Year",$A36)</f>
        <v>1.9537466004626001</v>
      </c>
      <c r="G36" s="751">
        <f>GETPIVOTDATA("Sum of Over 60",ResidentsPercentPivot!$B$4,"Year",$A36)</f>
        <v>4.1736147049239998</v>
      </c>
      <c r="H36" s="752">
        <f>GETPIVOTDATA("Sum of All Residents",ResidentsPercentPivot!$B$4,"Year",A36)</f>
        <v>2.3903269376653702</v>
      </c>
    </row>
    <row r="37" spans="1:8" x14ac:dyDescent="0.3">
      <c r="A37" s="312" t="s">
        <v>342</v>
      </c>
      <c r="B37" s="751">
        <f>GETPIVOTDATA("Sum of Under 5s",ResidentsPercentPivot!$B$4,"Year",$A37)</f>
        <v>2.7273436226099399</v>
      </c>
      <c r="C37" s="751">
        <f>GETPIVOTDATA("Sum of 5 to 10",ResidentsPercentPivot!$B$4,"Year",$A37)</f>
        <v>2.2093953467700702</v>
      </c>
      <c r="D37" s="751">
        <f>GETPIVOTDATA("Sum of 11 to 16",ResidentsPercentPivot!$B$4,"Year",$A37)</f>
        <v>1.6209257770713299</v>
      </c>
      <c r="E37" s="751">
        <f>GETPIVOTDATA("Sum of 17 to 30",ResidentsPercentPivot!$B$4,"Year",$A37)</f>
        <v>1.39846824355774</v>
      </c>
      <c r="F37" s="751">
        <f>GETPIVOTDATA("Sum of 31 to 60",ResidentsPercentPivot!$B$4,"Year",$A37)</f>
        <v>1.92917123571634</v>
      </c>
      <c r="G37" s="751">
        <f>GETPIVOTDATA("Sum of Over 60",ResidentsPercentPivot!$B$4,"Year",$A37)</f>
        <v>3.99921035100841</v>
      </c>
      <c r="H37" s="752">
        <f>GETPIVOTDATA("Sum of All Residents",ResidentsPercentPivot!$B$4,"Year",A37)</f>
        <v>2.35853856363368</v>
      </c>
    </row>
    <row r="38" spans="1:8" x14ac:dyDescent="0.3">
      <c r="A38" s="312" t="s">
        <v>213</v>
      </c>
      <c r="B38" s="751">
        <f>GETPIVOTDATA("Sum of Under 5s",ResidentsPercentPivot!$B$4,"Year",$A38)</f>
        <v>2.6244121620157301</v>
      </c>
      <c r="C38" s="751">
        <f>GETPIVOTDATA("Sum of 5 to 10",ResidentsPercentPivot!$B$4,"Year",$A38)</f>
        <v>2.2083850613962599</v>
      </c>
      <c r="D38" s="751">
        <f>GETPIVOTDATA("Sum of 11 to 16",ResidentsPercentPivot!$B$4,"Year",$A38)</f>
        <v>1.6496084534584401</v>
      </c>
      <c r="E38" s="751">
        <f>GETPIVOTDATA("Sum of 17 to 30",ResidentsPercentPivot!$B$4,"Year",$A38)</f>
        <v>1.4152106479203099</v>
      </c>
      <c r="F38" s="751">
        <f>GETPIVOTDATA("Sum of 31 to 60",ResidentsPercentPivot!$B$4,"Year",$A38)</f>
        <v>1.87941605212535</v>
      </c>
      <c r="G38" s="751">
        <f>GETPIVOTDATA("Sum of Over 60",ResidentsPercentPivot!$B$4,"Year",$A38)</f>
        <v>3.77556001518685</v>
      </c>
      <c r="H38" s="752">
        <f>GETPIVOTDATA("Sum of All Residents",ResidentsPercentPivot!$B$4,"Year",A38)</f>
        <v>2.2909655946010599</v>
      </c>
    </row>
    <row r="39" spans="1:8" x14ac:dyDescent="0.3">
      <c r="A39" s="312" t="s">
        <v>312</v>
      </c>
      <c r="B39" s="751">
        <f>GETPIVOTDATA("Sum of Under 5s",ResidentsPercentPivot!$B$4,"Year",$A39)</f>
        <v>2.5909500763667817</v>
      </c>
      <c r="C39" s="751">
        <f>GETPIVOTDATA("Sum of 5 to 10",ResidentsPercentPivot!$B$4,"Year",$A39)</f>
        <v>2.1887441563666123</v>
      </c>
      <c r="D39" s="751">
        <f>GETPIVOTDATA("Sum of 11 to 16",ResidentsPercentPivot!$B$4,"Year",$A39)</f>
        <v>1.6055974529491785</v>
      </c>
      <c r="E39" s="751">
        <f>GETPIVOTDATA("Sum of 17 to 30",ResidentsPercentPivot!$B$4,"Year",$A39)</f>
        <v>1.3978495723593021</v>
      </c>
      <c r="F39" s="751">
        <f>GETPIVOTDATA("Sum of 31 to 60",ResidentsPercentPivot!$B$4,"Year",$A39)</f>
        <v>1.8302517057382788</v>
      </c>
      <c r="G39" s="751">
        <f>GETPIVOTDATA("Sum of Over 60",ResidentsPercentPivot!$B$4,"Year",$A39)</f>
        <v>3.7077274669399558</v>
      </c>
      <c r="H39" s="752">
        <f>GETPIVOTDATA("Sum of All Residents",ResidentsPercentPivot!$B$4,"Year",A39)</f>
        <v>2.2522651144912418</v>
      </c>
    </row>
    <row r="40" spans="1:8" x14ac:dyDescent="0.3">
      <c r="A40" s="312" t="s">
        <v>318</v>
      </c>
      <c r="B40" s="751">
        <f>GETPIVOTDATA("Sum of Under 5s",ResidentsPercentPivot!$B$4,"Year",$A40)</f>
        <v>0.48141437268295645</v>
      </c>
      <c r="C40" s="751">
        <f>GETPIVOTDATA("Sum of 5 to 10",ResidentsPercentPivot!$B$4,"Year",$A40)</f>
        <v>0.45840896568505429</v>
      </c>
      <c r="D40" s="751">
        <f>GETPIVOTDATA("Sum of 11 to 16",ResidentsPercentPivot!$B$4,"Year",$A40)</f>
        <v>0.36746497554977431</v>
      </c>
      <c r="E40" s="751">
        <f>GETPIVOTDATA("Sum of 17 to 30",ResidentsPercentPivot!$B$4,"Year",$A40)</f>
        <v>0.31022444614256844</v>
      </c>
      <c r="F40" s="751">
        <f>GETPIVOTDATA("Sum of 31 to 60",ResidentsPercentPivot!$B$4,"Year",$A40)</f>
        <v>0.42915501219418262</v>
      </c>
      <c r="G40" s="751">
        <f>GETPIVOTDATA("Sum of Over 60",ResidentsPercentPivot!$B$4,"Year",$A40)</f>
        <v>1.1999685342583262</v>
      </c>
      <c r="H40" s="752">
        <f>GETPIVOTDATA("Sum of All Residents",ResidentsPercentPivot!$B$4,"Year",A40)</f>
        <v>0.59687156970362243</v>
      </c>
    </row>
    <row r="41" spans="1:8" x14ac:dyDescent="0.3">
      <c r="A41" s="312" t="s">
        <v>320</v>
      </c>
      <c r="B41" s="751">
        <f>GETPIVOTDATA("Sum of Under 5s",ResidentsPercentPivot!$B$4,"Year",$A41)</f>
        <v>0.86048614726918959</v>
      </c>
      <c r="C41" s="751">
        <f>GETPIVOTDATA("Sum of 5 to 10",ResidentsPercentPivot!$B$4,"Year",$A41)</f>
        <v>0.79249568838598416</v>
      </c>
      <c r="D41" s="751">
        <f>GETPIVOTDATA("Sum of 11 to 16",ResidentsPercentPivot!$B$4,"Year",$A41)</f>
        <v>0.67354317907895844</v>
      </c>
      <c r="E41" s="751">
        <f>GETPIVOTDATA("Sum of 17 to 30",ResidentsPercentPivot!$B$4,"Year",$A41)</f>
        <v>0.59173152968067744</v>
      </c>
      <c r="F41" s="751">
        <f>GETPIVOTDATA("Sum of 31 to 60",ResidentsPercentPivot!$B$4,"Year",$A41)</f>
        <v>0.8446089414273964</v>
      </c>
      <c r="G41" s="751">
        <f>GETPIVOTDATA("Sum of Over 60",ResidentsPercentPivot!$B$4,"Year",$A41)</f>
        <v>2.8791941466373943</v>
      </c>
      <c r="H41" s="752">
        <f>GETPIVOTDATA("Sum of All Residents",ResidentsPercentPivot!$B$4,"Year",A41)</f>
        <v>1.291227942115732</v>
      </c>
    </row>
    <row r="42" spans="1:8" x14ac:dyDescent="0.3">
      <c r="A42" s="312" t="s">
        <v>325</v>
      </c>
      <c r="B42" s="751">
        <f>GETPIVOTDATA("Sum of Under 5s",ResidentsPercentPivot!$B$4,"Year",$A42)</f>
        <v>0.90041771552281002</v>
      </c>
      <c r="C42" s="751">
        <f>GETPIVOTDATA("Sum of 5 to 10",ResidentsPercentPivot!$B$4,"Year",$A42)</f>
        <v>0.87858775361404406</v>
      </c>
      <c r="D42" s="751">
        <f>GETPIVOTDATA("Sum of 11 to 16",ResidentsPercentPivot!$B$4,"Year",$A42)</f>
        <v>0.69036073660901975</v>
      </c>
      <c r="E42" s="751">
        <f>GETPIVOTDATA("Sum of 17 to 30",ResidentsPercentPivot!$B$4,"Year",$A42)</f>
        <v>0.60844889165992899</v>
      </c>
      <c r="F42" s="751">
        <f>GETPIVOTDATA("Sum of 31 to 60",ResidentsPercentPivot!$B$4,"Year",$A42)</f>
        <v>0.82430671531328326</v>
      </c>
      <c r="G42" s="751">
        <f>GETPIVOTDATA("Sum of Over 60",ResidentsPercentPivot!$B$4,"Year",$A42)</f>
        <v>2.2670147585664622</v>
      </c>
      <c r="H42" s="752">
        <f>GETPIVOTDATA("Sum of All Residents",ResidentsPercentPivot!$B$4,"Year",A42)</f>
        <v>1.1427945765433676</v>
      </c>
    </row>
    <row r="43" spans="1:8" x14ac:dyDescent="0.3">
      <c r="A43" s="312" t="s">
        <v>326</v>
      </c>
      <c r="B43" s="751">
        <f>GETPIVOTDATA("Sum of Under 5s",ResidentsPercentPivot!$B$4,"Year",$A43)</f>
        <v>0.97465098597473188</v>
      </c>
      <c r="C43" s="751">
        <f>GETPIVOTDATA("Sum of 5 to 10",ResidentsPercentPivot!$B$4,"Year",$A43)</f>
        <v>0.92497068133922355</v>
      </c>
      <c r="D43" s="751">
        <f>GETPIVOTDATA("Sum of 11 to 16",ResidentsPercentPivot!$B$4,"Year",$A43)</f>
        <v>0.67739227145847869</v>
      </c>
      <c r="E43" s="751">
        <f>GETPIVOTDATA("Sum of 17 to 30",ResidentsPercentPivot!$B$4,"Year",$A43)</f>
        <v>0.64712737542319532</v>
      </c>
      <c r="F43" s="751">
        <f>GETPIVOTDATA("Sum of 31 to 60",ResidentsPercentPivot!$B$4,"Year",$A43)</f>
        <v>0.84588756469098614</v>
      </c>
      <c r="G43" s="751">
        <f>GETPIVOTDATA("Sum of Over 60",ResidentsPercentPivot!$B$4,"Year",$A43)</f>
        <v>1.989648939475245</v>
      </c>
      <c r="H43" s="752">
        <f>GETPIVOTDATA("Sum of All Residents",ResidentsPercentPivot!$B$4,"Year",A43)</f>
        <v>1.1063368608950657</v>
      </c>
    </row>
    <row r="44" spans="1:8" ht="15" thickBot="1" x14ac:dyDescent="0.35">
      <c r="A44" s="524" t="s">
        <v>328</v>
      </c>
      <c r="B44" s="753">
        <f>GETPIVOTDATA("Sum of Under 5s",ResidentsPercentPivot!$B$4,"Year",$A44)</f>
        <v>0.80937625640130129</v>
      </c>
      <c r="C44" s="753">
        <f>GETPIVOTDATA("Sum of 5 to 10",ResidentsPercentPivot!$B$4,"Year",$A44)</f>
        <v>0.76244580654806393</v>
      </c>
      <c r="D44" s="753">
        <f>GETPIVOTDATA("Sum of 11 to 16",ResidentsPercentPivot!$B$4,"Year",$A44)</f>
        <v>0.56198960453678881</v>
      </c>
      <c r="E44" s="753">
        <f>GETPIVOTDATA("Sum of 17 to 30",ResidentsPercentPivot!$B$4,"Year",$A44)</f>
        <v>0.56558402402791552</v>
      </c>
      <c r="F44" s="753">
        <f>GETPIVOTDATA("Sum of 31 to 60",ResidentsPercentPivot!$B$4,"Year",$A44)</f>
        <v>0.75715843914365921</v>
      </c>
      <c r="G44" s="753">
        <f>GETPIVOTDATA("Sum of Over 60",ResidentsPercentPivot!$B$4,"Year",$A44)</f>
        <v>1.7881486709986367</v>
      </c>
      <c r="H44" s="754">
        <f>GETPIVOTDATA("Sum of All Residents",ResidentsPercentPivot!$B$4,"Year",A44)</f>
        <v>0.97440011537976179</v>
      </c>
    </row>
    <row r="45" spans="1:8" x14ac:dyDescent="0.3">
      <c r="A45" s="312"/>
    </row>
    <row r="46" spans="1:8" x14ac:dyDescent="0.3">
      <c r="A46" s="312" t="s">
        <v>329</v>
      </c>
      <c r="H46" s="370"/>
    </row>
    <row r="47" spans="1:8" ht="28.5" customHeight="1" x14ac:dyDescent="0.3">
      <c r="A47" s="1029" t="s">
        <v>999</v>
      </c>
      <c r="B47" s="1029"/>
      <c r="C47" s="1029"/>
      <c r="D47" s="1029"/>
      <c r="E47" s="1029"/>
      <c r="F47" s="1029"/>
      <c r="G47" s="1029"/>
      <c r="H47" s="1029"/>
    </row>
    <row r="48" spans="1:8" x14ac:dyDescent="0.3">
      <c r="A48" t="s">
        <v>1000</v>
      </c>
    </row>
    <row r="49" spans="1:1" x14ac:dyDescent="0.3">
      <c r="A49" s="563" t="s">
        <v>1001</v>
      </c>
    </row>
  </sheetData>
  <sheetProtection algorithmName="SHA-512" hashValue="H38U2ANv2mxpbvz0mXICpFjUiROE59Iwv+wDQvs/jdCqwR27SH+8ilhk1/u9qeQJCMioXdE0qWYBjwq+11pGoA==" saltValue="hC/z6XwcP2iYzFUFqH5+BQ==" spinCount="100000" sheet="1" scenarios="1" formatCells="0" sort="0" autoFilter="0" pivotTables="0"/>
  <mergeCells count="3">
    <mergeCell ref="Q24:X24"/>
    <mergeCell ref="A25:H25"/>
    <mergeCell ref="A47:H47"/>
  </mergeCells>
  <phoneticPr fontId="53" type="noConversion"/>
  <hyperlinks>
    <hyperlink ref="A2" location="'Table of Contents'!A1" display="Back to Table of Contents" xr:uid="{00000000-0004-0000-8300-000000000000}"/>
    <hyperlink ref="A49" r:id="rId1" xr:uid="{00000000-0004-0000-8300-000001000000}"/>
  </hyperlinks>
  <pageMargins left="0.7" right="0.7" top="0.75" bottom="0.75" header="0.3" footer="0.3"/>
  <pageSetup paperSize="9" orientation="portrait" r:id="rId2"/>
</worksheet>
</file>

<file path=xl/worksheets/sheet1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06173C-F4B3-4002-A401-0E8484750E6F}">
  <sheetPr>
    <tabColor theme="7" tint="-0.249977111117893"/>
  </sheetPr>
  <dimension ref="B4:M11"/>
  <sheetViews>
    <sheetView topLeftCell="F1" workbookViewId="0">
      <selection activeCell="F8" sqref="F8"/>
    </sheetView>
  </sheetViews>
  <sheetFormatPr defaultRowHeight="14.4" x14ac:dyDescent="0.3"/>
  <cols>
    <col min="2" max="2" width="17.6640625" bestFit="1" customWidth="1"/>
    <col min="3" max="13" width="13.77734375" bestFit="1" customWidth="1"/>
  </cols>
  <sheetData>
    <row r="4" spans="2:13" x14ac:dyDescent="0.3">
      <c r="B4" s="386" t="s">
        <v>350</v>
      </c>
      <c r="C4" t="s">
        <v>1002</v>
      </c>
      <c r="D4" t="s">
        <v>886</v>
      </c>
      <c r="E4" t="s">
        <v>887</v>
      </c>
      <c r="F4" t="s">
        <v>888</v>
      </c>
      <c r="G4" t="s">
        <v>889</v>
      </c>
      <c r="H4" t="s">
        <v>890</v>
      </c>
      <c r="I4" t="s">
        <v>891</v>
      </c>
      <c r="J4" t="s">
        <v>892</v>
      </c>
      <c r="K4" t="s">
        <v>893</v>
      </c>
      <c r="L4" t="s">
        <v>894</v>
      </c>
      <c r="M4" t="s">
        <v>895</v>
      </c>
    </row>
    <row r="5" spans="2:13" x14ac:dyDescent="0.3">
      <c r="B5" s="387" t="s">
        <v>1003</v>
      </c>
      <c r="C5">
        <v>8020</v>
      </c>
      <c r="D5">
        <v>7446</v>
      </c>
      <c r="E5">
        <v>7740</v>
      </c>
      <c r="F5">
        <v>9727</v>
      </c>
      <c r="G5">
        <v>10040</v>
      </c>
      <c r="H5">
        <v>2387</v>
      </c>
      <c r="I5">
        <v>4431</v>
      </c>
      <c r="J5">
        <v>5557</v>
      </c>
      <c r="K5">
        <v>5572</v>
      </c>
      <c r="L5">
        <v>5083</v>
      </c>
      <c r="M5">
        <v>3499</v>
      </c>
    </row>
    <row r="6" spans="2:13" x14ac:dyDescent="0.3">
      <c r="B6" s="387" t="s">
        <v>34</v>
      </c>
      <c r="C6">
        <v>15848</v>
      </c>
      <c r="D6">
        <v>15100</v>
      </c>
      <c r="E6">
        <v>14796</v>
      </c>
      <c r="F6">
        <v>15332</v>
      </c>
      <c r="G6">
        <v>15696</v>
      </c>
      <c r="H6">
        <v>4624</v>
      </c>
      <c r="I6">
        <v>7561</v>
      </c>
      <c r="J6">
        <v>8820</v>
      </c>
      <c r="K6">
        <v>8577</v>
      </c>
      <c r="L6">
        <v>6899</v>
      </c>
      <c r="M6">
        <v>4138</v>
      </c>
    </row>
    <row r="7" spans="2:13" x14ac:dyDescent="0.3">
      <c r="B7" s="387" t="s">
        <v>850</v>
      </c>
      <c r="C7">
        <v>101</v>
      </c>
      <c r="D7">
        <v>103</v>
      </c>
      <c r="E7">
        <v>107</v>
      </c>
      <c r="F7">
        <v>622</v>
      </c>
      <c r="G7">
        <v>641</v>
      </c>
      <c r="H7">
        <v>102</v>
      </c>
      <c r="I7">
        <v>322</v>
      </c>
      <c r="J7">
        <v>367</v>
      </c>
      <c r="K7">
        <v>443</v>
      </c>
      <c r="L7">
        <v>2323</v>
      </c>
      <c r="M7">
        <v>763</v>
      </c>
    </row>
    <row r="8" spans="2:13" x14ac:dyDescent="0.3">
      <c r="B8" s="387" t="s">
        <v>475</v>
      </c>
      <c r="C8">
        <v>5400</v>
      </c>
      <c r="D8">
        <v>4535</v>
      </c>
      <c r="E8">
        <v>5072</v>
      </c>
      <c r="F8">
        <v>4289</v>
      </c>
      <c r="G8">
        <v>4004</v>
      </c>
      <c r="H8">
        <v>1093</v>
      </c>
      <c r="I8">
        <v>2279</v>
      </c>
      <c r="J8">
        <v>1875</v>
      </c>
      <c r="K8">
        <v>1781</v>
      </c>
      <c r="L8">
        <v>1383</v>
      </c>
    </row>
    <row r="9" spans="2:13" x14ac:dyDescent="0.3">
      <c r="B9" s="387" t="s">
        <v>158</v>
      </c>
      <c r="C9">
        <v>37461</v>
      </c>
      <c r="D9">
        <v>39725</v>
      </c>
      <c r="E9">
        <v>38343</v>
      </c>
      <c r="F9">
        <v>35339</v>
      </c>
      <c r="G9">
        <v>34631</v>
      </c>
      <c r="H9">
        <v>10815</v>
      </c>
      <c r="I9">
        <v>27519</v>
      </c>
      <c r="J9">
        <v>19831</v>
      </c>
      <c r="K9">
        <v>17805</v>
      </c>
      <c r="L9">
        <v>16026</v>
      </c>
      <c r="M9">
        <v>10694</v>
      </c>
    </row>
    <row r="10" spans="2:13" x14ac:dyDescent="0.3">
      <c r="B10" s="387" t="s">
        <v>1004</v>
      </c>
      <c r="C10">
        <v>4886</v>
      </c>
      <c r="D10">
        <v>3888</v>
      </c>
      <c r="E10">
        <v>3767</v>
      </c>
      <c r="F10">
        <v>3893</v>
      </c>
      <c r="G10">
        <v>4225</v>
      </c>
      <c r="H10">
        <v>977</v>
      </c>
      <c r="I10">
        <v>2084</v>
      </c>
      <c r="J10">
        <v>2249</v>
      </c>
      <c r="K10">
        <v>2564</v>
      </c>
      <c r="L10">
        <v>2305</v>
      </c>
      <c r="M10">
        <v>1329</v>
      </c>
    </row>
    <row r="11" spans="2:13" x14ac:dyDescent="0.3">
      <c r="B11" s="387" t="s">
        <v>357</v>
      </c>
      <c r="C11">
        <v>71716</v>
      </c>
      <c r="D11">
        <v>70797</v>
      </c>
      <c r="E11">
        <v>69825</v>
      </c>
      <c r="F11">
        <v>69202</v>
      </c>
      <c r="G11">
        <v>69237</v>
      </c>
      <c r="H11">
        <v>19998</v>
      </c>
      <c r="I11">
        <v>44196</v>
      </c>
      <c r="J11">
        <v>38699</v>
      </c>
      <c r="K11">
        <v>36742</v>
      </c>
      <c r="L11">
        <v>34019</v>
      </c>
      <c r="M11">
        <v>20423</v>
      </c>
    </row>
  </sheetData>
  <pageMargins left="0.7" right="0.7" top="0.75" bottom="0.75" header="0.3" footer="0.3"/>
</worksheet>
</file>

<file path=xl/worksheets/sheet1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2D30CA9-75C8-4FA8-88BF-488C51D5E658}">
  <sheetPr>
    <tabColor theme="7" tint="-0.249977111117893"/>
  </sheetPr>
  <dimension ref="A1:L7"/>
  <sheetViews>
    <sheetView workbookViewId="0">
      <selection activeCell="F4" sqref="F4"/>
    </sheetView>
  </sheetViews>
  <sheetFormatPr defaultRowHeight="14.4" x14ac:dyDescent="0.3"/>
  <cols>
    <col min="1" max="1" width="17.6640625" bestFit="1" customWidth="1"/>
    <col min="2" max="12" width="9.77734375" bestFit="1" customWidth="1"/>
  </cols>
  <sheetData>
    <row r="1" spans="1:12" x14ac:dyDescent="0.3">
      <c r="A1" t="s">
        <v>149</v>
      </c>
      <c r="B1" t="s">
        <v>366</v>
      </c>
      <c r="C1" t="s">
        <v>341</v>
      </c>
      <c r="D1" t="s">
        <v>342</v>
      </c>
      <c r="E1" t="s">
        <v>213</v>
      </c>
      <c r="F1" t="s">
        <v>312</v>
      </c>
      <c r="G1" t="s">
        <v>318</v>
      </c>
      <c r="H1" t="s">
        <v>320</v>
      </c>
      <c r="I1" t="s">
        <v>325</v>
      </c>
      <c r="J1" t="s">
        <v>326</v>
      </c>
      <c r="K1" t="s">
        <v>328</v>
      </c>
      <c r="L1" t="s">
        <v>412</v>
      </c>
    </row>
    <row r="2" spans="1:12" x14ac:dyDescent="0.3">
      <c r="A2" t="s">
        <v>475</v>
      </c>
      <c r="B2">
        <v>5400</v>
      </c>
      <c r="C2">
        <v>4535</v>
      </c>
      <c r="D2">
        <v>5072</v>
      </c>
      <c r="E2">
        <v>4289</v>
      </c>
      <c r="F2">
        <v>4004</v>
      </c>
      <c r="G2">
        <v>1093</v>
      </c>
      <c r="H2">
        <v>2279</v>
      </c>
      <c r="I2">
        <v>1875</v>
      </c>
      <c r="J2">
        <v>1781</v>
      </c>
      <c r="K2">
        <v>1383</v>
      </c>
    </row>
    <row r="3" spans="1:12" x14ac:dyDescent="0.3">
      <c r="A3" t="s">
        <v>850</v>
      </c>
      <c r="B3">
        <v>101</v>
      </c>
      <c r="C3">
        <v>103</v>
      </c>
      <c r="D3">
        <v>107</v>
      </c>
      <c r="E3">
        <v>622</v>
      </c>
      <c r="F3">
        <v>641</v>
      </c>
      <c r="G3">
        <v>102</v>
      </c>
      <c r="H3">
        <v>322</v>
      </c>
      <c r="I3">
        <v>367</v>
      </c>
      <c r="J3">
        <v>443</v>
      </c>
      <c r="K3">
        <v>2323</v>
      </c>
      <c r="L3">
        <v>763</v>
      </c>
    </row>
    <row r="4" spans="1:12" x14ac:dyDescent="0.3">
      <c r="A4" t="s">
        <v>1003</v>
      </c>
      <c r="B4">
        <v>8020</v>
      </c>
      <c r="C4">
        <v>7446</v>
      </c>
      <c r="D4">
        <v>7740</v>
      </c>
      <c r="E4">
        <v>9727</v>
      </c>
      <c r="F4">
        <v>10040</v>
      </c>
      <c r="G4">
        <v>2387</v>
      </c>
      <c r="H4">
        <v>4431</v>
      </c>
      <c r="I4">
        <v>5557</v>
      </c>
      <c r="J4">
        <v>5572</v>
      </c>
      <c r="K4">
        <v>5083</v>
      </c>
      <c r="L4">
        <v>3499</v>
      </c>
    </row>
    <row r="5" spans="1:12" x14ac:dyDescent="0.3">
      <c r="A5" t="s">
        <v>158</v>
      </c>
      <c r="B5">
        <v>37461</v>
      </c>
      <c r="C5">
        <v>39725</v>
      </c>
      <c r="D5">
        <v>38343</v>
      </c>
      <c r="E5">
        <v>35339</v>
      </c>
      <c r="F5">
        <v>34631</v>
      </c>
      <c r="G5">
        <v>10815</v>
      </c>
      <c r="H5">
        <v>27519</v>
      </c>
      <c r="I5">
        <v>19831</v>
      </c>
      <c r="J5">
        <v>17805</v>
      </c>
      <c r="K5">
        <v>16026</v>
      </c>
      <c r="L5">
        <v>10694</v>
      </c>
    </row>
    <row r="6" spans="1:12" x14ac:dyDescent="0.3">
      <c r="A6" t="s">
        <v>34</v>
      </c>
      <c r="B6">
        <v>15848</v>
      </c>
      <c r="C6">
        <v>15100</v>
      </c>
      <c r="D6">
        <v>14796</v>
      </c>
      <c r="E6">
        <v>15332</v>
      </c>
      <c r="F6">
        <v>15696</v>
      </c>
      <c r="G6">
        <v>4624</v>
      </c>
      <c r="H6">
        <v>7561</v>
      </c>
      <c r="I6">
        <v>8820</v>
      </c>
      <c r="J6">
        <v>8577</v>
      </c>
      <c r="K6">
        <v>6899</v>
      </c>
      <c r="L6">
        <v>4138</v>
      </c>
    </row>
    <row r="7" spans="1:12" x14ac:dyDescent="0.3">
      <c r="A7" t="s">
        <v>1004</v>
      </c>
      <c r="B7">
        <v>4886</v>
      </c>
      <c r="C7">
        <v>3888</v>
      </c>
      <c r="D7">
        <v>3767</v>
      </c>
      <c r="E7">
        <v>3893</v>
      </c>
      <c r="F7">
        <v>4225</v>
      </c>
      <c r="G7">
        <v>977</v>
      </c>
      <c r="H7">
        <v>2084</v>
      </c>
      <c r="I7">
        <v>2249</v>
      </c>
      <c r="J7">
        <v>2564</v>
      </c>
      <c r="K7">
        <v>2305</v>
      </c>
      <c r="L7">
        <v>1329</v>
      </c>
    </row>
  </sheetData>
  <phoneticPr fontId="53" type="noConversion"/>
  <pageMargins left="0.7" right="0.7" top="0.75" bottom="0.75" header="0.3" footer="0.3"/>
  <tableParts count="1">
    <tablePart r:id="rId1"/>
  </tableParts>
</worksheet>
</file>

<file path=xl/worksheets/sheet1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tabColor theme="7" tint="-0.249977111117893"/>
  </sheetPr>
  <dimension ref="A1:X16"/>
  <sheetViews>
    <sheetView showGridLines="0" zoomScaleNormal="100" workbookViewId="0">
      <pane ySplit="2" topLeftCell="A3" activePane="bottomLeft" state="frozen"/>
      <selection pane="bottomLeft"/>
    </sheetView>
  </sheetViews>
  <sheetFormatPr defaultRowHeight="14.4" x14ac:dyDescent="0.3"/>
  <cols>
    <col min="1" max="1" width="18.109375" bestFit="1" customWidth="1"/>
    <col min="2" max="9" width="7.5546875" bestFit="1" customWidth="1"/>
  </cols>
  <sheetData>
    <row r="1" spans="1:24" ht="15.6" x14ac:dyDescent="0.3">
      <c r="A1" s="513" t="s">
        <v>915</v>
      </c>
      <c r="B1" s="513"/>
      <c r="C1" s="513"/>
    </row>
    <row r="2" spans="1:24" ht="15.6" x14ac:dyDescent="0.3">
      <c r="A2" s="498" t="s">
        <v>202</v>
      </c>
      <c r="B2" s="440"/>
      <c r="C2" s="440"/>
    </row>
    <row r="3" spans="1:24" x14ac:dyDescent="0.3">
      <c r="A3" s="25"/>
      <c r="B3" s="25"/>
      <c r="C3" s="25"/>
    </row>
    <row r="4" spans="1:24" ht="15.6" x14ac:dyDescent="0.3">
      <c r="A4" s="522" t="s">
        <v>1005</v>
      </c>
      <c r="B4" s="522"/>
      <c r="C4" s="522"/>
    </row>
    <row r="5" spans="1:24" ht="15.6" x14ac:dyDescent="0.3">
      <c r="A5" t="s">
        <v>203</v>
      </c>
      <c r="B5" t="s">
        <v>150</v>
      </c>
      <c r="C5" s="499"/>
    </row>
    <row r="6" spans="1:24" ht="15.6" x14ac:dyDescent="0.3">
      <c r="A6" t="s">
        <v>204</v>
      </c>
      <c r="B6" t="s">
        <v>205</v>
      </c>
      <c r="C6" s="499"/>
      <c r="O6" s="312"/>
    </row>
    <row r="7" spans="1:24" ht="15.6" x14ac:dyDescent="0.3">
      <c r="A7" t="s">
        <v>206</v>
      </c>
      <c r="B7" t="s">
        <v>917</v>
      </c>
      <c r="C7" s="499"/>
    </row>
    <row r="8" spans="1:24" ht="21.9" customHeight="1" x14ac:dyDescent="0.3">
      <c r="F8" s="312"/>
      <c r="G8" s="312"/>
      <c r="H8" s="312"/>
      <c r="I8" s="312"/>
      <c r="J8" s="581"/>
      <c r="K8" s="581"/>
      <c r="L8" s="581" t="s">
        <v>1006</v>
      </c>
      <c r="P8" s="312"/>
      <c r="Q8" s="312"/>
      <c r="R8" s="312"/>
      <c r="S8" s="312"/>
      <c r="T8" s="312"/>
      <c r="U8" s="312"/>
      <c r="V8" s="312"/>
      <c r="W8" s="312" t="s">
        <v>1007</v>
      </c>
    </row>
    <row r="9" spans="1:24" x14ac:dyDescent="0.3">
      <c r="A9" s="525" t="s">
        <v>149</v>
      </c>
      <c r="B9" s="647" t="s">
        <v>366</v>
      </c>
      <c r="C9" s="647" t="s">
        <v>341</v>
      </c>
      <c r="D9" s="647" t="s">
        <v>342</v>
      </c>
      <c r="E9" s="647" t="s">
        <v>213</v>
      </c>
      <c r="F9" s="647" t="s">
        <v>312</v>
      </c>
      <c r="G9" s="647" t="s">
        <v>318</v>
      </c>
      <c r="H9" s="647" t="s">
        <v>320</v>
      </c>
      <c r="I9" s="647" t="s">
        <v>325</v>
      </c>
      <c r="J9" s="647" t="s">
        <v>326</v>
      </c>
      <c r="K9" s="647" t="s">
        <v>328</v>
      </c>
      <c r="L9" s="647" t="s">
        <v>412</v>
      </c>
      <c r="N9" s="647" t="s">
        <v>366</v>
      </c>
      <c r="O9" s="647" t="s">
        <v>341</v>
      </c>
      <c r="P9" s="647" t="s">
        <v>342</v>
      </c>
      <c r="Q9" s="647" t="s">
        <v>213</v>
      </c>
      <c r="R9" s="647" t="s">
        <v>312</v>
      </c>
      <c r="S9" s="647" t="s">
        <v>318</v>
      </c>
      <c r="T9" s="647" t="s">
        <v>320</v>
      </c>
      <c r="U9" s="647" t="s">
        <v>325</v>
      </c>
      <c r="V9" s="647" t="s">
        <v>326</v>
      </c>
      <c r="W9" s="647" t="s">
        <v>328</v>
      </c>
      <c r="X9" s="647" t="s">
        <v>412</v>
      </c>
    </row>
    <row r="10" spans="1:24" x14ac:dyDescent="0.3">
      <c r="A10" s="312" t="s">
        <v>1003</v>
      </c>
      <c r="B10" s="368">
        <f>GETPIVOTDATA("Sum of 2015-16",TenurePivot!$B$4,"Tenure",$A10)</f>
        <v>8020</v>
      </c>
      <c r="C10" s="368">
        <f>GETPIVOTDATA("Sum of 2016-17",TenurePivot!$B$4,"Tenure",$A10)</f>
        <v>7446</v>
      </c>
      <c r="D10" s="368">
        <f>GETPIVOTDATA("Sum of 2017-18",TenurePivot!$B$4,"Tenure",$A10)</f>
        <v>7740</v>
      </c>
      <c r="E10" s="368">
        <f>GETPIVOTDATA("Sum of 2018-19",TenurePivot!$B$4,"Tenure",$A10)</f>
        <v>9727</v>
      </c>
      <c r="F10" s="368">
        <f>GETPIVOTDATA("Sum of 2019-20",TenurePivot!$B$4,"Tenure",$A10)</f>
        <v>10040</v>
      </c>
      <c r="G10" s="368">
        <f>GETPIVOTDATA("Sum of 2020-21",TenurePivot!$B$4,"Tenure",$A10)</f>
        <v>2387</v>
      </c>
      <c r="H10" s="368">
        <f>GETPIVOTDATA("Sum of 2021-22",TenurePivot!$B$4,"Tenure",$A10)</f>
        <v>4431</v>
      </c>
      <c r="I10" s="368">
        <f>GETPIVOTDATA("Sum of 2022-23",TenurePivot!$B$4,"Tenure",$A10)</f>
        <v>5557</v>
      </c>
      <c r="J10" s="368">
        <f>GETPIVOTDATA("Sum of 2023-24",TenurePivot!$B$4,"Tenure",$A10)</f>
        <v>5572</v>
      </c>
      <c r="K10" s="368">
        <f>GETPIVOTDATA("Sum of 2024-25",TenurePivot!$B$4,"Tenure",$A10)</f>
        <v>5083</v>
      </c>
      <c r="L10" s="368">
        <f>GETPIVOTDATA("Sum of 2025-26",TenurePivot!$B$4,"Tenure",$A10)</f>
        <v>3499</v>
      </c>
      <c r="N10" s="751">
        <f>B10/B$16*100</f>
        <v>11.182999609571086</v>
      </c>
      <c r="O10" s="751">
        <f t="shared" ref="O10:X15" si="0">C10/C$16*100</f>
        <v>10.517394804864614</v>
      </c>
      <c r="P10" s="751">
        <f t="shared" si="0"/>
        <v>11.084854994629431</v>
      </c>
      <c r="Q10" s="751">
        <f t="shared" si="0"/>
        <v>14.055952140111557</v>
      </c>
      <c r="R10" s="751">
        <f t="shared" si="0"/>
        <v>14.50091713967965</v>
      </c>
      <c r="S10" s="751">
        <f t="shared" si="0"/>
        <v>11.936193619361935</v>
      </c>
      <c r="T10" s="751">
        <f t="shared" si="0"/>
        <v>10.025794189519413</v>
      </c>
      <c r="U10" s="751">
        <f t="shared" si="0"/>
        <v>14.359544174268068</v>
      </c>
      <c r="V10" s="751">
        <f t="shared" si="0"/>
        <v>15.165206031244896</v>
      </c>
      <c r="W10" s="751">
        <f t="shared" si="0"/>
        <v>14.941650254269673</v>
      </c>
      <c r="X10" s="751">
        <f>L10/L$16*100</f>
        <v>17.132644567399499</v>
      </c>
    </row>
    <row r="11" spans="1:24" x14ac:dyDescent="0.3">
      <c r="A11" s="312" t="s">
        <v>34</v>
      </c>
      <c r="B11" s="368">
        <f>GETPIVOTDATA("Sum of 2015-16",TenurePivot!$B$4,"Tenure",$A11)</f>
        <v>15848</v>
      </c>
      <c r="C11" s="368">
        <f>GETPIVOTDATA("Sum of 2016-17",TenurePivot!$B$4,"Tenure",$A11)</f>
        <v>15100</v>
      </c>
      <c r="D11" s="368">
        <f>GETPIVOTDATA("Sum of 2017-18",TenurePivot!$B$4,"Tenure",$A11)</f>
        <v>14796</v>
      </c>
      <c r="E11" s="368">
        <f>GETPIVOTDATA("Sum of 2018-19",TenurePivot!$B$4,"Tenure",$A11)</f>
        <v>15332</v>
      </c>
      <c r="F11" s="368">
        <f>GETPIVOTDATA("Sum of 2019-20",TenurePivot!$B$4,"Tenure",$A11)</f>
        <v>15696</v>
      </c>
      <c r="G11" s="368">
        <f>GETPIVOTDATA("Sum of 2020-21",TenurePivot!$B$4,"Tenure",$A11)</f>
        <v>4624</v>
      </c>
      <c r="H11" s="368">
        <f>GETPIVOTDATA("Sum of 2021-22",TenurePivot!$B$4,"Tenure",$A11)</f>
        <v>7561</v>
      </c>
      <c r="I11" s="368">
        <f>GETPIVOTDATA("Sum of 2022-23",TenurePivot!$B$4,"Tenure",$A11)</f>
        <v>8820</v>
      </c>
      <c r="J11" s="368">
        <f>GETPIVOTDATA("Sum of 2023-24",TenurePivot!$B$4,"Tenure",$A11)</f>
        <v>8577</v>
      </c>
      <c r="K11" s="368">
        <f>GETPIVOTDATA("Sum of 2024-25",TenurePivot!$B$4,"Tenure",$A11)</f>
        <v>6899</v>
      </c>
      <c r="L11" s="368">
        <f>GETPIVOTDATA("Sum of 2025-26",TenurePivot!$B$4,"Tenure",$A11)</f>
        <v>4138</v>
      </c>
      <c r="N11" s="751">
        <f>B11/B$16*100</f>
        <v>22.098276535222265</v>
      </c>
      <c r="O11" s="751">
        <f t="shared" si="0"/>
        <v>21.328587369521308</v>
      </c>
      <c r="P11" s="751">
        <f t="shared" si="0"/>
        <v>21.190118152524168</v>
      </c>
      <c r="Q11" s="751">
        <f t="shared" si="0"/>
        <v>22.155429033842953</v>
      </c>
      <c r="R11" s="751">
        <f t="shared" si="0"/>
        <v>22.669959703626674</v>
      </c>
      <c r="S11" s="751">
        <f t="shared" si="0"/>
        <v>23.122312231223123</v>
      </c>
      <c r="T11" s="751">
        <f t="shared" si="0"/>
        <v>17.107883066340847</v>
      </c>
      <c r="U11" s="751">
        <f t="shared" si="0"/>
        <v>22.791286596552883</v>
      </c>
      <c r="V11" s="751">
        <f t="shared" si="0"/>
        <v>23.343857166185835</v>
      </c>
      <c r="W11" s="751">
        <f t="shared" si="0"/>
        <v>20.279843616802378</v>
      </c>
      <c r="X11" s="751">
        <f t="shared" si="0"/>
        <v>20.26146991137443</v>
      </c>
    </row>
    <row r="12" spans="1:24" x14ac:dyDescent="0.3">
      <c r="A12" s="312" t="s">
        <v>850</v>
      </c>
      <c r="B12" s="368">
        <f>GETPIVOTDATA("Sum of 2015-16",TenurePivot!$B$4,"Tenure",$A12)</f>
        <v>101</v>
      </c>
      <c r="C12" s="368">
        <f>GETPIVOTDATA("Sum of 2016-17",TenurePivot!$B$4,"Tenure",$A12)</f>
        <v>103</v>
      </c>
      <c r="D12" s="368">
        <f>GETPIVOTDATA("Sum of 2017-18",TenurePivot!$B$4,"Tenure",$A12)</f>
        <v>107</v>
      </c>
      <c r="E12" s="368">
        <f>GETPIVOTDATA("Sum of 2018-19",TenurePivot!$B$4,"Tenure",$A12)</f>
        <v>622</v>
      </c>
      <c r="F12" s="368">
        <f>GETPIVOTDATA("Sum of 2019-20",TenurePivot!$B$4,"Tenure",$A12)</f>
        <v>641</v>
      </c>
      <c r="G12" s="368">
        <f>GETPIVOTDATA("Sum of 2020-21",TenurePivot!$B$4,"Tenure",$A12)</f>
        <v>102</v>
      </c>
      <c r="H12" s="368">
        <f>GETPIVOTDATA("Sum of 2021-22",TenurePivot!$B$4,"Tenure",$A12)</f>
        <v>322</v>
      </c>
      <c r="I12" s="368">
        <f>GETPIVOTDATA("Sum of 2022-23",TenurePivot!$B$4,"Tenure",$A12)</f>
        <v>367</v>
      </c>
      <c r="J12" s="368">
        <f>GETPIVOTDATA("Sum of 2023-24",TenurePivot!$B$4,"Tenure",$A12)</f>
        <v>443</v>
      </c>
      <c r="K12" s="368">
        <f>GETPIVOTDATA("Sum of 2024-25",TenurePivot!$B$4,"Tenure",$A12)</f>
        <v>2323</v>
      </c>
      <c r="L12" s="368">
        <f>GETPIVOTDATA("Sum of 2025-26",TenurePivot!$B$4,"Tenure",$A12)</f>
        <v>763</v>
      </c>
      <c r="N12" s="751">
        <f t="shared" ref="N12:N15" si="1">B12/B$16*100</f>
        <v>0.1408332868537007</v>
      </c>
      <c r="O12" s="751">
        <f t="shared" si="0"/>
        <v>0.14548639066627117</v>
      </c>
      <c r="P12" s="751">
        <f t="shared" si="0"/>
        <v>0.15324024346580739</v>
      </c>
      <c r="Q12" s="751">
        <f t="shared" si="0"/>
        <v>0.89881795323834579</v>
      </c>
      <c r="R12" s="751">
        <f>F12/F$16*100</f>
        <v>0.925805566387914</v>
      </c>
      <c r="S12" s="751">
        <f t="shared" si="0"/>
        <v>0.51005100510051005</v>
      </c>
      <c r="T12" s="751">
        <f t="shared" si="0"/>
        <v>0.72857272151325914</v>
      </c>
      <c r="U12" s="751">
        <f t="shared" si="0"/>
        <v>0.94834491847334557</v>
      </c>
      <c r="V12" s="751">
        <f t="shared" si="0"/>
        <v>1.2057046431876326</v>
      </c>
      <c r="W12" s="751">
        <f t="shared" si="0"/>
        <v>6.8285369940327465</v>
      </c>
      <c r="X12" s="751">
        <f t="shared" si="0"/>
        <v>3.7359839396758554</v>
      </c>
    </row>
    <row r="13" spans="1:24" x14ac:dyDescent="0.3">
      <c r="A13" s="312" t="s">
        <v>475</v>
      </c>
      <c r="B13" s="368">
        <f>GETPIVOTDATA("Sum of 2015-16",TenurePivot!$B$4,"Tenure",$A13)</f>
        <v>5400</v>
      </c>
      <c r="C13" s="368">
        <f>GETPIVOTDATA("Sum of 2016-17",TenurePivot!$B$4,"Tenure",$A13)</f>
        <v>4535</v>
      </c>
      <c r="D13" s="368">
        <f>GETPIVOTDATA("Sum of 2017-18",TenurePivot!$B$4,"Tenure",$A13)</f>
        <v>5072</v>
      </c>
      <c r="E13" s="368">
        <f>GETPIVOTDATA("Sum of 2018-19",TenurePivot!$B$4,"Tenure",$A13)</f>
        <v>4289</v>
      </c>
      <c r="F13" s="368">
        <f>GETPIVOTDATA("Sum of 2019-20",TenurePivot!$B$4,"Tenure",$A13)</f>
        <v>4004</v>
      </c>
      <c r="G13" s="368">
        <f>GETPIVOTDATA("Sum of 2020-21",TenurePivot!$B$4,"Tenure",$A13)</f>
        <v>1093</v>
      </c>
      <c r="H13" s="368">
        <f>GETPIVOTDATA("Sum of 2021-22",TenurePivot!$B$4,"Tenure",$A13)</f>
        <v>2279</v>
      </c>
      <c r="I13" s="368">
        <f>GETPIVOTDATA("Sum of 2022-23",TenurePivot!$B$4,"Tenure",$A13)</f>
        <v>1875</v>
      </c>
      <c r="J13" s="368">
        <f>GETPIVOTDATA("Sum of 2023-24",TenurePivot!$B$4,"Tenure",$A13)</f>
        <v>1781</v>
      </c>
      <c r="K13" s="368">
        <f>GETPIVOTDATA("Sum of 2024-25",TenurePivot!$B$4,"Tenure",$A13)</f>
        <v>1383</v>
      </c>
      <c r="L13" s="368">
        <f>GETPIVOTDATA("Sum of 2025-26",TenurePivot!$B$4,"Tenure",$A13)</f>
        <v>0</v>
      </c>
      <c r="N13" s="751">
        <f>B13/B$16*100</f>
        <v>7.529700485247365</v>
      </c>
      <c r="O13" s="751">
        <f t="shared" si="0"/>
        <v>6.4056386570052402</v>
      </c>
      <c r="P13" s="751">
        <f t="shared" si="0"/>
        <v>7.2638739706408888</v>
      </c>
      <c r="Q13" s="751">
        <f t="shared" si="0"/>
        <v>6.1977977515100724</v>
      </c>
      <c r="R13" s="751">
        <f t="shared" si="0"/>
        <v>5.7830350823981398</v>
      </c>
      <c r="S13" s="751">
        <f t="shared" si="0"/>
        <v>5.4655465546554653</v>
      </c>
      <c r="T13" s="751">
        <f t="shared" si="0"/>
        <v>5.1565752556792477</v>
      </c>
      <c r="U13" s="751">
        <f t="shared" si="0"/>
        <v>4.8450864363420241</v>
      </c>
      <c r="V13" s="751">
        <f t="shared" si="0"/>
        <v>4.8473137009417018</v>
      </c>
      <c r="W13" s="751">
        <f t="shared" si="0"/>
        <v>4.0653752314882858</v>
      </c>
      <c r="X13" s="751">
        <f t="shared" si="0"/>
        <v>0</v>
      </c>
    </row>
    <row r="14" spans="1:24" x14ac:dyDescent="0.3">
      <c r="A14" s="312" t="s">
        <v>158</v>
      </c>
      <c r="B14" s="368">
        <f>GETPIVOTDATA("Sum of 2015-16",TenurePivot!$B$4,"Tenure",$A14)</f>
        <v>37461</v>
      </c>
      <c r="C14" s="368">
        <f>GETPIVOTDATA("Sum of 2016-17",TenurePivot!$B$4,"Tenure",$A14)</f>
        <v>39725</v>
      </c>
      <c r="D14" s="368">
        <f>GETPIVOTDATA("Sum of 2017-18",TenurePivot!$B$4,"Tenure",$A14)</f>
        <v>38343</v>
      </c>
      <c r="E14" s="368">
        <f>GETPIVOTDATA("Sum of 2018-19",TenurePivot!$B$4,"Tenure",$A14)</f>
        <v>35339</v>
      </c>
      <c r="F14" s="368">
        <f>GETPIVOTDATA("Sum of 2019-20",TenurePivot!$B$4,"Tenure",$A14)</f>
        <v>34631</v>
      </c>
      <c r="G14" s="368">
        <f>GETPIVOTDATA("Sum of 2020-21",TenurePivot!$B$4,"Tenure",$A14)</f>
        <v>10815</v>
      </c>
      <c r="H14" s="368">
        <f>GETPIVOTDATA("Sum of 2021-22",TenurePivot!$B$4,"Tenure",$A14)</f>
        <v>27519</v>
      </c>
      <c r="I14" s="368">
        <f>GETPIVOTDATA("Sum of 2022-23",TenurePivot!$B$4,"Tenure",$A14)</f>
        <v>19831</v>
      </c>
      <c r="J14" s="368">
        <f>GETPIVOTDATA("Sum of 2023-24",TenurePivot!$B$4,"Tenure",$A14)</f>
        <v>17805</v>
      </c>
      <c r="K14" s="368">
        <f>GETPIVOTDATA("Sum of 2024-25",TenurePivot!$B$4,"Tenure",$A14)</f>
        <v>16026</v>
      </c>
      <c r="L14" s="368">
        <f>GETPIVOTDATA("Sum of 2025-26",TenurePivot!$B$4,"Tenure",$A14)</f>
        <v>10694</v>
      </c>
      <c r="N14" s="751">
        <f t="shared" si="1"/>
        <v>52.235205532935467</v>
      </c>
      <c r="O14" s="751">
        <f t="shared" si="0"/>
        <v>56.111134652598274</v>
      </c>
      <c r="P14" s="751">
        <f t="shared" si="0"/>
        <v>54.912996777658428</v>
      </c>
      <c r="Q14" s="751">
        <f t="shared" si="0"/>
        <v>51.06644316638247</v>
      </c>
      <c r="R14" s="751">
        <f t="shared" si="0"/>
        <v>50.01805393070179</v>
      </c>
      <c r="S14" s="751">
        <f t="shared" si="0"/>
        <v>54.080408040804087</v>
      </c>
      <c r="T14" s="751">
        <f t="shared" si="0"/>
        <v>62.265815910942166</v>
      </c>
      <c r="U14" s="751">
        <f t="shared" si="0"/>
        <v>51.244218196852628</v>
      </c>
      <c r="V14" s="751">
        <f t="shared" si="0"/>
        <v>48.459528604866364</v>
      </c>
      <c r="W14" s="751">
        <f t="shared" si="0"/>
        <v>47.108968517593105</v>
      </c>
      <c r="X14" s="751">
        <f t="shared" si="0"/>
        <v>52.362532438916908</v>
      </c>
    </row>
    <row r="15" spans="1:24" x14ac:dyDescent="0.3">
      <c r="A15" s="525" t="s">
        <v>1004</v>
      </c>
      <c r="B15" s="368">
        <f>GETPIVOTDATA("Sum of 2015-16",TenurePivot!$B$4,"Tenure",$A15)</f>
        <v>4886</v>
      </c>
      <c r="C15" s="368">
        <f>GETPIVOTDATA("Sum of 2016-17",TenurePivot!$B$4,"Tenure",$A15)</f>
        <v>3888</v>
      </c>
      <c r="D15" s="368">
        <f>GETPIVOTDATA("Sum of 2017-18",TenurePivot!$B$4,"Tenure",$A15)</f>
        <v>3767</v>
      </c>
      <c r="E15" s="368">
        <f>GETPIVOTDATA("Sum of 2018-19",TenurePivot!$B$4,"Tenure",$A15)</f>
        <v>3893</v>
      </c>
      <c r="F15" s="368">
        <f>GETPIVOTDATA("Sum of 2019-20",TenurePivot!$B$4,"Tenure",$A15)</f>
        <v>4225</v>
      </c>
      <c r="G15" s="368">
        <f>GETPIVOTDATA("Sum of 2020-21",TenurePivot!$B$4,"Tenure",$A15)</f>
        <v>977</v>
      </c>
      <c r="H15" s="368">
        <f>GETPIVOTDATA("Sum of 2021-22",TenurePivot!$B$4,"Tenure",$A15)</f>
        <v>2084</v>
      </c>
      <c r="I15" s="368">
        <f>GETPIVOTDATA("Sum of 2022-23",TenurePivot!$B$4,"Tenure",$A15)</f>
        <v>2249</v>
      </c>
      <c r="J15" s="368">
        <f>GETPIVOTDATA("Sum of 2023-24",TenurePivot!$B$4,"Tenure",$A15)</f>
        <v>2564</v>
      </c>
      <c r="K15" s="368">
        <f>GETPIVOTDATA("Sum of 2024-25",TenurePivot!$B$4,"Tenure",$A15)</f>
        <v>2305</v>
      </c>
      <c r="L15" s="368">
        <f>GETPIVOTDATA("Sum of 2025-26",TenurePivot!$B$4,"Tenure",$A15)</f>
        <v>1329</v>
      </c>
      <c r="N15" s="751">
        <f t="shared" si="1"/>
        <v>6.8129845501701158</v>
      </c>
      <c r="O15" s="751">
        <f t="shared" si="0"/>
        <v>5.491758125344294</v>
      </c>
      <c r="P15" s="751">
        <f t="shared" si="0"/>
        <v>5.3949158610812749</v>
      </c>
      <c r="Q15" s="751">
        <f t="shared" si="0"/>
        <v>5.6255599549145971</v>
      </c>
      <c r="R15" s="751">
        <f t="shared" si="0"/>
        <v>6.1022285772058291</v>
      </c>
      <c r="S15" s="751">
        <f t="shared" si="0"/>
        <v>4.8854885488548856</v>
      </c>
      <c r="T15" s="751">
        <f t="shared" si="0"/>
        <v>4.7153588560050679</v>
      </c>
      <c r="U15" s="751">
        <f t="shared" si="0"/>
        <v>5.8115196775110469</v>
      </c>
      <c r="V15" s="751">
        <f t="shared" si="0"/>
        <v>6.9783898535735673</v>
      </c>
      <c r="W15" s="936">
        <f t="shared" si="0"/>
        <v>6.7756253858138109</v>
      </c>
      <c r="X15" s="936">
        <f t="shared" si="0"/>
        <v>6.5073691426333058</v>
      </c>
    </row>
    <row r="16" spans="1:24" ht="15" thickBot="1" x14ac:dyDescent="0.35">
      <c r="A16" s="494" t="s">
        <v>340</v>
      </c>
      <c r="B16" s="848">
        <f>SUM(B10:B15)</f>
        <v>71716</v>
      </c>
      <c r="C16" s="848">
        <f t="shared" ref="C16:K16" si="2">SUM(C10:C15)</f>
        <v>70797</v>
      </c>
      <c r="D16" s="848">
        <f t="shared" si="2"/>
        <v>69825</v>
      </c>
      <c r="E16" s="848">
        <f t="shared" si="2"/>
        <v>69202</v>
      </c>
      <c r="F16" s="848">
        <f t="shared" si="2"/>
        <v>69237</v>
      </c>
      <c r="G16" s="848">
        <f t="shared" si="2"/>
        <v>19998</v>
      </c>
      <c r="H16" s="848">
        <f t="shared" si="2"/>
        <v>44196</v>
      </c>
      <c r="I16" s="848">
        <f t="shared" si="2"/>
        <v>38699</v>
      </c>
      <c r="J16" s="848">
        <f t="shared" si="2"/>
        <v>36742</v>
      </c>
      <c r="K16" s="848">
        <f t="shared" si="2"/>
        <v>34019</v>
      </c>
      <c r="L16" s="848">
        <f t="shared" ref="L16" si="3">SUM(L10:L15)</f>
        <v>20423</v>
      </c>
      <c r="N16" s="862"/>
      <c r="O16" s="862"/>
      <c r="P16" s="862"/>
      <c r="Q16" s="862"/>
      <c r="R16" s="862"/>
      <c r="S16" s="862"/>
      <c r="T16" s="862"/>
      <c r="U16" s="862"/>
      <c r="V16" s="862"/>
    </row>
  </sheetData>
  <sheetProtection algorithmName="SHA-512" hashValue="sbPVqbpuaRW2zvfCRcWZi3gAjFE3ZrWmfvdPorIaDI0Z6toEZoWNSp9gMnZphlLl3y94hS3ZdkY8//HvnKBF4w==" saltValue="RFbBniIjtAlz47WwW8Xvxw==" spinCount="100000" sheet="1" formatCells="0" sort="0" autoFilter="0" pivotTables="0"/>
  <sortState xmlns:xlrd2="http://schemas.microsoft.com/office/spreadsheetml/2017/richdata2" ref="C2:J12">
    <sortCondition ref="C1"/>
  </sortState>
  <phoneticPr fontId="53" type="noConversion"/>
  <hyperlinks>
    <hyperlink ref="A2" location="'Table of Contents'!A1" display="Back to Table of Contents" xr:uid="{00000000-0004-0000-8400-000000000000}"/>
  </hyperlinks>
  <pageMargins left="0.7" right="0.7" top="0.75" bottom="0.75" header="0.3" footer="0.3"/>
  <pageSetup paperSize="9" orientation="portrait" r:id="rId1"/>
</worksheet>
</file>

<file path=xl/worksheets/sheet1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7D94048-6BF3-44ED-9E41-4FD5B36EC137}">
  <sheetPr>
    <tabColor theme="7" tint="-0.249977111117893"/>
  </sheetPr>
  <dimension ref="B4:I33"/>
  <sheetViews>
    <sheetView topLeftCell="A18" workbookViewId="0">
      <selection activeCell="D26" sqref="D26"/>
    </sheetView>
  </sheetViews>
  <sheetFormatPr defaultRowHeight="14.4" x14ac:dyDescent="0.3"/>
  <cols>
    <col min="2" max="3" width="12.33203125" bestFit="1" customWidth="1"/>
    <col min="4" max="4" width="26.21875" bestFit="1" customWidth="1"/>
    <col min="5" max="7" width="8.109375" bestFit="1" customWidth="1"/>
    <col min="8" max="8" width="26.21875" bestFit="1" customWidth="1"/>
    <col min="9" max="9" width="17" bestFit="1" customWidth="1"/>
  </cols>
  <sheetData>
    <row r="4" spans="2:9" x14ac:dyDescent="0.3">
      <c r="B4" s="386" t="s">
        <v>350</v>
      </c>
      <c r="C4" t="s">
        <v>1008</v>
      </c>
      <c r="D4" t="s">
        <v>1009</v>
      </c>
      <c r="E4" t="s">
        <v>1010</v>
      </c>
      <c r="F4" t="s">
        <v>1011</v>
      </c>
      <c r="G4" t="s">
        <v>1012</v>
      </c>
      <c r="H4" t="s">
        <v>1013</v>
      </c>
      <c r="I4" t="s">
        <v>1014</v>
      </c>
    </row>
    <row r="5" spans="2:9" x14ac:dyDescent="0.3">
      <c r="B5" s="387" t="s">
        <v>365</v>
      </c>
      <c r="C5">
        <v>18019</v>
      </c>
      <c r="D5">
        <v>15904</v>
      </c>
      <c r="E5">
        <v>12766</v>
      </c>
      <c r="F5">
        <v>10229</v>
      </c>
      <c r="G5">
        <v>8711</v>
      </c>
      <c r="I5">
        <v>65629</v>
      </c>
    </row>
    <row r="6" spans="2:9" x14ac:dyDescent="0.3">
      <c r="B6" s="387" t="s">
        <v>366</v>
      </c>
      <c r="C6">
        <v>19078</v>
      </c>
      <c r="D6">
        <v>17388</v>
      </c>
      <c r="E6">
        <v>14090</v>
      </c>
      <c r="F6">
        <v>11790</v>
      </c>
      <c r="G6">
        <v>9279</v>
      </c>
      <c r="I6">
        <v>71625</v>
      </c>
    </row>
    <row r="7" spans="2:9" x14ac:dyDescent="0.3">
      <c r="B7" s="387" t="s">
        <v>341</v>
      </c>
      <c r="C7">
        <v>17791</v>
      </c>
      <c r="D7">
        <v>16781</v>
      </c>
      <c r="E7">
        <v>14099</v>
      </c>
      <c r="F7">
        <v>12423</v>
      </c>
      <c r="G7">
        <v>9624</v>
      </c>
      <c r="I7">
        <v>70718</v>
      </c>
    </row>
    <row r="8" spans="2:9" x14ac:dyDescent="0.3">
      <c r="B8" s="387" t="s">
        <v>342</v>
      </c>
      <c r="C8">
        <v>18541</v>
      </c>
      <c r="D8">
        <v>16326</v>
      </c>
      <c r="E8">
        <v>13720</v>
      </c>
      <c r="F8">
        <v>11936</v>
      </c>
      <c r="G8">
        <v>9222</v>
      </c>
      <c r="I8">
        <v>69745</v>
      </c>
    </row>
    <row r="9" spans="2:9" x14ac:dyDescent="0.3">
      <c r="B9" s="387" t="s">
        <v>213</v>
      </c>
      <c r="C9">
        <v>19520</v>
      </c>
      <c r="D9">
        <v>16456</v>
      </c>
      <c r="E9">
        <v>13393</v>
      </c>
      <c r="F9">
        <v>10900</v>
      </c>
      <c r="G9">
        <v>8856</v>
      </c>
      <c r="I9">
        <v>69125</v>
      </c>
    </row>
    <row r="10" spans="2:9" x14ac:dyDescent="0.3">
      <c r="B10" s="387" t="s">
        <v>312</v>
      </c>
      <c r="C10">
        <v>19715</v>
      </c>
      <c r="D10">
        <v>16024</v>
      </c>
      <c r="E10">
        <v>13312</v>
      </c>
      <c r="F10">
        <v>11303</v>
      </c>
      <c r="G10">
        <v>8720</v>
      </c>
      <c r="I10">
        <v>69074</v>
      </c>
    </row>
    <row r="11" spans="2:9" x14ac:dyDescent="0.3">
      <c r="B11" s="387" t="s">
        <v>318</v>
      </c>
      <c r="C11">
        <v>5612</v>
      </c>
      <c r="D11">
        <v>4807</v>
      </c>
      <c r="E11">
        <v>3755</v>
      </c>
      <c r="F11">
        <v>3263</v>
      </c>
      <c r="G11">
        <v>2543</v>
      </c>
      <c r="I11">
        <v>19980</v>
      </c>
    </row>
    <row r="12" spans="2:9" x14ac:dyDescent="0.3">
      <c r="B12" s="387" t="s">
        <v>320</v>
      </c>
      <c r="C12">
        <v>10865</v>
      </c>
      <c r="D12">
        <v>10454</v>
      </c>
      <c r="E12">
        <v>8758</v>
      </c>
      <c r="F12">
        <v>7729</v>
      </c>
      <c r="G12">
        <v>6359</v>
      </c>
      <c r="I12">
        <v>44165</v>
      </c>
    </row>
    <row r="13" spans="2:9" x14ac:dyDescent="0.3">
      <c r="B13" s="387" t="s">
        <v>325</v>
      </c>
      <c r="C13">
        <v>10672</v>
      </c>
      <c r="D13">
        <v>9662</v>
      </c>
      <c r="E13">
        <v>7372</v>
      </c>
      <c r="F13">
        <v>6174</v>
      </c>
      <c r="G13">
        <v>4760</v>
      </c>
      <c r="I13">
        <v>38640</v>
      </c>
    </row>
    <row r="14" spans="2:9" x14ac:dyDescent="0.3">
      <c r="B14" s="387" t="s">
        <v>326</v>
      </c>
      <c r="C14">
        <v>10122</v>
      </c>
      <c r="D14">
        <v>9268</v>
      </c>
      <c r="E14">
        <v>6922</v>
      </c>
      <c r="F14">
        <v>5758</v>
      </c>
      <c r="G14">
        <v>4555</v>
      </c>
      <c r="I14">
        <v>36625</v>
      </c>
    </row>
    <row r="15" spans="2:9" x14ac:dyDescent="0.3">
      <c r="B15" s="387" t="s">
        <v>328</v>
      </c>
      <c r="C15">
        <v>10056</v>
      </c>
      <c r="D15">
        <v>8222</v>
      </c>
      <c r="E15">
        <v>5864</v>
      </c>
      <c r="F15">
        <v>4980</v>
      </c>
      <c r="G15">
        <v>4167</v>
      </c>
      <c r="I15">
        <v>33289</v>
      </c>
    </row>
    <row r="16" spans="2:9" x14ac:dyDescent="0.3">
      <c r="B16" s="387" t="s">
        <v>412</v>
      </c>
      <c r="C16">
        <v>5723</v>
      </c>
      <c r="D16">
        <v>4872</v>
      </c>
      <c r="E16">
        <v>3607</v>
      </c>
      <c r="F16">
        <v>3028</v>
      </c>
      <c r="G16">
        <v>2289</v>
      </c>
      <c r="I16">
        <v>19519</v>
      </c>
    </row>
    <row r="17" spans="2:9" x14ac:dyDescent="0.3">
      <c r="B17" s="387" t="s">
        <v>357</v>
      </c>
      <c r="C17">
        <v>165714</v>
      </c>
      <c r="D17">
        <v>146164</v>
      </c>
      <c r="E17">
        <v>117658</v>
      </c>
      <c r="F17">
        <v>99513</v>
      </c>
      <c r="G17">
        <v>79085</v>
      </c>
      <c r="I17">
        <v>608134</v>
      </c>
    </row>
    <row r="20" spans="2:9" x14ac:dyDescent="0.3">
      <c r="C20" s="386" t="s">
        <v>350</v>
      </c>
      <c r="D20" t="s">
        <v>1008</v>
      </c>
      <c r="E20" t="s">
        <v>1009</v>
      </c>
      <c r="F20" t="s">
        <v>1010</v>
      </c>
      <c r="G20" t="s">
        <v>1011</v>
      </c>
      <c r="H20" t="s">
        <v>1012</v>
      </c>
      <c r="I20" t="s">
        <v>1014</v>
      </c>
    </row>
    <row r="21" spans="2:9" x14ac:dyDescent="0.3">
      <c r="C21" s="387" t="s">
        <v>365</v>
      </c>
      <c r="D21">
        <v>3.4</v>
      </c>
      <c r="E21">
        <v>3.2</v>
      </c>
      <c r="F21">
        <v>2.6</v>
      </c>
      <c r="G21">
        <v>2.2000000000000002</v>
      </c>
      <c r="H21">
        <v>1.9</v>
      </c>
      <c r="I21">
        <v>2.7</v>
      </c>
    </row>
    <row r="22" spans="2:9" x14ac:dyDescent="0.3">
      <c r="C22" s="387" t="s">
        <v>366</v>
      </c>
      <c r="D22">
        <v>3.6</v>
      </c>
      <c r="E22">
        <v>3.4</v>
      </c>
      <c r="F22">
        <v>2.9</v>
      </c>
      <c r="G22">
        <v>2.5</v>
      </c>
      <c r="H22">
        <v>2</v>
      </c>
      <c r="I22">
        <v>2.9</v>
      </c>
    </row>
    <row r="23" spans="2:9" x14ac:dyDescent="0.3">
      <c r="C23" s="387" t="s">
        <v>341</v>
      </c>
      <c r="D23">
        <v>3.4</v>
      </c>
      <c r="E23">
        <v>3.3</v>
      </c>
      <c r="F23">
        <v>2.9</v>
      </c>
      <c r="G23">
        <v>2.6</v>
      </c>
      <c r="H23">
        <v>2.1</v>
      </c>
      <c r="I23">
        <v>2.9</v>
      </c>
    </row>
    <row r="24" spans="2:9" x14ac:dyDescent="0.3">
      <c r="C24" s="387" t="s">
        <v>342</v>
      </c>
      <c r="D24">
        <v>3.5</v>
      </c>
      <c r="E24">
        <v>3.2</v>
      </c>
      <c r="F24">
        <v>2.8</v>
      </c>
      <c r="G24">
        <v>2.4</v>
      </c>
      <c r="H24">
        <v>2</v>
      </c>
      <c r="I24">
        <v>2.8</v>
      </c>
    </row>
    <row r="25" spans="2:9" x14ac:dyDescent="0.3">
      <c r="C25" s="387" t="s">
        <v>213</v>
      </c>
      <c r="D25">
        <v>3.7</v>
      </c>
      <c r="E25">
        <v>3.2</v>
      </c>
      <c r="F25">
        <v>2.7</v>
      </c>
      <c r="G25">
        <v>2.2000000000000002</v>
      </c>
      <c r="H25">
        <v>1.9</v>
      </c>
      <c r="I25">
        <v>2.8</v>
      </c>
    </row>
    <row r="26" spans="2:9" x14ac:dyDescent="0.3">
      <c r="C26" s="387" t="s">
        <v>312</v>
      </c>
      <c r="D26">
        <v>3.7</v>
      </c>
      <c r="E26">
        <v>3.1</v>
      </c>
      <c r="F26">
        <v>2.6</v>
      </c>
      <c r="G26">
        <v>2.2999999999999998</v>
      </c>
      <c r="H26">
        <v>1.9</v>
      </c>
      <c r="I26">
        <v>2.7</v>
      </c>
    </row>
    <row r="27" spans="2:9" x14ac:dyDescent="0.3">
      <c r="C27" s="387" t="s">
        <v>318</v>
      </c>
      <c r="D27">
        <v>1</v>
      </c>
      <c r="E27">
        <v>0.9</v>
      </c>
      <c r="F27">
        <v>0.7</v>
      </c>
      <c r="G27">
        <v>0.6</v>
      </c>
      <c r="H27">
        <v>0.5</v>
      </c>
      <c r="I27">
        <v>0.8</v>
      </c>
    </row>
    <row r="28" spans="2:9" x14ac:dyDescent="0.3">
      <c r="C28" s="387" t="s">
        <v>320</v>
      </c>
      <c r="D28">
        <v>2</v>
      </c>
      <c r="E28">
        <v>2</v>
      </c>
      <c r="F28">
        <v>1.7</v>
      </c>
      <c r="G28">
        <v>1.5</v>
      </c>
      <c r="H28">
        <v>1.3</v>
      </c>
      <c r="I28">
        <v>1.7</v>
      </c>
    </row>
    <row r="29" spans="2:9" x14ac:dyDescent="0.3">
      <c r="C29" s="387" t="s">
        <v>325</v>
      </c>
      <c r="D29">
        <v>2</v>
      </c>
      <c r="E29">
        <v>1.8</v>
      </c>
      <c r="F29">
        <v>1.4</v>
      </c>
      <c r="G29">
        <v>1.2</v>
      </c>
      <c r="H29">
        <v>1</v>
      </c>
      <c r="I29">
        <v>1.5</v>
      </c>
    </row>
    <row r="30" spans="2:9" x14ac:dyDescent="0.3">
      <c r="C30" s="387" t="s">
        <v>326</v>
      </c>
      <c r="D30">
        <v>1.9</v>
      </c>
      <c r="E30">
        <v>1.8</v>
      </c>
      <c r="F30">
        <v>1.3</v>
      </c>
      <c r="G30">
        <v>1.1000000000000001</v>
      </c>
      <c r="H30">
        <v>1</v>
      </c>
      <c r="I30">
        <v>1.4</v>
      </c>
    </row>
    <row r="31" spans="2:9" x14ac:dyDescent="0.3">
      <c r="C31" s="387" t="s">
        <v>328</v>
      </c>
      <c r="D31">
        <v>1.8</v>
      </c>
      <c r="E31">
        <v>1.5</v>
      </c>
      <c r="F31">
        <v>1.1000000000000001</v>
      </c>
      <c r="G31">
        <v>0.9</v>
      </c>
      <c r="H31">
        <v>0.9</v>
      </c>
      <c r="I31">
        <v>1.3</v>
      </c>
    </row>
    <row r="32" spans="2:9" x14ac:dyDescent="0.3">
      <c r="C32" s="387" t="s">
        <v>412</v>
      </c>
      <c r="D32">
        <v>1</v>
      </c>
      <c r="E32">
        <v>0.9</v>
      </c>
      <c r="F32">
        <v>0.7</v>
      </c>
      <c r="G32">
        <v>0.6</v>
      </c>
      <c r="H32">
        <v>0.5</v>
      </c>
      <c r="I32">
        <v>0.7</v>
      </c>
    </row>
    <row r="33" spans="3:9" x14ac:dyDescent="0.3">
      <c r="C33" s="387" t="s">
        <v>357</v>
      </c>
      <c r="D33">
        <v>31</v>
      </c>
      <c r="E33">
        <v>28.299999999999997</v>
      </c>
      <c r="F33">
        <v>23.4</v>
      </c>
      <c r="G33">
        <v>20.100000000000005</v>
      </c>
      <c r="H33">
        <v>17</v>
      </c>
      <c r="I33">
        <v>24.2</v>
      </c>
    </row>
  </sheetData>
  <pageMargins left="0.7" right="0.7" top="0.75" bottom="0.75" header="0.3" footer="0.3"/>
</worksheet>
</file>

<file path=xl/worksheets/sheet1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E33F5A-0CE4-431D-B8AE-96C612C28A3E}">
  <sheetPr>
    <tabColor theme="7" tint="-0.249977111117893"/>
  </sheetPr>
  <dimension ref="A1:H33"/>
  <sheetViews>
    <sheetView topLeftCell="A20" workbookViewId="0">
      <selection activeCell="E18" sqref="E18"/>
    </sheetView>
  </sheetViews>
  <sheetFormatPr defaultRowHeight="14.4" x14ac:dyDescent="0.3"/>
  <cols>
    <col min="1" max="1" width="7.5546875" bestFit="1" customWidth="1"/>
    <col min="2" max="2" width="22.109375" bestFit="1" customWidth="1"/>
    <col min="3" max="5" width="4.109375" bestFit="1" customWidth="1"/>
    <col min="6" max="6" width="22.109375" bestFit="1" customWidth="1"/>
    <col min="7" max="8" width="12.77734375" bestFit="1" customWidth="1"/>
  </cols>
  <sheetData>
    <row r="1" spans="1:8" x14ac:dyDescent="0.3">
      <c r="A1" t="s">
        <v>208</v>
      </c>
      <c r="B1" t="s">
        <v>1015</v>
      </c>
      <c r="C1" t="s">
        <v>1016</v>
      </c>
      <c r="D1" t="s">
        <v>1017</v>
      </c>
      <c r="E1" t="s">
        <v>1018</v>
      </c>
      <c r="F1" t="s">
        <v>1019</v>
      </c>
      <c r="G1" t="s">
        <v>1020</v>
      </c>
      <c r="H1" t="s">
        <v>1021</v>
      </c>
    </row>
    <row r="2" spans="1:8" x14ac:dyDescent="0.3">
      <c r="A2" t="s">
        <v>365</v>
      </c>
      <c r="B2">
        <v>18019</v>
      </c>
      <c r="C2">
        <v>15904</v>
      </c>
      <c r="D2">
        <v>12766</v>
      </c>
      <c r="E2">
        <v>10229</v>
      </c>
      <c r="F2">
        <v>8711</v>
      </c>
      <c r="H2">
        <v>65629</v>
      </c>
    </row>
    <row r="3" spans="1:8" x14ac:dyDescent="0.3">
      <c r="A3" t="s">
        <v>366</v>
      </c>
      <c r="B3">
        <v>19078</v>
      </c>
      <c r="C3">
        <v>17388</v>
      </c>
      <c r="D3">
        <v>14090</v>
      </c>
      <c r="E3">
        <v>11790</v>
      </c>
      <c r="F3">
        <v>9279</v>
      </c>
      <c r="H3">
        <v>71625</v>
      </c>
    </row>
    <row r="4" spans="1:8" x14ac:dyDescent="0.3">
      <c r="A4" t="s">
        <v>341</v>
      </c>
      <c r="B4">
        <v>17791</v>
      </c>
      <c r="C4">
        <v>16781</v>
      </c>
      <c r="D4">
        <v>14099</v>
      </c>
      <c r="E4">
        <v>12423</v>
      </c>
      <c r="F4">
        <v>9624</v>
      </c>
      <c r="H4">
        <v>70718</v>
      </c>
    </row>
    <row r="5" spans="1:8" x14ac:dyDescent="0.3">
      <c r="A5" t="s">
        <v>342</v>
      </c>
      <c r="B5">
        <v>18541</v>
      </c>
      <c r="C5">
        <v>16326</v>
      </c>
      <c r="D5">
        <v>13720</v>
      </c>
      <c r="E5">
        <v>11936</v>
      </c>
      <c r="F5">
        <v>9222</v>
      </c>
      <c r="H5">
        <v>69745</v>
      </c>
    </row>
    <row r="6" spans="1:8" x14ac:dyDescent="0.3">
      <c r="A6" t="s">
        <v>213</v>
      </c>
      <c r="B6">
        <v>19520</v>
      </c>
      <c r="C6">
        <v>16456</v>
      </c>
      <c r="D6">
        <v>13393</v>
      </c>
      <c r="E6">
        <v>10900</v>
      </c>
      <c r="F6">
        <v>8856</v>
      </c>
      <c r="H6">
        <v>69125</v>
      </c>
    </row>
    <row r="7" spans="1:8" x14ac:dyDescent="0.3">
      <c r="A7" t="s">
        <v>312</v>
      </c>
      <c r="B7">
        <v>19715</v>
      </c>
      <c r="C7">
        <v>16024</v>
      </c>
      <c r="D7">
        <v>13312</v>
      </c>
      <c r="E7">
        <v>11303</v>
      </c>
      <c r="F7">
        <v>8720</v>
      </c>
      <c r="H7">
        <v>69074</v>
      </c>
    </row>
    <row r="8" spans="1:8" x14ac:dyDescent="0.3">
      <c r="A8" t="s">
        <v>318</v>
      </c>
      <c r="B8">
        <v>5612</v>
      </c>
      <c r="C8">
        <v>4807</v>
      </c>
      <c r="D8">
        <v>3755</v>
      </c>
      <c r="E8">
        <v>3263</v>
      </c>
      <c r="F8">
        <v>2543</v>
      </c>
      <c r="H8">
        <v>19980</v>
      </c>
    </row>
    <row r="9" spans="1:8" x14ac:dyDescent="0.3">
      <c r="A9" t="s">
        <v>320</v>
      </c>
      <c r="B9">
        <v>10865</v>
      </c>
      <c r="C9">
        <v>10454</v>
      </c>
      <c r="D9">
        <v>8758</v>
      </c>
      <c r="E9">
        <v>7729</v>
      </c>
      <c r="F9">
        <v>6359</v>
      </c>
      <c r="H9">
        <v>44165</v>
      </c>
    </row>
    <row r="10" spans="1:8" x14ac:dyDescent="0.3">
      <c r="A10" t="s">
        <v>325</v>
      </c>
      <c r="B10">
        <v>10672</v>
      </c>
      <c r="C10">
        <v>9662</v>
      </c>
      <c r="D10">
        <v>7372</v>
      </c>
      <c r="E10">
        <v>6174</v>
      </c>
      <c r="F10">
        <v>4760</v>
      </c>
      <c r="H10">
        <v>38640</v>
      </c>
    </row>
    <row r="11" spans="1:8" x14ac:dyDescent="0.3">
      <c r="A11" t="s">
        <v>326</v>
      </c>
      <c r="B11">
        <v>10122</v>
      </c>
      <c r="C11">
        <v>9268</v>
      </c>
      <c r="D11">
        <v>6922</v>
      </c>
      <c r="E11">
        <v>5758</v>
      </c>
      <c r="F11">
        <v>4555</v>
      </c>
      <c r="H11">
        <v>36625</v>
      </c>
    </row>
    <row r="12" spans="1:8" x14ac:dyDescent="0.3">
      <c r="A12" t="s">
        <v>328</v>
      </c>
      <c r="B12">
        <v>10056</v>
      </c>
      <c r="C12">
        <v>8222</v>
      </c>
      <c r="D12">
        <v>5864</v>
      </c>
      <c r="E12">
        <v>4980</v>
      </c>
      <c r="F12">
        <v>4167</v>
      </c>
      <c r="H12">
        <v>33289</v>
      </c>
    </row>
    <row r="13" spans="1:8" x14ac:dyDescent="0.3">
      <c r="A13" t="s">
        <v>412</v>
      </c>
      <c r="B13">
        <v>5723</v>
      </c>
      <c r="C13">
        <v>4872</v>
      </c>
      <c r="D13">
        <v>3607</v>
      </c>
      <c r="E13">
        <v>3028</v>
      </c>
      <c r="F13">
        <v>2289</v>
      </c>
      <c r="H13">
        <v>19519</v>
      </c>
    </row>
    <row r="21" spans="1:7" x14ac:dyDescent="0.3">
      <c r="A21" t="s">
        <v>208</v>
      </c>
      <c r="B21" t="s">
        <v>1015</v>
      </c>
      <c r="C21" t="s">
        <v>1016</v>
      </c>
      <c r="D21" t="s">
        <v>1017</v>
      </c>
      <c r="E21" t="s">
        <v>1018</v>
      </c>
      <c r="F21" t="s">
        <v>1019</v>
      </c>
      <c r="G21" t="s">
        <v>1021</v>
      </c>
    </row>
    <row r="22" spans="1:7" x14ac:dyDescent="0.3">
      <c r="A22" t="s">
        <v>326</v>
      </c>
      <c r="B22">
        <v>1.9</v>
      </c>
      <c r="C22">
        <v>1.8</v>
      </c>
      <c r="D22">
        <v>1.3</v>
      </c>
      <c r="E22">
        <v>1.1000000000000001</v>
      </c>
      <c r="F22">
        <v>1</v>
      </c>
      <c r="G22">
        <v>1.4</v>
      </c>
    </row>
    <row r="23" spans="1:7" x14ac:dyDescent="0.3">
      <c r="A23" t="s">
        <v>328</v>
      </c>
      <c r="B23">
        <v>1.8</v>
      </c>
      <c r="C23">
        <v>1.5</v>
      </c>
      <c r="D23">
        <v>1.1000000000000001</v>
      </c>
      <c r="E23">
        <v>0.9</v>
      </c>
      <c r="F23">
        <v>0.9</v>
      </c>
      <c r="G23">
        <v>1.3</v>
      </c>
    </row>
    <row r="24" spans="1:7" x14ac:dyDescent="0.3">
      <c r="A24" t="s">
        <v>341</v>
      </c>
      <c r="B24">
        <v>3.4</v>
      </c>
      <c r="C24">
        <v>3.3</v>
      </c>
      <c r="D24">
        <v>2.9</v>
      </c>
      <c r="E24">
        <v>2.6</v>
      </c>
      <c r="F24">
        <v>2.1</v>
      </c>
      <c r="G24">
        <v>2.9</v>
      </c>
    </row>
    <row r="25" spans="1:7" x14ac:dyDescent="0.3">
      <c r="A25" t="s">
        <v>213</v>
      </c>
      <c r="B25">
        <v>3.7</v>
      </c>
      <c r="C25">
        <v>3.2</v>
      </c>
      <c r="D25">
        <v>2.7</v>
      </c>
      <c r="E25">
        <v>2.2000000000000002</v>
      </c>
      <c r="F25">
        <v>1.9</v>
      </c>
      <c r="G25">
        <v>2.8</v>
      </c>
    </row>
    <row r="26" spans="1:7" x14ac:dyDescent="0.3">
      <c r="A26" t="s">
        <v>318</v>
      </c>
      <c r="B26">
        <v>1</v>
      </c>
      <c r="C26">
        <v>0.9</v>
      </c>
      <c r="D26">
        <v>0.7</v>
      </c>
      <c r="E26">
        <v>0.6</v>
      </c>
      <c r="F26">
        <v>0.5</v>
      </c>
      <c r="G26">
        <v>0.8</v>
      </c>
    </row>
    <row r="27" spans="1:7" x14ac:dyDescent="0.3">
      <c r="A27" t="s">
        <v>325</v>
      </c>
      <c r="B27">
        <v>2</v>
      </c>
      <c r="C27">
        <v>1.8</v>
      </c>
      <c r="D27">
        <v>1.4</v>
      </c>
      <c r="E27">
        <v>1.2</v>
      </c>
      <c r="F27">
        <v>1</v>
      </c>
      <c r="G27">
        <v>1.5</v>
      </c>
    </row>
    <row r="28" spans="1:7" x14ac:dyDescent="0.3">
      <c r="A28" t="s">
        <v>342</v>
      </c>
      <c r="B28">
        <v>3.5</v>
      </c>
      <c r="C28">
        <v>3.2</v>
      </c>
      <c r="D28">
        <v>2.8</v>
      </c>
      <c r="E28">
        <v>2.4</v>
      </c>
      <c r="F28">
        <v>2</v>
      </c>
      <c r="G28">
        <v>2.8</v>
      </c>
    </row>
    <row r="29" spans="1:7" x14ac:dyDescent="0.3">
      <c r="A29" t="s">
        <v>312</v>
      </c>
      <c r="B29">
        <v>3.7</v>
      </c>
      <c r="C29">
        <v>3.1</v>
      </c>
      <c r="D29">
        <v>2.6</v>
      </c>
      <c r="E29">
        <v>2.2999999999999998</v>
      </c>
      <c r="F29">
        <v>1.9</v>
      </c>
      <c r="G29">
        <v>2.7</v>
      </c>
    </row>
    <row r="30" spans="1:7" x14ac:dyDescent="0.3">
      <c r="A30" t="s">
        <v>366</v>
      </c>
      <c r="B30">
        <v>3.6</v>
      </c>
      <c r="C30">
        <v>3.4</v>
      </c>
      <c r="D30">
        <v>2.9</v>
      </c>
      <c r="E30">
        <v>2.5</v>
      </c>
      <c r="F30">
        <v>2</v>
      </c>
      <c r="G30">
        <v>2.9</v>
      </c>
    </row>
    <row r="31" spans="1:7" x14ac:dyDescent="0.3">
      <c r="A31" t="s">
        <v>320</v>
      </c>
      <c r="B31">
        <v>2</v>
      </c>
      <c r="C31">
        <v>2</v>
      </c>
      <c r="D31">
        <v>1.7</v>
      </c>
      <c r="E31">
        <v>1.5</v>
      </c>
      <c r="F31">
        <v>1.3</v>
      </c>
      <c r="G31">
        <v>1.7</v>
      </c>
    </row>
    <row r="32" spans="1:7" x14ac:dyDescent="0.3">
      <c r="A32" t="s">
        <v>365</v>
      </c>
      <c r="B32">
        <v>3.4</v>
      </c>
      <c r="C32">
        <v>3.2</v>
      </c>
      <c r="D32">
        <v>2.6</v>
      </c>
      <c r="E32">
        <v>2.2000000000000002</v>
      </c>
      <c r="F32">
        <v>1.9</v>
      </c>
      <c r="G32">
        <v>2.7</v>
      </c>
    </row>
    <row r="33" spans="1:7" x14ac:dyDescent="0.3">
      <c r="A33" t="s">
        <v>412</v>
      </c>
      <c r="B33">
        <v>1</v>
      </c>
      <c r="C33">
        <v>0.9</v>
      </c>
      <c r="D33">
        <v>0.7</v>
      </c>
      <c r="E33">
        <v>0.6</v>
      </c>
      <c r="F33">
        <v>0.5</v>
      </c>
      <c r="G33">
        <v>0.7</v>
      </c>
    </row>
  </sheetData>
  <pageMargins left="0.7" right="0.7" top="0.75" bottom="0.75" header="0.3" footer="0.3"/>
  <tableParts count="2">
    <tablePart r:id="rId1"/>
    <tablePart r:id="rId2"/>
  </tableParts>
</worksheet>
</file>

<file path=xl/worksheets/sheet1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tabColor theme="7" tint="-0.249977111117893"/>
  </sheetPr>
  <dimension ref="A1:L53"/>
  <sheetViews>
    <sheetView showGridLines="0" zoomScaleNormal="100" workbookViewId="0">
      <pane ySplit="2" topLeftCell="A3" activePane="bottomLeft" state="frozen"/>
      <selection pane="bottomLeft"/>
    </sheetView>
  </sheetViews>
  <sheetFormatPr defaultColWidth="9.33203125" defaultRowHeight="14.4" x14ac:dyDescent="0.3"/>
  <cols>
    <col min="1" max="1" width="24.44140625" customWidth="1"/>
    <col min="2" max="2" width="20" bestFit="1" customWidth="1"/>
    <col min="3" max="3" width="13.88671875" customWidth="1"/>
    <col min="4" max="4" width="14.88671875" customWidth="1"/>
    <col min="5" max="5" width="16.88671875" customWidth="1"/>
    <col min="6" max="6" width="21.33203125" customWidth="1"/>
    <col min="7" max="7" width="12.88671875" customWidth="1"/>
    <col min="8" max="8" width="9.88671875" bestFit="1" customWidth="1"/>
    <col min="9" max="9" width="23.88671875" customWidth="1"/>
  </cols>
  <sheetData>
    <row r="1" spans="1:12" ht="15.6" x14ac:dyDescent="0.3">
      <c r="A1" s="513" t="s">
        <v>915</v>
      </c>
      <c r="B1" s="513"/>
      <c r="C1" s="513"/>
    </row>
    <row r="2" spans="1:12" ht="15.6" x14ac:dyDescent="0.3">
      <c r="A2" s="498" t="s">
        <v>202</v>
      </c>
      <c r="B2" s="440"/>
      <c r="C2" s="440"/>
    </row>
    <row r="3" spans="1:12" x14ac:dyDescent="0.3">
      <c r="A3" s="25"/>
      <c r="B3" s="25"/>
      <c r="C3" s="25"/>
      <c r="D3" s="25"/>
      <c r="E3" s="25"/>
      <c r="F3" s="25"/>
      <c r="G3" s="25"/>
      <c r="H3" s="25"/>
      <c r="I3" s="25"/>
      <c r="J3" s="25"/>
      <c r="K3" s="25"/>
      <c r="L3" s="25"/>
    </row>
    <row r="4" spans="1:12" ht="15.6" x14ac:dyDescent="0.3">
      <c r="A4" s="522" t="s">
        <v>1022</v>
      </c>
      <c r="B4" s="522"/>
      <c r="C4" s="522"/>
      <c r="D4" s="522"/>
      <c r="E4" s="522"/>
      <c r="F4" s="522"/>
      <c r="G4" s="522"/>
      <c r="H4" s="522"/>
      <c r="I4" s="522"/>
      <c r="J4" s="522"/>
      <c r="K4" s="522"/>
      <c r="L4" s="522"/>
    </row>
    <row r="5" spans="1:12" ht="15.6" x14ac:dyDescent="0.3">
      <c r="A5" t="s">
        <v>203</v>
      </c>
      <c r="B5" t="s">
        <v>152</v>
      </c>
      <c r="C5" s="499"/>
      <c r="D5" s="499"/>
      <c r="E5" s="499"/>
      <c r="F5" s="499"/>
      <c r="G5" s="499"/>
      <c r="H5" s="499"/>
      <c r="I5" s="499"/>
      <c r="J5" s="499"/>
      <c r="K5" s="499"/>
      <c r="L5" s="499"/>
    </row>
    <row r="6" spans="1:12" ht="15.6" x14ac:dyDescent="0.3">
      <c r="A6" t="s">
        <v>204</v>
      </c>
      <c r="B6" t="s">
        <v>205</v>
      </c>
      <c r="C6" s="499"/>
      <c r="D6" s="499"/>
      <c r="E6" s="499"/>
      <c r="F6" s="499"/>
      <c r="G6" s="499"/>
      <c r="H6" s="499"/>
      <c r="I6" s="499"/>
      <c r="J6" s="499"/>
      <c r="K6" s="499"/>
      <c r="L6" s="499"/>
    </row>
    <row r="7" spans="1:12" ht="15.6" x14ac:dyDescent="0.3">
      <c r="A7" t="s">
        <v>206</v>
      </c>
      <c r="B7" t="s">
        <v>1023</v>
      </c>
      <c r="C7" s="499"/>
      <c r="D7" s="499"/>
      <c r="E7" s="499"/>
      <c r="F7" s="499"/>
      <c r="G7" s="499"/>
      <c r="H7" s="499"/>
      <c r="I7" s="499"/>
      <c r="J7" s="499"/>
      <c r="K7" s="499"/>
      <c r="L7" s="499"/>
    </row>
    <row r="9" spans="1:12" x14ac:dyDescent="0.3">
      <c r="D9" s="523" t="s">
        <v>1024</v>
      </c>
    </row>
    <row r="10" spans="1:12" x14ac:dyDescent="0.3">
      <c r="A10" s="525" t="s">
        <v>208</v>
      </c>
      <c r="B10" s="647" t="s">
        <v>1015</v>
      </c>
      <c r="C10" s="647" t="s">
        <v>1016</v>
      </c>
      <c r="D10" s="647" t="s">
        <v>1017</v>
      </c>
      <c r="E10" s="647" t="s">
        <v>1018</v>
      </c>
      <c r="F10" s="647" t="s">
        <v>1019</v>
      </c>
      <c r="G10" s="647" t="s">
        <v>1021</v>
      </c>
    </row>
    <row r="11" spans="1:12" x14ac:dyDescent="0.3">
      <c r="A11" s="312" t="s">
        <v>365</v>
      </c>
      <c r="B11" s="368">
        <f>GETPIVOTDATA("Sum of 1 - Most Deprived 20%",SIMDVisitsPivot!$B$4,"Year",A11)</f>
        <v>18019</v>
      </c>
      <c r="C11" s="368">
        <f>GETPIVOTDATA("Sum of 2",SIMDVisitsPivot!$B$4,"Year",A11)</f>
        <v>15904</v>
      </c>
      <c r="D11" s="368">
        <f>GETPIVOTDATA("Sum of 3",SIMDVisitsPivot!$B$4,"Year",A11)</f>
        <v>12766</v>
      </c>
      <c r="E11" s="368">
        <f>GETPIVOTDATA("Sum of 4",SIMDVisitsPivot!$B$4,"Year",A11)</f>
        <v>10229</v>
      </c>
      <c r="F11" s="368">
        <f>GETPIVOTDATA("Sum of 5 - Least Deprived 20%",SIMDVisitsPivot!$B$4,"Year",A11)</f>
        <v>8711</v>
      </c>
      <c r="G11" s="749">
        <f>GETPIVOTDATA("Sum of All Scotland",SIMDVisitsPivot!$B$4,"Year",A11)</f>
        <v>65629</v>
      </c>
    </row>
    <row r="12" spans="1:12" x14ac:dyDescent="0.3">
      <c r="A12" s="312" t="s">
        <v>366</v>
      </c>
      <c r="B12" s="368">
        <f>GETPIVOTDATA("Sum of 1 - Most Deprived 20%",SIMDVisitsPivot!$B$4,"Year",A12)</f>
        <v>19078</v>
      </c>
      <c r="C12" s="368">
        <f>GETPIVOTDATA("Sum of 2",SIMDVisitsPivot!$B$4,"Year",A12)</f>
        <v>17388</v>
      </c>
      <c r="D12" s="368">
        <f>GETPIVOTDATA("Sum of 3",SIMDVisitsPivot!$B$4,"Year",A12)</f>
        <v>14090</v>
      </c>
      <c r="E12" s="368">
        <f>GETPIVOTDATA("Sum of 4",SIMDVisitsPivot!$B$4,"Year",A12)</f>
        <v>11790</v>
      </c>
      <c r="F12" s="368">
        <f>GETPIVOTDATA("Sum of 5 - Least Deprived 20%",SIMDVisitsPivot!$B$4,"Year",A12)</f>
        <v>9279</v>
      </c>
      <c r="G12" s="749">
        <f>GETPIVOTDATA("Sum of All Scotland",SIMDVisitsPivot!$B$4,"Year",A12)</f>
        <v>71625</v>
      </c>
    </row>
    <row r="13" spans="1:12" x14ac:dyDescent="0.3">
      <c r="A13" s="312" t="s">
        <v>341</v>
      </c>
      <c r="B13" s="368">
        <f>GETPIVOTDATA("Sum of 1 - Most Deprived 20%",SIMDVisitsPivot!$B$4,"Year",A13)</f>
        <v>17791</v>
      </c>
      <c r="C13" s="368">
        <f>GETPIVOTDATA("Sum of 2",SIMDVisitsPivot!$B$4,"Year",A13)</f>
        <v>16781</v>
      </c>
      <c r="D13" s="368">
        <f>GETPIVOTDATA("Sum of 3",SIMDVisitsPivot!$B$4,"Year",A13)</f>
        <v>14099</v>
      </c>
      <c r="E13" s="368">
        <f>GETPIVOTDATA("Sum of 4",SIMDVisitsPivot!$B$4,"Year",A13)</f>
        <v>12423</v>
      </c>
      <c r="F13" s="368">
        <f>GETPIVOTDATA("Sum of 5 - Least Deprived 20%",SIMDVisitsPivot!$B$4,"Year",A13)</f>
        <v>9624</v>
      </c>
      <c r="G13" s="749">
        <f>GETPIVOTDATA("Sum of All Scotland",SIMDVisitsPivot!$B$4,"Year",A13)</f>
        <v>70718</v>
      </c>
    </row>
    <row r="14" spans="1:12" x14ac:dyDescent="0.3">
      <c r="A14" s="312" t="s">
        <v>342</v>
      </c>
      <c r="B14" s="368">
        <f>GETPIVOTDATA("Sum of 1 - Most Deprived 20%",SIMDVisitsPivot!$B$4,"Year",A14)</f>
        <v>18541</v>
      </c>
      <c r="C14" s="368">
        <f>GETPIVOTDATA("Sum of 2",SIMDVisitsPivot!$B$4,"Year",A14)</f>
        <v>16326</v>
      </c>
      <c r="D14" s="368">
        <f>GETPIVOTDATA("Sum of 3",SIMDVisitsPivot!$B$4,"Year",A14)</f>
        <v>13720</v>
      </c>
      <c r="E14" s="368">
        <f>GETPIVOTDATA("Sum of 4",SIMDVisitsPivot!$B$4,"Year",A14)</f>
        <v>11936</v>
      </c>
      <c r="F14" s="368">
        <f>GETPIVOTDATA("Sum of 5 - Least Deprived 20%",SIMDVisitsPivot!$B$4,"Year",A14)</f>
        <v>9222</v>
      </c>
      <c r="G14" s="749">
        <f>GETPIVOTDATA("Sum of All Scotland",SIMDVisitsPivot!$B$4,"Year",A14)</f>
        <v>69745</v>
      </c>
    </row>
    <row r="15" spans="1:12" x14ac:dyDescent="0.3">
      <c r="A15" s="312" t="s">
        <v>213</v>
      </c>
      <c r="B15" s="368">
        <f>GETPIVOTDATA("Sum of 1 - Most Deprived 20%",SIMDVisitsPivot!$B$4,"Year",A15)</f>
        <v>19520</v>
      </c>
      <c r="C15" s="368">
        <f>GETPIVOTDATA("Sum of 2",SIMDVisitsPivot!$B$4,"Year",A15)</f>
        <v>16456</v>
      </c>
      <c r="D15" s="368">
        <f>GETPIVOTDATA("Sum of 3",SIMDVisitsPivot!$B$4,"Year",A15)</f>
        <v>13393</v>
      </c>
      <c r="E15" s="368">
        <f>GETPIVOTDATA("Sum of 4",SIMDVisitsPivot!$B$4,"Year",A15)</f>
        <v>10900</v>
      </c>
      <c r="F15" s="368">
        <f>GETPIVOTDATA("Sum of 5 - Least Deprived 20%",SIMDVisitsPivot!$B$4,"Year",A15)</f>
        <v>8856</v>
      </c>
      <c r="G15" s="749">
        <f>GETPIVOTDATA("Sum of All Scotland",SIMDVisitsPivot!$B$4,"Year",A15)</f>
        <v>69125</v>
      </c>
    </row>
    <row r="16" spans="1:12" x14ac:dyDescent="0.3">
      <c r="A16" s="312" t="s">
        <v>312</v>
      </c>
      <c r="B16" s="368">
        <f>GETPIVOTDATA("Sum of 1 - Most Deprived 20%",SIMDVisitsPivot!$B$4,"Year",A16)</f>
        <v>19715</v>
      </c>
      <c r="C16" s="368">
        <f>GETPIVOTDATA("Sum of 2",SIMDVisitsPivot!$B$4,"Year",A16)</f>
        <v>16024</v>
      </c>
      <c r="D16" s="368">
        <f>GETPIVOTDATA("Sum of 3",SIMDVisitsPivot!$B$4,"Year",A16)</f>
        <v>13312</v>
      </c>
      <c r="E16" s="368">
        <f>GETPIVOTDATA("Sum of 4",SIMDVisitsPivot!$B$4,"Year",A16)</f>
        <v>11303</v>
      </c>
      <c r="F16" s="368">
        <f>GETPIVOTDATA("Sum of 5 - Least Deprived 20%",SIMDVisitsPivot!$B$4,"Year",A16)</f>
        <v>8720</v>
      </c>
      <c r="G16" s="749">
        <f>GETPIVOTDATA("Sum of All Scotland",SIMDVisitsPivot!$B$4,"Year",A16)</f>
        <v>69074</v>
      </c>
    </row>
    <row r="17" spans="1:12" x14ac:dyDescent="0.3">
      <c r="A17" s="312" t="s">
        <v>318</v>
      </c>
      <c r="B17" s="368">
        <f>GETPIVOTDATA("Sum of 1 - Most Deprived 20%",SIMDVisitsPivot!$B$4,"Year",A17)</f>
        <v>5612</v>
      </c>
      <c r="C17" s="368">
        <f>GETPIVOTDATA("Sum of 2",SIMDVisitsPivot!$B$4,"Year",A17)</f>
        <v>4807</v>
      </c>
      <c r="D17" s="368">
        <f>GETPIVOTDATA("Sum of 3",SIMDVisitsPivot!$B$4,"Year",A17)</f>
        <v>3755</v>
      </c>
      <c r="E17" s="368">
        <f>GETPIVOTDATA("Sum of 4",SIMDVisitsPivot!$B$4,"Year",A17)</f>
        <v>3263</v>
      </c>
      <c r="F17" s="368">
        <f>GETPIVOTDATA("Sum of 5 - Least Deprived 20%",SIMDVisitsPivot!$B$4,"Year",A17)</f>
        <v>2543</v>
      </c>
      <c r="G17" s="749">
        <f>GETPIVOTDATA("Sum of All Scotland",SIMDVisitsPivot!$B$4,"Year",A17)</f>
        <v>19980</v>
      </c>
    </row>
    <row r="18" spans="1:12" x14ac:dyDescent="0.3">
      <c r="A18" s="312" t="s">
        <v>320</v>
      </c>
      <c r="B18" s="368">
        <f>GETPIVOTDATA("Sum of 1 - Most Deprived 20%",SIMDVisitsPivot!$B$4,"Year",A18)</f>
        <v>10865</v>
      </c>
      <c r="C18" s="368">
        <f>GETPIVOTDATA("Sum of 2",SIMDVisitsPivot!$B$4,"Year",A18)</f>
        <v>10454</v>
      </c>
      <c r="D18" s="368">
        <f>GETPIVOTDATA("Sum of 3",SIMDVisitsPivot!$B$4,"Year",A18)</f>
        <v>8758</v>
      </c>
      <c r="E18" s="368">
        <f>GETPIVOTDATA("Sum of 4",SIMDVisitsPivot!$B$4,"Year",A18)</f>
        <v>7729</v>
      </c>
      <c r="F18" s="368">
        <f>GETPIVOTDATA("Sum of 5 - Least Deprived 20%",SIMDVisitsPivot!$B$4,"Year",A18)</f>
        <v>6359</v>
      </c>
      <c r="G18" s="749">
        <f>GETPIVOTDATA("Sum of All Scotland",SIMDVisitsPivot!$B$4,"Year",A18)</f>
        <v>44165</v>
      </c>
    </row>
    <row r="19" spans="1:12" x14ac:dyDescent="0.3">
      <c r="A19" s="312" t="s">
        <v>325</v>
      </c>
      <c r="B19" s="368">
        <f>GETPIVOTDATA("Sum of 1 - Most Deprived 20%",SIMDVisitsPivot!$B$4,"Year",A19)</f>
        <v>10672</v>
      </c>
      <c r="C19" s="368">
        <f>GETPIVOTDATA("Sum of 2",SIMDVisitsPivot!$B$4,"Year",A19)</f>
        <v>9662</v>
      </c>
      <c r="D19" s="368">
        <f>GETPIVOTDATA("Sum of 3",SIMDVisitsPivot!$B$4,"Year",A19)</f>
        <v>7372</v>
      </c>
      <c r="E19" s="368">
        <f>GETPIVOTDATA("Sum of 4",SIMDVisitsPivot!$B$4,"Year",A19)</f>
        <v>6174</v>
      </c>
      <c r="F19" s="368">
        <f>GETPIVOTDATA("Sum of 5 - Least Deprived 20%",SIMDVisitsPivot!$B$4,"Year",A19)</f>
        <v>4760</v>
      </c>
      <c r="G19" s="749">
        <f>GETPIVOTDATA("Sum of All Scotland",SIMDVisitsPivot!$B$4,"Year",A19)</f>
        <v>38640</v>
      </c>
    </row>
    <row r="20" spans="1:12" x14ac:dyDescent="0.3">
      <c r="A20" s="312" t="s">
        <v>326</v>
      </c>
      <c r="B20" s="368">
        <f>GETPIVOTDATA("Sum of 1 - Most Deprived 20%",SIMDVisitsPivot!$B$4,"Year",A20)</f>
        <v>10122</v>
      </c>
      <c r="C20" s="368">
        <f>GETPIVOTDATA("Sum of 2",SIMDVisitsPivot!$B$4,"Year",A20)</f>
        <v>9268</v>
      </c>
      <c r="D20" s="368">
        <f>GETPIVOTDATA("Sum of 3",SIMDVisitsPivot!$B$4,"Year",A20)</f>
        <v>6922</v>
      </c>
      <c r="E20" s="368">
        <f>GETPIVOTDATA("Sum of 4",SIMDVisitsPivot!$B$4,"Year",A20)</f>
        <v>5758</v>
      </c>
      <c r="F20" s="368">
        <f>GETPIVOTDATA("Sum of 5 - Least Deprived 20%",SIMDVisitsPivot!$B$4,"Year",A20)</f>
        <v>4555</v>
      </c>
      <c r="G20" s="749">
        <f>GETPIVOTDATA("Sum of All Scotland",SIMDVisitsPivot!$B$4,"Year",A20)</f>
        <v>36625</v>
      </c>
    </row>
    <row r="21" spans="1:12" x14ac:dyDescent="0.3">
      <c r="A21" s="312" t="s">
        <v>328</v>
      </c>
      <c r="B21" s="368">
        <f>GETPIVOTDATA("Sum of 1 - Most Deprived 20%",SIMDVisitsPivot!$B$4,"Year",A21)</f>
        <v>10056</v>
      </c>
      <c r="C21" s="368">
        <f>GETPIVOTDATA("Sum of 2",SIMDVisitsPivot!$B$4,"Year",A21)</f>
        <v>8222</v>
      </c>
      <c r="D21" s="368">
        <f>GETPIVOTDATA("Sum of 3",SIMDVisitsPivot!$B$4,"Year",A21)</f>
        <v>5864</v>
      </c>
      <c r="E21" s="368">
        <f>GETPIVOTDATA("Sum of 4",SIMDVisitsPivot!$B$4,"Year",A21)</f>
        <v>4980</v>
      </c>
      <c r="F21" s="368">
        <f>GETPIVOTDATA("Sum of 5 - Least Deprived 20%",SIMDVisitsPivot!$B$4,"Year",A21)</f>
        <v>4167</v>
      </c>
      <c r="G21" s="749">
        <f>GETPIVOTDATA("Sum of All Scotland",SIMDVisitsPivot!$B$4,"Year",A21)</f>
        <v>33289</v>
      </c>
    </row>
    <row r="22" spans="1:12" ht="15" thickBot="1" x14ac:dyDescent="0.35">
      <c r="A22" s="524" t="s">
        <v>412</v>
      </c>
      <c r="B22" s="755">
        <f>GETPIVOTDATA("Sum of 1 - Most Deprived 20%",SIMDVisitsPivot!$B$4,"Year",A22)</f>
        <v>5723</v>
      </c>
      <c r="C22" s="755">
        <f>GETPIVOTDATA("Sum of 2",SIMDVisitsPivot!$B$4,"Year",A22)</f>
        <v>4872</v>
      </c>
      <c r="D22" s="755">
        <f>GETPIVOTDATA("Sum of 3",SIMDVisitsPivot!$B$4,"Year",A22)</f>
        <v>3607</v>
      </c>
      <c r="E22" s="755">
        <f>GETPIVOTDATA("Sum of 4",SIMDVisitsPivot!$B$4,"Year",A22)</f>
        <v>3028</v>
      </c>
      <c r="F22" s="755">
        <f>GETPIVOTDATA("Sum of 5 - Least Deprived 20%",SIMDVisitsPivot!$B$4,"Year",A22)</f>
        <v>2289</v>
      </c>
      <c r="G22" s="879">
        <f>GETPIVOTDATA("Sum of All Scotland",SIMDVisitsPivot!$B$4,"Year",A22)</f>
        <v>19519</v>
      </c>
    </row>
    <row r="24" spans="1:12" x14ac:dyDescent="0.3">
      <c r="A24" s="312" t="s">
        <v>329</v>
      </c>
    </row>
    <row r="25" spans="1:12" ht="15.75" customHeight="1" x14ac:dyDescent="0.3">
      <c r="A25" t="s">
        <v>1025</v>
      </c>
      <c r="I25" s="522"/>
      <c r="J25" s="522"/>
      <c r="K25" s="522"/>
      <c r="L25" s="522"/>
    </row>
    <row r="26" spans="1:12" ht="15.6" x14ac:dyDescent="0.3">
      <c r="A26" s="563" t="s">
        <v>1026</v>
      </c>
      <c r="I26" s="499"/>
      <c r="J26" s="499"/>
      <c r="K26" s="499"/>
      <c r="L26" s="499"/>
    </row>
    <row r="27" spans="1:12" ht="15.6" x14ac:dyDescent="0.3">
      <c r="A27" s="698" t="s">
        <v>1027</v>
      </c>
      <c r="I27" s="499"/>
      <c r="J27" s="499"/>
      <c r="K27" s="499"/>
      <c r="L27" s="499"/>
    </row>
    <row r="28" spans="1:12" ht="15.6" x14ac:dyDescent="0.3">
      <c r="A28" s="563"/>
      <c r="I28" s="499"/>
      <c r="J28" s="499"/>
      <c r="K28" s="499"/>
      <c r="L28" s="499"/>
    </row>
    <row r="29" spans="1:12" ht="15.6" x14ac:dyDescent="0.3">
      <c r="H29" s="522"/>
    </row>
    <row r="30" spans="1:12" ht="15.6" x14ac:dyDescent="0.3">
      <c r="A30" s="522" t="s">
        <v>1028</v>
      </c>
      <c r="B30" s="522"/>
      <c r="C30" s="522"/>
      <c r="D30" s="522"/>
      <c r="E30" s="522"/>
      <c r="F30" s="522"/>
      <c r="G30" s="522"/>
      <c r="H30" s="499"/>
    </row>
    <row r="31" spans="1:12" ht="15.6" x14ac:dyDescent="0.3">
      <c r="A31" t="s">
        <v>203</v>
      </c>
      <c r="B31" t="s">
        <v>153</v>
      </c>
      <c r="C31" s="499"/>
      <c r="D31" s="499"/>
      <c r="E31" s="499"/>
      <c r="F31" s="499"/>
      <c r="G31" s="499"/>
      <c r="H31" s="499"/>
    </row>
    <row r="32" spans="1:12" ht="15.6" x14ac:dyDescent="0.3">
      <c r="A32" t="s">
        <v>204</v>
      </c>
      <c r="B32" t="s">
        <v>205</v>
      </c>
      <c r="C32" s="499"/>
      <c r="D32" s="499"/>
      <c r="E32" s="499"/>
      <c r="F32" s="499"/>
      <c r="G32" s="499"/>
      <c r="H32" s="499"/>
    </row>
    <row r="33" spans="1:8" ht="15.6" x14ac:dyDescent="0.3">
      <c r="A33" t="s">
        <v>206</v>
      </c>
      <c r="B33" t="s">
        <v>1023</v>
      </c>
      <c r="C33" s="499"/>
      <c r="D33" s="499"/>
      <c r="E33" s="499"/>
      <c r="F33" s="499"/>
      <c r="G33" s="499"/>
    </row>
    <row r="34" spans="1:8" x14ac:dyDescent="0.3">
      <c r="H34" s="527"/>
    </row>
    <row r="35" spans="1:8" x14ac:dyDescent="0.3">
      <c r="C35" s="527"/>
      <c r="D35" s="528" t="s">
        <v>1029</v>
      </c>
      <c r="E35" s="527"/>
      <c r="F35" s="527"/>
    </row>
    <row r="36" spans="1:8" x14ac:dyDescent="0.3">
      <c r="A36" s="525" t="s">
        <v>208</v>
      </c>
      <c r="B36" s="647" t="s">
        <v>1015</v>
      </c>
      <c r="C36" s="647" t="s">
        <v>1016</v>
      </c>
      <c r="D36" s="647" t="s">
        <v>1017</v>
      </c>
      <c r="E36" s="647" t="s">
        <v>1018</v>
      </c>
      <c r="F36" s="647" t="s">
        <v>1019</v>
      </c>
      <c r="G36" s="647" t="s">
        <v>1021</v>
      </c>
    </row>
    <row r="37" spans="1:8" x14ac:dyDescent="0.3">
      <c r="A37" s="312" t="s">
        <v>365</v>
      </c>
      <c r="B37" s="560">
        <f>GETPIVOTDATA("Sum of 1 - Most Deprived 20%",SIMDVisitsPivot!$C$20,"Year",A37)</f>
        <v>3.4</v>
      </c>
      <c r="C37" s="560">
        <f>GETPIVOTDATA("Sum of 2",SIMDVisitsPivot!$C$20,"Year",A37)</f>
        <v>3.2</v>
      </c>
      <c r="D37" s="560">
        <f>GETPIVOTDATA("Sum of 3",SIMDVisitsPivot!$C$20,"Year",A37)</f>
        <v>2.6</v>
      </c>
      <c r="E37" s="560">
        <f>GETPIVOTDATA("Sum of 4",SIMDVisitsPivot!$C$20,"Year",A37)</f>
        <v>2.2000000000000002</v>
      </c>
      <c r="F37" s="560">
        <f>GETPIVOTDATA("Sum of 5 - Least Deprived 20%",SIMDVisitsPivot!$C$20,"Year",A37)</f>
        <v>1.9</v>
      </c>
      <c r="G37" s="881">
        <f>GETPIVOTDATA("Sum of All Scotland",SIMDVisitsPivot!$C$20,"Year",A37)</f>
        <v>2.7</v>
      </c>
    </row>
    <row r="38" spans="1:8" x14ac:dyDescent="0.3">
      <c r="A38" s="312" t="s">
        <v>366</v>
      </c>
      <c r="B38" s="560">
        <f>GETPIVOTDATA("Sum of 1 - Most Deprived 20%",SIMDVisitsPivot!$C$20,"Year",A38)</f>
        <v>3.6</v>
      </c>
      <c r="C38" s="560">
        <f>GETPIVOTDATA("Sum of 2",SIMDVisitsPivot!$C$20,"Year",A38)</f>
        <v>3.4</v>
      </c>
      <c r="D38" s="560">
        <f>GETPIVOTDATA("Sum of 3",SIMDVisitsPivot!$C$20,"Year",A38)</f>
        <v>2.9</v>
      </c>
      <c r="E38" s="560">
        <f>GETPIVOTDATA("Sum of 4",SIMDVisitsPivot!$C$20,"Year",A38)</f>
        <v>2.5</v>
      </c>
      <c r="F38" s="560">
        <f>GETPIVOTDATA("Sum of 5 - Least Deprived 20%",SIMDVisitsPivot!$C$20,"Year",A38)</f>
        <v>2</v>
      </c>
      <c r="G38" s="881">
        <f>GETPIVOTDATA("Sum of All Scotland",SIMDVisitsPivot!$C$20,"Year",A38)</f>
        <v>2.9</v>
      </c>
    </row>
    <row r="39" spans="1:8" x14ac:dyDescent="0.3">
      <c r="A39" s="312" t="s">
        <v>341</v>
      </c>
      <c r="B39" s="560">
        <f>GETPIVOTDATA("Sum of 1 - Most Deprived 20%",SIMDVisitsPivot!$C$20,"Year",A39)</f>
        <v>3.4</v>
      </c>
      <c r="C39" s="560">
        <f>GETPIVOTDATA("Sum of 2",SIMDVisitsPivot!$C$20,"Year",A39)</f>
        <v>3.3</v>
      </c>
      <c r="D39" s="560">
        <f>GETPIVOTDATA("Sum of 3",SIMDVisitsPivot!$C$20,"Year",A39)</f>
        <v>2.9</v>
      </c>
      <c r="E39" s="560">
        <f>GETPIVOTDATA("Sum of 4",SIMDVisitsPivot!$C$20,"Year",A39)</f>
        <v>2.6</v>
      </c>
      <c r="F39" s="560">
        <f>GETPIVOTDATA("Sum of 5 - Least Deprived 20%",SIMDVisitsPivot!$C$20,"Year",A39)</f>
        <v>2.1</v>
      </c>
      <c r="G39" s="881">
        <f>GETPIVOTDATA("Sum of All Scotland",SIMDVisitsPivot!$C$20,"Year",A39)</f>
        <v>2.9</v>
      </c>
    </row>
    <row r="40" spans="1:8" x14ac:dyDescent="0.3">
      <c r="A40" s="312" t="s">
        <v>342</v>
      </c>
      <c r="B40" s="560">
        <f>GETPIVOTDATA("Sum of 1 - Most Deprived 20%",SIMDVisitsPivot!$C$20,"Year",A40)</f>
        <v>3.5</v>
      </c>
      <c r="C40" s="560">
        <f>GETPIVOTDATA("Sum of 2",SIMDVisitsPivot!$C$20,"Year",A40)</f>
        <v>3.2</v>
      </c>
      <c r="D40" s="560">
        <f>GETPIVOTDATA("Sum of 3",SIMDVisitsPivot!$C$20,"Year",A40)</f>
        <v>2.8</v>
      </c>
      <c r="E40" s="560">
        <f>GETPIVOTDATA("Sum of 4",SIMDVisitsPivot!$C$20,"Year",A40)</f>
        <v>2.4</v>
      </c>
      <c r="F40" s="560">
        <f>GETPIVOTDATA("Sum of 5 - Least Deprived 20%",SIMDVisitsPivot!$C$20,"Year",A40)</f>
        <v>2</v>
      </c>
      <c r="G40" s="881">
        <f>GETPIVOTDATA("Sum of All Scotland",SIMDVisitsPivot!$C$20,"Year",A40)</f>
        <v>2.8</v>
      </c>
    </row>
    <row r="41" spans="1:8" x14ac:dyDescent="0.3">
      <c r="A41" s="312" t="s">
        <v>213</v>
      </c>
      <c r="B41" s="560">
        <f>GETPIVOTDATA("Sum of 1 - Most Deprived 20%",SIMDVisitsPivot!$C$20,"Year",A41)</f>
        <v>3.7</v>
      </c>
      <c r="C41" s="560">
        <f>GETPIVOTDATA("Sum of 2",SIMDVisitsPivot!$C$20,"Year",A41)</f>
        <v>3.2</v>
      </c>
      <c r="D41" s="560">
        <f>GETPIVOTDATA("Sum of 3",SIMDVisitsPivot!$C$20,"Year",A41)</f>
        <v>2.7</v>
      </c>
      <c r="E41" s="560">
        <f>GETPIVOTDATA("Sum of 4",SIMDVisitsPivot!$C$20,"Year",A41)</f>
        <v>2.2000000000000002</v>
      </c>
      <c r="F41" s="560">
        <f>GETPIVOTDATA("Sum of 5 - Least Deprived 20%",SIMDVisitsPivot!$C$20,"Year",A41)</f>
        <v>1.9</v>
      </c>
      <c r="G41" s="881">
        <f>GETPIVOTDATA("Sum of All Scotland",SIMDVisitsPivot!$C$20,"Year",A41)</f>
        <v>2.8</v>
      </c>
    </row>
    <row r="42" spans="1:8" x14ac:dyDescent="0.3">
      <c r="A42" s="312" t="s">
        <v>312</v>
      </c>
      <c r="B42" s="560">
        <f>GETPIVOTDATA("Sum of 1 - Most Deprived 20%",SIMDVisitsPivot!$C$20,"Year",A42)</f>
        <v>3.7</v>
      </c>
      <c r="C42" s="560">
        <f>GETPIVOTDATA("Sum of 2",SIMDVisitsPivot!$C$20,"Year",A42)</f>
        <v>3.1</v>
      </c>
      <c r="D42" s="560">
        <f>GETPIVOTDATA("Sum of 3",SIMDVisitsPivot!$C$20,"Year",A42)</f>
        <v>2.6</v>
      </c>
      <c r="E42" s="560">
        <f>GETPIVOTDATA("Sum of 4",SIMDVisitsPivot!$C$20,"Year",A42)</f>
        <v>2.2999999999999998</v>
      </c>
      <c r="F42" s="560">
        <f>GETPIVOTDATA("Sum of 5 - Least Deprived 20%",SIMDVisitsPivot!$C$20,"Year",A42)</f>
        <v>1.9</v>
      </c>
      <c r="G42" s="881">
        <f>GETPIVOTDATA("Sum of All Scotland",SIMDVisitsPivot!$C$20,"Year",A42)</f>
        <v>2.7</v>
      </c>
    </row>
    <row r="43" spans="1:8" x14ac:dyDescent="0.3">
      <c r="A43" s="312" t="s">
        <v>318</v>
      </c>
      <c r="B43" s="560">
        <f>GETPIVOTDATA("Sum of 1 - Most Deprived 20%",SIMDVisitsPivot!$C$20,"Year",A43)</f>
        <v>1</v>
      </c>
      <c r="C43" s="560">
        <f>GETPIVOTDATA("Sum of 2",SIMDVisitsPivot!$C$20,"Year",A43)</f>
        <v>0.9</v>
      </c>
      <c r="D43" s="560">
        <f>GETPIVOTDATA("Sum of 3",SIMDVisitsPivot!$C$20,"Year",A43)</f>
        <v>0.7</v>
      </c>
      <c r="E43" s="560">
        <f>GETPIVOTDATA("Sum of 4",SIMDVisitsPivot!$C$20,"Year",A43)</f>
        <v>0.6</v>
      </c>
      <c r="F43" s="560">
        <f>GETPIVOTDATA("Sum of 5 - Least Deprived 20%",SIMDVisitsPivot!$C$20,"Year",A43)</f>
        <v>0.5</v>
      </c>
      <c r="G43" s="881">
        <f>GETPIVOTDATA("Sum of All Scotland",SIMDVisitsPivot!$C$20,"Year",A43)</f>
        <v>0.8</v>
      </c>
    </row>
    <row r="44" spans="1:8" x14ac:dyDescent="0.3">
      <c r="A44" s="312" t="s">
        <v>320</v>
      </c>
      <c r="B44" s="560">
        <f>GETPIVOTDATA("Sum of 1 - Most Deprived 20%",SIMDVisitsPivot!$C$20,"Year",A44)</f>
        <v>2</v>
      </c>
      <c r="C44" s="560">
        <f>GETPIVOTDATA("Sum of 2",SIMDVisitsPivot!$C$20,"Year",A44)</f>
        <v>2</v>
      </c>
      <c r="D44" s="560">
        <f>GETPIVOTDATA("Sum of 3",SIMDVisitsPivot!$C$20,"Year",A44)</f>
        <v>1.7</v>
      </c>
      <c r="E44" s="560">
        <f>GETPIVOTDATA("Sum of 4",SIMDVisitsPivot!$C$20,"Year",A44)</f>
        <v>1.5</v>
      </c>
      <c r="F44" s="560">
        <f>GETPIVOTDATA("Sum of 5 - Least Deprived 20%",SIMDVisitsPivot!$C$20,"Year",A44)</f>
        <v>1.3</v>
      </c>
      <c r="G44" s="881">
        <f>GETPIVOTDATA("Sum of All Scotland",SIMDVisitsPivot!$C$20,"Year",A44)</f>
        <v>1.7</v>
      </c>
    </row>
    <row r="45" spans="1:8" x14ac:dyDescent="0.3">
      <c r="A45" s="312" t="s">
        <v>325</v>
      </c>
      <c r="B45" s="560">
        <f>GETPIVOTDATA("Sum of 1 - Most Deprived 20%",SIMDVisitsPivot!$C$20,"Year",A45)</f>
        <v>2</v>
      </c>
      <c r="C45" s="560">
        <f>GETPIVOTDATA("Sum of 2",SIMDVisitsPivot!$C$20,"Year",A45)</f>
        <v>1.8</v>
      </c>
      <c r="D45" s="560">
        <f>GETPIVOTDATA("Sum of 3",SIMDVisitsPivot!$C$20,"Year",A45)</f>
        <v>1.4</v>
      </c>
      <c r="E45" s="560">
        <f>GETPIVOTDATA("Sum of 4",SIMDVisitsPivot!$C$20,"Year",A45)</f>
        <v>1.2</v>
      </c>
      <c r="F45" s="560">
        <f>GETPIVOTDATA("Sum of 5 - Least Deprived 20%",SIMDVisitsPivot!$C$20,"Year",A45)</f>
        <v>1</v>
      </c>
      <c r="G45" s="881">
        <f>GETPIVOTDATA("Sum of All Scotland",SIMDVisitsPivot!$C$20,"Year",A45)</f>
        <v>1.5</v>
      </c>
    </row>
    <row r="46" spans="1:8" x14ac:dyDescent="0.3">
      <c r="A46" s="312" t="s">
        <v>326</v>
      </c>
      <c r="B46" s="560">
        <f>GETPIVOTDATA("Sum of 1 - Most Deprived 20%",SIMDVisitsPivot!$C$20,"Year",A46)</f>
        <v>1.9</v>
      </c>
      <c r="C46" s="560">
        <f>GETPIVOTDATA("Sum of 2",SIMDVisitsPivot!$C$20,"Year",A46)</f>
        <v>1.8</v>
      </c>
      <c r="D46" s="560">
        <f>GETPIVOTDATA("Sum of 3",SIMDVisitsPivot!$C$20,"Year",A46)</f>
        <v>1.3</v>
      </c>
      <c r="E46" s="560">
        <f>GETPIVOTDATA("Sum of 4",SIMDVisitsPivot!$C$20,"Year",A46)</f>
        <v>1.1000000000000001</v>
      </c>
      <c r="F46" s="560">
        <f>GETPIVOTDATA("Sum of 5 - Least Deprived 20%",SIMDVisitsPivot!$C$20,"Year",A46)</f>
        <v>1</v>
      </c>
      <c r="G46" s="881">
        <f>GETPIVOTDATA("Sum of All Scotland",SIMDVisitsPivot!$C$20,"Year",A46)</f>
        <v>1.4</v>
      </c>
    </row>
    <row r="47" spans="1:8" x14ac:dyDescent="0.3">
      <c r="A47" s="312" t="s">
        <v>328</v>
      </c>
      <c r="B47" s="560">
        <f>GETPIVOTDATA("Sum of 1 - Most Deprived 20%",SIMDVisitsPivot!$C$20,"Year",A47)</f>
        <v>1.8</v>
      </c>
      <c r="C47" s="560">
        <f>GETPIVOTDATA("Sum of 2",SIMDVisitsPivot!$C$20,"Year",A47)</f>
        <v>1.5</v>
      </c>
      <c r="D47" s="560">
        <f>GETPIVOTDATA("Sum of 3",SIMDVisitsPivot!$C$20,"Year",A47)</f>
        <v>1.1000000000000001</v>
      </c>
      <c r="E47" s="560">
        <f>GETPIVOTDATA("Sum of 4",SIMDVisitsPivot!$C$20,"Year",A47)</f>
        <v>0.9</v>
      </c>
      <c r="F47" s="560">
        <f>GETPIVOTDATA("Sum of 5 - Least Deprived 20%",SIMDVisitsPivot!$C$20,"Year",A47)</f>
        <v>0.9</v>
      </c>
      <c r="G47" s="881">
        <f>GETPIVOTDATA("Sum of All Scotland",SIMDVisitsPivot!$C$20,"Year",A47)</f>
        <v>1.3</v>
      </c>
    </row>
    <row r="48" spans="1:8" ht="15" thickBot="1" x14ac:dyDescent="0.35">
      <c r="A48" s="524" t="s">
        <v>412</v>
      </c>
      <c r="B48" s="880">
        <f>GETPIVOTDATA("Sum of 1 - Most Deprived 20%",SIMDVisitsPivot!$C$20,"Year",A48)</f>
        <v>1</v>
      </c>
      <c r="C48" s="880">
        <f>GETPIVOTDATA("Sum of 2",SIMDVisitsPivot!$C$20,"Year",A48)</f>
        <v>0.9</v>
      </c>
      <c r="D48" s="880">
        <f>GETPIVOTDATA("Sum of 3",SIMDVisitsPivot!$C$20,"Year",A48)</f>
        <v>0.7</v>
      </c>
      <c r="E48" s="880">
        <f>GETPIVOTDATA("Sum of 4",SIMDVisitsPivot!$C$20,"Year",A48)</f>
        <v>0.6</v>
      </c>
      <c r="F48" s="880">
        <f>GETPIVOTDATA("Sum of 5 - Least Deprived 20%",SIMDVisitsPivot!$C$20,"Year",A48)</f>
        <v>0.5</v>
      </c>
      <c r="G48" s="882">
        <f>GETPIVOTDATA("Sum of All Scotland",SIMDVisitsPivot!$C$20,"Year",A48)</f>
        <v>0.7</v>
      </c>
    </row>
    <row r="49" spans="1:1" x14ac:dyDescent="0.3">
      <c r="A49" s="312"/>
    </row>
    <row r="50" spans="1:1" x14ac:dyDescent="0.3">
      <c r="A50" s="312" t="s">
        <v>329</v>
      </c>
    </row>
    <row r="51" spans="1:1" x14ac:dyDescent="0.3">
      <c r="A51" t="s">
        <v>1030</v>
      </c>
    </row>
    <row r="52" spans="1:1" x14ac:dyDescent="0.3">
      <c r="A52" s="563" t="s">
        <v>1026</v>
      </c>
    </row>
    <row r="53" spans="1:1" x14ac:dyDescent="0.3">
      <c r="A53" s="498" t="s">
        <v>1031</v>
      </c>
    </row>
  </sheetData>
  <sheetProtection algorithmName="SHA-512" hashValue="FjO52gBRBMJCNoGsVuIc19ouLyOwBKNiqpiR9vy8niBE92gZmwxcpEF0u/w3eOrcjU27d1883ciumZ2diUO9tA==" saltValue="J6Q7PVYsEPxiWVHgmwKWbg==" spinCount="100000" sheet="1" scenarios="1" formatCells="0" sort="0" autoFilter="0" pivotTables="0"/>
  <phoneticPr fontId="53" type="noConversion"/>
  <hyperlinks>
    <hyperlink ref="A2" location="'Table of Contents'!A1" display="Back to Table of Contents" xr:uid="{00000000-0004-0000-8600-000000000000}"/>
    <hyperlink ref="A26" r:id="rId1" xr:uid="{00000000-0004-0000-8600-000001000000}"/>
    <hyperlink ref="A52" r:id="rId2" xr:uid="{00000000-0004-0000-8600-000002000000}"/>
    <hyperlink ref="A53" r:id="rId3" xr:uid="{00000000-0004-0000-8600-000003000000}"/>
  </hyperlinks>
  <pageMargins left="0.7" right="0.7" top="0.75" bottom="0.75" header="0.3" footer="0.3"/>
  <pageSetup paperSize="9" orientation="portrait" r:id="rId4"/>
</worksheet>
</file>

<file path=xl/worksheets/sheet1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4438D3-832A-488F-BD5A-95C03A34F00B}">
  <sheetPr>
    <tabColor theme="7" tint="-0.249977111117893"/>
  </sheetPr>
  <dimension ref="B4:H38"/>
  <sheetViews>
    <sheetView workbookViewId="0">
      <selection activeCell="C8" sqref="C8"/>
    </sheetView>
  </sheetViews>
  <sheetFormatPr defaultRowHeight="14.4" x14ac:dyDescent="0.3"/>
  <cols>
    <col min="2" max="2" width="12.33203125" bestFit="1" customWidth="1"/>
    <col min="3" max="3" width="26.21875" bestFit="1" customWidth="1"/>
    <col min="4" max="6" width="8.109375" bestFit="1" customWidth="1"/>
    <col min="7" max="7" width="26.21875" bestFit="1" customWidth="1"/>
    <col min="8" max="8" width="17" bestFit="1" customWidth="1"/>
  </cols>
  <sheetData>
    <row r="4" spans="2:8" x14ac:dyDescent="0.3">
      <c r="B4" s="386" t="s">
        <v>350</v>
      </c>
      <c r="C4" t="s">
        <v>1008</v>
      </c>
      <c r="D4" t="s">
        <v>1009</v>
      </c>
      <c r="E4" t="s">
        <v>1010</v>
      </c>
      <c r="F4" t="s">
        <v>1011</v>
      </c>
      <c r="G4" t="s">
        <v>1012</v>
      </c>
      <c r="H4" t="s">
        <v>1014</v>
      </c>
    </row>
    <row r="5" spans="2:8" x14ac:dyDescent="0.3">
      <c r="B5" s="387" t="s">
        <v>365</v>
      </c>
      <c r="C5">
        <v>5946</v>
      </c>
      <c r="D5">
        <v>6232</v>
      </c>
      <c r="E5">
        <v>5318</v>
      </c>
      <c r="F5">
        <v>4894</v>
      </c>
      <c r="G5">
        <v>4568</v>
      </c>
      <c r="H5">
        <v>26958</v>
      </c>
    </row>
    <row r="6" spans="2:8" x14ac:dyDescent="0.3">
      <c r="B6" s="387" t="s">
        <v>366</v>
      </c>
      <c r="C6">
        <v>6017</v>
      </c>
      <c r="D6">
        <v>6493</v>
      </c>
      <c r="E6">
        <v>5824</v>
      </c>
      <c r="F6">
        <v>5324</v>
      </c>
      <c r="G6">
        <v>4660</v>
      </c>
      <c r="H6">
        <v>28318</v>
      </c>
    </row>
    <row r="7" spans="2:8" x14ac:dyDescent="0.3">
      <c r="B7" s="387" t="s">
        <v>341</v>
      </c>
      <c r="C7">
        <v>5822</v>
      </c>
      <c r="D7">
        <v>6548</v>
      </c>
      <c r="E7">
        <v>5945</v>
      </c>
      <c r="F7">
        <v>5615</v>
      </c>
      <c r="G7">
        <v>5062</v>
      </c>
      <c r="H7">
        <v>28992</v>
      </c>
    </row>
    <row r="8" spans="2:8" x14ac:dyDescent="0.3">
      <c r="B8" s="387" t="s">
        <v>342</v>
      </c>
      <c r="C8">
        <v>5593</v>
      </c>
      <c r="D8">
        <v>6268</v>
      </c>
      <c r="E8">
        <v>5687</v>
      </c>
      <c r="F8">
        <v>5356</v>
      </c>
      <c r="G8">
        <v>4821</v>
      </c>
      <c r="H8">
        <v>27725</v>
      </c>
    </row>
    <row r="9" spans="2:8" x14ac:dyDescent="0.3">
      <c r="B9" s="387" t="s">
        <v>213</v>
      </c>
      <c r="C9">
        <v>5176</v>
      </c>
      <c r="D9">
        <v>5583</v>
      </c>
      <c r="E9">
        <v>5018</v>
      </c>
      <c r="F9">
        <v>4480</v>
      </c>
      <c r="G9">
        <v>4188</v>
      </c>
      <c r="H9">
        <v>24445</v>
      </c>
    </row>
    <row r="10" spans="2:8" x14ac:dyDescent="0.3">
      <c r="B10" s="387" t="s">
        <v>312</v>
      </c>
      <c r="C10">
        <v>4680</v>
      </c>
      <c r="D10">
        <v>5065</v>
      </c>
      <c r="E10">
        <v>4510</v>
      </c>
      <c r="F10">
        <v>4206</v>
      </c>
      <c r="G10">
        <v>3804</v>
      </c>
      <c r="H10">
        <v>22265</v>
      </c>
    </row>
    <row r="11" spans="2:8" x14ac:dyDescent="0.3">
      <c r="B11" s="387" t="s">
        <v>318</v>
      </c>
      <c r="C11">
        <v>1690</v>
      </c>
      <c r="D11">
        <v>1696</v>
      </c>
      <c r="E11">
        <v>1487</v>
      </c>
      <c r="F11">
        <v>1483</v>
      </c>
      <c r="G11">
        <v>1317</v>
      </c>
      <c r="H11">
        <v>7673</v>
      </c>
    </row>
    <row r="12" spans="2:8" x14ac:dyDescent="0.3">
      <c r="B12" s="387" t="s">
        <v>320</v>
      </c>
    </row>
    <row r="13" spans="2:8" x14ac:dyDescent="0.3">
      <c r="B13" s="387" t="s">
        <v>325</v>
      </c>
    </row>
    <row r="14" spans="2:8" x14ac:dyDescent="0.3">
      <c r="B14" s="387" t="s">
        <v>326</v>
      </c>
      <c r="C14">
        <v>1322</v>
      </c>
      <c r="D14">
        <v>1479</v>
      </c>
      <c r="E14">
        <v>1164</v>
      </c>
      <c r="F14">
        <v>1004</v>
      </c>
      <c r="G14">
        <v>944</v>
      </c>
      <c r="H14">
        <v>5913</v>
      </c>
    </row>
    <row r="15" spans="2:8" x14ac:dyDescent="0.3">
      <c r="B15" s="387" t="s">
        <v>328</v>
      </c>
      <c r="C15">
        <v>940</v>
      </c>
      <c r="D15">
        <v>1015</v>
      </c>
      <c r="E15">
        <v>844</v>
      </c>
      <c r="F15">
        <v>727</v>
      </c>
      <c r="G15">
        <v>650</v>
      </c>
      <c r="H15">
        <v>4176</v>
      </c>
    </row>
    <row r="16" spans="2:8" x14ac:dyDescent="0.3">
      <c r="B16" s="387" t="s">
        <v>412</v>
      </c>
      <c r="C16">
        <v>696</v>
      </c>
      <c r="D16">
        <v>913</v>
      </c>
      <c r="E16">
        <v>751</v>
      </c>
      <c r="F16">
        <v>602</v>
      </c>
      <c r="G16">
        <v>517</v>
      </c>
      <c r="H16">
        <v>3479</v>
      </c>
    </row>
    <row r="17" spans="2:8" x14ac:dyDescent="0.3">
      <c r="B17" s="387" t="s">
        <v>357</v>
      </c>
      <c r="C17">
        <v>37882</v>
      </c>
      <c r="D17">
        <v>41292</v>
      </c>
      <c r="E17">
        <v>36548</v>
      </c>
      <c r="F17">
        <v>33691</v>
      </c>
      <c r="G17">
        <v>30531</v>
      </c>
      <c r="H17">
        <v>179944</v>
      </c>
    </row>
    <row r="25" spans="2:8" x14ac:dyDescent="0.3">
      <c r="B25" s="386" t="s">
        <v>350</v>
      </c>
      <c r="C25" t="s">
        <v>1008</v>
      </c>
      <c r="D25" t="s">
        <v>1009</v>
      </c>
      <c r="E25" t="s">
        <v>1010</v>
      </c>
      <c r="F25" t="s">
        <v>1011</v>
      </c>
      <c r="G25" t="s">
        <v>1012</v>
      </c>
      <c r="H25" t="s">
        <v>1014</v>
      </c>
    </row>
    <row r="26" spans="2:8" x14ac:dyDescent="0.3">
      <c r="B26" s="387" t="s">
        <v>365</v>
      </c>
      <c r="C26">
        <v>1.1000000000000001</v>
      </c>
      <c r="D26">
        <v>1.2</v>
      </c>
      <c r="E26">
        <v>1.1000000000000001</v>
      </c>
      <c r="F26">
        <v>1</v>
      </c>
      <c r="G26">
        <v>1</v>
      </c>
      <c r="H26">
        <v>1.1000000000000001</v>
      </c>
    </row>
    <row r="27" spans="2:8" x14ac:dyDescent="0.3">
      <c r="B27" s="387" t="s">
        <v>366</v>
      </c>
      <c r="C27">
        <v>1.1000000000000001</v>
      </c>
      <c r="D27">
        <v>1.3</v>
      </c>
      <c r="E27">
        <v>1.2</v>
      </c>
      <c r="F27">
        <v>1.1000000000000001</v>
      </c>
      <c r="G27">
        <v>1</v>
      </c>
      <c r="H27">
        <v>1.2</v>
      </c>
    </row>
    <row r="28" spans="2:8" x14ac:dyDescent="0.3">
      <c r="B28" s="387" t="s">
        <v>341</v>
      </c>
      <c r="C28">
        <v>1.1000000000000001</v>
      </c>
      <c r="D28">
        <v>1.3</v>
      </c>
      <c r="E28">
        <v>1.2</v>
      </c>
      <c r="F28">
        <v>1.2</v>
      </c>
      <c r="G28">
        <v>1.1000000000000001</v>
      </c>
      <c r="H28">
        <v>1.2</v>
      </c>
    </row>
    <row r="29" spans="2:8" x14ac:dyDescent="0.3">
      <c r="B29" s="387" t="s">
        <v>342</v>
      </c>
      <c r="C29">
        <v>1.1000000000000001</v>
      </c>
      <c r="D29">
        <v>1.2</v>
      </c>
      <c r="E29">
        <v>1.1000000000000001</v>
      </c>
      <c r="F29">
        <v>1.1000000000000001</v>
      </c>
      <c r="G29">
        <v>1</v>
      </c>
      <c r="H29">
        <v>1.1000000000000001</v>
      </c>
    </row>
    <row r="30" spans="2:8" x14ac:dyDescent="0.3">
      <c r="B30" s="387" t="s">
        <v>213</v>
      </c>
      <c r="C30">
        <v>1</v>
      </c>
      <c r="D30">
        <v>1.1000000000000001</v>
      </c>
      <c r="E30">
        <v>1</v>
      </c>
      <c r="F30">
        <v>0.9</v>
      </c>
      <c r="G30">
        <v>0.9</v>
      </c>
      <c r="H30">
        <v>1</v>
      </c>
    </row>
    <row r="31" spans="2:8" x14ac:dyDescent="0.3">
      <c r="B31" s="387" t="s">
        <v>312</v>
      </c>
      <c r="C31">
        <v>0.9</v>
      </c>
      <c r="D31">
        <v>1</v>
      </c>
      <c r="E31">
        <v>0.9</v>
      </c>
      <c r="F31">
        <v>0.8</v>
      </c>
      <c r="G31">
        <v>0.8</v>
      </c>
      <c r="H31">
        <v>0.9</v>
      </c>
    </row>
    <row r="32" spans="2:8" x14ac:dyDescent="0.3">
      <c r="B32" s="387" t="s">
        <v>318</v>
      </c>
      <c r="C32">
        <v>0.3</v>
      </c>
      <c r="D32">
        <v>0.3</v>
      </c>
      <c r="E32">
        <v>0.3</v>
      </c>
      <c r="F32">
        <v>0.3</v>
      </c>
      <c r="G32">
        <v>0.3</v>
      </c>
      <c r="H32">
        <v>0.3</v>
      </c>
    </row>
    <row r="33" spans="2:8" x14ac:dyDescent="0.3">
      <c r="B33" s="387" t="s">
        <v>320</v>
      </c>
    </row>
    <row r="34" spans="2:8" x14ac:dyDescent="0.3">
      <c r="B34" s="387" t="s">
        <v>325</v>
      </c>
    </row>
    <row r="35" spans="2:8" x14ac:dyDescent="0.3">
      <c r="B35" s="387" t="s">
        <v>326</v>
      </c>
      <c r="C35">
        <v>0.2</v>
      </c>
      <c r="D35">
        <v>0.3</v>
      </c>
      <c r="E35">
        <v>0.2</v>
      </c>
      <c r="F35">
        <v>0.2</v>
      </c>
      <c r="G35">
        <v>0.2</v>
      </c>
      <c r="H35">
        <v>0.2</v>
      </c>
    </row>
    <row r="36" spans="2:8" x14ac:dyDescent="0.3">
      <c r="B36" s="387" t="s">
        <v>328</v>
      </c>
      <c r="C36">
        <v>0.2</v>
      </c>
      <c r="D36">
        <v>0.2</v>
      </c>
      <c r="E36">
        <v>0.2</v>
      </c>
      <c r="F36">
        <v>0.1</v>
      </c>
      <c r="G36">
        <v>0.1</v>
      </c>
      <c r="H36">
        <v>0.2</v>
      </c>
    </row>
    <row r="37" spans="2:8" x14ac:dyDescent="0.3">
      <c r="B37" s="387" t="s">
        <v>412</v>
      </c>
      <c r="C37">
        <v>0.1</v>
      </c>
      <c r="D37">
        <v>0.2</v>
      </c>
      <c r="E37">
        <v>0.1</v>
      </c>
      <c r="F37">
        <v>0.1</v>
      </c>
      <c r="G37">
        <v>0.1</v>
      </c>
      <c r="H37">
        <v>0.1</v>
      </c>
    </row>
    <row r="38" spans="2:8" x14ac:dyDescent="0.3">
      <c r="B38" s="387" t="s">
        <v>357</v>
      </c>
      <c r="C38">
        <v>7.1000000000000005</v>
      </c>
      <c r="D38">
        <v>8.1</v>
      </c>
      <c r="E38">
        <v>7.3</v>
      </c>
      <c r="F38">
        <v>6.8</v>
      </c>
      <c r="G38">
        <v>6.4999999999999991</v>
      </c>
      <c r="H38">
        <v>7.3</v>
      </c>
    </row>
  </sheetData>
  <pageMargins left="0.7" right="0.7" top="0.75" bottom="0.75" header="0.3" footer="0.3"/>
</worksheet>
</file>

<file path=xl/worksheets/sheet1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0373BF2-420D-4DFD-8E7C-C8A35BB5D453}">
  <sheetPr>
    <tabColor theme="7" tint="-0.249977111117893"/>
  </sheetPr>
  <dimension ref="A1:G33"/>
  <sheetViews>
    <sheetView topLeftCell="A18" workbookViewId="0">
      <selection activeCell="F26" sqref="F26"/>
    </sheetView>
  </sheetViews>
  <sheetFormatPr defaultRowHeight="14.4" x14ac:dyDescent="0.3"/>
  <cols>
    <col min="1" max="1" width="7.5546875" bestFit="1" customWidth="1"/>
    <col min="2" max="2" width="22.109375" bestFit="1" customWidth="1"/>
    <col min="3" max="5" width="4.109375" bestFit="1" customWidth="1"/>
    <col min="6" max="6" width="22.109375" bestFit="1" customWidth="1"/>
    <col min="7" max="7" width="12.77734375" bestFit="1" customWidth="1"/>
  </cols>
  <sheetData>
    <row r="1" spans="1:7" x14ac:dyDescent="0.3">
      <c r="A1" t="s">
        <v>208</v>
      </c>
      <c r="B1" t="s">
        <v>1015</v>
      </c>
      <c r="C1" t="s">
        <v>1016</v>
      </c>
      <c r="D1" t="s">
        <v>1017</v>
      </c>
      <c r="E1" t="s">
        <v>1018</v>
      </c>
      <c r="F1" t="s">
        <v>1019</v>
      </c>
      <c r="G1" t="s">
        <v>1021</v>
      </c>
    </row>
    <row r="2" spans="1:7" x14ac:dyDescent="0.3">
      <c r="A2" t="s">
        <v>365</v>
      </c>
      <c r="B2">
        <v>5946</v>
      </c>
      <c r="C2">
        <v>6232</v>
      </c>
      <c r="D2">
        <v>5318</v>
      </c>
      <c r="E2">
        <v>4894</v>
      </c>
      <c r="F2">
        <v>4568</v>
      </c>
      <c r="G2">
        <v>26958</v>
      </c>
    </row>
    <row r="3" spans="1:7" x14ac:dyDescent="0.3">
      <c r="A3" t="s">
        <v>366</v>
      </c>
      <c r="B3">
        <v>6017</v>
      </c>
      <c r="C3">
        <v>6493</v>
      </c>
      <c r="D3">
        <v>5824</v>
      </c>
      <c r="E3">
        <v>5324</v>
      </c>
      <c r="F3">
        <v>4660</v>
      </c>
      <c r="G3">
        <v>28318</v>
      </c>
    </row>
    <row r="4" spans="1:7" x14ac:dyDescent="0.3">
      <c r="A4" t="s">
        <v>341</v>
      </c>
      <c r="B4">
        <v>5822</v>
      </c>
      <c r="C4">
        <v>6548</v>
      </c>
      <c r="D4">
        <v>5945</v>
      </c>
      <c r="E4">
        <v>5615</v>
      </c>
      <c r="F4">
        <v>5062</v>
      </c>
      <c r="G4">
        <v>28992</v>
      </c>
    </row>
    <row r="5" spans="1:7" x14ac:dyDescent="0.3">
      <c r="A5" t="s">
        <v>342</v>
      </c>
      <c r="B5">
        <v>5593</v>
      </c>
      <c r="C5">
        <v>6268</v>
      </c>
      <c r="D5">
        <v>5687</v>
      </c>
      <c r="E5">
        <v>5356</v>
      </c>
      <c r="F5">
        <v>4821</v>
      </c>
      <c r="G5">
        <v>27725</v>
      </c>
    </row>
    <row r="6" spans="1:7" x14ac:dyDescent="0.3">
      <c r="A6" t="s">
        <v>213</v>
      </c>
      <c r="B6">
        <v>5176</v>
      </c>
      <c r="C6">
        <v>5583</v>
      </c>
      <c r="D6">
        <v>5018</v>
      </c>
      <c r="E6">
        <v>4480</v>
      </c>
      <c r="F6">
        <v>4188</v>
      </c>
      <c r="G6">
        <v>24445</v>
      </c>
    </row>
    <row r="7" spans="1:7" x14ac:dyDescent="0.3">
      <c r="A7" t="s">
        <v>312</v>
      </c>
      <c r="B7">
        <v>4680</v>
      </c>
      <c r="C7">
        <v>5065</v>
      </c>
      <c r="D7">
        <v>4510</v>
      </c>
      <c r="E7">
        <v>4206</v>
      </c>
      <c r="F7">
        <v>3804</v>
      </c>
      <c r="G7">
        <v>22265</v>
      </c>
    </row>
    <row r="8" spans="1:7" x14ac:dyDescent="0.3">
      <c r="A8" t="s">
        <v>318</v>
      </c>
      <c r="B8">
        <v>1690</v>
      </c>
      <c r="C8">
        <v>1696</v>
      </c>
      <c r="D8">
        <v>1487</v>
      </c>
      <c r="E8">
        <v>1483</v>
      </c>
      <c r="F8">
        <v>1317</v>
      </c>
      <c r="G8">
        <v>7673</v>
      </c>
    </row>
    <row r="9" spans="1:7" x14ac:dyDescent="0.3">
      <c r="A9" t="s">
        <v>320</v>
      </c>
    </row>
    <row r="10" spans="1:7" x14ac:dyDescent="0.3">
      <c r="A10" t="s">
        <v>325</v>
      </c>
    </row>
    <row r="11" spans="1:7" x14ac:dyDescent="0.3">
      <c r="A11" t="s">
        <v>326</v>
      </c>
      <c r="B11">
        <v>1322</v>
      </c>
      <c r="C11">
        <v>1479</v>
      </c>
      <c r="D11">
        <v>1164</v>
      </c>
      <c r="E11">
        <v>1004</v>
      </c>
      <c r="F11">
        <v>944</v>
      </c>
      <c r="G11">
        <v>5913</v>
      </c>
    </row>
    <row r="12" spans="1:7" x14ac:dyDescent="0.3">
      <c r="A12" t="s">
        <v>328</v>
      </c>
      <c r="B12">
        <v>940</v>
      </c>
      <c r="C12">
        <v>1015</v>
      </c>
      <c r="D12">
        <v>844</v>
      </c>
      <c r="E12">
        <v>727</v>
      </c>
      <c r="F12">
        <v>650</v>
      </c>
      <c r="G12">
        <v>4176</v>
      </c>
    </row>
    <row r="13" spans="1:7" x14ac:dyDescent="0.3">
      <c r="A13" t="s">
        <v>412</v>
      </c>
      <c r="B13">
        <v>696</v>
      </c>
      <c r="C13">
        <v>913</v>
      </c>
      <c r="D13">
        <v>751</v>
      </c>
      <c r="E13">
        <v>602</v>
      </c>
      <c r="F13">
        <v>517</v>
      </c>
      <c r="G13">
        <v>3479</v>
      </c>
    </row>
    <row r="21" spans="1:7" x14ac:dyDescent="0.3">
      <c r="A21" t="s">
        <v>208</v>
      </c>
      <c r="B21" t="s">
        <v>1015</v>
      </c>
      <c r="C21" t="s">
        <v>1016</v>
      </c>
      <c r="D21" t="s">
        <v>1017</v>
      </c>
      <c r="E21" t="s">
        <v>1018</v>
      </c>
      <c r="F21" t="s">
        <v>1019</v>
      </c>
      <c r="G21" t="s">
        <v>1021</v>
      </c>
    </row>
    <row r="22" spans="1:7" x14ac:dyDescent="0.3">
      <c r="A22" t="s">
        <v>365</v>
      </c>
      <c r="B22">
        <v>1.1000000000000001</v>
      </c>
      <c r="C22">
        <v>1.2</v>
      </c>
      <c r="D22">
        <v>1.1000000000000001</v>
      </c>
      <c r="E22">
        <v>1</v>
      </c>
      <c r="F22">
        <v>1</v>
      </c>
      <c r="G22">
        <v>1.1000000000000001</v>
      </c>
    </row>
    <row r="23" spans="1:7" x14ac:dyDescent="0.3">
      <c r="A23" t="s">
        <v>366</v>
      </c>
      <c r="B23">
        <v>1.1000000000000001</v>
      </c>
      <c r="C23">
        <v>1.3</v>
      </c>
      <c r="D23">
        <v>1.2</v>
      </c>
      <c r="E23">
        <v>1.1000000000000001</v>
      </c>
      <c r="F23">
        <v>1</v>
      </c>
      <c r="G23">
        <v>1.2</v>
      </c>
    </row>
    <row r="24" spans="1:7" x14ac:dyDescent="0.3">
      <c r="A24" t="s">
        <v>341</v>
      </c>
      <c r="B24">
        <v>1.1000000000000001</v>
      </c>
      <c r="C24">
        <v>1.3</v>
      </c>
      <c r="D24">
        <v>1.2</v>
      </c>
      <c r="E24">
        <v>1.2</v>
      </c>
      <c r="F24">
        <v>1.1000000000000001</v>
      </c>
      <c r="G24">
        <v>1.2</v>
      </c>
    </row>
    <row r="25" spans="1:7" x14ac:dyDescent="0.3">
      <c r="A25" t="s">
        <v>342</v>
      </c>
      <c r="B25">
        <v>1.1000000000000001</v>
      </c>
      <c r="C25">
        <v>1.2</v>
      </c>
      <c r="D25">
        <v>1.1000000000000001</v>
      </c>
      <c r="E25">
        <v>1.1000000000000001</v>
      </c>
      <c r="F25">
        <v>1</v>
      </c>
      <c r="G25">
        <v>1.1000000000000001</v>
      </c>
    </row>
    <row r="26" spans="1:7" x14ac:dyDescent="0.3">
      <c r="A26" t="s">
        <v>213</v>
      </c>
      <c r="B26">
        <v>1</v>
      </c>
      <c r="C26">
        <v>1.1000000000000001</v>
      </c>
      <c r="D26">
        <v>1</v>
      </c>
      <c r="E26">
        <v>0.9</v>
      </c>
      <c r="F26">
        <v>0.9</v>
      </c>
      <c r="G26">
        <v>1</v>
      </c>
    </row>
    <row r="27" spans="1:7" x14ac:dyDescent="0.3">
      <c r="A27" t="s">
        <v>312</v>
      </c>
      <c r="B27">
        <v>0.9</v>
      </c>
      <c r="C27">
        <v>1</v>
      </c>
      <c r="D27">
        <v>0.9</v>
      </c>
      <c r="E27">
        <v>0.8</v>
      </c>
      <c r="F27">
        <v>0.8</v>
      </c>
      <c r="G27">
        <v>0.9</v>
      </c>
    </row>
    <row r="28" spans="1:7" x14ac:dyDescent="0.3">
      <c r="A28" t="s">
        <v>318</v>
      </c>
      <c r="B28">
        <v>0.3</v>
      </c>
      <c r="C28">
        <v>0.3</v>
      </c>
      <c r="D28">
        <v>0.3</v>
      </c>
      <c r="E28">
        <v>0.3</v>
      </c>
      <c r="F28">
        <v>0.3</v>
      </c>
      <c r="G28">
        <v>0.3</v>
      </c>
    </row>
    <row r="29" spans="1:7" x14ac:dyDescent="0.3">
      <c r="A29" t="s">
        <v>320</v>
      </c>
    </row>
    <row r="30" spans="1:7" x14ac:dyDescent="0.3">
      <c r="A30" t="s">
        <v>325</v>
      </c>
    </row>
    <row r="31" spans="1:7" x14ac:dyDescent="0.3">
      <c r="A31" t="s">
        <v>326</v>
      </c>
      <c r="B31">
        <v>0.2</v>
      </c>
      <c r="C31">
        <v>0.3</v>
      </c>
      <c r="D31">
        <v>0.2</v>
      </c>
      <c r="E31">
        <v>0.2</v>
      </c>
      <c r="F31">
        <v>0.2</v>
      </c>
      <c r="G31">
        <v>0.2</v>
      </c>
    </row>
    <row r="32" spans="1:7" x14ac:dyDescent="0.3">
      <c r="A32" t="s">
        <v>328</v>
      </c>
      <c r="B32">
        <v>0.2</v>
      </c>
      <c r="C32">
        <v>0.2</v>
      </c>
      <c r="D32">
        <v>0.2</v>
      </c>
      <c r="E32">
        <v>0.1</v>
      </c>
      <c r="F32">
        <v>0.1</v>
      </c>
      <c r="G32">
        <v>0.2</v>
      </c>
    </row>
    <row r="33" spans="1:7" x14ac:dyDescent="0.3">
      <c r="A33" t="s">
        <v>412</v>
      </c>
      <c r="B33">
        <v>0.1</v>
      </c>
      <c r="C33">
        <v>0.2</v>
      </c>
      <c r="D33">
        <v>0.1</v>
      </c>
      <c r="E33">
        <v>0.1</v>
      </c>
      <c r="F33">
        <v>0.1</v>
      </c>
      <c r="G33">
        <v>0.1</v>
      </c>
    </row>
  </sheetData>
  <pageMargins left="0.7" right="0.7" top="0.75" bottom="0.75" header="0.3" footer="0.3"/>
  <tableParts count="2">
    <tablePart r:id="rId1"/>
    <tablePart r:id="rId2"/>
  </tableParts>
</worksheet>
</file>

<file path=xl/worksheets/sheet1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tabColor theme="7" tint="-0.249977111117893"/>
  </sheetPr>
  <dimension ref="A1:K56"/>
  <sheetViews>
    <sheetView showGridLines="0" workbookViewId="0">
      <pane ySplit="2" topLeftCell="A3" activePane="bottomLeft" state="frozen"/>
      <selection pane="bottomLeft"/>
    </sheetView>
  </sheetViews>
  <sheetFormatPr defaultColWidth="9.33203125" defaultRowHeight="14.4" x14ac:dyDescent="0.3"/>
  <cols>
    <col min="1" max="1" width="18.5546875" customWidth="1"/>
    <col min="2" max="2" width="25.5546875" customWidth="1"/>
    <col min="3" max="3" width="13.5546875" customWidth="1"/>
    <col min="4" max="4" width="12.5546875" customWidth="1"/>
    <col min="5" max="5" width="13.5546875" customWidth="1"/>
    <col min="6" max="6" width="24.44140625" bestFit="1" customWidth="1"/>
    <col min="7" max="7" width="15.109375" bestFit="1" customWidth="1"/>
    <col min="8" max="8" width="23.88671875" customWidth="1"/>
  </cols>
  <sheetData>
    <row r="1" spans="1:11" ht="15.6" x14ac:dyDescent="0.3">
      <c r="A1" s="513" t="s">
        <v>915</v>
      </c>
      <c r="B1" s="513"/>
      <c r="C1" s="513"/>
    </row>
    <row r="2" spans="1:11" ht="15.6" x14ac:dyDescent="0.3">
      <c r="A2" s="498" t="s">
        <v>202</v>
      </c>
      <c r="B2" s="440"/>
      <c r="C2" s="440"/>
    </row>
    <row r="3" spans="1:11" x14ac:dyDescent="0.3">
      <c r="A3" s="25"/>
      <c r="B3" s="25"/>
      <c r="C3" s="25"/>
      <c r="D3" s="25"/>
      <c r="E3" s="25"/>
      <c r="F3" s="25"/>
      <c r="G3" s="25"/>
      <c r="H3" s="25"/>
      <c r="I3" s="25"/>
      <c r="J3" s="25"/>
      <c r="K3" s="25"/>
    </row>
    <row r="4" spans="1:11" ht="15.6" x14ac:dyDescent="0.3">
      <c r="A4" s="522" t="s">
        <v>1032</v>
      </c>
      <c r="B4" s="522"/>
      <c r="C4" s="522"/>
      <c r="D4" s="522"/>
      <c r="E4" s="522"/>
      <c r="F4" s="522"/>
      <c r="G4" s="522"/>
      <c r="H4" s="522"/>
      <c r="I4" s="522"/>
      <c r="J4" s="522"/>
      <c r="K4" s="522"/>
    </row>
    <row r="5" spans="1:11" ht="15.6" x14ac:dyDescent="0.3">
      <c r="A5" t="s">
        <v>203</v>
      </c>
      <c r="B5" t="s">
        <v>155</v>
      </c>
      <c r="C5" s="499"/>
      <c r="D5" s="499"/>
      <c r="E5" s="499"/>
      <c r="F5" s="499"/>
      <c r="G5" s="499"/>
      <c r="H5" s="499"/>
      <c r="I5" s="499"/>
      <c r="J5" s="499"/>
      <c r="K5" s="499"/>
    </row>
    <row r="6" spans="1:11" ht="15.6" x14ac:dyDescent="0.3">
      <c r="A6" t="s">
        <v>204</v>
      </c>
      <c r="B6" t="s">
        <v>205</v>
      </c>
      <c r="C6" s="499"/>
      <c r="D6" s="499"/>
      <c r="E6" s="499"/>
      <c r="F6" s="499"/>
      <c r="G6" s="499"/>
      <c r="H6" s="499"/>
      <c r="I6" s="499"/>
      <c r="J6" s="499"/>
      <c r="K6" s="499"/>
    </row>
    <row r="7" spans="1:11" ht="15.6" x14ac:dyDescent="0.3">
      <c r="A7" t="s">
        <v>206</v>
      </c>
      <c r="B7" t="s">
        <v>1023</v>
      </c>
      <c r="C7" s="499"/>
      <c r="D7" s="499"/>
      <c r="E7" s="499"/>
      <c r="F7" s="499"/>
      <c r="G7" s="499"/>
      <c r="H7" s="499"/>
      <c r="I7" s="499"/>
      <c r="J7" s="499"/>
      <c r="K7" s="499"/>
    </row>
    <row r="9" spans="1:11" x14ac:dyDescent="0.3">
      <c r="C9" s="523" t="s">
        <v>1033</v>
      </c>
      <c r="D9" s="523"/>
    </row>
    <row r="10" spans="1:11" s="312" customFormat="1" x14ac:dyDescent="0.3">
      <c r="A10" s="525" t="s">
        <v>208</v>
      </c>
      <c r="B10" s="647" t="s">
        <v>1015</v>
      </c>
      <c r="C10" s="647" t="s">
        <v>1016</v>
      </c>
      <c r="D10" s="647" t="s">
        <v>1017</v>
      </c>
      <c r="E10" s="647" t="s">
        <v>1018</v>
      </c>
      <c r="F10" s="647" t="s">
        <v>1019</v>
      </c>
      <c r="G10" s="647" t="s">
        <v>1021</v>
      </c>
    </row>
    <row r="11" spans="1:11" x14ac:dyDescent="0.3">
      <c r="A11" s="312" t="s">
        <v>365</v>
      </c>
      <c r="B11" s="368">
        <f>GETPIVOTDATA("Sum of 1 - Most Deprived 20%",SIMDAlarmsPivot!$B$4,"Year",A11)</f>
        <v>5946</v>
      </c>
      <c r="C11" s="368">
        <f>GETPIVOTDATA("Sum of 2",SIMDAlarmsPivot!$B$4,"Year",A11)</f>
        <v>6232</v>
      </c>
      <c r="D11" s="368">
        <f>GETPIVOTDATA("Sum of 3",SIMDAlarmsPivot!$B$4,"Year",A11)</f>
        <v>5318</v>
      </c>
      <c r="E11" s="368">
        <f>GETPIVOTDATA("Sum of 4",SIMDAlarmsPivot!$B$4,"Year",A11)</f>
        <v>4894</v>
      </c>
      <c r="F11" s="368">
        <f>GETPIVOTDATA("Sum of 5 - Least Deprived 20%",SIMDAlarmsPivot!$B$4,"Year",A11)</f>
        <v>4568</v>
      </c>
      <c r="G11" s="749">
        <f>GETPIVOTDATA("Sum of All Scotland",SIMDAlarmsPivot!$B$4,"Year",A11)</f>
        <v>26958</v>
      </c>
    </row>
    <row r="12" spans="1:11" x14ac:dyDescent="0.3">
      <c r="A12" s="312" t="s">
        <v>366</v>
      </c>
      <c r="B12" s="368">
        <f>GETPIVOTDATA("Sum of 1 - Most Deprived 20%",SIMDAlarmsPivot!$B$4,"Year",A12)</f>
        <v>6017</v>
      </c>
      <c r="C12" s="368">
        <f>GETPIVOTDATA("Sum of 2",SIMDAlarmsPivot!$B$4,"Year",A12)</f>
        <v>6493</v>
      </c>
      <c r="D12" s="368">
        <f>GETPIVOTDATA("Sum of 3",SIMDAlarmsPivot!$B$4,"Year",A12)</f>
        <v>5824</v>
      </c>
      <c r="E12" s="368">
        <f>GETPIVOTDATA("Sum of 4",SIMDAlarmsPivot!$B$4,"Year",A12)</f>
        <v>5324</v>
      </c>
      <c r="F12" s="368">
        <f>GETPIVOTDATA("Sum of 5 - Least Deprived 20%",SIMDAlarmsPivot!$B$4,"Year",A12)</f>
        <v>4660</v>
      </c>
      <c r="G12" s="749">
        <f>GETPIVOTDATA("Sum of All Scotland",SIMDAlarmsPivot!$B$4,"Year",A12)</f>
        <v>28318</v>
      </c>
    </row>
    <row r="13" spans="1:11" x14ac:dyDescent="0.3">
      <c r="A13" s="312" t="s">
        <v>341</v>
      </c>
      <c r="B13" s="368">
        <f>GETPIVOTDATA("Sum of 1 - Most Deprived 20%",SIMDAlarmsPivot!$B$4,"Year",A13)</f>
        <v>5822</v>
      </c>
      <c r="C13" s="368">
        <f>GETPIVOTDATA("Sum of 2",SIMDAlarmsPivot!$B$4,"Year",A13)</f>
        <v>6548</v>
      </c>
      <c r="D13" s="368">
        <f>GETPIVOTDATA("Sum of 3",SIMDAlarmsPivot!$B$4,"Year",A13)</f>
        <v>5945</v>
      </c>
      <c r="E13" s="368">
        <f>GETPIVOTDATA("Sum of 4",SIMDAlarmsPivot!$B$4,"Year",A13)</f>
        <v>5615</v>
      </c>
      <c r="F13" s="368">
        <f>GETPIVOTDATA("Sum of 5 - Least Deprived 20%",SIMDAlarmsPivot!$B$4,"Year",A13)</f>
        <v>5062</v>
      </c>
      <c r="G13" s="749">
        <f>GETPIVOTDATA("Sum of All Scotland",SIMDAlarmsPivot!$B$4,"Year",A13)</f>
        <v>28992</v>
      </c>
    </row>
    <row r="14" spans="1:11" x14ac:dyDescent="0.3">
      <c r="A14" s="312" t="s">
        <v>342</v>
      </c>
      <c r="B14" s="368">
        <f>GETPIVOTDATA("Sum of 1 - Most Deprived 20%",SIMDAlarmsPivot!$B$4,"Year",A14)</f>
        <v>5593</v>
      </c>
      <c r="C14" s="368">
        <f>GETPIVOTDATA("Sum of 2",SIMDAlarmsPivot!$B$4,"Year",A14)</f>
        <v>6268</v>
      </c>
      <c r="D14" s="368">
        <f>GETPIVOTDATA("Sum of 3",SIMDAlarmsPivot!$B$4,"Year",A14)</f>
        <v>5687</v>
      </c>
      <c r="E14" s="368">
        <f>GETPIVOTDATA("Sum of 4",SIMDAlarmsPivot!$B$4,"Year",A14)</f>
        <v>5356</v>
      </c>
      <c r="F14" s="368">
        <f>GETPIVOTDATA("Sum of 5 - Least Deprived 20%",SIMDAlarmsPivot!$B$4,"Year",A14)</f>
        <v>4821</v>
      </c>
      <c r="G14" s="749">
        <f>GETPIVOTDATA("Sum of All Scotland",SIMDAlarmsPivot!$B$4,"Year",A14)</f>
        <v>27725</v>
      </c>
    </row>
    <row r="15" spans="1:11" x14ac:dyDescent="0.3">
      <c r="A15" s="312" t="s">
        <v>213</v>
      </c>
      <c r="B15" s="368">
        <f>GETPIVOTDATA("Sum of 1 - Most Deprived 20%",SIMDAlarmsPivot!$B$4,"Year",A15)</f>
        <v>5176</v>
      </c>
      <c r="C15" s="368">
        <f>GETPIVOTDATA("Sum of 2",SIMDAlarmsPivot!$B$4,"Year",A15)</f>
        <v>5583</v>
      </c>
      <c r="D15" s="368">
        <f>GETPIVOTDATA("Sum of 3",SIMDAlarmsPivot!$B$4,"Year",A15)</f>
        <v>5018</v>
      </c>
      <c r="E15" s="368">
        <f>GETPIVOTDATA("Sum of 4",SIMDAlarmsPivot!$B$4,"Year",A15)</f>
        <v>4480</v>
      </c>
      <c r="F15" s="368">
        <f>GETPIVOTDATA("Sum of 5 - Least Deprived 20%",SIMDAlarmsPivot!$B$4,"Year",A15)</f>
        <v>4188</v>
      </c>
      <c r="G15" s="749">
        <f>GETPIVOTDATA("Sum of All Scotland",SIMDAlarmsPivot!$B$4,"Year",A15)</f>
        <v>24445</v>
      </c>
    </row>
    <row r="16" spans="1:11" x14ac:dyDescent="0.3">
      <c r="A16" s="312" t="s">
        <v>312</v>
      </c>
      <c r="B16" s="368">
        <f>GETPIVOTDATA("Sum of 1 - Most Deprived 20%",SIMDAlarmsPivot!$B$4,"Year",A16)</f>
        <v>4680</v>
      </c>
      <c r="C16" s="368">
        <f>GETPIVOTDATA("Sum of 2",SIMDAlarmsPivot!$B$4,"Year",A16)</f>
        <v>5065</v>
      </c>
      <c r="D16" s="368">
        <f>GETPIVOTDATA("Sum of 3",SIMDAlarmsPivot!$B$4,"Year",A16)</f>
        <v>4510</v>
      </c>
      <c r="E16" s="368">
        <f>GETPIVOTDATA("Sum of 4",SIMDAlarmsPivot!$B$4,"Year",A16)</f>
        <v>4206</v>
      </c>
      <c r="F16" s="368">
        <f>GETPIVOTDATA("Sum of 5 - Least Deprived 20%",SIMDAlarmsPivot!$B$4,"Year",A16)</f>
        <v>3804</v>
      </c>
      <c r="G16" s="749">
        <f>GETPIVOTDATA("Sum of All Scotland",SIMDAlarmsPivot!$B$4,"Year",A16)</f>
        <v>22265</v>
      </c>
    </row>
    <row r="17" spans="1:11" x14ac:dyDescent="0.3">
      <c r="A17" s="312" t="s">
        <v>318</v>
      </c>
      <c r="B17" s="368">
        <f>GETPIVOTDATA("Sum of 1 - Most Deprived 20%",SIMDAlarmsPivot!$B$4,"Year",A17)</f>
        <v>1690</v>
      </c>
      <c r="C17" s="368">
        <f>GETPIVOTDATA("Sum of 2",SIMDAlarmsPivot!$B$4,"Year",A17)</f>
        <v>1696</v>
      </c>
      <c r="D17" s="368">
        <f>GETPIVOTDATA("Sum of 3",SIMDAlarmsPivot!$B$4,"Year",A17)</f>
        <v>1487</v>
      </c>
      <c r="E17" s="368">
        <f>GETPIVOTDATA("Sum of 4",SIMDAlarmsPivot!$B$4,"Year",A17)</f>
        <v>1483</v>
      </c>
      <c r="F17" s="368">
        <f>GETPIVOTDATA("Sum of 5 - Least Deprived 20%",SIMDAlarmsPivot!$B$4,"Year",A17)</f>
        <v>1317</v>
      </c>
      <c r="G17" s="749">
        <f>GETPIVOTDATA("Sum of All Scotland",SIMDAlarmsPivot!$B$4,"Year",A17)</f>
        <v>7673</v>
      </c>
    </row>
    <row r="18" spans="1:11" x14ac:dyDescent="0.3">
      <c r="A18" s="312" t="s">
        <v>320</v>
      </c>
      <c r="B18" s="863">
        <f>GETPIVOTDATA("Sum of 1 - Most Deprived 20%",SIMDAlarmsPivot!$B$4,"Year",A18)</f>
        <v>0</v>
      </c>
      <c r="C18" s="863">
        <f>GETPIVOTDATA("Sum of 2",SIMDAlarmsPivot!$B$4,"Year",A18)</f>
        <v>0</v>
      </c>
      <c r="D18" s="863">
        <f>GETPIVOTDATA("Sum of 3",SIMDAlarmsPivot!$B$4,"Year",A18)</f>
        <v>0</v>
      </c>
      <c r="E18" s="863">
        <f>GETPIVOTDATA("Sum of 4",SIMDAlarmsPivot!$B$4,"Year",A18)</f>
        <v>0</v>
      </c>
      <c r="F18" s="863">
        <f>GETPIVOTDATA("Sum of 5 - Least Deprived 20%",SIMDAlarmsPivot!$B$4,"Year",A18)</f>
        <v>0</v>
      </c>
      <c r="G18" s="883">
        <f>GETPIVOTDATA("Sum of All Scotland",SIMDAlarmsPivot!$B$4,"Year",A18)</f>
        <v>0</v>
      </c>
    </row>
    <row r="19" spans="1:11" x14ac:dyDescent="0.3">
      <c r="A19" s="312" t="s">
        <v>325</v>
      </c>
      <c r="B19" s="863">
        <f>GETPIVOTDATA("Sum of 1 - Most Deprived 20%",SIMDAlarmsPivot!$B$4,"Year",A19)</f>
        <v>0</v>
      </c>
      <c r="C19" s="863">
        <f>GETPIVOTDATA("Sum of 2",SIMDAlarmsPivot!$B$4,"Year",A19)</f>
        <v>0</v>
      </c>
      <c r="D19" s="863">
        <f>GETPIVOTDATA("Sum of 3",SIMDAlarmsPivot!$B$4,"Year",A19)</f>
        <v>0</v>
      </c>
      <c r="E19" s="863">
        <f>GETPIVOTDATA("Sum of 4",SIMDAlarmsPivot!$B$4,"Year",A19)</f>
        <v>0</v>
      </c>
      <c r="F19" s="863">
        <f>GETPIVOTDATA("Sum of 5 - Least Deprived 20%",SIMDAlarmsPivot!$B$4,"Year",A19)</f>
        <v>0</v>
      </c>
      <c r="G19" s="883">
        <f>GETPIVOTDATA("Sum of All Scotland",SIMDAlarmsPivot!$B$4,"Year",A19)</f>
        <v>0</v>
      </c>
    </row>
    <row r="20" spans="1:11" x14ac:dyDescent="0.3">
      <c r="A20" s="312" t="s">
        <v>326</v>
      </c>
      <c r="B20" s="368">
        <f>GETPIVOTDATA("Sum of 1 - Most Deprived 20%",SIMDAlarmsPivot!$B$4,"Year",A20)</f>
        <v>1322</v>
      </c>
      <c r="C20" s="368">
        <f>GETPIVOTDATA("Sum of 2",SIMDAlarmsPivot!$B$4,"Year",A20)</f>
        <v>1479</v>
      </c>
      <c r="D20" s="368">
        <f>GETPIVOTDATA("Sum of 3",SIMDAlarmsPivot!$B$4,"Year",A20)</f>
        <v>1164</v>
      </c>
      <c r="E20" s="368">
        <f>GETPIVOTDATA("Sum of 4",SIMDAlarmsPivot!$B$4,"Year",A20)</f>
        <v>1004</v>
      </c>
      <c r="F20" s="368">
        <f>GETPIVOTDATA("Sum of 5 - Least Deprived 20%",SIMDAlarmsPivot!$B$4,"Year",A20)</f>
        <v>944</v>
      </c>
      <c r="G20" s="749">
        <f>GETPIVOTDATA("Sum of All Scotland",SIMDAlarmsPivot!$B$4,"Year",A20)</f>
        <v>5913</v>
      </c>
    </row>
    <row r="21" spans="1:11" x14ac:dyDescent="0.3">
      <c r="A21" s="312" t="s">
        <v>328</v>
      </c>
      <c r="B21" s="368">
        <f>GETPIVOTDATA("Sum of 1 - Most Deprived 20%",SIMDAlarmsPivot!$B$4,"Year",A21)</f>
        <v>940</v>
      </c>
      <c r="C21" s="368">
        <f>GETPIVOTDATA("Sum of 2",SIMDAlarmsPivot!$B$4,"Year",A21)</f>
        <v>1015</v>
      </c>
      <c r="D21" s="368">
        <f>GETPIVOTDATA("Sum of 3",SIMDAlarmsPivot!$B$4,"Year",A21)</f>
        <v>844</v>
      </c>
      <c r="E21" s="368">
        <f>GETPIVOTDATA("Sum of 4",SIMDAlarmsPivot!$B$4,"Year",A21)</f>
        <v>727</v>
      </c>
      <c r="F21" s="368">
        <f>GETPIVOTDATA("Sum of 5 - Least Deprived 20%",SIMDAlarmsPivot!$B$4,"Year",A21)</f>
        <v>650</v>
      </c>
      <c r="G21" s="749">
        <f>GETPIVOTDATA("Sum of All Scotland",SIMDAlarmsPivot!$B$4,"Year",A21)</f>
        <v>4176</v>
      </c>
    </row>
    <row r="22" spans="1:11" ht="15" thickBot="1" x14ac:dyDescent="0.35">
      <c r="A22" s="524" t="s">
        <v>412</v>
      </c>
      <c r="B22" s="755">
        <f>GETPIVOTDATA("Sum of 1 - Most Deprived 20%",SIMDAlarmsPivot!$B$4,"Year",A22)</f>
        <v>696</v>
      </c>
      <c r="C22" s="755">
        <f>GETPIVOTDATA("Sum of 2",SIMDAlarmsPivot!$B$4,"Year",A22)</f>
        <v>913</v>
      </c>
      <c r="D22" s="755">
        <f>GETPIVOTDATA("Sum of 3",SIMDAlarmsPivot!$B$4,"Year",A22)</f>
        <v>751</v>
      </c>
      <c r="E22" s="755">
        <f>GETPIVOTDATA("Sum of 4",SIMDAlarmsPivot!$B$4,"Year",A22)</f>
        <v>602</v>
      </c>
      <c r="F22" s="755">
        <f>GETPIVOTDATA("Sum of 5 - Least Deprived 20%",SIMDAlarmsPivot!$B$4,"Year",A22)</f>
        <v>517</v>
      </c>
      <c r="G22" s="879">
        <f>GETPIVOTDATA("Sum of All Scotland",SIMDAlarmsPivot!$B$4,"Year",A22)</f>
        <v>3479</v>
      </c>
    </row>
    <row r="24" spans="1:11" x14ac:dyDescent="0.3">
      <c r="A24" s="312" t="s">
        <v>329</v>
      </c>
    </row>
    <row r="25" spans="1:11" ht="15.75" customHeight="1" x14ac:dyDescent="0.3">
      <c r="A25" t="s">
        <v>1034</v>
      </c>
      <c r="H25" s="522"/>
      <c r="I25" s="522"/>
      <c r="J25" s="522"/>
      <c r="K25" s="522"/>
    </row>
    <row r="26" spans="1:11" ht="15.6" x14ac:dyDescent="0.3">
      <c r="A26" s="563" t="s">
        <v>1026</v>
      </c>
      <c r="H26" s="499"/>
      <c r="I26" s="499"/>
      <c r="J26" s="499"/>
      <c r="K26" s="499"/>
    </row>
    <row r="27" spans="1:11" ht="15.6" x14ac:dyDescent="0.3">
      <c r="A27" s="597" t="s">
        <v>1035</v>
      </c>
      <c r="H27" s="499"/>
      <c r="I27" s="499"/>
      <c r="J27" s="499"/>
      <c r="K27" s="499"/>
    </row>
    <row r="28" spans="1:11" ht="15.6" x14ac:dyDescent="0.3">
      <c r="A28" t="s">
        <v>1027</v>
      </c>
      <c r="H28" s="499"/>
      <c r="I28" s="499"/>
      <c r="J28" s="499"/>
      <c r="K28" s="499"/>
    </row>
    <row r="29" spans="1:11" ht="29.4" customHeight="1" x14ac:dyDescent="0.3">
      <c r="A29" s="1029" t="s">
        <v>1036</v>
      </c>
      <c r="B29" s="1029"/>
      <c r="C29" s="1029"/>
      <c r="D29" s="1029"/>
      <c r="E29" s="1029"/>
      <c r="F29" s="1029"/>
      <c r="G29" s="1029"/>
      <c r="H29" s="1029"/>
    </row>
    <row r="31" spans="1:11" ht="15.6" x14ac:dyDescent="0.3">
      <c r="A31" s="522" t="s">
        <v>1037</v>
      </c>
      <c r="B31" s="522"/>
      <c r="C31" s="522"/>
      <c r="D31" s="522"/>
      <c r="E31" s="522"/>
      <c r="F31" s="522"/>
      <c r="G31" s="522"/>
      <c r="H31" s="499"/>
      <c r="I31" s="499"/>
      <c r="J31" s="499"/>
      <c r="K31" s="499"/>
    </row>
    <row r="32" spans="1:11" ht="15.6" x14ac:dyDescent="0.3">
      <c r="A32" t="s">
        <v>203</v>
      </c>
      <c r="B32" t="s">
        <v>156</v>
      </c>
      <c r="C32" s="499"/>
      <c r="D32" s="499"/>
      <c r="E32" s="499"/>
      <c r="F32" s="499"/>
      <c r="G32" s="499"/>
    </row>
    <row r="33" spans="1:7" ht="15.6" x14ac:dyDescent="0.3">
      <c r="A33" t="s">
        <v>204</v>
      </c>
      <c r="B33" t="s">
        <v>205</v>
      </c>
      <c r="C33" s="499"/>
      <c r="D33" s="499"/>
      <c r="E33" s="499"/>
      <c r="F33" s="499"/>
      <c r="G33" s="499"/>
    </row>
    <row r="34" spans="1:7" ht="15.6" x14ac:dyDescent="0.3">
      <c r="A34" t="s">
        <v>206</v>
      </c>
      <c r="B34" t="s">
        <v>1023</v>
      </c>
      <c r="C34" s="499"/>
      <c r="D34" s="499"/>
      <c r="E34" s="499"/>
      <c r="F34" s="499"/>
      <c r="G34" s="499"/>
    </row>
    <row r="36" spans="1:7" x14ac:dyDescent="0.3">
      <c r="A36" s="312"/>
      <c r="C36" s="527"/>
      <c r="D36" s="528" t="s">
        <v>1038</v>
      </c>
      <c r="E36" s="527"/>
      <c r="F36" s="527"/>
    </row>
    <row r="37" spans="1:7" x14ac:dyDescent="0.3">
      <c r="A37" s="525" t="s">
        <v>208</v>
      </c>
      <c r="B37" s="647" t="s">
        <v>1015</v>
      </c>
      <c r="C37" s="647" t="s">
        <v>1016</v>
      </c>
      <c r="D37" s="647" t="s">
        <v>1017</v>
      </c>
      <c r="E37" s="647" t="s">
        <v>1018</v>
      </c>
      <c r="F37" s="647" t="s">
        <v>1019</v>
      </c>
      <c r="G37" s="647" t="s">
        <v>1021</v>
      </c>
    </row>
    <row r="38" spans="1:7" x14ac:dyDescent="0.3">
      <c r="A38" s="312" t="s">
        <v>365</v>
      </c>
      <c r="B38" s="884">
        <f>GETPIVOTDATA("Sum of 1 - Most Deprived 20%",SIMDAlarmsPivot!$B$25,"Year",A38)</f>
        <v>1.1000000000000001</v>
      </c>
      <c r="C38" s="884">
        <f>GETPIVOTDATA("Sum of 2",SIMDAlarmsPivot!$B$25,"Year",A38)</f>
        <v>1.2</v>
      </c>
      <c r="D38" s="884">
        <f>GETPIVOTDATA("Sum of 3",SIMDAlarmsPivot!$B$25,"Year",A38)</f>
        <v>1.1000000000000001</v>
      </c>
      <c r="E38" s="884">
        <f>GETPIVOTDATA("Sum of 4",SIMDAlarmsPivot!$B$25,"Year",A38)</f>
        <v>1</v>
      </c>
      <c r="F38" s="884">
        <f>GETPIVOTDATA("Sum of 5 - Least Deprived 20%",SIMDAlarmsPivot!$B$25,"Year",A38)</f>
        <v>1</v>
      </c>
      <c r="G38" s="887">
        <f>GETPIVOTDATA("Sum of All Scotland",SIMDAlarmsPivot!$B$25,"Year",A38)</f>
        <v>1.1000000000000001</v>
      </c>
    </row>
    <row r="39" spans="1:7" x14ac:dyDescent="0.3">
      <c r="A39" s="312" t="s">
        <v>366</v>
      </c>
      <c r="B39" s="884">
        <f>GETPIVOTDATA("Sum of 1 - Most Deprived 20%",SIMDAlarmsPivot!$B$25,"Year",A39)</f>
        <v>1.1000000000000001</v>
      </c>
      <c r="C39" s="884">
        <f>GETPIVOTDATA("Sum of 2",SIMDAlarmsPivot!$B$25,"Year",A39)</f>
        <v>1.3</v>
      </c>
      <c r="D39" s="884">
        <f>GETPIVOTDATA("Sum of 3",SIMDAlarmsPivot!$B$25,"Year",A39)</f>
        <v>1.2</v>
      </c>
      <c r="E39" s="884">
        <f>GETPIVOTDATA("Sum of 4",SIMDAlarmsPivot!$B$25,"Year",A39)</f>
        <v>1.1000000000000001</v>
      </c>
      <c r="F39" s="884">
        <f>GETPIVOTDATA("Sum of 5 - Least Deprived 20%",SIMDAlarmsPivot!$B$25,"Year",A39)</f>
        <v>1</v>
      </c>
      <c r="G39" s="887">
        <f>GETPIVOTDATA("Sum of All Scotland",SIMDAlarmsPivot!$B$25,"Year",A39)</f>
        <v>1.2</v>
      </c>
    </row>
    <row r="40" spans="1:7" x14ac:dyDescent="0.3">
      <c r="A40" s="312" t="s">
        <v>341</v>
      </c>
      <c r="B40" s="884">
        <f>GETPIVOTDATA("Sum of 1 - Most Deprived 20%",SIMDAlarmsPivot!$B$25,"Year",A40)</f>
        <v>1.1000000000000001</v>
      </c>
      <c r="C40" s="884">
        <f>GETPIVOTDATA("Sum of 2",SIMDAlarmsPivot!$B$25,"Year",A40)</f>
        <v>1.3</v>
      </c>
      <c r="D40" s="884">
        <f>GETPIVOTDATA("Sum of 3",SIMDAlarmsPivot!$B$25,"Year",A40)</f>
        <v>1.2</v>
      </c>
      <c r="E40" s="884">
        <f>GETPIVOTDATA("Sum of 4",SIMDAlarmsPivot!$B$25,"Year",A40)</f>
        <v>1.2</v>
      </c>
      <c r="F40" s="884">
        <f>GETPIVOTDATA("Sum of 5 - Least Deprived 20%",SIMDAlarmsPivot!$B$25,"Year",A40)</f>
        <v>1.1000000000000001</v>
      </c>
      <c r="G40" s="887">
        <f>GETPIVOTDATA("Sum of All Scotland",SIMDAlarmsPivot!$B$25,"Year",A40)</f>
        <v>1.2</v>
      </c>
    </row>
    <row r="41" spans="1:7" x14ac:dyDescent="0.3">
      <c r="A41" s="312" t="s">
        <v>342</v>
      </c>
      <c r="B41" s="884">
        <f>GETPIVOTDATA("Sum of 1 - Most Deprived 20%",SIMDAlarmsPivot!$B$25,"Year",A41)</f>
        <v>1.1000000000000001</v>
      </c>
      <c r="C41" s="884">
        <f>GETPIVOTDATA("Sum of 2",SIMDAlarmsPivot!$B$25,"Year",A41)</f>
        <v>1.2</v>
      </c>
      <c r="D41" s="884">
        <f>GETPIVOTDATA("Sum of 3",SIMDAlarmsPivot!$B$25,"Year",A41)</f>
        <v>1.1000000000000001</v>
      </c>
      <c r="E41" s="884">
        <f>GETPIVOTDATA("Sum of 4",SIMDAlarmsPivot!$B$25,"Year",A41)</f>
        <v>1.1000000000000001</v>
      </c>
      <c r="F41" s="884">
        <f>GETPIVOTDATA("Sum of 5 - Least Deprived 20%",SIMDAlarmsPivot!$B$25,"Year",A41)</f>
        <v>1</v>
      </c>
      <c r="G41" s="887">
        <f>GETPIVOTDATA("Sum of All Scotland",SIMDAlarmsPivot!$B$25,"Year",A41)</f>
        <v>1.1000000000000001</v>
      </c>
    </row>
    <row r="42" spans="1:7" x14ac:dyDescent="0.3">
      <c r="A42" s="312" t="s">
        <v>213</v>
      </c>
      <c r="B42" s="884">
        <f>GETPIVOTDATA("Sum of 1 - Most Deprived 20%",SIMDAlarmsPivot!$B$25,"Year",A42)</f>
        <v>1</v>
      </c>
      <c r="C42" s="884">
        <f>GETPIVOTDATA("Sum of 2",SIMDAlarmsPivot!$B$25,"Year",A42)</f>
        <v>1.1000000000000001</v>
      </c>
      <c r="D42" s="884">
        <f>GETPIVOTDATA("Sum of 3",SIMDAlarmsPivot!$B$25,"Year",A42)</f>
        <v>1</v>
      </c>
      <c r="E42" s="884">
        <f>GETPIVOTDATA("Sum of 4",SIMDAlarmsPivot!$B$25,"Year",A42)</f>
        <v>0.9</v>
      </c>
      <c r="F42" s="884">
        <f>GETPIVOTDATA("Sum of 5 - Least Deprived 20%",SIMDAlarmsPivot!$B$25,"Year",A42)</f>
        <v>0.9</v>
      </c>
      <c r="G42" s="887">
        <f>GETPIVOTDATA("Sum of All Scotland",SIMDAlarmsPivot!$B$25,"Year",A42)</f>
        <v>1</v>
      </c>
    </row>
    <row r="43" spans="1:7" x14ac:dyDescent="0.3">
      <c r="A43" s="312" t="s">
        <v>312</v>
      </c>
      <c r="B43" s="884">
        <f>GETPIVOTDATA("Sum of 1 - Most Deprived 20%",SIMDAlarmsPivot!$B$25,"Year",A43)</f>
        <v>0.9</v>
      </c>
      <c r="C43" s="884">
        <f>GETPIVOTDATA("Sum of 2",SIMDAlarmsPivot!$B$25,"Year",A43)</f>
        <v>1</v>
      </c>
      <c r="D43" s="884">
        <f>GETPIVOTDATA("Sum of 3",SIMDAlarmsPivot!$B$25,"Year",A43)</f>
        <v>0.9</v>
      </c>
      <c r="E43" s="884">
        <f>GETPIVOTDATA("Sum of 4",SIMDAlarmsPivot!$B$25,"Year",A43)</f>
        <v>0.8</v>
      </c>
      <c r="F43" s="884">
        <f>GETPIVOTDATA("Sum of 5 - Least Deprived 20%",SIMDAlarmsPivot!$B$25,"Year",A43)</f>
        <v>0.8</v>
      </c>
      <c r="G43" s="887">
        <f>GETPIVOTDATA("Sum of All Scotland",SIMDAlarmsPivot!$B$25,"Year",A43)</f>
        <v>0.9</v>
      </c>
    </row>
    <row r="44" spans="1:7" x14ac:dyDescent="0.3">
      <c r="A44" s="312" t="s">
        <v>318</v>
      </c>
      <c r="B44" s="884">
        <f>GETPIVOTDATA("Sum of 1 - Most Deprived 20%",SIMDAlarmsPivot!$B$25,"Year",A44)</f>
        <v>0.3</v>
      </c>
      <c r="C44" s="884">
        <f>GETPIVOTDATA("Sum of 2",SIMDAlarmsPivot!$B$25,"Year",A44)</f>
        <v>0.3</v>
      </c>
      <c r="D44" s="884">
        <f>GETPIVOTDATA("Sum of 3",SIMDAlarmsPivot!$B$25,"Year",A44)</f>
        <v>0.3</v>
      </c>
      <c r="E44" s="884">
        <f>GETPIVOTDATA("Sum of 4",SIMDAlarmsPivot!$B$25,"Year",A44)</f>
        <v>0.3</v>
      </c>
      <c r="F44" s="884">
        <f>GETPIVOTDATA("Sum of 5 - Least Deprived 20%",SIMDAlarmsPivot!$B$25,"Year",A44)</f>
        <v>0.3</v>
      </c>
      <c r="G44" s="887">
        <f>GETPIVOTDATA("Sum of All Scotland",SIMDAlarmsPivot!$B$25,"Year",A44)</f>
        <v>0.3</v>
      </c>
    </row>
    <row r="45" spans="1:7" x14ac:dyDescent="0.3">
      <c r="A45" s="312" t="s">
        <v>320</v>
      </c>
      <c r="B45" s="885">
        <f>GETPIVOTDATA("Sum of 1 - Most Deprived 20%",SIMDAlarmsPivot!$B$25,"Year",A45)</f>
        <v>0</v>
      </c>
      <c r="C45" s="885">
        <f>GETPIVOTDATA("Sum of 2",SIMDAlarmsPivot!$B$25,"Year",A45)</f>
        <v>0</v>
      </c>
      <c r="D45" s="885">
        <f>GETPIVOTDATA("Sum of 3",SIMDAlarmsPivot!$B$25,"Year",A45)</f>
        <v>0</v>
      </c>
      <c r="E45" s="885">
        <f>GETPIVOTDATA("Sum of 4",SIMDAlarmsPivot!$B$25,"Year",A45)</f>
        <v>0</v>
      </c>
      <c r="F45" s="885">
        <f>GETPIVOTDATA("Sum of 5 - Least Deprived 20%",SIMDAlarmsPivot!$B$25,"Year",A45)</f>
        <v>0</v>
      </c>
      <c r="G45" s="888">
        <f>GETPIVOTDATA("Sum of All Scotland",SIMDAlarmsPivot!$B$25,"Year",A45)</f>
        <v>0</v>
      </c>
    </row>
    <row r="46" spans="1:7" x14ac:dyDescent="0.3">
      <c r="A46" s="312" t="s">
        <v>325</v>
      </c>
      <c r="B46" s="885">
        <f>GETPIVOTDATA("Sum of 1 - Most Deprived 20%",SIMDAlarmsPivot!$B$25,"Year",A46)</f>
        <v>0</v>
      </c>
      <c r="C46" s="885">
        <f>GETPIVOTDATA("Sum of 2",SIMDAlarmsPivot!$B$25,"Year",A46)</f>
        <v>0</v>
      </c>
      <c r="D46" s="885">
        <f>GETPIVOTDATA("Sum of 3",SIMDAlarmsPivot!$B$25,"Year",A46)</f>
        <v>0</v>
      </c>
      <c r="E46" s="885">
        <f>GETPIVOTDATA("Sum of 4",SIMDAlarmsPivot!$B$25,"Year",A46)</f>
        <v>0</v>
      </c>
      <c r="F46" s="885">
        <f>GETPIVOTDATA("Sum of 5 - Least Deprived 20%",SIMDAlarmsPivot!$B$25,"Year",A46)</f>
        <v>0</v>
      </c>
      <c r="G46" s="888">
        <f>GETPIVOTDATA("Sum of All Scotland",SIMDAlarmsPivot!$B$25,"Year",A46)</f>
        <v>0</v>
      </c>
    </row>
    <row r="47" spans="1:7" x14ac:dyDescent="0.3">
      <c r="A47" s="312" t="s">
        <v>326</v>
      </c>
      <c r="B47" s="884">
        <f>GETPIVOTDATA("Sum of 1 - Most Deprived 20%",SIMDAlarmsPivot!$B$25,"Year",A47)</f>
        <v>0.2</v>
      </c>
      <c r="C47" s="884">
        <f>GETPIVOTDATA("Sum of 2",SIMDAlarmsPivot!$B$25,"Year",A47)</f>
        <v>0.3</v>
      </c>
      <c r="D47" s="884">
        <f>GETPIVOTDATA("Sum of 3",SIMDAlarmsPivot!$B$25,"Year",A47)</f>
        <v>0.2</v>
      </c>
      <c r="E47" s="884">
        <f>GETPIVOTDATA("Sum of 4",SIMDAlarmsPivot!$B$25,"Year",A47)</f>
        <v>0.2</v>
      </c>
      <c r="F47" s="884">
        <f>GETPIVOTDATA("Sum of 5 - Least Deprived 20%",SIMDAlarmsPivot!$B$25,"Year",A47)</f>
        <v>0.2</v>
      </c>
      <c r="G47" s="887">
        <f>GETPIVOTDATA("Sum of All Scotland",SIMDAlarmsPivot!$B$25,"Year",A47)</f>
        <v>0.2</v>
      </c>
    </row>
    <row r="48" spans="1:7" x14ac:dyDescent="0.3">
      <c r="A48" s="312" t="s">
        <v>328</v>
      </c>
      <c r="B48" s="884">
        <f>GETPIVOTDATA("Sum of 1 - Most Deprived 20%",SIMDAlarmsPivot!$B$25,"Year",A48)</f>
        <v>0.2</v>
      </c>
      <c r="C48" s="884">
        <f>GETPIVOTDATA("Sum of 2",SIMDAlarmsPivot!$B$25,"Year",A48)</f>
        <v>0.2</v>
      </c>
      <c r="D48" s="884">
        <f>GETPIVOTDATA("Sum of 3",SIMDAlarmsPivot!$B$25,"Year",A48)</f>
        <v>0.2</v>
      </c>
      <c r="E48" s="884">
        <f>GETPIVOTDATA("Sum of 4",SIMDAlarmsPivot!$B$25,"Year",A48)</f>
        <v>0.1</v>
      </c>
      <c r="F48" s="884">
        <f>GETPIVOTDATA("Sum of 5 - Least Deprived 20%",SIMDAlarmsPivot!$B$25,"Year",A48)</f>
        <v>0.1</v>
      </c>
      <c r="G48" s="887">
        <f>GETPIVOTDATA("Sum of All Scotland",SIMDAlarmsPivot!$B$25,"Year",A48)</f>
        <v>0.2</v>
      </c>
    </row>
    <row r="49" spans="1:8" ht="15" thickBot="1" x14ac:dyDescent="0.35">
      <c r="A49" s="524" t="s">
        <v>412</v>
      </c>
      <c r="B49" s="886">
        <f>GETPIVOTDATA("Sum of 1 - Most Deprived 20%",SIMDAlarmsPivot!$B$25,"Year",A49)</f>
        <v>0.1</v>
      </c>
      <c r="C49" s="886">
        <f>GETPIVOTDATA("Sum of 2",SIMDAlarmsPivot!$B$25,"Year",A49)</f>
        <v>0.2</v>
      </c>
      <c r="D49" s="886">
        <f>GETPIVOTDATA("Sum of 3",SIMDAlarmsPivot!$B$25,"Year",A49)</f>
        <v>0.1</v>
      </c>
      <c r="E49" s="886">
        <f>GETPIVOTDATA("Sum of 4",SIMDAlarmsPivot!$B$25,"Year",A49)</f>
        <v>0.1</v>
      </c>
      <c r="F49" s="886">
        <f>GETPIVOTDATA("Sum of 5 - Least Deprived 20%",SIMDAlarmsPivot!$B$25,"Year",A49)</f>
        <v>0.1</v>
      </c>
      <c r="G49" s="889">
        <f>GETPIVOTDATA("Sum of All Scotland",SIMDAlarmsPivot!$B$25,"Year",A49)</f>
        <v>0.1</v>
      </c>
    </row>
    <row r="51" spans="1:8" x14ac:dyDescent="0.3">
      <c r="A51" s="312" t="s">
        <v>329</v>
      </c>
    </row>
    <row r="52" spans="1:8" x14ac:dyDescent="0.3">
      <c r="A52" t="s">
        <v>1034</v>
      </c>
    </row>
    <row r="53" spans="1:8" x14ac:dyDescent="0.3">
      <c r="A53" s="563" t="s">
        <v>1026</v>
      </c>
    </row>
    <row r="54" spans="1:8" x14ac:dyDescent="0.3">
      <c r="A54" s="498" t="s">
        <v>1031</v>
      </c>
    </row>
    <row r="55" spans="1:8" x14ac:dyDescent="0.3">
      <c r="A55" s="597" t="s">
        <v>1035</v>
      </c>
    </row>
    <row r="56" spans="1:8" ht="27.6" customHeight="1" x14ac:dyDescent="0.3">
      <c r="A56" s="1029" t="s">
        <v>1036</v>
      </c>
      <c r="B56" s="1029"/>
      <c r="C56" s="1029"/>
      <c r="D56" s="1029"/>
      <c r="E56" s="1029"/>
      <c r="F56" s="1029"/>
      <c r="G56" s="1029"/>
      <c r="H56" s="1029"/>
    </row>
  </sheetData>
  <sheetProtection algorithmName="SHA-512" hashValue="nq96B+obKpoYFcM+fn+RFHFATuSdeDTCFxM0tOP35sTrnltm/3ONaONmsAfoRHmmqLZ8gEQXuUz1YfmEkPTcpA==" saltValue="AhH6VPQF4gdv1JapkH9tHQ==" spinCount="100000" sheet="1" scenarios="1" formatCells="0" sort="0" autoFilter="0" pivotTables="0"/>
  <mergeCells count="2">
    <mergeCell ref="A29:H29"/>
    <mergeCell ref="A56:H56"/>
  </mergeCells>
  <phoneticPr fontId="53" type="noConversion"/>
  <hyperlinks>
    <hyperlink ref="A2" location="'Table of Contents'!A1" display="Back to Table of Contents" xr:uid="{00000000-0004-0000-8700-000000000000}"/>
    <hyperlink ref="A26" r:id="rId1" xr:uid="{00000000-0004-0000-8700-000001000000}"/>
    <hyperlink ref="A53" r:id="rId2" xr:uid="{00000000-0004-0000-8700-000002000000}"/>
    <hyperlink ref="A54" r:id="rId3" xr:uid="{00000000-0004-0000-8700-000003000000}"/>
  </hyperlinks>
  <pageMargins left="0.7" right="0.7" top="0.75" bottom="0.75" header="0.3" footer="0.3"/>
  <pageSetup paperSize="9" orientation="portrait" r:id="rId4"/>
</worksheet>
</file>

<file path=xl/worksheets/sheet1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6F06651-C97F-4CCA-B093-6321F106D5F7}">
  <sheetPr>
    <tabColor theme="7" tint="-0.249977111117893"/>
  </sheetPr>
  <dimension ref="B4:I19"/>
  <sheetViews>
    <sheetView workbookViewId="0">
      <selection activeCell="C12" sqref="C12"/>
    </sheetView>
  </sheetViews>
  <sheetFormatPr defaultRowHeight="14.4" x14ac:dyDescent="0.3"/>
  <cols>
    <col min="2" max="2" width="20.21875" bestFit="1" customWidth="1"/>
    <col min="3" max="3" width="15.5546875" bestFit="1" customWidth="1"/>
    <col min="4" max="6" width="6" bestFit="1" customWidth="1"/>
    <col min="7" max="7" width="5" bestFit="1" customWidth="1"/>
    <col min="8" max="8" width="5.44140625" bestFit="1" customWidth="1"/>
    <col min="9" max="9" width="10.77734375" bestFit="1" customWidth="1"/>
    <col min="10" max="13" width="5.88671875" bestFit="1" customWidth="1"/>
    <col min="14" max="14" width="6.6640625" bestFit="1" customWidth="1"/>
    <col min="15" max="15" width="19.88671875" bestFit="1" customWidth="1"/>
    <col min="16" max="18" width="5.88671875" bestFit="1" customWidth="1"/>
    <col min="19" max="19" width="4.88671875" bestFit="1" customWidth="1"/>
    <col min="20" max="20" width="6.6640625" bestFit="1" customWidth="1"/>
    <col min="21" max="21" width="43.88671875" bestFit="1" customWidth="1"/>
    <col min="22" max="25" width="4.88671875" bestFit="1" customWidth="1"/>
    <col min="26" max="26" width="6.6640625" bestFit="1" customWidth="1"/>
    <col min="27" max="27" width="23" bestFit="1" customWidth="1"/>
    <col min="28" max="31" width="7.88671875" bestFit="1" customWidth="1"/>
    <col min="32" max="32" width="6.6640625" bestFit="1" customWidth="1"/>
    <col min="33" max="33" width="16.44140625" bestFit="1" customWidth="1"/>
    <col min="34" max="34" width="27" bestFit="1" customWidth="1"/>
    <col min="35" max="35" width="24.6640625" bestFit="1" customWidth="1"/>
    <col min="36" max="36" width="48.5546875" bestFit="1" customWidth="1"/>
    <col min="37" max="37" width="27.88671875" bestFit="1" customWidth="1"/>
  </cols>
  <sheetData>
    <row r="4" spans="2:9" x14ac:dyDescent="0.3">
      <c r="B4" s="386" t="s">
        <v>1039</v>
      </c>
      <c r="C4" s="386" t="s">
        <v>414</v>
      </c>
    </row>
    <row r="5" spans="2:9" x14ac:dyDescent="0.3">
      <c r="B5" s="386" t="s">
        <v>350</v>
      </c>
      <c r="C5">
        <v>1</v>
      </c>
      <c r="D5">
        <v>2</v>
      </c>
      <c r="E5">
        <v>3</v>
      </c>
      <c r="F5">
        <v>4</v>
      </c>
      <c r="G5">
        <v>5</v>
      </c>
      <c r="H5" t="s">
        <v>1040</v>
      </c>
      <c r="I5" t="s">
        <v>357</v>
      </c>
    </row>
    <row r="6" spans="2:9" x14ac:dyDescent="0.3">
      <c r="B6" s="387" t="s">
        <v>365</v>
      </c>
      <c r="C6">
        <v>54.9</v>
      </c>
      <c r="D6">
        <v>57.6</v>
      </c>
      <c r="E6">
        <v>55.4</v>
      </c>
      <c r="F6">
        <v>56.7</v>
      </c>
      <c r="G6">
        <v>57.1</v>
      </c>
      <c r="I6">
        <v>281.70000000000005</v>
      </c>
    </row>
    <row r="7" spans="2:9" x14ac:dyDescent="0.3">
      <c r="B7" s="387" t="s">
        <v>366</v>
      </c>
      <c r="C7">
        <v>53.9</v>
      </c>
      <c r="D7">
        <v>55.6</v>
      </c>
      <c r="E7">
        <v>55.7</v>
      </c>
      <c r="F7">
        <v>53.4</v>
      </c>
      <c r="G7">
        <v>55.9</v>
      </c>
      <c r="I7">
        <v>274.5</v>
      </c>
    </row>
    <row r="8" spans="2:9" x14ac:dyDescent="0.3">
      <c r="B8" s="387" t="s">
        <v>341</v>
      </c>
      <c r="C8">
        <v>54.7</v>
      </c>
      <c r="D8">
        <v>56.6</v>
      </c>
      <c r="E8">
        <v>54.6</v>
      </c>
      <c r="F8">
        <v>53.4</v>
      </c>
      <c r="G8">
        <v>56</v>
      </c>
      <c r="I8">
        <v>275.3</v>
      </c>
    </row>
    <row r="9" spans="2:9" x14ac:dyDescent="0.3">
      <c r="B9" s="387" t="s">
        <v>342</v>
      </c>
      <c r="C9">
        <v>52.7</v>
      </c>
      <c r="D9">
        <v>56.9</v>
      </c>
      <c r="E9">
        <v>54.7</v>
      </c>
      <c r="F9">
        <v>53.2</v>
      </c>
      <c r="G9">
        <v>56.9</v>
      </c>
      <c r="I9">
        <v>274.39999999999998</v>
      </c>
    </row>
    <row r="10" spans="2:9" x14ac:dyDescent="0.3">
      <c r="B10" s="387" t="s">
        <v>213</v>
      </c>
      <c r="C10">
        <v>52.2</v>
      </c>
      <c r="D10">
        <v>54.3</v>
      </c>
      <c r="E10">
        <v>52</v>
      </c>
      <c r="F10">
        <v>51.2</v>
      </c>
      <c r="G10">
        <v>52.2</v>
      </c>
      <c r="I10">
        <v>261.89999999999998</v>
      </c>
    </row>
    <row r="11" spans="2:9" x14ac:dyDescent="0.3">
      <c r="B11" s="387" t="s">
        <v>312</v>
      </c>
      <c r="C11">
        <v>49.1</v>
      </c>
      <c r="D11">
        <v>52.4</v>
      </c>
      <c r="E11">
        <v>48.8</v>
      </c>
      <c r="F11">
        <v>46.4</v>
      </c>
      <c r="G11">
        <v>49</v>
      </c>
      <c r="I11">
        <v>245.70000000000002</v>
      </c>
    </row>
    <row r="12" spans="2:9" x14ac:dyDescent="0.3">
      <c r="B12" s="387" t="s">
        <v>318</v>
      </c>
      <c r="C12">
        <v>55.7</v>
      </c>
      <c r="D12">
        <v>55.5</v>
      </c>
      <c r="E12">
        <v>53.5</v>
      </c>
      <c r="F12">
        <v>55.1</v>
      </c>
      <c r="G12">
        <v>56.8</v>
      </c>
      <c r="I12">
        <v>276.59999999999997</v>
      </c>
    </row>
    <row r="13" spans="2:9" x14ac:dyDescent="0.3">
      <c r="B13" s="387" t="s">
        <v>320</v>
      </c>
      <c r="C13">
        <v>0</v>
      </c>
      <c r="D13">
        <v>0</v>
      </c>
      <c r="E13">
        <v>0</v>
      </c>
      <c r="F13">
        <v>0</v>
      </c>
      <c r="G13">
        <v>0</v>
      </c>
      <c r="I13">
        <v>0</v>
      </c>
    </row>
    <row r="14" spans="2:9" x14ac:dyDescent="0.3">
      <c r="B14" s="387" t="s">
        <v>325</v>
      </c>
      <c r="C14">
        <v>0</v>
      </c>
      <c r="D14">
        <v>0</v>
      </c>
      <c r="E14">
        <v>0</v>
      </c>
      <c r="F14">
        <v>0</v>
      </c>
      <c r="G14">
        <v>0</v>
      </c>
      <c r="I14">
        <v>0</v>
      </c>
    </row>
    <row r="15" spans="2:9" x14ac:dyDescent="0.3">
      <c r="B15" s="387" t="s">
        <v>326</v>
      </c>
      <c r="C15">
        <v>35.5</v>
      </c>
      <c r="D15">
        <v>31.5</v>
      </c>
      <c r="E15">
        <v>26.9</v>
      </c>
      <c r="F15">
        <v>23.3</v>
      </c>
      <c r="G15">
        <v>23.9</v>
      </c>
      <c r="I15">
        <v>141.1</v>
      </c>
    </row>
    <row r="16" spans="2:9" x14ac:dyDescent="0.3">
      <c r="B16" s="387" t="s">
        <v>1040</v>
      </c>
      <c r="H16">
        <v>0</v>
      </c>
      <c r="I16">
        <v>0</v>
      </c>
    </row>
    <row r="17" spans="2:9" x14ac:dyDescent="0.3">
      <c r="B17" s="387" t="s">
        <v>328</v>
      </c>
      <c r="C17">
        <v>37.799999999999997</v>
      </c>
      <c r="D17">
        <v>31.8</v>
      </c>
      <c r="E17">
        <v>30.4</v>
      </c>
      <c r="F17">
        <v>24.9</v>
      </c>
      <c r="G17">
        <v>24.3</v>
      </c>
      <c r="I17">
        <v>149.20000000000002</v>
      </c>
    </row>
    <row r="18" spans="2:9" x14ac:dyDescent="0.3">
      <c r="B18" s="387" t="s">
        <v>412</v>
      </c>
      <c r="C18">
        <v>39.6</v>
      </c>
      <c r="D18">
        <v>63.9</v>
      </c>
      <c r="E18">
        <v>73.400000000000006</v>
      </c>
      <c r="F18">
        <v>69.099999999999994</v>
      </c>
      <c r="G18">
        <v>76.900000000000006</v>
      </c>
      <c r="I18">
        <v>322.89999999999998</v>
      </c>
    </row>
    <row r="19" spans="2:9" x14ac:dyDescent="0.3">
      <c r="B19" s="387" t="s">
        <v>357</v>
      </c>
      <c r="C19">
        <v>486.1</v>
      </c>
      <c r="D19">
        <v>516.1</v>
      </c>
      <c r="E19">
        <v>505.4</v>
      </c>
      <c r="F19">
        <v>486.69999999999993</v>
      </c>
      <c r="G19">
        <v>509</v>
      </c>
      <c r="H19">
        <v>0</v>
      </c>
      <c r="I19">
        <v>2503.3000000000002</v>
      </c>
    </row>
  </sheetData>
  <pageMargins left="0.7" right="0.7" top="0.75" bottom="0.75" header="0.3" footer="0.3"/>
</worksheet>
</file>

<file path=xl/worksheets/sheet1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264149-0771-441B-910F-A5498907D32E}">
  <sheetPr>
    <tabColor theme="7" tint="-0.249977111117893"/>
  </sheetPr>
  <dimension ref="A1:G62"/>
  <sheetViews>
    <sheetView topLeftCell="A43" workbookViewId="0">
      <selection activeCell="D66" sqref="D66"/>
    </sheetView>
  </sheetViews>
  <sheetFormatPr defaultRowHeight="14.4" x14ac:dyDescent="0.3"/>
  <cols>
    <col min="1" max="1" width="7.44140625" bestFit="1" customWidth="1"/>
    <col min="2" max="2" width="19.6640625" bestFit="1" customWidth="1"/>
    <col min="3" max="3" width="7.88671875" bestFit="1" customWidth="1"/>
    <col min="4" max="4" width="18.5546875" bestFit="1" customWidth="1"/>
    <col min="5" max="5" width="16.109375" bestFit="1" customWidth="1"/>
    <col min="6" max="6" width="40.88671875" bestFit="1" customWidth="1"/>
    <col min="7" max="7" width="19.6640625" bestFit="1" customWidth="1"/>
  </cols>
  <sheetData>
    <row r="1" spans="1:7" x14ac:dyDescent="0.3">
      <c r="A1" t="s">
        <v>806</v>
      </c>
      <c r="B1" t="s">
        <v>1041</v>
      </c>
      <c r="C1" t="s">
        <v>1006</v>
      </c>
      <c r="D1" t="s">
        <v>1042</v>
      </c>
      <c r="E1" t="s">
        <v>1043</v>
      </c>
      <c r="F1" t="s">
        <v>1044</v>
      </c>
      <c r="G1" t="s">
        <v>1045</v>
      </c>
    </row>
    <row r="2" spans="1:7" x14ac:dyDescent="0.3">
      <c r="A2" t="s">
        <v>1040</v>
      </c>
      <c r="B2" t="s">
        <v>1040</v>
      </c>
      <c r="C2" t="s">
        <v>1040</v>
      </c>
      <c r="D2" t="s">
        <v>1040</v>
      </c>
      <c r="E2" t="s">
        <v>1040</v>
      </c>
      <c r="F2" t="s">
        <v>1040</v>
      </c>
      <c r="G2" t="s">
        <v>1040</v>
      </c>
    </row>
    <row r="3" spans="1:7" x14ac:dyDescent="0.3">
      <c r="A3" t="s">
        <v>365</v>
      </c>
      <c r="B3">
        <v>1</v>
      </c>
      <c r="C3">
        <v>5311</v>
      </c>
      <c r="D3">
        <v>2914</v>
      </c>
      <c r="E3">
        <v>54.9</v>
      </c>
      <c r="F3">
        <v>0.55000000000000004</v>
      </c>
      <c r="G3">
        <v>525964</v>
      </c>
    </row>
    <row r="4" spans="1:7" x14ac:dyDescent="0.3">
      <c r="A4" t="s">
        <v>365</v>
      </c>
      <c r="B4">
        <v>2</v>
      </c>
      <c r="C4">
        <v>7232</v>
      </c>
      <c r="D4">
        <v>4166</v>
      </c>
      <c r="E4">
        <v>57.6</v>
      </c>
      <c r="F4">
        <v>0.83</v>
      </c>
      <c r="G4">
        <v>504692</v>
      </c>
    </row>
    <row r="5" spans="1:7" x14ac:dyDescent="0.3">
      <c r="A5" t="s">
        <v>365</v>
      </c>
      <c r="B5">
        <v>3</v>
      </c>
      <c r="C5">
        <v>7001</v>
      </c>
      <c r="D5">
        <v>3879</v>
      </c>
      <c r="E5">
        <v>55.4</v>
      </c>
      <c r="F5">
        <v>0.79</v>
      </c>
      <c r="G5">
        <v>488191</v>
      </c>
    </row>
    <row r="6" spans="1:7" x14ac:dyDescent="0.3">
      <c r="A6" t="s">
        <v>365</v>
      </c>
      <c r="B6">
        <v>4</v>
      </c>
      <c r="C6">
        <v>7027</v>
      </c>
      <c r="D6">
        <v>3984</v>
      </c>
      <c r="E6">
        <v>56.7</v>
      </c>
      <c r="F6">
        <v>0.85</v>
      </c>
      <c r="G6">
        <v>467642</v>
      </c>
    </row>
    <row r="7" spans="1:7" x14ac:dyDescent="0.3">
      <c r="A7" t="s">
        <v>365</v>
      </c>
      <c r="B7">
        <v>5</v>
      </c>
      <c r="C7">
        <v>6863</v>
      </c>
      <c r="D7">
        <v>3917</v>
      </c>
      <c r="E7">
        <v>57.1</v>
      </c>
      <c r="F7">
        <v>0.87</v>
      </c>
      <c r="G7">
        <v>449892</v>
      </c>
    </row>
    <row r="8" spans="1:7" x14ac:dyDescent="0.3">
      <c r="A8" t="s">
        <v>366</v>
      </c>
      <c r="B8">
        <v>1</v>
      </c>
      <c r="C8">
        <v>5852</v>
      </c>
      <c r="D8">
        <v>3156</v>
      </c>
      <c r="E8">
        <v>53.9</v>
      </c>
      <c r="F8">
        <v>0.6</v>
      </c>
      <c r="G8">
        <v>528323</v>
      </c>
    </row>
    <row r="9" spans="1:7" x14ac:dyDescent="0.3">
      <c r="A9" t="s">
        <v>366</v>
      </c>
      <c r="B9">
        <v>2</v>
      </c>
      <c r="C9">
        <v>8111</v>
      </c>
      <c r="D9">
        <v>4507</v>
      </c>
      <c r="E9">
        <v>55.6</v>
      </c>
      <c r="F9">
        <v>0.89</v>
      </c>
      <c r="G9">
        <v>506910</v>
      </c>
    </row>
    <row r="10" spans="1:7" x14ac:dyDescent="0.3">
      <c r="A10" t="s">
        <v>366</v>
      </c>
      <c r="B10">
        <v>3</v>
      </c>
      <c r="C10">
        <v>7986</v>
      </c>
      <c r="D10">
        <v>4448</v>
      </c>
      <c r="E10">
        <v>55.7</v>
      </c>
      <c r="F10">
        <v>0.91</v>
      </c>
      <c r="G10">
        <v>490270</v>
      </c>
    </row>
    <row r="11" spans="1:7" x14ac:dyDescent="0.3">
      <c r="A11" t="s">
        <v>366</v>
      </c>
      <c r="B11">
        <v>4</v>
      </c>
      <c r="C11">
        <v>8176</v>
      </c>
      <c r="D11">
        <v>4368</v>
      </c>
      <c r="E11">
        <v>53.4</v>
      </c>
      <c r="F11">
        <v>0.92</v>
      </c>
      <c r="G11">
        <v>472964</v>
      </c>
    </row>
    <row r="12" spans="1:7" x14ac:dyDescent="0.3">
      <c r="A12" t="s">
        <v>366</v>
      </c>
      <c r="B12">
        <v>5</v>
      </c>
      <c r="C12">
        <v>7333</v>
      </c>
      <c r="D12">
        <v>4100</v>
      </c>
      <c r="E12">
        <v>55.9</v>
      </c>
      <c r="F12">
        <v>0.9</v>
      </c>
      <c r="G12">
        <v>453045</v>
      </c>
    </row>
    <row r="13" spans="1:7" x14ac:dyDescent="0.3">
      <c r="A13" t="s">
        <v>341</v>
      </c>
      <c r="B13">
        <v>1</v>
      </c>
      <c r="C13">
        <v>5988</v>
      </c>
      <c r="D13">
        <v>3276</v>
      </c>
      <c r="E13">
        <v>54.7</v>
      </c>
      <c r="F13">
        <v>0.62</v>
      </c>
      <c r="G13">
        <v>530637</v>
      </c>
    </row>
    <row r="14" spans="1:7" x14ac:dyDescent="0.3">
      <c r="A14" t="s">
        <v>341</v>
      </c>
      <c r="B14">
        <v>2</v>
      </c>
      <c r="C14">
        <v>8378</v>
      </c>
      <c r="D14">
        <v>4745</v>
      </c>
      <c r="E14">
        <v>56.6</v>
      </c>
      <c r="F14">
        <v>0.93</v>
      </c>
      <c r="G14">
        <v>509500</v>
      </c>
    </row>
    <row r="15" spans="1:7" x14ac:dyDescent="0.3">
      <c r="A15" t="s">
        <v>341</v>
      </c>
      <c r="B15">
        <v>3</v>
      </c>
      <c r="C15">
        <v>8563</v>
      </c>
      <c r="D15">
        <v>4675</v>
      </c>
      <c r="E15">
        <v>54.6</v>
      </c>
      <c r="F15">
        <v>0.95</v>
      </c>
      <c r="G15">
        <v>494416</v>
      </c>
    </row>
    <row r="16" spans="1:7" x14ac:dyDescent="0.3">
      <c r="A16" t="s">
        <v>341</v>
      </c>
      <c r="B16">
        <v>4</v>
      </c>
      <c r="C16">
        <v>8892</v>
      </c>
      <c r="D16">
        <v>4750</v>
      </c>
      <c r="E16">
        <v>53.4</v>
      </c>
      <c r="F16">
        <v>0.99</v>
      </c>
      <c r="G16">
        <v>479897</v>
      </c>
    </row>
    <row r="17" spans="1:7" x14ac:dyDescent="0.3">
      <c r="A17" t="s">
        <v>341</v>
      </c>
      <c r="B17">
        <v>5</v>
      </c>
      <c r="C17">
        <v>7902</v>
      </c>
      <c r="D17">
        <v>4428</v>
      </c>
      <c r="E17">
        <v>56</v>
      </c>
      <c r="F17">
        <v>0.97</v>
      </c>
      <c r="G17">
        <v>455604</v>
      </c>
    </row>
    <row r="18" spans="1:7" x14ac:dyDescent="0.3">
      <c r="A18" t="s">
        <v>342</v>
      </c>
      <c r="B18">
        <v>1</v>
      </c>
      <c r="C18">
        <v>6009</v>
      </c>
      <c r="D18">
        <v>3169</v>
      </c>
      <c r="E18">
        <v>52.7</v>
      </c>
      <c r="F18">
        <v>0.6</v>
      </c>
      <c r="G18">
        <v>532256</v>
      </c>
    </row>
    <row r="19" spans="1:7" x14ac:dyDescent="0.3">
      <c r="A19" t="s">
        <v>342</v>
      </c>
      <c r="B19">
        <v>2</v>
      </c>
      <c r="C19">
        <v>8141</v>
      </c>
      <c r="D19">
        <v>4633</v>
      </c>
      <c r="E19">
        <v>56.9</v>
      </c>
      <c r="F19">
        <v>0.9</v>
      </c>
      <c r="G19">
        <v>512529</v>
      </c>
    </row>
    <row r="20" spans="1:7" x14ac:dyDescent="0.3">
      <c r="A20" t="s">
        <v>342</v>
      </c>
      <c r="B20">
        <v>3</v>
      </c>
      <c r="C20">
        <v>8217</v>
      </c>
      <c r="D20">
        <v>4491</v>
      </c>
      <c r="E20">
        <v>54.7</v>
      </c>
      <c r="F20">
        <v>0.9</v>
      </c>
      <c r="G20">
        <v>498164</v>
      </c>
    </row>
    <row r="21" spans="1:7" x14ac:dyDescent="0.3">
      <c r="A21" t="s">
        <v>342</v>
      </c>
      <c r="B21">
        <v>4</v>
      </c>
      <c r="C21">
        <v>8475</v>
      </c>
      <c r="D21">
        <v>4510</v>
      </c>
      <c r="E21">
        <v>53.2</v>
      </c>
      <c r="F21">
        <v>0.93</v>
      </c>
      <c r="G21">
        <v>487395</v>
      </c>
    </row>
    <row r="22" spans="1:7" x14ac:dyDescent="0.3">
      <c r="A22" t="s">
        <v>342</v>
      </c>
      <c r="B22">
        <v>5</v>
      </c>
      <c r="C22">
        <v>7496</v>
      </c>
      <c r="D22">
        <v>4264</v>
      </c>
      <c r="E22">
        <v>56.9</v>
      </c>
      <c r="F22">
        <v>0.93</v>
      </c>
      <c r="G22">
        <v>459499</v>
      </c>
    </row>
    <row r="23" spans="1:7" x14ac:dyDescent="0.3">
      <c r="A23" t="s">
        <v>213</v>
      </c>
      <c r="B23">
        <v>1</v>
      </c>
      <c r="C23">
        <v>5680</v>
      </c>
      <c r="D23">
        <v>2967</v>
      </c>
      <c r="E23">
        <v>52.2</v>
      </c>
      <c r="F23">
        <v>0.56000000000000005</v>
      </c>
      <c r="G23">
        <v>534275</v>
      </c>
    </row>
    <row r="24" spans="1:7" x14ac:dyDescent="0.3">
      <c r="A24" t="s">
        <v>213</v>
      </c>
      <c r="B24">
        <v>2</v>
      </c>
      <c r="C24">
        <v>7500</v>
      </c>
      <c r="D24">
        <v>4073</v>
      </c>
      <c r="E24">
        <v>54.3</v>
      </c>
      <c r="F24">
        <v>0.79</v>
      </c>
      <c r="G24">
        <v>514316</v>
      </c>
    </row>
    <row r="25" spans="1:7" x14ac:dyDescent="0.3">
      <c r="A25" t="s">
        <v>213</v>
      </c>
      <c r="B25">
        <v>3</v>
      </c>
      <c r="C25">
        <v>7662</v>
      </c>
      <c r="D25">
        <v>3983</v>
      </c>
      <c r="E25">
        <v>52</v>
      </c>
      <c r="F25">
        <v>0.8</v>
      </c>
      <c r="G25">
        <v>500858</v>
      </c>
    </row>
    <row r="26" spans="1:7" x14ac:dyDescent="0.3">
      <c r="A26" t="s">
        <v>213</v>
      </c>
      <c r="B26">
        <v>4</v>
      </c>
      <c r="C26">
        <v>7415</v>
      </c>
      <c r="D26">
        <v>3799</v>
      </c>
      <c r="E26">
        <v>51.2</v>
      </c>
      <c r="F26">
        <v>0.77</v>
      </c>
      <c r="G26">
        <v>493970</v>
      </c>
    </row>
    <row r="27" spans="1:7" x14ac:dyDescent="0.3">
      <c r="A27" t="s">
        <v>213</v>
      </c>
      <c r="B27">
        <v>5</v>
      </c>
      <c r="C27">
        <v>7074</v>
      </c>
      <c r="D27">
        <v>3690</v>
      </c>
      <c r="E27">
        <v>52.2</v>
      </c>
      <c r="F27">
        <v>0.8</v>
      </c>
      <c r="G27">
        <v>463248</v>
      </c>
    </row>
    <row r="28" spans="1:7" x14ac:dyDescent="0.3">
      <c r="A28" t="s">
        <v>312</v>
      </c>
      <c r="B28">
        <v>1</v>
      </c>
      <c r="C28">
        <v>5596</v>
      </c>
      <c r="D28">
        <v>2750</v>
      </c>
      <c r="E28">
        <v>49.1</v>
      </c>
      <c r="F28">
        <v>0.51</v>
      </c>
      <c r="G28">
        <v>536037</v>
      </c>
    </row>
    <row r="29" spans="1:7" x14ac:dyDescent="0.3">
      <c r="A29" t="s">
        <v>312</v>
      </c>
      <c r="B29">
        <v>2</v>
      </c>
      <c r="C29">
        <v>7144</v>
      </c>
      <c r="D29">
        <v>3747</v>
      </c>
      <c r="E29">
        <v>52.4</v>
      </c>
      <c r="F29">
        <v>0.72</v>
      </c>
      <c r="G29">
        <v>518089</v>
      </c>
    </row>
    <row r="30" spans="1:7" x14ac:dyDescent="0.3">
      <c r="A30" t="s">
        <v>312</v>
      </c>
      <c r="B30">
        <v>3</v>
      </c>
      <c r="C30">
        <v>7292</v>
      </c>
      <c r="D30">
        <v>3557</v>
      </c>
      <c r="E30">
        <v>48.8</v>
      </c>
      <c r="F30">
        <v>0.7</v>
      </c>
      <c r="G30">
        <v>505001</v>
      </c>
    </row>
    <row r="31" spans="1:7" x14ac:dyDescent="0.3">
      <c r="A31" t="s">
        <v>312</v>
      </c>
      <c r="B31">
        <v>4</v>
      </c>
      <c r="C31">
        <v>7621</v>
      </c>
      <c r="D31">
        <v>3533</v>
      </c>
      <c r="E31">
        <v>46.4</v>
      </c>
      <c r="F31">
        <v>0.7</v>
      </c>
      <c r="G31">
        <v>501595</v>
      </c>
    </row>
    <row r="32" spans="1:7" x14ac:dyDescent="0.3">
      <c r="A32" t="s">
        <v>312</v>
      </c>
      <c r="B32">
        <v>5</v>
      </c>
      <c r="C32">
        <v>6942</v>
      </c>
      <c r="D32">
        <v>3404</v>
      </c>
      <c r="E32">
        <v>49</v>
      </c>
      <c r="F32">
        <v>0.73</v>
      </c>
      <c r="G32">
        <v>467052</v>
      </c>
    </row>
    <row r="33" spans="1:7" x14ac:dyDescent="0.3">
      <c r="A33" t="s">
        <v>318</v>
      </c>
      <c r="B33">
        <v>1</v>
      </c>
      <c r="C33">
        <v>1867</v>
      </c>
      <c r="D33">
        <v>1040</v>
      </c>
      <c r="E33">
        <v>55.7</v>
      </c>
      <c r="F33">
        <v>0.19</v>
      </c>
      <c r="G33">
        <v>536888</v>
      </c>
    </row>
    <row r="34" spans="1:7" x14ac:dyDescent="0.3">
      <c r="A34" t="s">
        <v>318</v>
      </c>
      <c r="B34">
        <v>2</v>
      </c>
      <c r="C34">
        <v>2345</v>
      </c>
      <c r="D34">
        <v>1302</v>
      </c>
      <c r="E34">
        <v>55.5</v>
      </c>
      <c r="F34">
        <v>0.25</v>
      </c>
      <c r="G34">
        <v>518933</v>
      </c>
    </row>
    <row r="35" spans="1:7" x14ac:dyDescent="0.3">
      <c r="A35" t="s">
        <v>318</v>
      </c>
      <c r="B35">
        <v>3</v>
      </c>
      <c r="C35">
        <v>2231</v>
      </c>
      <c r="D35">
        <v>1194</v>
      </c>
      <c r="E35">
        <v>53.5</v>
      </c>
      <c r="F35">
        <v>0.24</v>
      </c>
      <c r="G35">
        <v>507851</v>
      </c>
    </row>
    <row r="36" spans="1:7" x14ac:dyDescent="0.3">
      <c r="A36" t="s">
        <v>318</v>
      </c>
      <c r="B36">
        <v>4</v>
      </c>
      <c r="C36">
        <v>2290</v>
      </c>
      <c r="D36">
        <v>1261</v>
      </c>
      <c r="E36">
        <v>55.1</v>
      </c>
      <c r="F36">
        <v>0.25</v>
      </c>
      <c r="G36">
        <v>506063</v>
      </c>
    </row>
    <row r="37" spans="1:7" x14ac:dyDescent="0.3">
      <c r="A37" t="s">
        <v>318</v>
      </c>
      <c r="B37">
        <v>5</v>
      </c>
      <c r="C37">
        <v>2073</v>
      </c>
      <c r="D37">
        <v>1177</v>
      </c>
      <c r="E37">
        <v>56.8</v>
      </c>
      <c r="F37">
        <v>0.25</v>
      </c>
      <c r="G37">
        <v>469008</v>
      </c>
    </row>
    <row r="38" spans="1:7" x14ac:dyDescent="0.3">
      <c r="A38" t="s">
        <v>320</v>
      </c>
      <c r="B38">
        <v>1</v>
      </c>
      <c r="C38" t="s">
        <v>1040</v>
      </c>
      <c r="D38" t="s">
        <v>1040</v>
      </c>
      <c r="E38" t="s">
        <v>1040</v>
      </c>
      <c r="F38" t="s">
        <v>1040</v>
      </c>
      <c r="G38" t="s">
        <v>1040</v>
      </c>
    </row>
    <row r="39" spans="1:7" x14ac:dyDescent="0.3">
      <c r="A39" t="s">
        <v>320</v>
      </c>
      <c r="B39">
        <v>2</v>
      </c>
      <c r="C39" t="s">
        <v>1040</v>
      </c>
      <c r="D39" t="s">
        <v>1040</v>
      </c>
      <c r="E39" t="s">
        <v>1040</v>
      </c>
      <c r="F39" t="s">
        <v>1040</v>
      </c>
      <c r="G39" t="s">
        <v>1040</v>
      </c>
    </row>
    <row r="40" spans="1:7" x14ac:dyDescent="0.3">
      <c r="A40" t="s">
        <v>320</v>
      </c>
      <c r="B40">
        <v>3</v>
      </c>
      <c r="C40" t="s">
        <v>1040</v>
      </c>
      <c r="D40" t="s">
        <v>1040</v>
      </c>
      <c r="E40" t="s">
        <v>1040</v>
      </c>
      <c r="F40" t="s">
        <v>1040</v>
      </c>
      <c r="G40" t="s">
        <v>1040</v>
      </c>
    </row>
    <row r="41" spans="1:7" x14ac:dyDescent="0.3">
      <c r="A41" t="s">
        <v>320</v>
      </c>
      <c r="B41">
        <v>4</v>
      </c>
      <c r="C41" t="s">
        <v>1040</v>
      </c>
      <c r="D41" t="s">
        <v>1040</v>
      </c>
      <c r="E41" t="s">
        <v>1040</v>
      </c>
      <c r="F41" t="s">
        <v>1040</v>
      </c>
      <c r="G41" t="s">
        <v>1040</v>
      </c>
    </row>
    <row r="42" spans="1:7" x14ac:dyDescent="0.3">
      <c r="A42" t="s">
        <v>320</v>
      </c>
      <c r="B42">
        <v>5</v>
      </c>
      <c r="C42" t="s">
        <v>1040</v>
      </c>
      <c r="D42" t="s">
        <v>1040</v>
      </c>
      <c r="E42" t="s">
        <v>1040</v>
      </c>
      <c r="F42" t="s">
        <v>1040</v>
      </c>
      <c r="G42" t="s">
        <v>1040</v>
      </c>
    </row>
    <row r="43" spans="1:7" x14ac:dyDescent="0.3">
      <c r="A43" t="s">
        <v>325</v>
      </c>
      <c r="B43">
        <v>1</v>
      </c>
      <c r="C43" t="s">
        <v>1040</v>
      </c>
      <c r="D43" t="s">
        <v>1040</v>
      </c>
      <c r="E43" t="s">
        <v>1040</v>
      </c>
      <c r="F43" t="s">
        <v>1040</v>
      </c>
      <c r="G43" t="s">
        <v>1040</v>
      </c>
    </row>
    <row r="44" spans="1:7" x14ac:dyDescent="0.3">
      <c r="A44" t="s">
        <v>325</v>
      </c>
      <c r="B44">
        <v>2</v>
      </c>
      <c r="C44" t="s">
        <v>1040</v>
      </c>
      <c r="D44" t="s">
        <v>1040</v>
      </c>
      <c r="E44" t="s">
        <v>1040</v>
      </c>
      <c r="F44" t="s">
        <v>1040</v>
      </c>
      <c r="G44" t="s">
        <v>1040</v>
      </c>
    </row>
    <row r="45" spans="1:7" x14ac:dyDescent="0.3">
      <c r="A45" t="s">
        <v>325</v>
      </c>
      <c r="B45">
        <v>3</v>
      </c>
      <c r="C45" t="s">
        <v>1040</v>
      </c>
      <c r="D45" t="s">
        <v>1040</v>
      </c>
      <c r="E45" t="s">
        <v>1040</v>
      </c>
      <c r="F45" t="s">
        <v>1040</v>
      </c>
      <c r="G45" t="s">
        <v>1040</v>
      </c>
    </row>
    <row r="46" spans="1:7" x14ac:dyDescent="0.3">
      <c r="A46" t="s">
        <v>325</v>
      </c>
      <c r="B46">
        <v>4</v>
      </c>
      <c r="C46" t="s">
        <v>1040</v>
      </c>
      <c r="D46" t="s">
        <v>1040</v>
      </c>
      <c r="E46" t="s">
        <v>1040</v>
      </c>
      <c r="F46" t="s">
        <v>1040</v>
      </c>
      <c r="G46" t="s">
        <v>1040</v>
      </c>
    </row>
    <row r="47" spans="1:7" x14ac:dyDescent="0.3">
      <c r="A47" t="s">
        <v>325</v>
      </c>
      <c r="B47">
        <v>5</v>
      </c>
      <c r="C47" t="s">
        <v>1040</v>
      </c>
      <c r="D47" t="s">
        <v>1040</v>
      </c>
      <c r="E47" t="s">
        <v>1040</v>
      </c>
      <c r="F47" t="s">
        <v>1040</v>
      </c>
      <c r="G47" t="s">
        <v>1040</v>
      </c>
    </row>
    <row r="48" spans="1:7" x14ac:dyDescent="0.3">
      <c r="A48" t="s">
        <v>326</v>
      </c>
      <c r="B48">
        <v>1</v>
      </c>
      <c r="C48">
        <v>2789</v>
      </c>
      <c r="D48">
        <v>989</v>
      </c>
      <c r="E48">
        <v>35.5</v>
      </c>
      <c r="F48">
        <v>0.18</v>
      </c>
      <c r="G48">
        <v>544255</v>
      </c>
    </row>
    <row r="49" spans="1:7" x14ac:dyDescent="0.3">
      <c r="A49" t="s">
        <v>326</v>
      </c>
      <c r="B49">
        <v>2</v>
      </c>
      <c r="C49">
        <v>3964</v>
      </c>
      <c r="D49">
        <v>1247</v>
      </c>
      <c r="E49">
        <v>31.5</v>
      </c>
      <c r="F49">
        <v>0.24</v>
      </c>
      <c r="G49">
        <v>527943</v>
      </c>
    </row>
    <row r="50" spans="1:7" x14ac:dyDescent="0.3">
      <c r="A50" t="s">
        <v>326</v>
      </c>
      <c r="B50">
        <v>3</v>
      </c>
      <c r="C50">
        <v>3702</v>
      </c>
      <c r="D50">
        <v>994</v>
      </c>
      <c r="E50">
        <v>26.9</v>
      </c>
      <c r="F50">
        <v>0.19</v>
      </c>
      <c r="G50">
        <v>522313</v>
      </c>
    </row>
    <row r="51" spans="1:7" x14ac:dyDescent="0.3">
      <c r="A51" t="s">
        <v>326</v>
      </c>
      <c r="B51">
        <v>4</v>
      </c>
      <c r="C51">
        <v>3734</v>
      </c>
      <c r="D51">
        <v>870</v>
      </c>
      <c r="E51">
        <v>23.3</v>
      </c>
      <c r="F51">
        <v>0.16</v>
      </c>
      <c r="G51">
        <v>530772</v>
      </c>
    </row>
    <row r="52" spans="1:7" x14ac:dyDescent="0.3">
      <c r="A52" t="s">
        <v>326</v>
      </c>
      <c r="B52">
        <v>5</v>
      </c>
      <c r="C52">
        <v>3529</v>
      </c>
      <c r="D52">
        <v>845</v>
      </c>
      <c r="E52">
        <v>23.9</v>
      </c>
      <c r="F52">
        <v>0.18</v>
      </c>
      <c r="G52">
        <v>479297</v>
      </c>
    </row>
    <row r="53" spans="1:7" x14ac:dyDescent="0.3">
      <c r="A53" t="s">
        <v>328</v>
      </c>
      <c r="B53">
        <v>1</v>
      </c>
      <c r="C53">
        <v>2538</v>
      </c>
      <c r="D53">
        <v>959</v>
      </c>
      <c r="E53">
        <v>37.799999999999997</v>
      </c>
      <c r="F53">
        <v>0.18</v>
      </c>
      <c r="G53">
        <v>547426</v>
      </c>
    </row>
    <row r="54" spans="1:7" x14ac:dyDescent="0.3">
      <c r="A54" t="s">
        <v>328</v>
      </c>
      <c r="B54">
        <v>2</v>
      </c>
      <c r="C54">
        <v>3487</v>
      </c>
      <c r="D54">
        <v>1110</v>
      </c>
      <c r="E54">
        <v>31.8</v>
      </c>
      <c r="F54">
        <v>0.21</v>
      </c>
      <c r="G54">
        <v>531566</v>
      </c>
    </row>
    <row r="55" spans="1:7" x14ac:dyDescent="0.3">
      <c r="A55" t="s">
        <v>328</v>
      </c>
      <c r="B55">
        <v>3</v>
      </c>
      <c r="C55">
        <v>3154</v>
      </c>
      <c r="D55">
        <v>958</v>
      </c>
      <c r="E55">
        <v>30.4</v>
      </c>
      <c r="F55">
        <v>0.18</v>
      </c>
      <c r="G55">
        <v>525921</v>
      </c>
    </row>
    <row r="56" spans="1:7" x14ac:dyDescent="0.3">
      <c r="A56" t="s">
        <v>328</v>
      </c>
      <c r="B56">
        <v>4</v>
      </c>
      <c r="C56">
        <v>3262</v>
      </c>
      <c r="D56">
        <v>813</v>
      </c>
      <c r="E56">
        <v>24.9</v>
      </c>
      <c r="F56">
        <v>0.15</v>
      </c>
      <c r="G56">
        <v>537349</v>
      </c>
    </row>
    <row r="57" spans="1:7" x14ac:dyDescent="0.3">
      <c r="A57" t="s">
        <v>328</v>
      </c>
      <c r="B57">
        <v>5</v>
      </c>
      <c r="C57">
        <v>3111</v>
      </c>
      <c r="D57">
        <v>757</v>
      </c>
      <c r="E57">
        <v>24.3</v>
      </c>
      <c r="F57">
        <v>0.16</v>
      </c>
      <c r="G57">
        <v>481484</v>
      </c>
    </row>
    <row r="58" spans="1:7" x14ac:dyDescent="0.3">
      <c r="A58" t="s">
        <v>412</v>
      </c>
      <c r="B58">
        <v>1</v>
      </c>
      <c r="C58">
        <v>5723</v>
      </c>
      <c r="D58">
        <v>2268</v>
      </c>
      <c r="E58">
        <v>39.6</v>
      </c>
      <c r="F58">
        <v>0.41</v>
      </c>
      <c r="G58">
        <v>550140</v>
      </c>
    </row>
    <row r="59" spans="1:7" x14ac:dyDescent="0.3">
      <c r="A59" t="s">
        <v>412</v>
      </c>
      <c r="B59">
        <v>2</v>
      </c>
      <c r="C59">
        <v>4872</v>
      </c>
      <c r="D59">
        <v>3115</v>
      </c>
      <c r="E59">
        <v>63.9</v>
      </c>
      <c r="F59">
        <v>0.57999999999999996</v>
      </c>
      <c r="G59">
        <v>535927</v>
      </c>
    </row>
    <row r="60" spans="1:7" x14ac:dyDescent="0.3">
      <c r="A60" t="s">
        <v>412</v>
      </c>
      <c r="B60">
        <v>3</v>
      </c>
      <c r="C60">
        <v>3607</v>
      </c>
      <c r="D60">
        <v>2646</v>
      </c>
      <c r="E60">
        <v>73.400000000000006</v>
      </c>
      <c r="F60">
        <v>0.5</v>
      </c>
      <c r="G60">
        <v>530591</v>
      </c>
    </row>
    <row r="61" spans="1:7" x14ac:dyDescent="0.3">
      <c r="A61" t="s">
        <v>412</v>
      </c>
      <c r="B61">
        <v>4</v>
      </c>
      <c r="C61">
        <v>3028</v>
      </c>
      <c r="D61">
        <v>2091</v>
      </c>
      <c r="E61">
        <v>69.099999999999994</v>
      </c>
      <c r="F61">
        <v>0.38</v>
      </c>
      <c r="G61">
        <v>544716</v>
      </c>
    </row>
    <row r="62" spans="1:7" x14ac:dyDescent="0.3">
      <c r="A62" t="s">
        <v>412</v>
      </c>
      <c r="B62">
        <v>5</v>
      </c>
      <c r="C62">
        <v>2289</v>
      </c>
      <c r="D62">
        <v>1760</v>
      </c>
      <c r="E62">
        <v>76.900000000000006</v>
      </c>
      <c r="F62">
        <v>0.36</v>
      </c>
      <c r="G62">
        <v>485973</v>
      </c>
    </row>
  </sheetData>
  <pageMargins left="0.7" right="0.7" top="0.75" bottom="0.75" header="0.3" footer="0.3"/>
  <tableParts count="1">
    <tablePart r:id="rId1"/>
  </tableParts>
</worksheet>
</file>

<file path=xl/worksheets/sheet1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tabColor theme="7" tint="-0.249977111117893"/>
  </sheetPr>
  <dimension ref="A1:K54"/>
  <sheetViews>
    <sheetView showGridLines="0" zoomScaleNormal="100" workbookViewId="0">
      <pane ySplit="2" topLeftCell="A3" activePane="bottomLeft" state="frozen"/>
      <selection pane="bottomLeft"/>
    </sheetView>
  </sheetViews>
  <sheetFormatPr defaultColWidth="9.33203125" defaultRowHeight="14.4" x14ac:dyDescent="0.3"/>
  <cols>
    <col min="1" max="1" width="19.109375" customWidth="1"/>
    <col min="2" max="8" width="23.88671875" customWidth="1"/>
  </cols>
  <sheetData>
    <row r="1" spans="1:11" ht="15.6" x14ac:dyDescent="0.3">
      <c r="A1" s="513" t="s">
        <v>915</v>
      </c>
      <c r="B1" s="513"/>
      <c r="C1" s="513"/>
    </row>
    <row r="2" spans="1:11" ht="15.6" x14ac:dyDescent="0.3">
      <c r="A2" s="498" t="s">
        <v>202</v>
      </c>
      <c r="B2" s="440"/>
      <c r="C2" s="440"/>
    </row>
    <row r="3" spans="1:11" x14ac:dyDescent="0.3">
      <c r="A3" s="25"/>
      <c r="B3" s="25"/>
      <c r="C3" s="25"/>
      <c r="D3" s="25"/>
      <c r="E3" s="25"/>
      <c r="F3" s="25"/>
      <c r="G3" s="25"/>
      <c r="H3" s="25"/>
      <c r="I3" s="25"/>
      <c r="J3" s="25"/>
      <c r="K3" s="25"/>
    </row>
    <row r="4" spans="1:11" ht="15.6" x14ac:dyDescent="0.3">
      <c r="A4" s="522" t="s">
        <v>1046</v>
      </c>
      <c r="B4" s="522"/>
      <c r="C4" s="522"/>
      <c r="D4" s="522"/>
      <c r="E4" s="522"/>
      <c r="F4" s="522"/>
      <c r="G4" s="522"/>
      <c r="H4" s="522"/>
      <c r="I4" s="522"/>
      <c r="J4" s="522"/>
      <c r="K4" s="522"/>
    </row>
    <row r="5" spans="1:11" ht="15.6" x14ac:dyDescent="0.3">
      <c r="A5" t="s">
        <v>203</v>
      </c>
      <c r="B5" t="s">
        <v>157</v>
      </c>
      <c r="C5" s="499"/>
      <c r="D5" s="499"/>
      <c r="E5" s="499"/>
      <c r="F5" s="499"/>
      <c r="G5" s="499"/>
      <c r="H5" s="499"/>
      <c r="I5" s="499"/>
      <c r="J5" s="499"/>
      <c r="K5" s="499"/>
    </row>
    <row r="6" spans="1:11" ht="15.6" x14ac:dyDescent="0.3">
      <c r="A6" t="s">
        <v>204</v>
      </c>
      <c r="B6" t="s">
        <v>205</v>
      </c>
      <c r="C6" s="499"/>
      <c r="D6" s="499"/>
      <c r="E6" s="499"/>
      <c r="F6" s="499"/>
      <c r="G6" s="499"/>
      <c r="H6" s="499"/>
      <c r="I6" s="499"/>
      <c r="J6" s="499"/>
      <c r="K6" s="499"/>
    </row>
    <row r="7" spans="1:11" ht="15.6" x14ac:dyDescent="0.3">
      <c r="A7" t="s">
        <v>206</v>
      </c>
      <c r="B7" t="s">
        <v>1023</v>
      </c>
      <c r="C7" s="499"/>
      <c r="D7" s="499"/>
      <c r="E7" s="499"/>
      <c r="F7" s="499"/>
      <c r="G7" s="499"/>
      <c r="H7" s="499"/>
      <c r="I7" s="499"/>
      <c r="J7" s="499"/>
      <c r="K7" s="499"/>
    </row>
    <row r="9" spans="1:11" x14ac:dyDescent="0.3">
      <c r="D9" s="528" t="s">
        <v>1047</v>
      </c>
    </row>
    <row r="10" spans="1:11" s="312" customFormat="1" x14ac:dyDescent="0.3">
      <c r="A10" s="526" t="s">
        <v>208</v>
      </c>
      <c r="B10" s="526" t="s">
        <v>1015</v>
      </c>
      <c r="C10" s="526">
        <v>2</v>
      </c>
      <c r="D10" s="526">
        <v>3</v>
      </c>
      <c r="E10" s="526">
        <v>4</v>
      </c>
      <c r="F10" s="526" t="s">
        <v>1019</v>
      </c>
      <c r="G10"/>
    </row>
    <row r="11" spans="1:11" x14ac:dyDescent="0.3">
      <c r="A11" s="312" t="s">
        <v>365</v>
      </c>
      <c r="B11" s="699">
        <f>'SIMD-Alarms'!B11/'SIMD-Visits'!B11*100</f>
        <v>32.998501581663795</v>
      </c>
      <c r="C11" s="699">
        <f>'SIMD-Alarms'!C11/'SIMD-Visits'!C11*100</f>
        <v>39.185110663983899</v>
      </c>
      <c r="D11" s="699">
        <f>'SIMD-Alarms'!D11/'SIMD-Visits'!D11*100</f>
        <v>41.657527808240644</v>
      </c>
      <c r="E11" s="699">
        <f>'SIMD-Alarms'!E11/'SIMD-Visits'!E11*100</f>
        <v>47.844364062958256</v>
      </c>
      <c r="F11" s="699">
        <f>'SIMD-Alarms'!F11/'SIMD-Visits'!F11*100</f>
        <v>52.439444380668121</v>
      </c>
    </row>
    <row r="12" spans="1:11" x14ac:dyDescent="0.3">
      <c r="A12" s="312" t="s">
        <v>366</v>
      </c>
      <c r="B12" s="699">
        <f>'SIMD-Alarms'!B12/'SIMD-Visits'!B12*100</f>
        <v>31.538945382115525</v>
      </c>
      <c r="C12" s="699">
        <f>'SIMD-Alarms'!C12/'SIMD-Visits'!C12*100</f>
        <v>37.341844950540604</v>
      </c>
      <c r="D12" s="699">
        <f>'SIMD-Alarms'!D12/'SIMD-Visits'!D12*100</f>
        <v>41.334279630943932</v>
      </c>
      <c r="E12" s="699">
        <f>'SIMD-Alarms'!E12/'SIMD-Visits'!E12*100</f>
        <v>45.156912637828668</v>
      </c>
      <c r="F12" s="699">
        <f>'SIMD-Alarms'!F12/'SIMD-Visits'!F12*100</f>
        <v>50.220928979415888</v>
      </c>
    </row>
    <row r="13" spans="1:11" x14ac:dyDescent="0.3">
      <c r="A13" s="312" t="s">
        <v>341</v>
      </c>
      <c r="B13" s="699">
        <f>'SIMD-Alarms'!B13/'SIMD-Visits'!B13*100</f>
        <v>32.724411219155755</v>
      </c>
      <c r="C13" s="699">
        <f>'SIMD-Alarms'!C13/'SIMD-Visits'!C13*100</f>
        <v>39.020320600679341</v>
      </c>
      <c r="D13" s="699">
        <f>'SIMD-Alarms'!D13/'SIMD-Visits'!D13*100</f>
        <v>42.166111071707213</v>
      </c>
      <c r="E13" s="699">
        <f>'SIMD-Alarms'!E13/'SIMD-Visits'!E13*100</f>
        <v>45.198422281252512</v>
      </c>
      <c r="F13" s="699">
        <f>'SIMD-Alarms'!F13/'SIMD-Visits'!F13*100</f>
        <v>52.597672485453032</v>
      </c>
    </row>
    <row r="14" spans="1:11" x14ac:dyDescent="0.3">
      <c r="A14" s="312" t="s">
        <v>342</v>
      </c>
      <c r="B14" s="699">
        <f>'SIMD-Alarms'!B14/'SIMD-Visits'!B14*100</f>
        <v>30.165578987109647</v>
      </c>
      <c r="C14" s="699">
        <f>'SIMD-Alarms'!C14/'SIMD-Visits'!C14*100</f>
        <v>38.392747764302335</v>
      </c>
      <c r="D14" s="699">
        <f>'SIMD-Alarms'!D14/'SIMD-Visits'!D14*100</f>
        <v>41.450437317784257</v>
      </c>
      <c r="E14" s="699">
        <f>'SIMD-Alarms'!E14/'SIMD-Visits'!E14*100</f>
        <v>44.872654155495979</v>
      </c>
      <c r="F14" s="699">
        <f>'SIMD-Alarms'!F14/'SIMD-Visits'!F14*100</f>
        <v>52.277163305139887</v>
      </c>
    </row>
    <row r="15" spans="1:11" x14ac:dyDescent="0.3">
      <c r="A15" s="312" t="s">
        <v>213</v>
      </c>
      <c r="B15" s="699">
        <f>'SIMD-Alarms'!B15/'SIMD-Visits'!B15*100</f>
        <v>26.516393442622949</v>
      </c>
      <c r="C15" s="699">
        <f>'SIMD-Alarms'!C15/'SIMD-Visits'!C15*100</f>
        <v>33.926835196888675</v>
      </c>
      <c r="D15" s="699">
        <f>'SIMD-Alarms'!D15/'SIMD-Visits'!D15*100</f>
        <v>37.467333681774065</v>
      </c>
      <c r="E15" s="699">
        <f>'SIMD-Alarms'!E15/'SIMD-Visits'!E15*100</f>
        <v>41.100917431192663</v>
      </c>
      <c r="F15" s="699">
        <f>'SIMD-Alarms'!F15/'SIMD-Visits'!F15*100</f>
        <v>47.289972899729001</v>
      </c>
    </row>
    <row r="16" spans="1:11" x14ac:dyDescent="0.3">
      <c r="A16" s="312" t="s">
        <v>312</v>
      </c>
      <c r="B16" s="699">
        <f>'SIMD-Alarms'!B16/'SIMD-Visits'!B16*100</f>
        <v>23.738270352523461</v>
      </c>
      <c r="C16" s="699">
        <f>'SIMD-Alarms'!C16/'SIMD-Visits'!C16*100</f>
        <v>31.608836744882673</v>
      </c>
      <c r="D16" s="699">
        <f>'SIMD-Alarms'!D16/'SIMD-Visits'!D16*100</f>
        <v>33.879206730769226</v>
      </c>
      <c r="E16" s="699">
        <f>'SIMD-Alarms'!E16/'SIMD-Visits'!E16*100</f>
        <v>37.211359815978057</v>
      </c>
      <c r="F16" s="699">
        <f>'SIMD-Alarms'!F16/'SIMD-Visits'!F16*100</f>
        <v>43.62385321100917</v>
      </c>
    </row>
    <row r="17" spans="1:11" x14ac:dyDescent="0.3">
      <c r="A17" s="312" t="s">
        <v>318</v>
      </c>
      <c r="B17" s="699">
        <f>'SIMD-Alarms'!B17/'SIMD-Visits'!B17*100</f>
        <v>30.114041339985743</v>
      </c>
      <c r="C17" s="699">
        <f>'SIMD-Alarms'!C17/'SIMD-Visits'!C17*100</f>
        <v>35.281880590805073</v>
      </c>
      <c r="D17" s="699">
        <f>'SIMD-Alarms'!D17/'SIMD-Visits'!D17*100</f>
        <v>39.600532623169109</v>
      </c>
      <c r="E17" s="699">
        <f>'SIMD-Alarms'!E17/'SIMD-Visits'!E17*100</f>
        <v>45.448973337419552</v>
      </c>
      <c r="F17" s="699">
        <f>'SIMD-Alarms'!F17/'SIMD-Visits'!F17*100</f>
        <v>51.789225324419974</v>
      </c>
    </row>
    <row r="18" spans="1:11" x14ac:dyDescent="0.3">
      <c r="A18" s="312" t="s">
        <v>320</v>
      </c>
      <c r="B18" s="865"/>
      <c r="C18" s="865"/>
      <c r="D18" s="865"/>
      <c r="E18" s="865"/>
      <c r="F18" s="865"/>
    </row>
    <row r="19" spans="1:11" x14ac:dyDescent="0.3">
      <c r="A19" s="312" t="s">
        <v>325</v>
      </c>
      <c r="B19" s="865"/>
      <c r="C19" s="865"/>
      <c r="D19" s="865"/>
      <c r="E19" s="865"/>
      <c r="F19" s="865"/>
    </row>
    <row r="20" spans="1:11" x14ac:dyDescent="0.3">
      <c r="A20" s="312" t="s">
        <v>326</v>
      </c>
      <c r="B20" s="699">
        <f>'SIMD-Alarms'!B20/'SIMD-Visits'!B20*100</f>
        <v>13.060659948626755</v>
      </c>
      <c r="C20" s="699">
        <f>'SIMD-Alarms'!C20/'SIMD-Visits'!C20*100</f>
        <v>15.958135520069055</v>
      </c>
      <c r="D20" s="699">
        <f>'SIMD-Alarms'!D20/'SIMD-Visits'!D20*100</f>
        <v>16.815949147645188</v>
      </c>
      <c r="E20" s="699">
        <f>'SIMD-Alarms'!E20/'SIMD-Visits'!E20*100</f>
        <v>17.436609934004863</v>
      </c>
      <c r="F20" s="699">
        <f>'SIMD-Alarms'!F20/'SIMD-Visits'!F20*100</f>
        <v>20.724478594950604</v>
      </c>
    </row>
    <row r="21" spans="1:11" x14ac:dyDescent="0.3">
      <c r="A21" s="312" t="s">
        <v>328</v>
      </c>
      <c r="B21" s="699">
        <f>'SIMD-Alarms'!B21/'SIMD-Visits'!B21*100</f>
        <v>9.347653142402546</v>
      </c>
      <c r="C21" s="699">
        <f>'SIMD-Alarms'!C21/'SIMD-Visits'!C21*100</f>
        <v>12.344928241303819</v>
      </c>
      <c r="D21" s="699">
        <f>'SIMD-Alarms'!D21/'SIMD-Visits'!D21*100</f>
        <v>14.392905866302867</v>
      </c>
      <c r="E21" s="699">
        <f>'SIMD-Alarms'!E21/'SIMD-Visits'!E21*100</f>
        <v>14.598393574297189</v>
      </c>
      <c r="F21" s="699">
        <f>'SIMD-Alarms'!F21/'SIMD-Visits'!F21*100</f>
        <v>15.598752099832014</v>
      </c>
    </row>
    <row r="22" spans="1:11" ht="15" thickBot="1" x14ac:dyDescent="0.35">
      <c r="A22" s="524" t="s">
        <v>412</v>
      </c>
      <c r="B22" s="864">
        <f>'SIMD-Alarms'!B22/'SIMD-Visits'!B22*100</f>
        <v>12.161453782980953</v>
      </c>
      <c r="C22" s="864">
        <f>'SIMD-Alarms'!C22/'SIMD-Visits'!C22*100</f>
        <v>18.739737274220033</v>
      </c>
      <c r="D22" s="864">
        <f>'SIMD-Alarms'!D22/'SIMD-Visits'!D22*100</f>
        <v>20.820626559467701</v>
      </c>
      <c r="E22" s="864">
        <f>'SIMD-Alarms'!E22/'SIMD-Visits'!E22*100</f>
        <v>19.88110964332893</v>
      </c>
      <c r="F22" s="864">
        <f>'SIMD-Alarms'!F22/'SIMD-Visits'!F22*100</f>
        <v>22.586282219309741</v>
      </c>
    </row>
    <row r="24" spans="1:11" x14ac:dyDescent="0.3">
      <c r="A24" s="312" t="s">
        <v>329</v>
      </c>
    </row>
    <row r="25" spans="1:11" x14ac:dyDescent="0.3">
      <c r="A25" t="s">
        <v>1034</v>
      </c>
    </row>
    <row r="26" spans="1:11" x14ac:dyDescent="0.3">
      <c r="A26" s="563" t="s">
        <v>1026</v>
      </c>
    </row>
    <row r="27" spans="1:11" x14ac:dyDescent="0.3">
      <c r="A27" t="s">
        <v>969</v>
      </c>
    </row>
    <row r="28" spans="1:11" ht="29.4" customHeight="1" x14ac:dyDescent="0.3">
      <c r="A28" s="1029" t="s">
        <v>1036</v>
      </c>
      <c r="B28" s="1029"/>
      <c r="C28" s="1029"/>
      <c r="D28" s="1029"/>
      <c r="E28" s="1029"/>
      <c r="F28" s="1029"/>
    </row>
    <row r="30" spans="1:11" ht="15.75" customHeight="1" x14ac:dyDescent="0.3">
      <c r="A30" s="522" t="s">
        <v>1048</v>
      </c>
      <c r="B30" s="522"/>
      <c r="C30" s="522"/>
      <c r="D30" s="522"/>
      <c r="E30" s="522"/>
      <c r="F30" s="522"/>
      <c r="G30" s="522"/>
      <c r="H30" s="522"/>
      <c r="I30" s="522"/>
      <c r="J30" s="522"/>
      <c r="K30" s="522"/>
    </row>
    <row r="31" spans="1:11" ht="15.6" x14ac:dyDescent="0.3">
      <c r="A31" t="s">
        <v>203</v>
      </c>
      <c r="B31" t="s">
        <v>159</v>
      </c>
      <c r="C31" s="499"/>
      <c r="D31" s="499"/>
      <c r="E31" s="499"/>
      <c r="F31" s="499"/>
      <c r="G31" s="499"/>
      <c r="H31" s="499"/>
      <c r="I31" s="499"/>
      <c r="J31" s="499"/>
      <c r="K31" s="499"/>
    </row>
    <row r="32" spans="1:11" ht="15.6" x14ac:dyDescent="0.3">
      <c r="A32" t="s">
        <v>204</v>
      </c>
      <c r="B32" t="s">
        <v>205</v>
      </c>
      <c r="C32" s="499"/>
      <c r="D32" s="499"/>
      <c r="E32" s="499"/>
      <c r="F32" s="499"/>
      <c r="G32" s="499"/>
      <c r="H32" s="499"/>
      <c r="I32" s="499"/>
      <c r="J32" s="499"/>
      <c r="K32" s="499"/>
    </row>
    <row r="33" spans="1:11" ht="15.6" x14ac:dyDescent="0.3">
      <c r="A33" t="s">
        <v>206</v>
      </c>
      <c r="B33" t="s">
        <v>1023</v>
      </c>
      <c r="C33" s="499"/>
      <c r="D33" s="499"/>
      <c r="E33" s="499"/>
      <c r="F33" s="499"/>
      <c r="G33" s="499"/>
      <c r="H33" s="499"/>
      <c r="I33" s="499"/>
      <c r="J33" s="499"/>
      <c r="K33" s="499"/>
    </row>
    <row r="35" spans="1:11" x14ac:dyDescent="0.3">
      <c r="A35" s="312"/>
      <c r="C35" s="527"/>
      <c r="D35" s="528" t="s">
        <v>1049</v>
      </c>
      <c r="E35" s="527"/>
      <c r="F35" s="527"/>
    </row>
    <row r="36" spans="1:11" x14ac:dyDescent="0.3">
      <c r="A36" s="526" t="s">
        <v>208</v>
      </c>
      <c r="B36" s="526" t="s">
        <v>1015</v>
      </c>
      <c r="C36" s="526">
        <v>2</v>
      </c>
      <c r="D36" s="526">
        <v>3</v>
      </c>
      <c r="E36" s="526">
        <v>4</v>
      </c>
      <c r="F36" s="526" t="s">
        <v>1019</v>
      </c>
    </row>
    <row r="37" spans="1:11" x14ac:dyDescent="0.3">
      <c r="A37" s="312" t="s">
        <v>365</v>
      </c>
      <c r="B37" s="751">
        <f>GETPIVOTDATA("pcAlarmsFitted",'SIMD%AlarmPivot'!$B$4,"FisYr",A37,"SIMD2020_Quintile",1)</f>
        <v>54.9</v>
      </c>
      <c r="C37" s="751">
        <f>GETPIVOTDATA("pcAlarmsFitted",'SIMD%AlarmPivot'!$B$4,"FisYr",A37,"SIMD2020_Quintile",2)</f>
        <v>57.6</v>
      </c>
      <c r="D37" s="751">
        <f>GETPIVOTDATA("pcAlarmsFitted",'SIMD%AlarmPivot'!$B$4,"FisYr",A37,"SIMD2020_Quintile",3)</f>
        <v>55.4</v>
      </c>
      <c r="E37" s="751">
        <f>GETPIVOTDATA("pcAlarmsFitted",'SIMD%AlarmPivot'!$B$4,"FisYr",A37,"SIMD2020_Quintile",4)</f>
        <v>56.7</v>
      </c>
      <c r="F37" s="751">
        <f>GETPIVOTDATA("pcAlarmsFitted",'SIMD%AlarmPivot'!$B$4,"FisYr",A37,"SIMD2020_Quintile",5)</f>
        <v>57.1</v>
      </c>
    </row>
    <row r="38" spans="1:11" x14ac:dyDescent="0.3">
      <c r="A38" s="312" t="s">
        <v>366</v>
      </c>
      <c r="B38" s="751">
        <f>GETPIVOTDATA("pcAlarmsFitted",'SIMD%AlarmPivot'!$B$4,"FisYr",A38,"SIMD2020_Quintile",1)</f>
        <v>53.9</v>
      </c>
      <c r="C38" s="751">
        <f>GETPIVOTDATA("pcAlarmsFitted",'SIMD%AlarmPivot'!$B$4,"FisYr",A38,"SIMD2020_Quintile",2)</f>
        <v>55.6</v>
      </c>
      <c r="D38" s="751">
        <f>GETPIVOTDATA("pcAlarmsFitted",'SIMD%AlarmPivot'!$B$4,"FisYr",A38,"SIMD2020_Quintile",3)</f>
        <v>55.7</v>
      </c>
      <c r="E38" s="751">
        <f>GETPIVOTDATA("pcAlarmsFitted",'SIMD%AlarmPivot'!$B$4,"FisYr",A38,"SIMD2020_Quintile",4)</f>
        <v>53.4</v>
      </c>
      <c r="F38" s="751">
        <f>GETPIVOTDATA("pcAlarmsFitted",'SIMD%AlarmPivot'!$B$4,"FisYr",A38,"SIMD2020_Quintile",5)</f>
        <v>55.9</v>
      </c>
    </row>
    <row r="39" spans="1:11" x14ac:dyDescent="0.3">
      <c r="A39" s="312" t="s">
        <v>341</v>
      </c>
      <c r="B39" s="751">
        <f>GETPIVOTDATA("pcAlarmsFitted",'SIMD%AlarmPivot'!$B$4,"FisYr",A39,"SIMD2020_Quintile",1)</f>
        <v>54.7</v>
      </c>
      <c r="C39" s="751">
        <f>GETPIVOTDATA("pcAlarmsFitted",'SIMD%AlarmPivot'!$B$4,"FisYr",A39,"SIMD2020_Quintile",2)</f>
        <v>56.6</v>
      </c>
      <c r="D39" s="751">
        <f>GETPIVOTDATA("pcAlarmsFitted",'SIMD%AlarmPivot'!$B$4,"FisYr",A39,"SIMD2020_Quintile",3)</f>
        <v>54.6</v>
      </c>
      <c r="E39" s="751">
        <f>GETPIVOTDATA("pcAlarmsFitted",'SIMD%AlarmPivot'!$B$4,"FisYr",A39,"SIMD2020_Quintile",4)</f>
        <v>53.4</v>
      </c>
      <c r="F39" s="751">
        <f>GETPIVOTDATA("pcAlarmsFitted",'SIMD%AlarmPivot'!$B$4,"FisYr",A39,"SIMD2020_Quintile",5)</f>
        <v>56</v>
      </c>
    </row>
    <row r="40" spans="1:11" x14ac:dyDescent="0.3">
      <c r="A40" s="312" t="s">
        <v>342</v>
      </c>
      <c r="B40" s="751">
        <f>GETPIVOTDATA("pcAlarmsFitted",'SIMD%AlarmPivot'!$B$4,"FisYr",A40,"SIMD2020_Quintile",1)</f>
        <v>52.7</v>
      </c>
      <c r="C40" s="751">
        <f>GETPIVOTDATA("pcAlarmsFitted",'SIMD%AlarmPivot'!$B$4,"FisYr",A40,"SIMD2020_Quintile",2)</f>
        <v>56.9</v>
      </c>
      <c r="D40" s="751">
        <f>GETPIVOTDATA("pcAlarmsFitted",'SIMD%AlarmPivot'!$B$4,"FisYr",A40,"SIMD2020_Quintile",3)</f>
        <v>54.7</v>
      </c>
      <c r="E40" s="751">
        <f>GETPIVOTDATA("pcAlarmsFitted",'SIMD%AlarmPivot'!$B$4,"FisYr",A40,"SIMD2020_Quintile",4)</f>
        <v>53.2</v>
      </c>
      <c r="F40" s="751">
        <f>GETPIVOTDATA("pcAlarmsFitted",'SIMD%AlarmPivot'!$B$4,"FisYr",A40,"SIMD2020_Quintile",5)</f>
        <v>56.9</v>
      </c>
    </row>
    <row r="41" spans="1:11" x14ac:dyDescent="0.3">
      <c r="A41" s="312" t="s">
        <v>213</v>
      </c>
      <c r="B41" s="751">
        <f>GETPIVOTDATA("pcAlarmsFitted",'SIMD%AlarmPivot'!$B$4,"FisYr",A41,"SIMD2020_Quintile",1)</f>
        <v>52.2</v>
      </c>
      <c r="C41" s="751">
        <f>GETPIVOTDATA("pcAlarmsFitted",'SIMD%AlarmPivot'!$B$4,"FisYr",A41,"SIMD2020_Quintile",2)</f>
        <v>54.3</v>
      </c>
      <c r="D41" s="751">
        <f>GETPIVOTDATA("pcAlarmsFitted",'SIMD%AlarmPivot'!$B$4,"FisYr",A41,"SIMD2020_Quintile",3)</f>
        <v>52</v>
      </c>
      <c r="E41" s="751">
        <f>GETPIVOTDATA("pcAlarmsFitted",'SIMD%AlarmPivot'!$B$4,"FisYr",A41,"SIMD2020_Quintile",4)</f>
        <v>51.2</v>
      </c>
      <c r="F41" s="751">
        <f>GETPIVOTDATA("pcAlarmsFitted",'SIMD%AlarmPivot'!$B$4,"FisYr",A41,"SIMD2020_Quintile",5)</f>
        <v>52.2</v>
      </c>
    </row>
    <row r="42" spans="1:11" x14ac:dyDescent="0.3">
      <c r="A42" s="312" t="s">
        <v>312</v>
      </c>
      <c r="B42" s="751">
        <f>GETPIVOTDATA("pcAlarmsFitted",'SIMD%AlarmPivot'!$B$4,"FisYr",A42,"SIMD2020_Quintile",1)</f>
        <v>49.1</v>
      </c>
      <c r="C42" s="751">
        <f>GETPIVOTDATA("pcAlarmsFitted",'SIMD%AlarmPivot'!$B$4,"FisYr",A42,"SIMD2020_Quintile",2)</f>
        <v>52.4</v>
      </c>
      <c r="D42" s="751">
        <f>GETPIVOTDATA("pcAlarmsFitted",'SIMD%AlarmPivot'!$B$4,"FisYr",A42,"SIMD2020_Quintile",3)</f>
        <v>48.8</v>
      </c>
      <c r="E42" s="751">
        <f>GETPIVOTDATA("pcAlarmsFitted",'SIMD%AlarmPivot'!$B$4,"FisYr",A42,"SIMD2020_Quintile",4)</f>
        <v>46.4</v>
      </c>
      <c r="F42" s="751">
        <f>GETPIVOTDATA("pcAlarmsFitted",'SIMD%AlarmPivot'!$B$4,"FisYr",A42,"SIMD2020_Quintile",5)</f>
        <v>49</v>
      </c>
    </row>
    <row r="43" spans="1:11" x14ac:dyDescent="0.3">
      <c r="A43" s="312" t="s">
        <v>318</v>
      </c>
      <c r="B43" s="751">
        <f>GETPIVOTDATA("pcAlarmsFitted",'SIMD%AlarmPivot'!$B$4,"FisYr",A43,"SIMD2020_Quintile",1)</f>
        <v>55.7</v>
      </c>
      <c r="C43" s="751">
        <f>GETPIVOTDATA("pcAlarmsFitted",'SIMD%AlarmPivot'!$B$4,"FisYr",A43,"SIMD2020_Quintile",2)</f>
        <v>55.5</v>
      </c>
      <c r="D43" s="751">
        <f>GETPIVOTDATA("pcAlarmsFitted",'SIMD%AlarmPivot'!$B$4,"FisYr",A43,"SIMD2020_Quintile",3)</f>
        <v>53.5</v>
      </c>
      <c r="E43" s="751">
        <f>GETPIVOTDATA("pcAlarmsFitted",'SIMD%AlarmPivot'!$B$4,"FisYr",A43,"SIMD2020_Quintile",4)</f>
        <v>55.1</v>
      </c>
      <c r="F43" s="751">
        <f>GETPIVOTDATA("pcAlarmsFitted",'SIMD%AlarmPivot'!$B$4,"FisYr",A43,"SIMD2020_Quintile",5)</f>
        <v>56.8</v>
      </c>
    </row>
    <row r="44" spans="1:11" x14ac:dyDescent="0.3">
      <c r="A44" s="312" t="s">
        <v>320</v>
      </c>
      <c r="B44" s="878"/>
      <c r="C44" s="878"/>
      <c r="D44" s="878"/>
      <c r="E44" s="878"/>
      <c r="F44" s="878"/>
    </row>
    <row r="45" spans="1:11" x14ac:dyDescent="0.3">
      <c r="A45" s="312" t="s">
        <v>325</v>
      </c>
      <c r="B45" s="878"/>
      <c r="C45" s="878"/>
      <c r="D45" s="878"/>
      <c r="E45" s="878"/>
      <c r="F45" s="878"/>
    </row>
    <row r="46" spans="1:11" x14ac:dyDescent="0.3">
      <c r="A46" s="312" t="s">
        <v>326</v>
      </c>
      <c r="B46" s="751">
        <f>GETPIVOTDATA("pcAlarmsFitted",'SIMD%AlarmPivot'!$B$4,"FisYr",A46,"SIMD2020_Quintile",1)</f>
        <v>35.5</v>
      </c>
      <c r="C46" s="751">
        <f>GETPIVOTDATA("pcAlarmsFitted",'SIMD%AlarmPivot'!$B$4,"FisYr",A46,"SIMD2020_Quintile",2)</f>
        <v>31.5</v>
      </c>
      <c r="D46" s="751">
        <f>GETPIVOTDATA("pcAlarmsFitted",'SIMD%AlarmPivot'!$B$4,"FisYr",A46,"SIMD2020_Quintile",3)</f>
        <v>26.9</v>
      </c>
      <c r="E46" s="751">
        <f>GETPIVOTDATA("pcAlarmsFitted",'SIMD%AlarmPivot'!$B$4,"FisYr",A46,"SIMD2020_Quintile",4)</f>
        <v>23.3</v>
      </c>
      <c r="F46" s="751">
        <f>GETPIVOTDATA("pcAlarmsFitted",'SIMD%AlarmPivot'!$B$4,"FisYr",A46,"SIMD2020_Quintile",5)</f>
        <v>23.9</v>
      </c>
    </row>
    <row r="47" spans="1:11" x14ac:dyDescent="0.3">
      <c r="A47" s="312" t="s">
        <v>328</v>
      </c>
      <c r="B47" s="751">
        <f>GETPIVOTDATA("pcAlarmsFitted",'SIMD%AlarmPivot'!$B$4,"FisYr",A47,"SIMD2020_Quintile",1)</f>
        <v>37.799999999999997</v>
      </c>
      <c r="C47" s="751">
        <f>GETPIVOTDATA("pcAlarmsFitted",'SIMD%AlarmPivot'!$B$4,"FisYr",A47,"SIMD2020_Quintile",2)</f>
        <v>31.8</v>
      </c>
      <c r="D47" s="751">
        <f>GETPIVOTDATA("pcAlarmsFitted",'SIMD%AlarmPivot'!$B$4,"FisYr",A47,"SIMD2020_Quintile",3)</f>
        <v>30.4</v>
      </c>
      <c r="E47" s="751">
        <f>GETPIVOTDATA("pcAlarmsFitted",'SIMD%AlarmPivot'!$B$4,"FisYr",A47,"SIMD2020_Quintile",4)</f>
        <v>24.9</v>
      </c>
      <c r="F47" s="751">
        <f>GETPIVOTDATA("pcAlarmsFitted",'SIMD%AlarmPivot'!$B$4,"FisYr",A47,"SIMD2020_Quintile",5)</f>
        <v>24.3</v>
      </c>
    </row>
    <row r="48" spans="1:11" ht="15" thickBot="1" x14ac:dyDescent="0.35">
      <c r="A48" s="524" t="s">
        <v>412</v>
      </c>
      <c r="B48" s="753">
        <f>GETPIVOTDATA("pcAlarmsFitted",'SIMD%AlarmPivot'!$B$4,"FisYr",A48,"SIMD2020_Quintile",1)</f>
        <v>39.6</v>
      </c>
      <c r="C48" s="753">
        <f>GETPIVOTDATA("pcAlarmsFitted",'SIMD%AlarmPivot'!$B$4,"FisYr",A48,"SIMD2020_Quintile",2)</f>
        <v>63.9</v>
      </c>
      <c r="D48" s="753">
        <f>GETPIVOTDATA("pcAlarmsFitted",'SIMD%AlarmPivot'!$B$4,"FisYr",A48,"SIMD2020_Quintile",3)</f>
        <v>73.400000000000006</v>
      </c>
      <c r="E48" s="753">
        <f>GETPIVOTDATA("pcAlarmsFitted",'SIMD%AlarmPivot'!$B$4,"FisYr",A48,"SIMD2020_Quintile",4)</f>
        <v>69.099999999999994</v>
      </c>
      <c r="F48" s="753">
        <f>GETPIVOTDATA("pcAlarmsFitted",'SIMD%AlarmPivot'!$B$4,"FisYr",A48,"SIMD2020_Quintile",5)</f>
        <v>76.900000000000006</v>
      </c>
    </row>
    <row r="49" spans="1:6" x14ac:dyDescent="0.3">
      <c r="A49" s="312"/>
      <c r="B49" s="751"/>
      <c r="C49" s="751"/>
      <c r="D49" s="751"/>
      <c r="E49" s="751"/>
      <c r="F49" s="751"/>
    </row>
    <row r="50" spans="1:6" x14ac:dyDescent="0.3">
      <c r="A50" s="312" t="s">
        <v>329</v>
      </c>
    </row>
    <row r="51" spans="1:6" x14ac:dyDescent="0.3">
      <c r="A51" t="s">
        <v>1034</v>
      </c>
    </row>
    <row r="52" spans="1:6" ht="15.75" customHeight="1" x14ac:dyDescent="0.3">
      <c r="A52" s="563" t="s">
        <v>1026</v>
      </c>
    </row>
    <row r="53" spans="1:6" x14ac:dyDescent="0.3">
      <c r="A53" s="597" t="s">
        <v>1050</v>
      </c>
    </row>
    <row r="54" spans="1:6" ht="30.9" customHeight="1" x14ac:dyDescent="0.3">
      <c r="A54" s="1029" t="s">
        <v>1036</v>
      </c>
      <c r="B54" s="1029"/>
      <c r="C54" s="1029"/>
      <c r="D54" s="1029"/>
      <c r="E54" s="1029"/>
      <c r="F54" s="1029"/>
    </row>
  </sheetData>
  <sheetProtection algorithmName="SHA-512" hashValue="3nwL4MkZEToKvPhjbaOThSO+P/2/nVu98WtiPARpS6HYj6BamySqq6wKHsW6vN7iS+JYdEkq3P4GNzj1SWjrOg==" saltValue="SITPZpUv0QDU1shM5tvfjg==" spinCount="100000" sheet="1" formatCells="0" sort="0" autoFilter="0" pivotTables="0"/>
  <mergeCells count="2">
    <mergeCell ref="A28:F28"/>
    <mergeCell ref="A54:F54"/>
  </mergeCells>
  <phoneticPr fontId="53" type="noConversion"/>
  <hyperlinks>
    <hyperlink ref="A2" location="'Table of Contents'!A1" display="Back to Table of Contents" xr:uid="{00000000-0004-0000-8A00-000000000000}"/>
    <hyperlink ref="A26" r:id="rId1" xr:uid="{00000000-0004-0000-8A00-000001000000}"/>
    <hyperlink ref="A52" r:id="rId2" xr:uid="{00000000-0004-0000-8A00-000002000000}"/>
  </hyperlinks>
  <pageMargins left="0.7" right="0.7" top="0.75" bottom="0.75" header="0.3" footer="0.3"/>
</worksheet>
</file>

<file path=xl/worksheets/sheet1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401EAC-31A2-43D3-957D-FBB269B374B2}">
  <sheetPr>
    <tabColor theme="7" tint="-0.249977111117893"/>
  </sheetPr>
  <dimension ref="B4:I38"/>
  <sheetViews>
    <sheetView topLeftCell="D21" workbookViewId="0">
      <selection activeCell="E30" sqref="E30"/>
    </sheetView>
  </sheetViews>
  <sheetFormatPr defaultRowHeight="14.4" x14ac:dyDescent="0.3"/>
  <cols>
    <col min="2" max="2" width="12.33203125" bestFit="1" customWidth="1"/>
    <col min="3" max="3" width="25.77734375" bestFit="1" customWidth="1"/>
    <col min="4" max="4" width="25.21875" bestFit="1" customWidth="1"/>
    <col min="5" max="5" width="29.33203125" bestFit="1" customWidth="1"/>
    <col min="6" max="6" width="27.33203125" bestFit="1" customWidth="1"/>
    <col min="7" max="7" width="23.21875" bestFit="1" customWidth="1"/>
    <col min="8" max="8" width="21.21875" bestFit="1" customWidth="1"/>
    <col min="9" max="9" width="17" bestFit="1" customWidth="1"/>
  </cols>
  <sheetData>
    <row r="4" spans="2:9" x14ac:dyDescent="0.3">
      <c r="B4" s="386" t="s">
        <v>350</v>
      </c>
      <c r="C4" t="s">
        <v>1051</v>
      </c>
      <c r="D4" t="s">
        <v>1052</v>
      </c>
      <c r="E4" t="s">
        <v>1053</v>
      </c>
      <c r="F4" t="s">
        <v>1054</v>
      </c>
      <c r="G4" t="s">
        <v>1055</v>
      </c>
      <c r="H4" t="s">
        <v>1056</v>
      </c>
      <c r="I4" t="s">
        <v>1014</v>
      </c>
    </row>
    <row r="5" spans="2:9" x14ac:dyDescent="0.3">
      <c r="B5" s="387" t="s">
        <v>365</v>
      </c>
      <c r="C5">
        <v>22942</v>
      </c>
      <c r="D5">
        <v>26316</v>
      </c>
      <c r="E5">
        <v>5108</v>
      </c>
      <c r="F5">
        <v>2282</v>
      </c>
      <c r="G5">
        <v>5460</v>
      </c>
      <c r="H5">
        <v>3521</v>
      </c>
      <c r="I5">
        <v>65629</v>
      </c>
    </row>
    <row r="6" spans="2:9" x14ac:dyDescent="0.3">
      <c r="B6" s="387" t="s">
        <v>366</v>
      </c>
      <c r="C6">
        <v>24167</v>
      </c>
      <c r="D6">
        <v>29926</v>
      </c>
      <c r="E6">
        <v>5417</v>
      </c>
      <c r="F6">
        <v>2459</v>
      </c>
      <c r="G6">
        <v>5684</v>
      </c>
      <c r="H6">
        <v>3974</v>
      </c>
      <c r="I6">
        <v>71627</v>
      </c>
    </row>
    <row r="7" spans="2:9" x14ac:dyDescent="0.3">
      <c r="B7" s="387" t="s">
        <v>341</v>
      </c>
      <c r="C7">
        <v>22478</v>
      </c>
      <c r="D7">
        <v>29269</v>
      </c>
      <c r="E7">
        <v>5368</v>
      </c>
      <c r="F7">
        <v>2999</v>
      </c>
      <c r="G7">
        <v>6074</v>
      </c>
      <c r="H7">
        <v>4532</v>
      </c>
      <c r="I7">
        <v>70720</v>
      </c>
    </row>
    <row r="8" spans="2:9" x14ac:dyDescent="0.3">
      <c r="B8" s="387" t="s">
        <v>342</v>
      </c>
      <c r="C8">
        <v>23434</v>
      </c>
      <c r="D8">
        <v>27613</v>
      </c>
      <c r="E8">
        <v>5092</v>
      </c>
      <c r="F8">
        <v>3085</v>
      </c>
      <c r="G8">
        <v>5811</v>
      </c>
      <c r="H8">
        <v>4712</v>
      </c>
      <c r="I8">
        <v>69747</v>
      </c>
    </row>
    <row r="9" spans="2:9" x14ac:dyDescent="0.3">
      <c r="B9" s="387" t="s">
        <v>213</v>
      </c>
      <c r="C9">
        <v>25626</v>
      </c>
      <c r="D9">
        <v>26931</v>
      </c>
      <c r="E9">
        <v>4968</v>
      </c>
      <c r="F9">
        <v>2681</v>
      </c>
      <c r="G9">
        <v>5276</v>
      </c>
      <c r="H9">
        <v>3647</v>
      </c>
      <c r="I9">
        <v>69129</v>
      </c>
    </row>
    <row r="10" spans="2:9" x14ac:dyDescent="0.3">
      <c r="B10" s="387" t="s">
        <v>312</v>
      </c>
      <c r="C10">
        <v>25070</v>
      </c>
      <c r="D10">
        <v>26623</v>
      </c>
      <c r="E10">
        <v>5201</v>
      </c>
      <c r="F10">
        <v>2569</v>
      </c>
      <c r="G10">
        <v>5884</v>
      </c>
      <c r="H10">
        <v>3731</v>
      </c>
      <c r="I10">
        <v>69078</v>
      </c>
    </row>
    <row r="11" spans="2:9" x14ac:dyDescent="0.3">
      <c r="B11" s="387" t="s">
        <v>318</v>
      </c>
      <c r="C11">
        <v>6630</v>
      </c>
      <c r="D11">
        <v>8552</v>
      </c>
      <c r="E11">
        <v>1582</v>
      </c>
      <c r="F11">
        <v>722</v>
      </c>
      <c r="G11">
        <v>1539</v>
      </c>
      <c r="H11">
        <v>956</v>
      </c>
      <c r="I11">
        <v>19981</v>
      </c>
    </row>
    <row r="12" spans="2:9" x14ac:dyDescent="0.3">
      <c r="B12" s="387" t="s">
        <v>320</v>
      </c>
      <c r="C12">
        <v>14558</v>
      </c>
      <c r="D12">
        <v>18289</v>
      </c>
      <c r="E12">
        <v>3519</v>
      </c>
      <c r="F12">
        <v>1732</v>
      </c>
      <c r="G12">
        <v>3611</v>
      </c>
      <c r="H12">
        <v>2459</v>
      </c>
      <c r="I12">
        <v>44168</v>
      </c>
    </row>
    <row r="13" spans="2:9" x14ac:dyDescent="0.3">
      <c r="B13" s="387" t="s">
        <v>325</v>
      </c>
      <c r="C13">
        <v>13445</v>
      </c>
      <c r="D13">
        <v>15608</v>
      </c>
      <c r="E13">
        <v>2959</v>
      </c>
      <c r="F13">
        <v>1542</v>
      </c>
      <c r="G13">
        <v>2984</v>
      </c>
      <c r="H13">
        <v>2121</v>
      </c>
      <c r="I13">
        <v>38659</v>
      </c>
    </row>
    <row r="14" spans="2:9" x14ac:dyDescent="0.3">
      <c r="B14" s="387" t="s">
        <v>326</v>
      </c>
      <c r="C14">
        <v>13011</v>
      </c>
      <c r="D14">
        <v>14130</v>
      </c>
      <c r="E14">
        <v>2670</v>
      </c>
      <c r="F14">
        <v>1459</v>
      </c>
      <c r="G14">
        <v>2596</v>
      </c>
      <c r="H14">
        <v>1895</v>
      </c>
      <c r="I14">
        <v>35761</v>
      </c>
    </row>
    <row r="15" spans="2:9" x14ac:dyDescent="0.3">
      <c r="B15" s="387" t="s">
        <v>328</v>
      </c>
      <c r="C15">
        <v>13360</v>
      </c>
      <c r="D15">
        <v>12502</v>
      </c>
      <c r="E15">
        <v>2300</v>
      </c>
      <c r="F15">
        <v>1208</v>
      </c>
      <c r="G15">
        <v>2227</v>
      </c>
      <c r="H15">
        <v>1655</v>
      </c>
      <c r="I15">
        <v>33252</v>
      </c>
    </row>
    <row r="16" spans="2:9" x14ac:dyDescent="0.3">
      <c r="B16" s="387" t="s">
        <v>412</v>
      </c>
      <c r="C16">
        <v>7545</v>
      </c>
      <c r="D16">
        <v>7442</v>
      </c>
      <c r="E16">
        <v>1577</v>
      </c>
      <c r="F16">
        <v>883</v>
      </c>
      <c r="G16">
        <v>1610</v>
      </c>
      <c r="H16">
        <v>1132</v>
      </c>
      <c r="I16">
        <v>20189</v>
      </c>
    </row>
    <row r="17" spans="2:9" x14ac:dyDescent="0.3">
      <c r="B17" s="387" t="s">
        <v>357</v>
      </c>
      <c r="C17">
        <v>212266</v>
      </c>
      <c r="D17">
        <v>243201</v>
      </c>
      <c r="E17">
        <v>45761</v>
      </c>
      <c r="F17">
        <v>23621</v>
      </c>
      <c r="G17">
        <v>48756</v>
      </c>
      <c r="H17">
        <v>34335</v>
      </c>
      <c r="I17">
        <v>607940</v>
      </c>
    </row>
    <row r="25" spans="2:9" x14ac:dyDescent="0.3">
      <c r="B25" s="386" t="s">
        <v>350</v>
      </c>
      <c r="C25" t="s">
        <v>1052</v>
      </c>
      <c r="D25" t="s">
        <v>1051</v>
      </c>
      <c r="E25" t="s">
        <v>1053</v>
      </c>
      <c r="F25" t="s">
        <v>1054</v>
      </c>
      <c r="G25" t="s">
        <v>1055</v>
      </c>
      <c r="H25" t="s">
        <v>1056</v>
      </c>
      <c r="I25" t="s">
        <v>1014</v>
      </c>
    </row>
    <row r="26" spans="2:9" x14ac:dyDescent="0.3">
      <c r="B26" s="387" t="s">
        <v>365</v>
      </c>
      <c r="C26">
        <v>3</v>
      </c>
      <c r="D26">
        <v>2.6</v>
      </c>
      <c r="E26">
        <v>2.5</v>
      </c>
      <c r="F26">
        <v>2.5</v>
      </c>
      <c r="G26">
        <v>2.2000000000000002</v>
      </c>
      <c r="H26">
        <v>2.4</v>
      </c>
      <c r="I26">
        <v>2.7</v>
      </c>
    </row>
    <row r="27" spans="2:9" x14ac:dyDescent="0.3">
      <c r="B27" s="387" t="s">
        <v>366</v>
      </c>
      <c r="C27">
        <v>3.4</v>
      </c>
      <c r="D27">
        <v>2.8</v>
      </c>
      <c r="E27">
        <v>2.7</v>
      </c>
      <c r="F27">
        <v>2.7</v>
      </c>
      <c r="G27">
        <v>2.2999999999999998</v>
      </c>
      <c r="H27">
        <v>2.7</v>
      </c>
      <c r="I27">
        <v>2.9</v>
      </c>
    </row>
    <row r="28" spans="2:9" x14ac:dyDescent="0.3">
      <c r="B28" s="387" t="s">
        <v>341</v>
      </c>
      <c r="C28">
        <v>3.3</v>
      </c>
      <c r="D28">
        <v>2.5</v>
      </c>
      <c r="E28">
        <v>2.6</v>
      </c>
      <c r="F28">
        <v>3.3</v>
      </c>
      <c r="G28">
        <v>2.4</v>
      </c>
      <c r="H28">
        <v>3.1</v>
      </c>
      <c r="I28">
        <v>2.9</v>
      </c>
    </row>
    <row r="29" spans="2:9" x14ac:dyDescent="0.3">
      <c r="B29" s="387" t="s">
        <v>342</v>
      </c>
      <c r="C29">
        <v>3.1</v>
      </c>
      <c r="D29">
        <v>2.6</v>
      </c>
      <c r="E29">
        <v>2.5</v>
      </c>
      <c r="F29">
        <v>3.4</v>
      </c>
      <c r="G29">
        <v>2.2000000000000002</v>
      </c>
      <c r="H29">
        <v>3.2</v>
      </c>
      <c r="I29">
        <v>2.8</v>
      </c>
    </row>
    <row r="30" spans="2:9" x14ac:dyDescent="0.3">
      <c r="B30" s="387" t="s">
        <v>213</v>
      </c>
      <c r="C30">
        <v>3</v>
      </c>
      <c r="D30">
        <v>2.8</v>
      </c>
      <c r="E30">
        <v>2.4</v>
      </c>
      <c r="F30">
        <v>2.9</v>
      </c>
      <c r="G30">
        <v>2</v>
      </c>
      <c r="H30">
        <v>2.5</v>
      </c>
      <c r="I30">
        <v>2.8</v>
      </c>
    </row>
    <row r="31" spans="2:9" x14ac:dyDescent="0.3">
      <c r="B31" s="387" t="s">
        <v>312</v>
      </c>
      <c r="C31">
        <v>3</v>
      </c>
      <c r="D31">
        <v>2.8</v>
      </c>
      <c r="E31">
        <v>2.5</v>
      </c>
      <c r="F31">
        <v>2.8</v>
      </c>
      <c r="G31">
        <v>2.2000000000000002</v>
      </c>
      <c r="H31">
        <v>2.5</v>
      </c>
      <c r="I31">
        <v>2.7</v>
      </c>
    </row>
    <row r="32" spans="2:9" x14ac:dyDescent="0.3">
      <c r="B32" s="387" t="s">
        <v>318</v>
      </c>
      <c r="C32">
        <v>0.9</v>
      </c>
      <c r="D32">
        <v>0.7</v>
      </c>
      <c r="E32">
        <v>0.8</v>
      </c>
      <c r="F32">
        <v>0.8</v>
      </c>
      <c r="G32">
        <v>0.6</v>
      </c>
      <c r="H32">
        <v>0.6</v>
      </c>
      <c r="I32">
        <v>0.8</v>
      </c>
    </row>
    <row r="33" spans="2:9" x14ac:dyDescent="0.3">
      <c r="B33" s="387" t="s">
        <v>320</v>
      </c>
      <c r="C33">
        <v>2</v>
      </c>
      <c r="D33">
        <v>1.6</v>
      </c>
      <c r="E33">
        <v>1.7</v>
      </c>
      <c r="F33">
        <v>1.9</v>
      </c>
      <c r="G33">
        <v>1.3</v>
      </c>
      <c r="H33">
        <v>1.6</v>
      </c>
      <c r="I33">
        <v>1.7</v>
      </c>
    </row>
    <row r="34" spans="2:9" x14ac:dyDescent="0.3">
      <c r="B34" s="387" t="s">
        <v>325</v>
      </c>
      <c r="C34">
        <v>1.7</v>
      </c>
      <c r="D34">
        <v>1.5</v>
      </c>
      <c r="E34">
        <v>1.4</v>
      </c>
      <c r="F34">
        <v>1.7</v>
      </c>
      <c r="G34">
        <v>1.1000000000000001</v>
      </c>
      <c r="H34">
        <v>1.4</v>
      </c>
      <c r="I34">
        <v>1.5</v>
      </c>
    </row>
    <row r="35" spans="2:9" x14ac:dyDescent="0.3">
      <c r="B35" s="387" t="s">
        <v>326</v>
      </c>
      <c r="C35">
        <v>1.5</v>
      </c>
      <c r="D35">
        <v>1.4</v>
      </c>
      <c r="E35">
        <v>1.2</v>
      </c>
      <c r="F35">
        <v>1.6</v>
      </c>
      <c r="G35">
        <v>0.9</v>
      </c>
      <c r="H35">
        <v>1.2</v>
      </c>
      <c r="I35">
        <v>1.4</v>
      </c>
    </row>
    <row r="36" spans="2:9" x14ac:dyDescent="0.3">
      <c r="B36" s="387" t="s">
        <v>328</v>
      </c>
      <c r="C36">
        <v>1.3</v>
      </c>
      <c r="D36">
        <v>1.4</v>
      </c>
      <c r="E36">
        <v>1.1000000000000001</v>
      </c>
      <c r="F36">
        <v>1.3</v>
      </c>
      <c r="G36">
        <v>0.8</v>
      </c>
      <c r="H36">
        <v>1.1000000000000001</v>
      </c>
      <c r="I36">
        <v>1.3</v>
      </c>
    </row>
    <row r="37" spans="2:9" x14ac:dyDescent="0.3">
      <c r="B37" s="387" t="s">
        <v>412</v>
      </c>
      <c r="C37">
        <v>0.8</v>
      </c>
      <c r="D37">
        <v>0.8</v>
      </c>
      <c r="E37">
        <v>0.7</v>
      </c>
      <c r="F37">
        <v>0.9</v>
      </c>
      <c r="G37">
        <v>0.6</v>
      </c>
      <c r="H37">
        <v>0.7</v>
      </c>
      <c r="I37">
        <v>0.8</v>
      </c>
    </row>
    <row r="38" spans="2:9" x14ac:dyDescent="0.3">
      <c r="B38" s="387" t="s">
        <v>357</v>
      </c>
      <c r="C38">
        <v>26.999999999999996</v>
      </c>
      <c r="D38">
        <v>23.5</v>
      </c>
      <c r="E38">
        <v>22.099999999999998</v>
      </c>
      <c r="F38">
        <v>25.8</v>
      </c>
      <c r="G38">
        <v>18.600000000000001</v>
      </c>
      <c r="H38">
        <v>23</v>
      </c>
      <c r="I38">
        <v>24.3</v>
      </c>
    </row>
  </sheetData>
  <pageMargins left="0.7" right="0.7" top="0.75" bottom="0.75" header="0.3" footer="0.3"/>
</worksheet>
</file>

<file path=xl/worksheets/sheet1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F02741-2CE2-488A-B3F9-79A05799619B}">
  <sheetPr>
    <tabColor theme="7" tint="-0.249977111117893"/>
  </sheetPr>
  <dimension ref="A2:H36"/>
  <sheetViews>
    <sheetView topLeftCell="A2" workbookViewId="0">
      <selection activeCell="H26" sqref="H26"/>
    </sheetView>
  </sheetViews>
  <sheetFormatPr defaultRowHeight="14.4" x14ac:dyDescent="0.3"/>
  <cols>
    <col min="1" max="1" width="7.5546875" bestFit="1" customWidth="1"/>
    <col min="2" max="2" width="21.109375" bestFit="1" customWidth="1"/>
    <col min="3" max="3" width="21.5546875" bestFit="1" customWidth="1"/>
    <col min="4" max="4" width="25.21875" bestFit="1" customWidth="1"/>
    <col min="5" max="5" width="23.21875" bestFit="1" customWidth="1"/>
    <col min="6" max="6" width="19" bestFit="1" customWidth="1"/>
    <col min="7" max="7" width="17.109375" bestFit="1" customWidth="1"/>
    <col min="8" max="8" width="12.77734375" bestFit="1" customWidth="1"/>
  </cols>
  <sheetData>
    <row r="2" spans="1:8" x14ac:dyDescent="0.3">
      <c r="A2" t="s">
        <v>208</v>
      </c>
      <c r="B2" t="s">
        <v>1057</v>
      </c>
      <c r="C2" t="s">
        <v>1058</v>
      </c>
      <c r="D2" t="s">
        <v>1059</v>
      </c>
      <c r="E2" t="s">
        <v>1060</v>
      </c>
      <c r="F2" t="s">
        <v>1061</v>
      </c>
      <c r="G2" t="s">
        <v>1062</v>
      </c>
      <c r="H2" t="s">
        <v>1021</v>
      </c>
    </row>
    <row r="3" spans="1:8" x14ac:dyDescent="0.3">
      <c r="A3" t="s">
        <v>365</v>
      </c>
      <c r="B3">
        <v>22942</v>
      </c>
      <c r="C3">
        <v>26316</v>
      </c>
      <c r="D3">
        <v>5108</v>
      </c>
      <c r="E3">
        <v>2282</v>
      </c>
      <c r="F3">
        <v>5460</v>
      </c>
      <c r="G3">
        <v>3521</v>
      </c>
      <c r="H3">
        <v>65629</v>
      </c>
    </row>
    <row r="4" spans="1:8" x14ac:dyDescent="0.3">
      <c r="A4" t="s">
        <v>366</v>
      </c>
      <c r="B4">
        <v>24167</v>
      </c>
      <c r="C4">
        <v>29926</v>
      </c>
      <c r="D4">
        <v>5417</v>
      </c>
      <c r="E4">
        <v>2459</v>
      </c>
      <c r="F4">
        <v>5684</v>
      </c>
      <c r="G4">
        <v>3974</v>
      </c>
      <c r="H4">
        <v>71627</v>
      </c>
    </row>
    <row r="5" spans="1:8" x14ac:dyDescent="0.3">
      <c r="A5" t="s">
        <v>341</v>
      </c>
      <c r="B5">
        <v>22478</v>
      </c>
      <c r="C5">
        <v>29269</v>
      </c>
      <c r="D5">
        <v>5368</v>
      </c>
      <c r="E5">
        <v>2999</v>
      </c>
      <c r="F5">
        <v>6074</v>
      </c>
      <c r="G5">
        <v>4532</v>
      </c>
      <c r="H5">
        <v>70720</v>
      </c>
    </row>
    <row r="6" spans="1:8" x14ac:dyDescent="0.3">
      <c r="A6" t="s">
        <v>342</v>
      </c>
      <c r="B6">
        <v>23434</v>
      </c>
      <c r="C6">
        <v>27613</v>
      </c>
      <c r="D6">
        <v>5092</v>
      </c>
      <c r="E6">
        <v>3085</v>
      </c>
      <c r="F6">
        <v>5811</v>
      </c>
      <c r="G6">
        <v>4712</v>
      </c>
      <c r="H6">
        <v>69747</v>
      </c>
    </row>
    <row r="7" spans="1:8" x14ac:dyDescent="0.3">
      <c r="A7" t="s">
        <v>213</v>
      </c>
      <c r="B7">
        <v>25626</v>
      </c>
      <c r="C7">
        <v>26931</v>
      </c>
      <c r="D7">
        <v>4968</v>
      </c>
      <c r="E7">
        <v>2681</v>
      </c>
      <c r="F7">
        <v>5276</v>
      </c>
      <c r="G7">
        <v>3647</v>
      </c>
      <c r="H7">
        <v>69129</v>
      </c>
    </row>
    <row r="8" spans="1:8" x14ac:dyDescent="0.3">
      <c r="A8" t="s">
        <v>312</v>
      </c>
      <c r="B8">
        <v>25070</v>
      </c>
      <c r="C8">
        <v>26623</v>
      </c>
      <c r="D8">
        <v>5201</v>
      </c>
      <c r="E8">
        <v>2569</v>
      </c>
      <c r="F8">
        <v>5884</v>
      </c>
      <c r="G8">
        <v>3731</v>
      </c>
      <c r="H8">
        <v>69078</v>
      </c>
    </row>
    <row r="9" spans="1:8" x14ac:dyDescent="0.3">
      <c r="A9" t="s">
        <v>318</v>
      </c>
      <c r="B9">
        <v>6630</v>
      </c>
      <c r="C9">
        <v>8552</v>
      </c>
      <c r="D9">
        <v>1582</v>
      </c>
      <c r="E9">
        <v>722</v>
      </c>
      <c r="F9">
        <v>1539</v>
      </c>
      <c r="G9">
        <v>956</v>
      </c>
      <c r="H9">
        <v>19981</v>
      </c>
    </row>
    <row r="10" spans="1:8" x14ac:dyDescent="0.3">
      <c r="A10" t="s">
        <v>320</v>
      </c>
      <c r="B10">
        <v>14558</v>
      </c>
      <c r="C10">
        <v>18289</v>
      </c>
      <c r="D10">
        <v>3519</v>
      </c>
      <c r="E10">
        <v>1732</v>
      </c>
      <c r="F10">
        <v>3611</v>
      </c>
      <c r="G10">
        <v>2459</v>
      </c>
      <c r="H10">
        <v>44168</v>
      </c>
    </row>
    <row r="11" spans="1:8" x14ac:dyDescent="0.3">
      <c r="A11" t="s">
        <v>325</v>
      </c>
      <c r="B11">
        <v>13445</v>
      </c>
      <c r="C11">
        <v>15608</v>
      </c>
      <c r="D11">
        <v>2959</v>
      </c>
      <c r="E11">
        <v>1542</v>
      </c>
      <c r="F11">
        <v>2984</v>
      </c>
      <c r="G11">
        <v>2121</v>
      </c>
      <c r="H11">
        <v>38659</v>
      </c>
    </row>
    <row r="12" spans="1:8" x14ac:dyDescent="0.3">
      <c r="A12" t="s">
        <v>326</v>
      </c>
      <c r="B12">
        <v>13011</v>
      </c>
      <c r="C12">
        <v>14130</v>
      </c>
      <c r="D12">
        <v>2670</v>
      </c>
      <c r="E12">
        <v>1459</v>
      </c>
      <c r="F12">
        <v>2596</v>
      </c>
      <c r="G12">
        <v>1895</v>
      </c>
      <c r="H12">
        <v>35761</v>
      </c>
    </row>
    <row r="13" spans="1:8" x14ac:dyDescent="0.3">
      <c r="A13" t="s">
        <v>328</v>
      </c>
      <c r="B13">
        <v>13360</v>
      </c>
      <c r="C13">
        <v>12502</v>
      </c>
      <c r="D13">
        <v>2300</v>
      </c>
      <c r="E13">
        <v>1208</v>
      </c>
      <c r="F13">
        <v>2227</v>
      </c>
      <c r="G13">
        <v>1655</v>
      </c>
      <c r="H13">
        <v>33252</v>
      </c>
    </row>
    <row r="14" spans="1:8" x14ac:dyDescent="0.3">
      <c r="A14" t="s">
        <v>412</v>
      </c>
      <c r="B14">
        <v>7545</v>
      </c>
      <c r="C14">
        <v>7442</v>
      </c>
      <c r="D14">
        <v>1577</v>
      </c>
      <c r="E14">
        <v>883</v>
      </c>
      <c r="F14">
        <v>1610</v>
      </c>
      <c r="G14">
        <v>1132</v>
      </c>
      <c r="H14">
        <v>20189</v>
      </c>
    </row>
    <row r="24" spans="1:8" x14ac:dyDescent="0.3">
      <c r="A24" t="s">
        <v>208</v>
      </c>
      <c r="B24" t="s">
        <v>1057</v>
      </c>
      <c r="C24" t="s">
        <v>1058</v>
      </c>
      <c r="D24" t="s">
        <v>1059</v>
      </c>
      <c r="E24" t="s">
        <v>1060</v>
      </c>
      <c r="F24" t="s">
        <v>1061</v>
      </c>
      <c r="G24" t="s">
        <v>1062</v>
      </c>
      <c r="H24" t="s">
        <v>1021</v>
      </c>
    </row>
    <row r="25" spans="1:8" x14ac:dyDescent="0.3">
      <c r="A25" t="s">
        <v>326</v>
      </c>
      <c r="B25">
        <v>1.4</v>
      </c>
      <c r="C25">
        <v>1.5</v>
      </c>
      <c r="D25">
        <v>1.2</v>
      </c>
      <c r="E25">
        <v>1.6</v>
      </c>
      <c r="F25">
        <v>0.9</v>
      </c>
      <c r="G25">
        <v>1.2</v>
      </c>
      <c r="H25">
        <v>1.4</v>
      </c>
    </row>
    <row r="26" spans="1:8" x14ac:dyDescent="0.3">
      <c r="A26" t="s">
        <v>328</v>
      </c>
      <c r="B26">
        <v>1.4</v>
      </c>
      <c r="C26">
        <v>1.3</v>
      </c>
      <c r="D26">
        <v>1.1000000000000001</v>
      </c>
      <c r="E26">
        <v>1.3</v>
      </c>
      <c r="F26">
        <v>0.8</v>
      </c>
      <c r="G26">
        <v>1.1000000000000001</v>
      </c>
      <c r="H26">
        <v>1.3</v>
      </c>
    </row>
    <row r="27" spans="1:8" x14ac:dyDescent="0.3">
      <c r="A27" t="s">
        <v>325</v>
      </c>
      <c r="B27">
        <v>1.5</v>
      </c>
      <c r="C27">
        <v>1.7</v>
      </c>
      <c r="D27">
        <v>1.4</v>
      </c>
      <c r="E27">
        <v>1.7</v>
      </c>
      <c r="F27">
        <v>1.1000000000000001</v>
      </c>
      <c r="G27">
        <v>1.4</v>
      </c>
      <c r="H27">
        <v>1.5</v>
      </c>
    </row>
    <row r="28" spans="1:8" x14ac:dyDescent="0.3">
      <c r="A28" t="s">
        <v>342</v>
      </c>
      <c r="B28">
        <v>2.6</v>
      </c>
      <c r="C28">
        <v>3.1</v>
      </c>
      <c r="D28">
        <v>2.5</v>
      </c>
      <c r="E28">
        <v>3.4</v>
      </c>
      <c r="F28">
        <v>2.2000000000000002</v>
      </c>
      <c r="G28">
        <v>3.2</v>
      </c>
      <c r="H28">
        <v>2.8</v>
      </c>
    </row>
    <row r="29" spans="1:8" x14ac:dyDescent="0.3">
      <c r="A29" t="s">
        <v>312</v>
      </c>
      <c r="B29">
        <v>2.8</v>
      </c>
      <c r="C29">
        <v>3</v>
      </c>
      <c r="D29">
        <v>2.5</v>
      </c>
      <c r="E29">
        <v>2.8</v>
      </c>
      <c r="F29">
        <v>2.2000000000000002</v>
      </c>
      <c r="G29">
        <v>2.5</v>
      </c>
      <c r="H29">
        <v>2.7</v>
      </c>
    </row>
    <row r="30" spans="1:8" x14ac:dyDescent="0.3">
      <c r="A30" t="s">
        <v>341</v>
      </c>
      <c r="B30">
        <v>2.5</v>
      </c>
      <c r="C30">
        <v>3.3</v>
      </c>
      <c r="D30">
        <v>2.6</v>
      </c>
      <c r="E30">
        <v>3.3</v>
      </c>
      <c r="F30">
        <v>2.4</v>
      </c>
      <c r="G30">
        <v>3.1</v>
      </c>
      <c r="H30">
        <v>2.9</v>
      </c>
    </row>
    <row r="31" spans="1:8" x14ac:dyDescent="0.3">
      <c r="A31" t="s">
        <v>213</v>
      </c>
      <c r="B31">
        <v>2.8</v>
      </c>
      <c r="C31">
        <v>3</v>
      </c>
      <c r="D31">
        <v>2.4</v>
      </c>
      <c r="E31">
        <v>2.9</v>
      </c>
      <c r="F31">
        <v>2</v>
      </c>
      <c r="G31">
        <v>2.5</v>
      </c>
      <c r="H31">
        <v>2.8</v>
      </c>
    </row>
    <row r="32" spans="1:8" x14ac:dyDescent="0.3">
      <c r="A32" t="s">
        <v>318</v>
      </c>
      <c r="B32">
        <v>0.7</v>
      </c>
      <c r="C32">
        <v>0.9</v>
      </c>
      <c r="D32">
        <v>0.8</v>
      </c>
      <c r="E32">
        <v>0.8</v>
      </c>
      <c r="F32">
        <v>0.6</v>
      </c>
      <c r="G32">
        <v>0.6</v>
      </c>
      <c r="H32">
        <v>0.8</v>
      </c>
    </row>
    <row r="33" spans="1:8" x14ac:dyDescent="0.3">
      <c r="A33" t="s">
        <v>366</v>
      </c>
      <c r="B33">
        <v>2.8</v>
      </c>
      <c r="C33">
        <v>3.4</v>
      </c>
      <c r="D33">
        <v>2.7</v>
      </c>
      <c r="E33">
        <v>2.7</v>
      </c>
      <c r="F33">
        <v>2.2999999999999998</v>
      </c>
      <c r="G33">
        <v>2.7</v>
      </c>
      <c r="H33">
        <v>2.9</v>
      </c>
    </row>
    <row r="34" spans="1:8" x14ac:dyDescent="0.3">
      <c r="A34" t="s">
        <v>320</v>
      </c>
      <c r="B34">
        <v>1.6</v>
      </c>
      <c r="C34">
        <v>2</v>
      </c>
      <c r="D34">
        <v>1.7</v>
      </c>
      <c r="E34">
        <v>1.9</v>
      </c>
      <c r="F34">
        <v>1.3</v>
      </c>
      <c r="G34">
        <v>1.6</v>
      </c>
      <c r="H34">
        <v>1.7</v>
      </c>
    </row>
    <row r="35" spans="1:8" x14ac:dyDescent="0.3">
      <c r="A35" t="s">
        <v>365</v>
      </c>
      <c r="B35">
        <v>2.6</v>
      </c>
      <c r="C35">
        <v>3</v>
      </c>
      <c r="D35">
        <v>2.5</v>
      </c>
      <c r="E35">
        <v>2.5</v>
      </c>
      <c r="F35">
        <v>2.2000000000000002</v>
      </c>
      <c r="G35">
        <v>2.4</v>
      </c>
      <c r="H35">
        <v>2.7</v>
      </c>
    </row>
    <row r="36" spans="1:8" x14ac:dyDescent="0.3">
      <c r="A36" t="s">
        <v>412</v>
      </c>
      <c r="B36">
        <v>0.8</v>
      </c>
      <c r="C36">
        <v>0.8</v>
      </c>
      <c r="D36">
        <v>0.7</v>
      </c>
      <c r="E36">
        <v>0.9</v>
      </c>
      <c r="F36">
        <v>0.6</v>
      </c>
      <c r="G36">
        <v>0.7</v>
      </c>
      <c r="H36">
        <v>0.8</v>
      </c>
    </row>
  </sheetData>
  <pageMargins left="0.7" right="0.7" top="0.75" bottom="0.75" header="0.3" footer="0.3"/>
  <tableParts count="2">
    <tablePart r:id="rId1"/>
    <tablePart r:id="rId2"/>
  </tableParts>
</worksheet>
</file>

<file path=xl/worksheets/sheet1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tabColor theme="7" tint="-0.249977111117893"/>
  </sheetPr>
  <dimension ref="A1:K51"/>
  <sheetViews>
    <sheetView showGridLines="0" zoomScaleNormal="100" workbookViewId="0">
      <pane ySplit="2" topLeftCell="A3" activePane="bottomLeft" state="frozen"/>
      <selection pane="bottomLeft"/>
    </sheetView>
  </sheetViews>
  <sheetFormatPr defaultRowHeight="14.4" x14ac:dyDescent="0.3"/>
  <cols>
    <col min="1" max="1" width="18.109375" customWidth="1"/>
    <col min="2" max="2" width="18.88671875" bestFit="1" customWidth="1"/>
    <col min="3" max="3" width="19.44140625" bestFit="1" customWidth="1"/>
    <col min="4" max="4" width="23.5546875" bestFit="1" customWidth="1"/>
    <col min="5" max="5" width="21.44140625" bestFit="1" customWidth="1"/>
    <col min="6" max="6" width="17.33203125" bestFit="1" customWidth="1"/>
    <col min="7" max="7" width="15" bestFit="1" customWidth="1"/>
    <col min="8" max="8" width="10.88671875" bestFit="1" customWidth="1"/>
  </cols>
  <sheetData>
    <row r="1" spans="1:11" ht="15.6" x14ac:dyDescent="0.3">
      <c r="A1" s="513" t="s">
        <v>915</v>
      </c>
    </row>
    <row r="2" spans="1:11" x14ac:dyDescent="0.3">
      <c r="A2" s="498" t="s">
        <v>202</v>
      </c>
    </row>
    <row r="3" spans="1:11" x14ac:dyDescent="0.3">
      <c r="A3" s="25"/>
    </row>
    <row r="4" spans="1:11" ht="15.75" customHeight="1" x14ac:dyDescent="0.3">
      <c r="A4" s="522" t="s">
        <v>1063</v>
      </c>
      <c r="B4" s="522"/>
      <c r="C4" s="522"/>
      <c r="D4" s="522"/>
      <c r="E4" s="522"/>
      <c r="F4" s="522"/>
      <c r="G4" s="522"/>
      <c r="H4" s="522"/>
      <c r="I4" s="522"/>
      <c r="J4" s="522"/>
      <c r="K4" s="522"/>
    </row>
    <row r="5" spans="1:11" ht="15.6" x14ac:dyDescent="0.3">
      <c r="A5" t="s">
        <v>203</v>
      </c>
      <c r="B5" t="s">
        <v>161</v>
      </c>
      <c r="C5" s="499"/>
      <c r="D5" s="499"/>
      <c r="E5" s="499"/>
      <c r="F5" s="499"/>
      <c r="G5" s="499"/>
      <c r="H5" s="499"/>
      <c r="I5" s="499"/>
      <c r="J5" s="499"/>
      <c r="K5" s="499"/>
    </row>
    <row r="6" spans="1:11" ht="15.6" x14ac:dyDescent="0.3">
      <c r="A6" t="s">
        <v>204</v>
      </c>
      <c r="B6" t="s">
        <v>205</v>
      </c>
      <c r="C6" s="499"/>
      <c r="D6" s="499"/>
      <c r="E6" s="499"/>
      <c r="F6" s="499"/>
      <c r="G6" s="499"/>
      <c r="H6" s="499"/>
      <c r="I6" s="499"/>
      <c r="J6" s="499"/>
      <c r="K6" s="499"/>
    </row>
    <row r="7" spans="1:11" ht="15.6" x14ac:dyDescent="0.3">
      <c r="A7" t="s">
        <v>206</v>
      </c>
      <c r="B7" t="s">
        <v>1023</v>
      </c>
      <c r="C7" s="499"/>
      <c r="D7" s="499"/>
      <c r="E7" s="499"/>
      <c r="F7" s="499"/>
      <c r="G7" s="499"/>
      <c r="H7" s="499"/>
      <c r="I7" s="499"/>
      <c r="J7" s="499"/>
      <c r="K7" s="499"/>
    </row>
    <row r="8" spans="1:11" x14ac:dyDescent="0.3">
      <c r="D8" s="523" t="s">
        <v>1064</v>
      </c>
    </row>
    <row r="9" spans="1:11" x14ac:dyDescent="0.3">
      <c r="A9" s="525" t="s">
        <v>208</v>
      </c>
      <c r="B9" s="525" t="s">
        <v>1057</v>
      </c>
      <c r="C9" s="525" t="s">
        <v>1058</v>
      </c>
      <c r="D9" s="525" t="s">
        <v>1059</v>
      </c>
      <c r="E9" s="525" t="s">
        <v>1060</v>
      </c>
      <c r="F9" s="525" t="s">
        <v>1061</v>
      </c>
      <c r="G9" s="525" t="s">
        <v>1062</v>
      </c>
      <c r="H9" s="525" t="s">
        <v>1021</v>
      </c>
    </row>
    <row r="10" spans="1:11" x14ac:dyDescent="0.3">
      <c r="A10" s="312" t="s">
        <v>365</v>
      </c>
      <c r="B10" s="601">
        <f>GETPIVOTDATA("Sum of 1 - Large Urban Areas",RuralityPivot!$B$4,"Year",A10)</f>
        <v>22942</v>
      </c>
      <c r="C10" s="601">
        <f>GETPIVOTDATA("Sum of 2 - Other Urban Areas",RuralityPivot!$B$4,"Year",A10)</f>
        <v>26316</v>
      </c>
      <c r="D10" s="601">
        <f>GETPIVOTDATA("Sum of 3 - Accessible Small Towns",RuralityPivot!$B$4,"Year",A10)</f>
        <v>5108</v>
      </c>
      <c r="E10" s="601">
        <f>GETPIVOTDATA("Sum of 4 - Remote Small Towns",RuralityPivot!$B$4,"Year",A10)</f>
        <v>2282</v>
      </c>
      <c r="F10" s="601">
        <f>GETPIVOTDATA("Sum of 5 - Accessible Rural",RuralityPivot!$B$4,"Year",A10)</f>
        <v>5460</v>
      </c>
      <c r="G10" s="601">
        <f>GETPIVOTDATA("Sum of 6 - Remote Rural",RuralityPivot!$B$4,"Year",A10)</f>
        <v>3521</v>
      </c>
      <c r="H10" s="602">
        <f>GETPIVOTDATA("Sum of All Scotland",RuralityPivot!$B$4,"Year",A10)</f>
        <v>65629</v>
      </c>
    </row>
    <row r="11" spans="1:11" x14ac:dyDescent="0.3">
      <c r="A11" s="312" t="s">
        <v>366</v>
      </c>
      <c r="B11" s="601">
        <f>GETPIVOTDATA("Sum of 1 - Large Urban Areas",RuralityPivot!$B$4,"Year",A11)</f>
        <v>24167</v>
      </c>
      <c r="C11" s="601">
        <f>GETPIVOTDATA("Sum of 2 - Other Urban Areas",RuralityPivot!$B$4,"Year",A11)</f>
        <v>29926</v>
      </c>
      <c r="D11" s="601">
        <f>GETPIVOTDATA("Sum of 3 - Accessible Small Towns",RuralityPivot!$B$4,"Year",A11)</f>
        <v>5417</v>
      </c>
      <c r="E11" s="601">
        <f>GETPIVOTDATA("Sum of 4 - Remote Small Towns",RuralityPivot!$B$4,"Year",A11)</f>
        <v>2459</v>
      </c>
      <c r="F11" s="601">
        <f>GETPIVOTDATA("Sum of 5 - Accessible Rural",RuralityPivot!$B$4,"Year",A11)</f>
        <v>5684</v>
      </c>
      <c r="G11" s="601">
        <f>GETPIVOTDATA("Sum of 6 - Remote Rural",RuralityPivot!$B$4,"Year",A11)</f>
        <v>3974</v>
      </c>
      <c r="H11" s="602">
        <f>GETPIVOTDATA("Sum of All Scotland",RuralityPivot!$B$4,"Year",A11)</f>
        <v>71627</v>
      </c>
    </row>
    <row r="12" spans="1:11" x14ac:dyDescent="0.3">
      <c r="A12" s="312" t="s">
        <v>341</v>
      </c>
      <c r="B12" s="601">
        <f>GETPIVOTDATA("Sum of 1 - Large Urban Areas",RuralityPivot!$B$4,"Year",A12)</f>
        <v>22478</v>
      </c>
      <c r="C12" s="601">
        <f>GETPIVOTDATA("Sum of 2 - Other Urban Areas",RuralityPivot!$B$4,"Year",A12)</f>
        <v>29269</v>
      </c>
      <c r="D12" s="601">
        <f>GETPIVOTDATA("Sum of 3 - Accessible Small Towns",RuralityPivot!$B$4,"Year",A12)</f>
        <v>5368</v>
      </c>
      <c r="E12" s="601">
        <f>GETPIVOTDATA("Sum of 4 - Remote Small Towns",RuralityPivot!$B$4,"Year",A12)</f>
        <v>2999</v>
      </c>
      <c r="F12" s="601">
        <f>GETPIVOTDATA("Sum of 5 - Accessible Rural",RuralityPivot!$B$4,"Year",A12)</f>
        <v>6074</v>
      </c>
      <c r="G12" s="601">
        <f>GETPIVOTDATA("Sum of 6 - Remote Rural",RuralityPivot!$B$4,"Year",A12)</f>
        <v>4532</v>
      </c>
      <c r="H12" s="602">
        <f>GETPIVOTDATA("Sum of All Scotland",RuralityPivot!$B$4,"Year",A12)</f>
        <v>70720</v>
      </c>
    </row>
    <row r="13" spans="1:11" x14ac:dyDescent="0.3">
      <c r="A13" s="312" t="s">
        <v>342</v>
      </c>
      <c r="B13" s="601">
        <f>GETPIVOTDATA("Sum of 1 - Large Urban Areas",RuralityPivot!$B$4,"Year",A13)</f>
        <v>23434</v>
      </c>
      <c r="C13" s="601">
        <f>GETPIVOTDATA("Sum of 2 - Other Urban Areas",RuralityPivot!$B$4,"Year",A13)</f>
        <v>27613</v>
      </c>
      <c r="D13" s="601">
        <f>GETPIVOTDATA("Sum of 3 - Accessible Small Towns",RuralityPivot!$B$4,"Year",A13)</f>
        <v>5092</v>
      </c>
      <c r="E13" s="601">
        <f>GETPIVOTDATA("Sum of 4 - Remote Small Towns",RuralityPivot!$B$4,"Year",A13)</f>
        <v>3085</v>
      </c>
      <c r="F13" s="601">
        <f>GETPIVOTDATA("Sum of 5 - Accessible Rural",RuralityPivot!$B$4,"Year",A13)</f>
        <v>5811</v>
      </c>
      <c r="G13" s="601">
        <f>GETPIVOTDATA("Sum of 6 - Remote Rural",RuralityPivot!$B$4,"Year",A13)</f>
        <v>4712</v>
      </c>
      <c r="H13" s="602">
        <f>GETPIVOTDATA("Sum of All Scotland",RuralityPivot!$B$4,"Year",A13)</f>
        <v>69747</v>
      </c>
    </row>
    <row r="14" spans="1:11" x14ac:dyDescent="0.3">
      <c r="A14" s="312" t="s">
        <v>213</v>
      </c>
      <c r="B14" s="601">
        <f>GETPIVOTDATA("Sum of 1 - Large Urban Areas",RuralityPivot!$B$4,"Year",A14)</f>
        <v>25626</v>
      </c>
      <c r="C14" s="601">
        <f>GETPIVOTDATA("Sum of 2 - Other Urban Areas",RuralityPivot!$B$4,"Year",A14)</f>
        <v>26931</v>
      </c>
      <c r="D14" s="601">
        <f>GETPIVOTDATA("Sum of 3 - Accessible Small Towns",RuralityPivot!$B$4,"Year",A14)</f>
        <v>4968</v>
      </c>
      <c r="E14" s="601">
        <f>GETPIVOTDATA("Sum of 4 - Remote Small Towns",RuralityPivot!$B$4,"Year",A14)</f>
        <v>2681</v>
      </c>
      <c r="F14" s="601">
        <f>GETPIVOTDATA("Sum of 5 - Accessible Rural",RuralityPivot!$B$4,"Year",A14)</f>
        <v>5276</v>
      </c>
      <c r="G14" s="601">
        <f>GETPIVOTDATA("Sum of 6 - Remote Rural",RuralityPivot!$B$4,"Year",A14)</f>
        <v>3647</v>
      </c>
      <c r="H14" s="602">
        <f>GETPIVOTDATA("Sum of All Scotland",RuralityPivot!$B$4,"Year",A14)</f>
        <v>69129</v>
      </c>
    </row>
    <row r="15" spans="1:11" x14ac:dyDescent="0.3">
      <c r="A15" s="312" t="s">
        <v>312</v>
      </c>
      <c r="B15" s="601">
        <f>GETPIVOTDATA("Sum of 1 - Large Urban Areas",RuralityPivot!$B$4,"Year",A15)</f>
        <v>25070</v>
      </c>
      <c r="C15" s="601">
        <f>GETPIVOTDATA("Sum of 2 - Other Urban Areas",RuralityPivot!$B$4,"Year",A15)</f>
        <v>26623</v>
      </c>
      <c r="D15" s="601">
        <f>GETPIVOTDATA("Sum of 3 - Accessible Small Towns",RuralityPivot!$B$4,"Year",A15)</f>
        <v>5201</v>
      </c>
      <c r="E15" s="601">
        <f>GETPIVOTDATA("Sum of 4 - Remote Small Towns",RuralityPivot!$B$4,"Year",A15)</f>
        <v>2569</v>
      </c>
      <c r="F15" s="601">
        <f>GETPIVOTDATA("Sum of 5 - Accessible Rural",RuralityPivot!$B$4,"Year",A15)</f>
        <v>5884</v>
      </c>
      <c r="G15" s="601">
        <f>GETPIVOTDATA("Sum of 6 - Remote Rural",RuralityPivot!$B$4,"Year",A15)</f>
        <v>3731</v>
      </c>
      <c r="H15" s="602">
        <f>GETPIVOTDATA("Sum of All Scotland",RuralityPivot!$B$4,"Year",A15)</f>
        <v>69078</v>
      </c>
    </row>
    <row r="16" spans="1:11" x14ac:dyDescent="0.3">
      <c r="A16" s="312" t="s">
        <v>318</v>
      </c>
      <c r="B16" s="601">
        <f>GETPIVOTDATA("Sum of 1 - Large Urban Areas",RuralityPivot!$B$4,"Year",A16)</f>
        <v>6630</v>
      </c>
      <c r="C16" s="601">
        <f>GETPIVOTDATA("Sum of 2 - Other Urban Areas",RuralityPivot!$B$4,"Year",A16)</f>
        <v>8552</v>
      </c>
      <c r="D16" s="601">
        <f>GETPIVOTDATA("Sum of 3 - Accessible Small Towns",RuralityPivot!$B$4,"Year",A16)</f>
        <v>1582</v>
      </c>
      <c r="E16" s="601">
        <f>GETPIVOTDATA("Sum of 4 - Remote Small Towns",RuralityPivot!$B$4,"Year",A16)</f>
        <v>722</v>
      </c>
      <c r="F16" s="601">
        <f>GETPIVOTDATA("Sum of 5 - Accessible Rural",RuralityPivot!$B$4,"Year",A16)</f>
        <v>1539</v>
      </c>
      <c r="G16" s="601">
        <f>GETPIVOTDATA("Sum of 6 - Remote Rural",RuralityPivot!$B$4,"Year",A16)</f>
        <v>956</v>
      </c>
      <c r="H16" s="602">
        <f>GETPIVOTDATA("Sum of All Scotland",RuralityPivot!$B$4,"Year",A16)</f>
        <v>19981</v>
      </c>
    </row>
    <row r="17" spans="1:11" x14ac:dyDescent="0.3">
      <c r="A17" s="312" t="s">
        <v>320</v>
      </c>
      <c r="B17" s="601">
        <f>GETPIVOTDATA("Sum of 1 - Large Urban Areas",RuralityPivot!$B$4,"Year",A17)</f>
        <v>14558</v>
      </c>
      <c r="C17" s="601">
        <f>GETPIVOTDATA("Sum of 2 - Other Urban Areas",RuralityPivot!$B$4,"Year",A17)</f>
        <v>18289</v>
      </c>
      <c r="D17" s="601">
        <f>GETPIVOTDATA("Sum of 3 - Accessible Small Towns",RuralityPivot!$B$4,"Year",A17)</f>
        <v>3519</v>
      </c>
      <c r="E17" s="601">
        <f>GETPIVOTDATA("Sum of 4 - Remote Small Towns",RuralityPivot!$B$4,"Year",A17)</f>
        <v>1732</v>
      </c>
      <c r="F17" s="601">
        <f>GETPIVOTDATA("Sum of 5 - Accessible Rural",RuralityPivot!$B$4,"Year",A17)</f>
        <v>3611</v>
      </c>
      <c r="G17" s="601">
        <f>GETPIVOTDATA("Sum of 6 - Remote Rural",RuralityPivot!$B$4,"Year",A17)</f>
        <v>2459</v>
      </c>
      <c r="H17" s="602">
        <f>GETPIVOTDATA("Sum of All Scotland",RuralityPivot!$B$4,"Year",A17)</f>
        <v>44168</v>
      </c>
    </row>
    <row r="18" spans="1:11" x14ac:dyDescent="0.3">
      <c r="A18" s="312" t="s">
        <v>325</v>
      </c>
      <c r="B18" s="601">
        <f>GETPIVOTDATA("Sum of 1 - Large Urban Areas",RuralityPivot!$B$4,"Year",A18)</f>
        <v>13445</v>
      </c>
      <c r="C18" s="601">
        <f>GETPIVOTDATA("Sum of 2 - Other Urban Areas",RuralityPivot!$B$4,"Year",A18)</f>
        <v>15608</v>
      </c>
      <c r="D18" s="601">
        <f>GETPIVOTDATA("Sum of 3 - Accessible Small Towns",RuralityPivot!$B$4,"Year",A18)</f>
        <v>2959</v>
      </c>
      <c r="E18" s="601">
        <f>GETPIVOTDATA("Sum of 4 - Remote Small Towns",RuralityPivot!$B$4,"Year",A18)</f>
        <v>1542</v>
      </c>
      <c r="F18" s="601">
        <f>GETPIVOTDATA("Sum of 5 - Accessible Rural",RuralityPivot!$B$4,"Year",A18)</f>
        <v>2984</v>
      </c>
      <c r="G18" s="601">
        <f>GETPIVOTDATA("Sum of 6 - Remote Rural",RuralityPivot!$B$4,"Year",A18)</f>
        <v>2121</v>
      </c>
      <c r="H18" s="602">
        <f>GETPIVOTDATA("Sum of All Scotland",RuralityPivot!$B$4,"Year",A18)</f>
        <v>38659</v>
      </c>
    </row>
    <row r="19" spans="1:11" x14ac:dyDescent="0.3">
      <c r="A19" s="312" t="s">
        <v>326</v>
      </c>
      <c r="B19" s="601">
        <f>GETPIVOTDATA("Sum of 1 - Large Urban Areas",RuralityPivot!$B$4,"Year",A19)</f>
        <v>13011</v>
      </c>
      <c r="C19" s="601">
        <f>GETPIVOTDATA("Sum of 2 - Other Urban Areas",RuralityPivot!$B$4,"Year",A19)</f>
        <v>14130</v>
      </c>
      <c r="D19" s="601">
        <f>GETPIVOTDATA("Sum of 3 - Accessible Small Towns",RuralityPivot!$B$4,"Year",A19)</f>
        <v>2670</v>
      </c>
      <c r="E19" s="601">
        <f>GETPIVOTDATA("Sum of 4 - Remote Small Towns",RuralityPivot!$B$4,"Year",A19)</f>
        <v>1459</v>
      </c>
      <c r="F19" s="601">
        <f>GETPIVOTDATA("Sum of 5 - Accessible Rural",RuralityPivot!$B$4,"Year",A19)</f>
        <v>2596</v>
      </c>
      <c r="G19" s="601">
        <f>GETPIVOTDATA("Sum of 6 - Remote Rural",RuralityPivot!$B$4,"Year",A19)</f>
        <v>1895</v>
      </c>
      <c r="H19" s="602">
        <f>GETPIVOTDATA("Sum of All Scotland",RuralityPivot!$B$4,"Year",A19)</f>
        <v>35761</v>
      </c>
    </row>
    <row r="20" spans="1:11" x14ac:dyDescent="0.3">
      <c r="A20" s="312" t="s">
        <v>328</v>
      </c>
      <c r="B20" s="601">
        <f>GETPIVOTDATA("Sum of 1 - Large Urban Areas",RuralityPivot!$B$4,"Year",A20)</f>
        <v>13360</v>
      </c>
      <c r="C20" s="601">
        <f>GETPIVOTDATA("Sum of 2 - Other Urban Areas",RuralityPivot!$B$4,"Year",A20)</f>
        <v>12502</v>
      </c>
      <c r="D20" s="601">
        <f>GETPIVOTDATA("Sum of 3 - Accessible Small Towns",RuralityPivot!$B$4,"Year",A20)</f>
        <v>2300</v>
      </c>
      <c r="E20" s="601">
        <f>GETPIVOTDATA("Sum of 4 - Remote Small Towns",RuralityPivot!$B$4,"Year",A20)</f>
        <v>1208</v>
      </c>
      <c r="F20" s="601">
        <f>GETPIVOTDATA("Sum of 5 - Accessible Rural",RuralityPivot!$B$4,"Year",A20)</f>
        <v>2227</v>
      </c>
      <c r="G20" s="601">
        <f>GETPIVOTDATA("Sum of 6 - Remote Rural",RuralityPivot!$B$4,"Year",A20)</f>
        <v>1655</v>
      </c>
      <c r="H20" s="602">
        <f>GETPIVOTDATA("Sum of All Scotland",RuralityPivot!$B$4,"Year",A20)</f>
        <v>33252</v>
      </c>
    </row>
    <row r="21" spans="1:11" ht="15" thickBot="1" x14ac:dyDescent="0.35">
      <c r="A21" s="524" t="s">
        <v>412</v>
      </c>
      <c r="B21" s="606">
        <f>GETPIVOTDATA("Sum of 1 - Large Urban Areas",RuralityPivot!$B$4,"Year",A21)</f>
        <v>7545</v>
      </c>
      <c r="C21" s="606">
        <f>GETPIVOTDATA("Sum of 2 - Other Urban Areas",RuralityPivot!$B$4,"Year",A21)</f>
        <v>7442</v>
      </c>
      <c r="D21" s="606">
        <f>GETPIVOTDATA("Sum of 3 - Accessible Small Towns",RuralityPivot!$B$4,"Year",A21)</f>
        <v>1577</v>
      </c>
      <c r="E21" s="606">
        <f>GETPIVOTDATA("Sum of 4 - Remote Small Towns",RuralityPivot!$B$4,"Year",A21)</f>
        <v>883</v>
      </c>
      <c r="F21" s="606">
        <f>GETPIVOTDATA("Sum of 5 - Accessible Rural",RuralityPivot!$B$4,"Year",A21)</f>
        <v>1610</v>
      </c>
      <c r="G21" s="606">
        <f>GETPIVOTDATA("Sum of 6 - Remote Rural",RuralityPivot!$B$4,"Year",A21)</f>
        <v>1132</v>
      </c>
      <c r="H21" s="890">
        <f>GETPIVOTDATA("Sum of All Scotland",RuralityPivot!$B$4,"Year",A21)</f>
        <v>20189</v>
      </c>
    </row>
    <row r="23" spans="1:11" x14ac:dyDescent="0.3">
      <c r="A23" s="312" t="s">
        <v>329</v>
      </c>
    </row>
    <row r="24" spans="1:11" x14ac:dyDescent="0.3">
      <c r="A24" t="s">
        <v>1065</v>
      </c>
    </row>
    <row r="25" spans="1:11" ht="15.6" x14ac:dyDescent="0.3">
      <c r="A25" s="563" t="s">
        <v>1066</v>
      </c>
      <c r="I25" s="522"/>
      <c r="J25" s="522"/>
      <c r="K25" s="522"/>
    </row>
    <row r="26" spans="1:11" ht="15.6" x14ac:dyDescent="0.3">
      <c r="A26" s="698" t="s">
        <v>1067</v>
      </c>
      <c r="I26" s="522"/>
      <c r="J26" s="522"/>
      <c r="K26" s="522"/>
    </row>
    <row r="27" spans="1:11" ht="15.6" x14ac:dyDescent="0.3">
      <c r="A27" s="698"/>
      <c r="I27" s="499"/>
      <c r="J27" s="499"/>
      <c r="K27" s="499"/>
    </row>
    <row r="28" spans="1:11" ht="15.6" x14ac:dyDescent="0.3">
      <c r="A28" s="522" t="s">
        <v>1068</v>
      </c>
      <c r="B28" s="522"/>
      <c r="C28" s="522"/>
      <c r="D28" s="522"/>
      <c r="E28" s="522"/>
      <c r="F28" s="522"/>
      <c r="G28" s="522"/>
      <c r="H28" s="522"/>
      <c r="I28" s="499"/>
      <c r="J28" s="499"/>
      <c r="K28" s="499"/>
    </row>
    <row r="29" spans="1:11" ht="15.6" x14ac:dyDescent="0.3">
      <c r="A29" t="s">
        <v>203</v>
      </c>
      <c r="B29" t="s">
        <v>162</v>
      </c>
      <c r="C29" s="499"/>
      <c r="D29" s="499"/>
      <c r="E29" s="499"/>
      <c r="F29" s="499"/>
      <c r="G29" s="499"/>
      <c r="H29" s="499"/>
      <c r="I29" s="499"/>
      <c r="J29" s="499"/>
      <c r="K29" s="499"/>
    </row>
    <row r="30" spans="1:11" ht="15.6" x14ac:dyDescent="0.3">
      <c r="A30" t="s">
        <v>204</v>
      </c>
      <c r="B30" t="s">
        <v>205</v>
      </c>
      <c r="C30" s="499"/>
      <c r="D30" s="499"/>
      <c r="E30" s="499"/>
      <c r="F30" s="499"/>
      <c r="G30" s="499"/>
      <c r="H30" s="499"/>
    </row>
    <row r="31" spans="1:11" ht="15.6" x14ac:dyDescent="0.3">
      <c r="A31" t="s">
        <v>206</v>
      </c>
      <c r="B31" t="s">
        <v>1023</v>
      </c>
      <c r="C31" s="499"/>
      <c r="D31" s="499"/>
      <c r="E31" s="499"/>
      <c r="F31" s="499"/>
      <c r="G31" s="499"/>
      <c r="H31" s="499"/>
    </row>
    <row r="32" spans="1:11" s="312" customFormat="1" x14ac:dyDescent="0.3">
      <c r="A32"/>
      <c r="B32"/>
      <c r="C32"/>
      <c r="D32"/>
      <c r="E32"/>
      <c r="F32"/>
      <c r="G32"/>
      <c r="H32"/>
    </row>
    <row r="33" spans="1:8" x14ac:dyDescent="0.3">
      <c r="D33" s="523" t="s">
        <v>1069</v>
      </c>
    </row>
    <row r="34" spans="1:8" x14ac:dyDescent="0.3">
      <c r="A34" s="525" t="s">
        <v>208</v>
      </c>
      <c r="B34" s="525" t="s">
        <v>1057</v>
      </c>
      <c r="C34" s="525" t="s">
        <v>1058</v>
      </c>
      <c r="D34" s="525" t="s">
        <v>1059</v>
      </c>
      <c r="E34" s="525" t="s">
        <v>1060</v>
      </c>
      <c r="F34" s="525" t="s">
        <v>1061</v>
      </c>
      <c r="G34" s="525" t="s">
        <v>1062</v>
      </c>
      <c r="H34" s="525" t="s">
        <v>1021</v>
      </c>
    </row>
    <row r="35" spans="1:8" x14ac:dyDescent="0.3">
      <c r="A35" s="312" t="s">
        <v>365</v>
      </c>
      <c r="B35" s="560">
        <f>GETPIVOTDATA("Sum of 1 - Large Urban Areas",RuralityPivot!$B$25,"Year",A35)</f>
        <v>2.6</v>
      </c>
      <c r="C35" s="560">
        <f>GETPIVOTDATA("Sum of 2 - Other Urban Areas",RuralityPivot!$B$25,"Year",A35)</f>
        <v>3</v>
      </c>
      <c r="D35" s="560">
        <f>GETPIVOTDATA("Sum of 3 - Accessible Small Towns",RuralityPivot!$B$25,"Year",A35)</f>
        <v>2.5</v>
      </c>
      <c r="E35" s="560">
        <f>GETPIVOTDATA("Sum of 4 - Remote Small Towns",RuralityPivot!$B$25,"Year",A35)</f>
        <v>2.5</v>
      </c>
      <c r="F35" s="560">
        <f>GETPIVOTDATA("Sum of 5 - Accessible Rural",RuralityPivot!$B$25,"Year",A35)</f>
        <v>2.2000000000000002</v>
      </c>
      <c r="G35" s="560">
        <f>GETPIVOTDATA("Sum of 6 - Remote Rural",RuralityPivot!$B$25,"Year",A35)</f>
        <v>2.4</v>
      </c>
      <c r="H35" s="881">
        <f>GETPIVOTDATA("Sum of All Scotland",RuralityPivot!$B$25,"Year",A35)</f>
        <v>2.7</v>
      </c>
    </row>
    <row r="36" spans="1:8" x14ac:dyDescent="0.3">
      <c r="A36" s="312" t="s">
        <v>366</v>
      </c>
      <c r="B36" s="560">
        <f>GETPIVOTDATA("Sum of 1 - Large Urban Areas",RuralityPivot!$B$25,"Year",A36)</f>
        <v>2.8</v>
      </c>
      <c r="C36" s="560">
        <f>GETPIVOTDATA("Sum of 2 - Other Urban Areas",RuralityPivot!$B$25,"Year",A36)</f>
        <v>3.4</v>
      </c>
      <c r="D36" s="560">
        <f>GETPIVOTDATA("Sum of 3 - Accessible Small Towns",RuralityPivot!$B$25,"Year",A36)</f>
        <v>2.7</v>
      </c>
      <c r="E36" s="560">
        <f>GETPIVOTDATA("Sum of 4 - Remote Small Towns",RuralityPivot!$B$25,"Year",A36)</f>
        <v>2.7</v>
      </c>
      <c r="F36" s="560">
        <f>GETPIVOTDATA("Sum of 5 - Accessible Rural",RuralityPivot!$B$25,"Year",A36)</f>
        <v>2.2999999999999998</v>
      </c>
      <c r="G36" s="560">
        <f>GETPIVOTDATA("Sum of 6 - Remote Rural",RuralityPivot!$B$25,"Year",A36)</f>
        <v>2.7</v>
      </c>
      <c r="H36" s="881">
        <f>GETPIVOTDATA("Sum of All Scotland",RuralityPivot!$B$25,"Year",A36)</f>
        <v>2.9</v>
      </c>
    </row>
    <row r="37" spans="1:8" x14ac:dyDescent="0.3">
      <c r="A37" s="312" t="s">
        <v>341</v>
      </c>
      <c r="B37" s="560">
        <f>GETPIVOTDATA("Sum of 1 - Large Urban Areas",RuralityPivot!$B$25,"Year",A37)</f>
        <v>2.5</v>
      </c>
      <c r="C37" s="560">
        <f>GETPIVOTDATA("Sum of 2 - Other Urban Areas",RuralityPivot!$B$25,"Year",A37)</f>
        <v>3.3</v>
      </c>
      <c r="D37" s="560">
        <f>GETPIVOTDATA("Sum of 3 - Accessible Small Towns",RuralityPivot!$B$25,"Year",A37)</f>
        <v>2.6</v>
      </c>
      <c r="E37" s="560">
        <f>GETPIVOTDATA("Sum of 4 - Remote Small Towns",RuralityPivot!$B$25,"Year",A37)</f>
        <v>3.3</v>
      </c>
      <c r="F37" s="560">
        <f>GETPIVOTDATA("Sum of 5 - Accessible Rural",RuralityPivot!$B$25,"Year",A37)</f>
        <v>2.4</v>
      </c>
      <c r="G37" s="560">
        <f>GETPIVOTDATA("Sum of 6 - Remote Rural",RuralityPivot!$B$25,"Year",A37)</f>
        <v>3.1</v>
      </c>
      <c r="H37" s="881">
        <f>GETPIVOTDATA("Sum of All Scotland",RuralityPivot!$B$25,"Year",A37)</f>
        <v>2.9</v>
      </c>
    </row>
    <row r="38" spans="1:8" x14ac:dyDescent="0.3">
      <c r="A38" s="312" t="s">
        <v>342</v>
      </c>
      <c r="B38" s="560">
        <f>GETPIVOTDATA("Sum of 1 - Large Urban Areas",RuralityPivot!$B$25,"Year",A38)</f>
        <v>2.6</v>
      </c>
      <c r="C38" s="560">
        <f>GETPIVOTDATA("Sum of 2 - Other Urban Areas",RuralityPivot!$B$25,"Year",A38)</f>
        <v>3.1</v>
      </c>
      <c r="D38" s="560">
        <f>GETPIVOTDATA("Sum of 3 - Accessible Small Towns",RuralityPivot!$B$25,"Year",A38)</f>
        <v>2.5</v>
      </c>
      <c r="E38" s="560">
        <f>GETPIVOTDATA("Sum of 4 - Remote Small Towns",RuralityPivot!$B$25,"Year",A38)</f>
        <v>3.4</v>
      </c>
      <c r="F38" s="560">
        <f>GETPIVOTDATA("Sum of 5 - Accessible Rural",RuralityPivot!$B$25,"Year",A38)</f>
        <v>2.2000000000000002</v>
      </c>
      <c r="G38" s="560">
        <f>GETPIVOTDATA("Sum of 6 - Remote Rural",RuralityPivot!$B$25,"Year",A38)</f>
        <v>3.2</v>
      </c>
      <c r="H38" s="881">
        <f>GETPIVOTDATA("Sum of All Scotland",RuralityPivot!$B$25,"Year",A38)</f>
        <v>2.8</v>
      </c>
    </row>
    <row r="39" spans="1:8" x14ac:dyDescent="0.3">
      <c r="A39" s="312" t="s">
        <v>213</v>
      </c>
      <c r="B39" s="560">
        <f>GETPIVOTDATA("Sum of 1 - Large Urban Areas",RuralityPivot!$B$25,"Year",A39)</f>
        <v>2.8</v>
      </c>
      <c r="C39" s="560">
        <f>GETPIVOTDATA("Sum of 2 - Other Urban Areas",RuralityPivot!$B$25,"Year",A39)</f>
        <v>3</v>
      </c>
      <c r="D39" s="560">
        <f>GETPIVOTDATA("Sum of 3 - Accessible Small Towns",RuralityPivot!$B$25,"Year",A39)</f>
        <v>2.4</v>
      </c>
      <c r="E39" s="560">
        <f>GETPIVOTDATA("Sum of 4 - Remote Small Towns",RuralityPivot!$B$25,"Year",A39)</f>
        <v>2.9</v>
      </c>
      <c r="F39" s="560">
        <f>GETPIVOTDATA("Sum of 5 - Accessible Rural",RuralityPivot!$B$25,"Year",A39)</f>
        <v>2</v>
      </c>
      <c r="G39" s="560">
        <f>GETPIVOTDATA("Sum of 6 - Remote Rural",RuralityPivot!$B$25,"Year",A39)</f>
        <v>2.5</v>
      </c>
      <c r="H39" s="881">
        <f>GETPIVOTDATA("Sum of All Scotland",RuralityPivot!$B$25,"Year",A39)</f>
        <v>2.8</v>
      </c>
    </row>
    <row r="40" spans="1:8" x14ac:dyDescent="0.3">
      <c r="A40" s="312" t="s">
        <v>312</v>
      </c>
      <c r="B40" s="560">
        <f>GETPIVOTDATA("Sum of 1 - Large Urban Areas",RuralityPivot!$B$25,"Year",A40)</f>
        <v>2.8</v>
      </c>
      <c r="C40" s="560">
        <f>GETPIVOTDATA("Sum of 2 - Other Urban Areas",RuralityPivot!$B$25,"Year",A40)</f>
        <v>3</v>
      </c>
      <c r="D40" s="560">
        <f>GETPIVOTDATA("Sum of 3 - Accessible Small Towns",RuralityPivot!$B$25,"Year",A40)</f>
        <v>2.5</v>
      </c>
      <c r="E40" s="560">
        <f>GETPIVOTDATA("Sum of 4 - Remote Small Towns",RuralityPivot!$B$25,"Year",A40)</f>
        <v>2.8</v>
      </c>
      <c r="F40" s="560">
        <f>GETPIVOTDATA("Sum of 5 - Accessible Rural",RuralityPivot!$B$25,"Year",A40)</f>
        <v>2.2000000000000002</v>
      </c>
      <c r="G40" s="560">
        <f>GETPIVOTDATA("Sum of 6 - Remote Rural",RuralityPivot!$B$25,"Year",A40)</f>
        <v>2.5</v>
      </c>
      <c r="H40" s="881">
        <f>GETPIVOTDATA("Sum of All Scotland",RuralityPivot!$B$25,"Year",A40)</f>
        <v>2.7</v>
      </c>
    </row>
    <row r="41" spans="1:8" x14ac:dyDescent="0.3">
      <c r="A41" s="312" t="s">
        <v>318</v>
      </c>
      <c r="B41" s="891">
        <f>GETPIVOTDATA("Sum of 1 - Large Urban Areas",RuralityPivot!$B$25,"Year",A41)</f>
        <v>0.7</v>
      </c>
      <c r="C41" s="891">
        <f>GETPIVOTDATA("Sum of 2 - Other Urban Areas",RuralityPivot!$B$25,"Year",A41)</f>
        <v>0.9</v>
      </c>
      <c r="D41" s="891">
        <f>GETPIVOTDATA("Sum of 3 - Accessible Small Towns",RuralityPivot!$B$25,"Year",A41)</f>
        <v>0.8</v>
      </c>
      <c r="E41" s="891">
        <f>GETPIVOTDATA("Sum of 4 - Remote Small Towns",RuralityPivot!$B$25,"Year",A41)</f>
        <v>0.8</v>
      </c>
      <c r="F41" s="891">
        <f>GETPIVOTDATA("Sum of 5 - Accessible Rural",RuralityPivot!$B$25,"Year",A41)</f>
        <v>0.6</v>
      </c>
      <c r="G41" s="891">
        <f>GETPIVOTDATA("Sum of 6 - Remote Rural",RuralityPivot!$B$25,"Year",A41)</f>
        <v>0.6</v>
      </c>
      <c r="H41" s="893">
        <f>GETPIVOTDATA("Sum of All Scotland",RuralityPivot!$B$25,"Year",A41)</f>
        <v>0.8</v>
      </c>
    </row>
    <row r="42" spans="1:8" x14ac:dyDescent="0.3">
      <c r="A42" s="312" t="s">
        <v>320</v>
      </c>
      <c r="B42" s="892">
        <f>GETPIVOTDATA("Sum of 1 - Large Urban Areas",RuralityPivot!$B$25,"Year",A42)</f>
        <v>1.6</v>
      </c>
      <c r="C42" s="892">
        <f>GETPIVOTDATA("Sum of 2 - Other Urban Areas",RuralityPivot!$B$25,"Year",A42)</f>
        <v>2</v>
      </c>
      <c r="D42" s="892">
        <f>GETPIVOTDATA("Sum of 3 - Accessible Small Towns",RuralityPivot!$B$25,"Year",A42)</f>
        <v>1.7</v>
      </c>
      <c r="E42" s="892">
        <f>GETPIVOTDATA("Sum of 4 - Remote Small Towns",RuralityPivot!$B$25,"Year",A42)</f>
        <v>1.9</v>
      </c>
      <c r="F42" s="892">
        <f>GETPIVOTDATA("Sum of 5 - Accessible Rural",RuralityPivot!$B$25,"Year",A42)</f>
        <v>1.3</v>
      </c>
      <c r="G42" s="892">
        <f>GETPIVOTDATA("Sum of 6 - Remote Rural",RuralityPivot!$B$25,"Year",A42)</f>
        <v>1.6</v>
      </c>
      <c r="H42" s="894">
        <f>GETPIVOTDATA("Sum of All Scotland",RuralityPivot!$B$25,"Year",A42)</f>
        <v>1.7</v>
      </c>
    </row>
    <row r="43" spans="1:8" x14ac:dyDescent="0.3">
      <c r="A43" s="312" t="s">
        <v>325</v>
      </c>
      <c r="B43" s="892">
        <f>GETPIVOTDATA("Sum of 1 - Large Urban Areas",RuralityPivot!$B$25,"Year",A43)</f>
        <v>1.5</v>
      </c>
      <c r="C43" s="892">
        <f>GETPIVOTDATA("Sum of 2 - Other Urban Areas",RuralityPivot!$B$25,"Year",A43)</f>
        <v>1.7</v>
      </c>
      <c r="D43" s="892">
        <f>GETPIVOTDATA("Sum of 3 - Accessible Small Towns",RuralityPivot!$B$25,"Year",A43)</f>
        <v>1.4</v>
      </c>
      <c r="E43" s="892">
        <f>GETPIVOTDATA("Sum of 4 - Remote Small Towns",RuralityPivot!$B$25,"Year",A43)</f>
        <v>1.7</v>
      </c>
      <c r="F43" s="892">
        <f>GETPIVOTDATA("Sum of 5 - Accessible Rural",RuralityPivot!$B$25,"Year",A43)</f>
        <v>1.1000000000000001</v>
      </c>
      <c r="G43" s="892">
        <f>GETPIVOTDATA("Sum of 6 - Remote Rural",RuralityPivot!$B$25,"Year",A43)</f>
        <v>1.4</v>
      </c>
      <c r="H43" s="894">
        <f>GETPIVOTDATA("Sum of All Scotland",RuralityPivot!$B$25,"Year",A43)</f>
        <v>1.5</v>
      </c>
    </row>
    <row r="44" spans="1:8" x14ac:dyDescent="0.3">
      <c r="A44" s="312" t="s">
        <v>326</v>
      </c>
      <c r="B44" s="751">
        <f>GETPIVOTDATA("Sum of 1 - Large Urban Areas",RuralityPivot!$B$25,"Year",A44)</f>
        <v>1.4</v>
      </c>
      <c r="C44" s="751">
        <f>GETPIVOTDATA("Sum of 2 - Other Urban Areas",RuralityPivot!$B$25,"Year",A44)</f>
        <v>1.5</v>
      </c>
      <c r="D44" s="751">
        <f>GETPIVOTDATA("Sum of 3 - Accessible Small Towns",RuralityPivot!$B$25,"Year",A44)</f>
        <v>1.2</v>
      </c>
      <c r="E44" s="751">
        <f>GETPIVOTDATA("Sum of 4 - Remote Small Towns",RuralityPivot!$B$25,"Year",A44)</f>
        <v>1.6</v>
      </c>
      <c r="F44" s="751">
        <f>GETPIVOTDATA("Sum of 5 - Accessible Rural",RuralityPivot!$B$25,"Year",A44)</f>
        <v>0.9</v>
      </c>
      <c r="G44" s="751">
        <f>GETPIVOTDATA("Sum of 6 - Remote Rural",RuralityPivot!$B$25,"Year",A44)</f>
        <v>1.2</v>
      </c>
      <c r="H44" s="752">
        <f>GETPIVOTDATA("Sum of All Scotland",RuralityPivot!$B$25,"Year",A44)</f>
        <v>1.4</v>
      </c>
    </row>
    <row r="45" spans="1:8" x14ac:dyDescent="0.3">
      <c r="A45" s="312" t="s">
        <v>328</v>
      </c>
      <c r="B45" s="751">
        <f>GETPIVOTDATA("Sum of 1 - Large Urban Areas",RuralityPivot!$B$25,"Year",A45)</f>
        <v>1.4</v>
      </c>
      <c r="C45" s="751">
        <f>GETPIVOTDATA("Sum of 2 - Other Urban Areas",RuralityPivot!$B$25,"Year",A45)</f>
        <v>1.3</v>
      </c>
      <c r="D45" s="751">
        <f>GETPIVOTDATA("Sum of 3 - Accessible Small Towns",RuralityPivot!$B$25,"Year",A45)</f>
        <v>1.1000000000000001</v>
      </c>
      <c r="E45" s="751">
        <f>GETPIVOTDATA("Sum of 4 - Remote Small Towns",RuralityPivot!$B$25,"Year",A45)</f>
        <v>1.3</v>
      </c>
      <c r="F45" s="751">
        <f>GETPIVOTDATA("Sum of 5 - Accessible Rural",RuralityPivot!$B$25,"Year",A45)</f>
        <v>0.8</v>
      </c>
      <c r="G45" s="751">
        <f>GETPIVOTDATA("Sum of 6 - Remote Rural",RuralityPivot!$B$25,"Year",A45)</f>
        <v>1.1000000000000001</v>
      </c>
      <c r="H45" s="752">
        <f>GETPIVOTDATA("Sum of All Scotland",RuralityPivot!$B$25,"Year",A45)</f>
        <v>1.3</v>
      </c>
    </row>
    <row r="46" spans="1:8" ht="15" thickBot="1" x14ac:dyDescent="0.35">
      <c r="A46" s="524" t="s">
        <v>412</v>
      </c>
      <c r="B46" s="753">
        <f>GETPIVOTDATA("Sum of 1 - Large Urban Areas",RuralityPivot!$B$25,"Year",A46)</f>
        <v>0.8</v>
      </c>
      <c r="C46" s="753">
        <f>GETPIVOTDATA("Sum of 2 - Other Urban Areas",RuralityPivot!$B$25,"Year",A46)</f>
        <v>0.8</v>
      </c>
      <c r="D46" s="753">
        <f>GETPIVOTDATA("Sum of 3 - Accessible Small Towns",RuralityPivot!$B$25,"Year",A46)</f>
        <v>0.7</v>
      </c>
      <c r="E46" s="753">
        <f>GETPIVOTDATA("Sum of 4 - Remote Small Towns",RuralityPivot!$B$25,"Year",A46)</f>
        <v>0.9</v>
      </c>
      <c r="F46" s="753">
        <f>GETPIVOTDATA("Sum of 5 - Accessible Rural",RuralityPivot!$B$25,"Year",A46)</f>
        <v>0.6</v>
      </c>
      <c r="G46" s="753">
        <f>GETPIVOTDATA("Sum of 6 - Remote Rural",RuralityPivot!$B$25,"Year",A46)</f>
        <v>0.7</v>
      </c>
      <c r="H46" s="754">
        <f>GETPIVOTDATA("Sum of All Scotland",RuralityPivot!$B$25,"Year",A46)</f>
        <v>0.8</v>
      </c>
    </row>
    <row r="48" spans="1:8" x14ac:dyDescent="0.3">
      <c r="A48" s="312" t="s">
        <v>329</v>
      </c>
    </row>
    <row r="49" spans="1:1" x14ac:dyDescent="0.3">
      <c r="A49" t="s">
        <v>1070</v>
      </c>
    </row>
    <row r="50" spans="1:1" x14ac:dyDescent="0.3">
      <c r="A50" s="563" t="s">
        <v>1066</v>
      </c>
    </row>
    <row r="51" spans="1:1" x14ac:dyDescent="0.3">
      <c r="A51" s="498" t="s">
        <v>1031</v>
      </c>
    </row>
  </sheetData>
  <sheetProtection algorithmName="SHA-512" hashValue="U9tdOrpr7G8ZOAnvWMosJxnBDdKOCgEphH9dA4C4WBzSPB0m7GWOw8wYYc8UBYdV3X5ixMJV86bjdnmc1IVlHA==" saltValue="57wwt9A6p/AkDaksUrQmdg==" spinCount="100000" sheet="1" formatCells="0" sort="0" autoFilter="0" pivotTables="0"/>
  <phoneticPr fontId="53" type="noConversion"/>
  <hyperlinks>
    <hyperlink ref="A2" location="'Table of Contents'!A1" display="Back to Table of Contents" xr:uid="{00000000-0004-0000-8C00-000000000000}"/>
    <hyperlink ref="A25" r:id="rId1" xr:uid="{00000000-0004-0000-8C00-000001000000}"/>
    <hyperlink ref="A50" r:id="rId2" xr:uid="{00000000-0004-0000-8C00-000002000000}"/>
    <hyperlink ref="A51" r:id="rId3" xr:uid="{00000000-0004-0000-8C00-000003000000}"/>
  </hyperlinks>
  <pageMargins left="0.7" right="0.7" top="0.75" bottom="0.75" header="0.3" footer="0.3"/>
  <pageSetup paperSize="9" orientation="portrait" r:id="rId4"/>
</worksheet>
</file>

<file path=xl/worksheets/sheet1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tabColor theme="7" tint="-0.249977111117893"/>
  </sheetPr>
  <dimension ref="B1:N36"/>
  <sheetViews>
    <sheetView zoomScale="70" zoomScaleNormal="70" workbookViewId="0">
      <selection activeCell="E4" sqref="E4"/>
    </sheetView>
  </sheetViews>
  <sheetFormatPr defaultRowHeight="14.4" x14ac:dyDescent="0.3"/>
  <cols>
    <col min="2" max="2" width="21.88671875" bestFit="1" customWidth="1"/>
    <col min="3" max="3" width="27.5546875" bestFit="1" customWidth="1"/>
    <col min="4" max="4" width="23.44140625" bestFit="1" customWidth="1"/>
    <col min="5" max="5" width="16.88671875" bestFit="1" customWidth="1"/>
    <col min="6" max="6" width="22.33203125" bestFit="1" customWidth="1"/>
    <col min="7" max="7" width="26.109375" bestFit="1" customWidth="1"/>
    <col min="8" max="8" width="18" bestFit="1" customWidth="1"/>
    <col min="9" max="9" width="16" bestFit="1" customWidth="1"/>
    <col min="10" max="10" width="26.44140625" bestFit="1" customWidth="1"/>
    <col min="11" max="11" width="27.88671875" bestFit="1" customWidth="1"/>
    <col min="12" max="12" width="17.77734375" bestFit="1" customWidth="1"/>
    <col min="13" max="13" width="28.33203125" bestFit="1" customWidth="1"/>
    <col min="14" max="14" width="29.77734375" bestFit="1" customWidth="1"/>
  </cols>
  <sheetData>
    <row r="1" spans="2:14" x14ac:dyDescent="0.3">
      <c r="B1" s="386" t="s">
        <v>208</v>
      </c>
      <c r="C1" t="s">
        <v>412</v>
      </c>
    </row>
    <row r="3" spans="2:14" x14ac:dyDescent="0.3">
      <c r="B3" s="386" t="s">
        <v>350</v>
      </c>
      <c r="C3" t="s">
        <v>1071</v>
      </c>
      <c r="D3" t="s">
        <v>1072</v>
      </c>
      <c r="E3" t="s">
        <v>1073</v>
      </c>
      <c r="F3" t="s">
        <v>1074</v>
      </c>
      <c r="G3" t="s">
        <v>1075</v>
      </c>
      <c r="H3" t="s">
        <v>1076</v>
      </c>
      <c r="I3" t="s">
        <v>1077</v>
      </c>
      <c r="J3" t="s">
        <v>1078</v>
      </c>
      <c r="K3" t="s">
        <v>1079</v>
      </c>
      <c r="L3" t="s">
        <v>914</v>
      </c>
      <c r="M3" t="s">
        <v>1080</v>
      </c>
      <c r="N3" t="s">
        <v>1081</v>
      </c>
    </row>
    <row r="4" spans="2:14" x14ac:dyDescent="0.3">
      <c r="B4" s="387" t="s">
        <v>215</v>
      </c>
      <c r="C4">
        <v>32</v>
      </c>
      <c r="D4">
        <v>561</v>
      </c>
      <c r="E4">
        <v>593</v>
      </c>
      <c r="H4">
        <v>89</v>
      </c>
      <c r="I4">
        <v>126846</v>
      </c>
      <c r="J4">
        <v>0.46700000000000003</v>
      </c>
      <c r="K4">
        <v>7.0000000000000007E-2</v>
      </c>
      <c r="L4">
        <v>113057</v>
      </c>
      <c r="M4">
        <v>0.52500000000000002</v>
      </c>
      <c r="N4">
        <v>7.9000000000000001E-2</v>
      </c>
    </row>
    <row r="5" spans="2:14" x14ac:dyDescent="0.3">
      <c r="B5" s="387" t="s">
        <v>220</v>
      </c>
      <c r="C5">
        <v>65</v>
      </c>
      <c r="D5">
        <v>500</v>
      </c>
      <c r="E5">
        <v>565</v>
      </c>
      <c r="H5">
        <v>186</v>
      </c>
      <c r="I5">
        <v>124154</v>
      </c>
      <c r="J5">
        <v>0.45500000000000002</v>
      </c>
      <c r="K5">
        <v>0.15</v>
      </c>
      <c r="L5">
        <v>118212</v>
      </c>
      <c r="M5">
        <v>0.47799999999999998</v>
      </c>
      <c r="N5">
        <v>0.157</v>
      </c>
    </row>
    <row r="6" spans="2:14" x14ac:dyDescent="0.3">
      <c r="B6" s="387" t="s">
        <v>224</v>
      </c>
      <c r="C6">
        <v>60</v>
      </c>
      <c r="D6">
        <v>332</v>
      </c>
      <c r="E6">
        <v>392</v>
      </c>
      <c r="H6">
        <v>182</v>
      </c>
      <c r="I6">
        <v>58769</v>
      </c>
      <c r="J6">
        <v>0.66700000000000004</v>
      </c>
      <c r="K6">
        <v>0.31</v>
      </c>
      <c r="L6">
        <v>55268</v>
      </c>
      <c r="M6">
        <v>0.70899999999999996</v>
      </c>
      <c r="N6">
        <v>0.32900000000000001</v>
      </c>
    </row>
    <row r="7" spans="2:14" x14ac:dyDescent="0.3">
      <c r="B7" s="387" t="s">
        <v>228</v>
      </c>
      <c r="C7">
        <v>77</v>
      </c>
      <c r="D7">
        <v>311</v>
      </c>
      <c r="E7">
        <v>388</v>
      </c>
      <c r="H7">
        <v>256</v>
      </c>
      <c r="I7">
        <v>49917</v>
      </c>
      <c r="J7">
        <v>0.77700000000000002</v>
      </c>
      <c r="K7">
        <v>0.51300000000000001</v>
      </c>
      <c r="L7">
        <v>42778</v>
      </c>
      <c r="M7">
        <v>0.90700000000000003</v>
      </c>
      <c r="N7">
        <v>0.59799999999999998</v>
      </c>
    </row>
    <row r="8" spans="2:14" x14ac:dyDescent="0.3">
      <c r="B8" s="387" t="s">
        <v>234</v>
      </c>
      <c r="C8">
        <v>187</v>
      </c>
      <c r="D8">
        <v>1050</v>
      </c>
      <c r="E8">
        <v>1237</v>
      </c>
      <c r="H8">
        <v>473</v>
      </c>
      <c r="I8">
        <v>269306</v>
      </c>
      <c r="J8">
        <v>0.45900000000000002</v>
      </c>
      <c r="K8">
        <v>0.17599999999999999</v>
      </c>
      <c r="L8">
        <v>247435</v>
      </c>
      <c r="M8">
        <v>0.5</v>
      </c>
      <c r="N8">
        <v>0.191</v>
      </c>
    </row>
    <row r="9" spans="2:14" x14ac:dyDescent="0.3">
      <c r="B9" s="387" t="s">
        <v>240</v>
      </c>
      <c r="C9">
        <v>37</v>
      </c>
      <c r="D9">
        <v>159</v>
      </c>
      <c r="E9">
        <v>196</v>
      </c>
      <c r="H9">
        <v>98</v>
      </c>
      <c r="I9">
        <v>25328</v>
      </c>
      <c r="J9">
        <v>0.77400000000000002</v>
      </c>
      <c r="K9">
        <v>0.38700000000000001</v>
      </c>
      <c r="L9">
        <v>24474</v>
      </c>
      <c r="M9">
        <v>0.80100000000000005</v>
      </c>
      <c r="N9">
        <v>0.4</v>
      </c>
    </row>
    <row r="10" spans="2:14" x14ac:dyDescent="0.3">
      <c r="B10" s="387" t="s">
        <v>244</v>
      </c>
      <c r="C10">
        <v>223</v>
      </c>
      <c r="D10">
        <v>465</v>
      </c>
      <c r="E10">
        <v>688</v>
      </c>
      <c r="H10">
        <v>780</v>
      </c>
      <c r="I10">
        <v>76696</v>
      </c>
      <c r="J10">
        <v>0.89700000000000002</v>
      </c>
      <c r="K10">
        <v>1.0169999999999999</v>
      </c>
      <c r="L10">
        <v>71326</v>
      </c>
      <c r="M10">
        <v>0.96499999999999997</v>
      </c>
      <c r="N10">
        <v>1.0940000000000001</v>
      </c>
    </row>
    <row r="11" spans="2:14" x14ac:dyDescent="0.3">
      <c r="B11" s="387" t="s">
        <v>247</v>
      </c>
      <c r="C11">
        <v>72</v>
      </c>
      <c r="D11">
        <v>698</v>
      </c>
      <c r="E11">
        <v>770</v>
      </c>
      <c r="H11">
        <v>179</v>
      </c>
      <c r="I11">
        <v>77323</v>
      </c>
      <c r="J11">
        <v>0.996</v>
      </c>
      <c r="K11">
        <v>0.23100000000000001</v>
      </c>
      <c r="L11">
        <v>71645</v>
      </c>
      <c r="M11">
        <v>1.075</v>
      </c>
      <c r="N11">
        <v>0.25</v>
      </c>
    </row>
    <row r="12" spans="2:14" x14ac:dyDescent="0.3">
      <c r="B12" s="387" t="s">
        <v>249</v>
      </c>
      <c r="C12">
        <v>118</v>
      </c>
      <c r="D12">
        <v>593</v>
      </c>
      <c r="E12">
        <v>711</v>
      </c>
      <c r="H12">
        <v>313</v>
      </c>
      <c r="I12">
        <v>60223</v>
      </c>
      <c r="J12">
        <v>1.181</v>
      </c>
      <c r="K12">
        <v>0.52</v>
      </c>
      <c r="L12">
        <v>56480</v>
      </c>
      <c r="M12">
        <v>1.2589999999999999</v>
      </c>
      <c r="N12">
        <v>0.55400000000000005</v>
      </c>
    </row>
    <row r="13" spans="2:14" x14ac:dyDescent="0.3">
      <c r="B13" s="387" t="s">
        <v>253</v>
      </c>
      <c r="C13">
        <v>106</v>
      </c>
      <c r="D13">
        <v>263</v>
      </c>
      <c r="E13">
        <v>369</v>
      </c>
      <c r="H13">
        <v>350</v>
      </c>
      <c r="I13">
        <v>48397</v>
      </c>
      <c r="J13">
        <v>0.76200000000000001</v>
      </c>
      <c r="K13">
        <v>0.72299999999999998</v>
      </c>
      <c r="L13">
        <v>46931</v>
      </c>
      <c r="M13">
        <v>0.78600000000000003</v>
      </c>
      <c r="N13">
        <v>0.746</v>
      </c>
    </row>
    <row r="14" spans="2:14" x14ac:dyDescent="0.3">
      <c r="B14" s="387" t="s">
        <v>255</v>
      </c>
      <c r="C14">
        <v>56</v>
      </c>
      <c r="D14">
        <v>314</v>
      </c>
      <c r="E14">
        <v>370</v>
      </c>
      <c r="H14">
        <v>139</v>
      </c>
      <c r="I14">
        <v>54314</v>
      </c>
      <c r="J14">
        <v>0.68100000000000005</v>
      </c>
      <c r="K14">
        <v>0.25600000000000001</v>
      </c>
      <c r="L14">
        <v>51575</v>
      </c>
      <c r="M14">
        <v>0.71699999999999997</v>
      </c>
      <c r="N14">
        <v>0.27</v>
      </c>
    </row>
    <row r="15" spans="2:14" x14ac:dyDescent="0.3">
      <c r="B15" s="387" t="s">
        <v>259</v>
      </c>
      <c r="C15">
        <v>68</v>
      </c>
      <c r="D15">
        <v>303</v>
      </c>
      <c r="E15">
        <v>371</v>
      </c>
      <c r="H15">
        <v>203</v>
      </c>
      <c r="I15">
        <v>41304</v>
      </c>
      <c r="J15">
        <v>0.89800000000000002</v>
      </c>
      <c r="K15">
        <v>0.49099999999999999</v>
      </c>
      <c r="L15">
        <v>40781</v>
      </c>
      <c r="M15">
        <v>0.91</v>
      </c>
      <c r="N15">
        <v>0.498</v>
      </c>
    </row>
    <row r="16" spans="2:14" x14ac:dyDescent="0.3">
      <c r="B16" s="387" t="s">
        <v>263</v>
      </c>
      <c r="C16">
        <v>90</v>
      </c>
      <c r="D16">
        <v>358</v>
      </c>
      <c r="E16">
        <v>448</v>
      </c>
      <c r="H16">
        <v>288</v>
      </c>
      <c r="I16">
        <v>77222</v>
      </c>
      <c r="J16">
        <v>0.57999999999999996</v>
      </c>
      <c r="K16">
        <v>0.373</v>
      </c>
      <c r="L16">
        <v>73471</v>
      </c>
      <c r="M16">
        <v>0.61</v>
      </c>
      <c r="N16">
        <v>0.39200000000000002</v>
      </c>
    </row>
    <row r="17" spans="2:14" x14ac:dyDescent="0.3">
      <c r="B17" s="387" t="s">
        <v>267</v>
      </c>
      <c r="C17">
        <v>301</v>
      </c>
      <c r="D17">
        <v>914</v>
      </c>
      <c r="E17">
        <v>1215</v>
      </c>
      <c r="H17">
        <v>1025</v>
      </c>
      <c r="I17">
        <v>184628</v>
      </c>
      <c r="J17">
        <v>0.65800000000000003</v>
      </c>
      <c r="K17">
        <v>0.55500000000000005</v>
      </c>
      <c r="L17">
        <v>173024</v>
      </c>
      <c r="M17">
        <v>0.70199999999999996</v>
      </c>
      <c r="N17">
        <v>0.59199999999999997</v>
      </c>
    </row>
    <row r="18" spans="2:14" x14ac:dyDescent="0.3">
      <c r="B18" s="387" t="s">
        <v>270</v>
      </c>
      <c r="C18">
        <v>416</v>
      </c>
      <c r="D18">
        <v>2912</v>
      </c>
      <c r="E18">
        <v>3328</v>
      </c>
      <c r="H18">
        <v>1203</v>
      </c>
      <c r="I18">
        <v>329581</v>
      </c>
      <c r="J18">
        <v>1.01</v>
      </c>
      <c r="K18">
        <v>0.36499999999999999</v>
      </c>
      <c r="L18">
        <v>300114</v>
      </c>
      <c r="M18">
        <v>1.109</v>
      </c>
      <c r="N18">
        <v>0.40100000000000002</v>
      </c>
    </row>
    <row r="19" spans="2:14" x14ac:dyDescent="0.3">
      <c r="B19" s="387" t="s">
        <v>273</v>
      </c>
      <c r="C19">
        <v>42</v>
      </c>
      <c r="D19">
        <v>1074</v>
      </c>
      <c r="E19">
        <v>1116</v>
      </c>
      <c r="H19">
        <v>91</v>
      </c>
      <c r="I19">
        <v>125736</v>
      </c>
      <c r="J19">
        <v>0.88800000000000001</v>
      </c>
      <c r="K19">
        <v>7.1999999999999995E-2</v>
      </c>
      <c r="L19">
        <v>114817</v>
      </c>
      <c r="M19">
        <v>0.97199999999999998</v>
      </c>
      <c r="N19">
        <v>7.9000000000000001E-2</v>
      </c>
    </row>
    <row r="20" spans="2:14" x14ac:dyDescent="0.3">
      <c r="B20" s="387" t="s">
        <v>277</v>
      </c>
      <c r="C20">
        <v>56</v>
      </c>
      <c r="D20">
        <v>154</v>
      </c>
      <c r="E20">
        <v>210</v>
      </c>
      <c r="H20">
        <v>173</v>
      </c>
      <c r="I20">
        <v>39788</v>
      </c>
      <c r="J20">
        <v>0.52800000000000002</v>
      </c>
      <c r="K20">
        <v>0.435</v>
      </c>
      <c r="L20">
        <v>37703</v>
      </c>
      <c r="M20">
        <v>0.55700000000000005</v>
      </c>
      <c r="N20">
        <v>0.45900000000000002</v>
      </c>
    </row>
    <row r="21" spans="2:14" x14ac:dyDescent="0.3">
      <c r="B21" s="387" t="s">
        <v>279</v>
      </c>
      <c r="C21">
        <v>65</v>
      </c>
      <c r="D21">
        <v>209</v>
      </c>
      <c r="E21">
        <v>274</v>
      </c>
      <c r="H21">
        <v>176</v>
      </c>
      <c r="I21">
        <v>45527</v>
      </c>
      <c r="J21">
        <v>0.60199999999999998</v>
      </c>
      <c r="K21">
        <v>0.38700000000000001</v>
      </c>
      <c r="L21">
        <v>43412</v>
      </c>
      <c r="M21">
        <v>0.63100000000000001</v>
      </c>
      <c r="N21">
        <v>0.40500000000000003</v>
      </c>
    </row>
    <row r="22" spans="2:14" x14ac:dyDescent="0.3">
      <c r="B22" s="387" t="s">
        <v>281</v>
      </c>
      <c r="C22">
        <v>22</v>
      </c>
      <c r="D22">
        <v>269</v>
      </c>
      <c r="E22">
        <v>291</v>
      </c>
      <c r="H22">
        <v>61</v>
      </c>
      <c r="I22">
        <v>47804</v>
      </c>
      <c r="J22">
        <v>0.60899999999999999</v>
      </c>
      <c r="K22">
        <v>0.128</v>
      </c>
      <c r="L22">
        <v>44699</v>
      </c>
      <c r="M22">
        <v>0.65100000000000002</v>
      </c>
      <c r="N22">
        <v>0.13600000000000001</v>
      </c>
    </row>
    <row r="23" spans="2:14" x14ac:dyDescent="0.3">
      <c r="B23" s="387" t="s">
        <v>283</v>
      </c>
      <c r="C23">
        <v>3</v>
      </c>
      <c r="D23">
        <v>28</v>
      </c>
      <c r="E23">
        <v>31</v>
      </c>
      <c r="H23">
        <v>9</v>
      </c>
      <c r="I23">
        <v>15353</v>
      </c>
      <c r="J23">
        <v>0.20200000000000001</v>
      </c>
      <c r="K23">
        <v>5.8999999999999997E-2</v>
      </c>
      <c r="L23">
        <v>12926</v>
      </c>
      <c r="M23">
        <v>0.24</v>
      </c>
      <c r="N23">
        <v>7.0000000000000007E-2</v>
      </c>
    </row>
    <row r="24" spans="2:14" x14ac:dyDescent="0.3">
      <c r="B24" s="387" t="s">
        <v>287</v>
      </c>
      <c r="C24">
        <v>122</v>
      </c>
      <c r="D24">
        <v>677</v>
      </c>
      <c r="E24">
        <v>799</v>
      </c>
      <c r="H24">
        <v>325</v>
      </c>
      <c r="I24">
        <v>70686</v>
      </c>
      <c r="J24">
        <v>1.1299999999999999</v>
      </c>
      <c r="K24">
        <v>0.46</v>
      </c>
      <c r="L24">
        <v>65535</v>
      </c>
      <c r="M24">
        <v>1.2190000000000001</v>
      </c>
      <c r="N24">
        <v>0.496</v>
      </c>
    </row>
    <row r="25" spans="2:14" x14ac:dyDescent="0.3">
      <c r="B25" s="387" t="s">
        <v>289</v>
      </c>
      <c r="C25">
        <v>236</v>
      </c>
      <c r="D25">
        <v>905</v>
      </c>
      <c r="E25">
        <v>1141</v>
      </c>
      <c r="H25">
        <v>818</v>
      </c>
      <c r="I25">
        <v>161718</v>
      </c>
      <c r="J25">
        <v>0.70599999999999996</v>
      </c>
      <c r="K25">
        <v>0.50600000000000001</v>
      </c>
      <c r="L25">
        <v>153883</v>
      </c>
      <c r="M25">
        <v>0.74099999999999999</v>
      </c>
      <c r="N25">
        <v>0.53200000000000003</v>
      </c>
    </row>
    <row r="26" spans="2:14" x14ac:dyDescent="0.3">
      <c r="B26" s="387" t="s">
        <v>292</v>
      </c>
      <c r="C26">
        <v>21</v>
      </c>
      <c r="D26">
        <v>128</v>
      </c>
      <c r="E26">
        <v>149</v>
      </c>
      <c r="H26">
        <v>72</v>
      </c>
      <c r="I26">
        <v>11896</v>
      </c>
      <c r="J26">
        <v>1.2530000000000001</v>
      </c>
      <c r="K26">
        <v>0.60499999999999998</v>
      </c>
      <c r="L26">
        <v>10973</v>
      </c>
      <c r="M26">
        <v>1.3580000000000001</v>
      </c>
      <c r="N26">
        <v>0.65600000000000003</v>
      </c>
    </row>
    <row r="27" spans="2:14" x14ac:dyDescent="0.3">
      <c r="B27" s="387" t="s">
        <v>294</v>
      </c>
      <c r="C27">
        <v>41</v>
      </c>
      <c r="D27">
        <v>442</v>
      </c>
      <c r="E27">
        <v>483</v>
      </c>
      <c r="H27">
        <v>128</v>
      </c>
      <c r="I27">
        <v>77337</v>
      </c>
      <c r="J27">
        <v>0.625</v>
      </c>
      <c r="K27">
        <v>0.16600000000000001</v>
      </c>
      <c r="L27">
        <v>72120</v>
      </c>
      <c r="M27">
        <v>0.67</v>
      </c>
      <c r="N27">
        <v>0.17699999999999999</v>
      </c>
    </row>
    <row r="28" spans="2:14" x14ac:dyDescent="0.3">
      <c r="B28" s="387" t="s">
        <v>296</v>
      </c>
      <c r="C28">
        <v>226</v>
      </c>
      <c r="D28">
        <v>501</v>
      </c>
      <c r="E28">
        <v>727</v>
      </c>
      <c r="H28">
        <v>703</v>
      </c>
      <c r="I28">
        <v>91995</v>
      </c>
      <c r="J28">
        <v>0.79</v>
      </c>
      <c r="K28">
        <v>0.76400000000000001</v>
      </c>
      <c r="L28">
        <v>88551</v>
      </c>
      <c r="M28">
        <v>0.82099999999999995</v>
      </c>
      <c r="N28">
        <v>0.79400000000000004</v>
      </c>
    </row>
    <row r="29" spans="2:14" x14ac:dyDescent="0.3">
      <c r="B29" s="387" t="s">
        <v>298</v>
      </c>
      <c r="C29">
        <v>128</v>
      </c>
      <c r="D29">
        <v>463</v>
      </c>
      <c r="E29">
        <v>591</v>
      </c>
      <c r="H29">
        <v>361</v>
      </c>
      <c r="I29">
        <v>60195</v>
      </c>
      <c r="J29">
        <v>0.98199999999999998</v>
      </c>
      <c r="K29">
        <v>0.6</v>
      </c>
      <c r="L29">
        <v>56421</v>
      </c>
      <c r="M29">
        <v>1.0469999999999999</v>
      </c>
      <c r="N29">
        <v>0.64</v>
      </c>
    </row>
    <row r="30" spans="2:14" x14ac:dyDescent="0.3">
      <c r="B30" s="387" t="s">
        <v>300</v>
      </c>
      <c r="C30">
        <v>13</v>
      </c>
      <c r="D30">
        <v>66</v>
      </c>
      <c r="E30">
        <v>79</v>
      </c>
      <c r="H30">
        <v>56</v>
      </c>
      <c r="I30">
        <v>11702</v>
      </c>
      <c r="J30">
        <v>0.67500000000000004</v>
      </c>
      <c r="K30">
        <v>0.47899999999999998</v>
      </c>
      <c r="L30">
        <v>10820</v>
      </c>
      <c r="M30">
        <v>0.73</v>
      </c>
      <c r="N30">
        <v>0.51800000000000002</v>
      </c>
    </row>
    <row r="31" spans="2:14" x14ac:dyDescent="0.3">
      <c r="B31" s="387" t="s">
        <v>302</v>
      </c>
      <c r="C31">
        <v>68</v>
      </c>
      <c r="D31">
        <v>372</v>
      </c>
      <c r="E31">
        <v>440</v>
      </c>
      <c r="H31">
        <v>191</v>
      </c>
      <c r="I31">
        <v>57312</v>
      </c>
      <c r="J31">
        <v>0.76800000000000002</v>
      </c>
      <c r="K31">
        <v>0.33300000000000002</v>
      </c>
      <c r="L31">
        <v>53403</v>
      </c>
      <c r="M31">
        <v>0.82399999999999995</v>
      </c>
      <c r="N31">
        <v>0.35799999999999998</v>
      </c>
    </row>
    <row r="32" spans="2:14" x14ac:dyDescent="0.3">
      <c r="B32" s="387" t="s">
        <v>304</v>
      </c>
      <c r="C32">
        <v>300</v>
      </c>
      <c r="D32">
        <v>953</v>
      </c>
      <c r="E32">
        <v>1253</v>
      </c>
      <c r="H32">
        <v>1052</v>
      </c>
      <c r="I32">
        <v>160843</v>
      </c>
      <c r="J32">
        <v>0.77900000000000003</v>
      </c>
      <c r="K32">
        <v>0.65400000000000003</v>
      </c>
      <c r="L32">
        <v>152030</v>
      </c>
      <c r="M32">
        <v>0.82399999999999995</v>
      </c>
      <c r="N32">
        <v>0.69199999999999995</v>
      </c>
    </row>
    <row r="33" spans="2:14" x14ac:dyDescent="0.3">
      <c r="B33" s="387" t="s">
        <v>307</v>
      </c>
      <c r="C33">
        <v>41</v>
      </c>
      <c r="D33">
        <v>207</v>
      </c>
      <c r="E33">
        <v>248</v>
      </c>
      <c r="H33">
        <v>126</v>
      </c>
      <c r="I33">
        <v>43489</v>
      </c>
      <c r="J33">
        <v>0.56999999999999995</v>
      </c>
      <c r="K33">
        <v>0.28999999999999998</v>
      </c>
      <c r="L33">
        <v>41302</v>
      </c>
      <c r="M33">
        <v>0.6</v>
      </c>
      <c r="N33">
        <v>0.30499999999999999</v>
      </c>
    </row>
    <row r="34" spans="2:14" x14ac:dyDescent="0.3">
      <c r="B34" s="387" t="s">
        <v>309</v>
      </c>
      <c r="C34">
        <v>73</v>
      </c>
      <c r="D34">
        <v>262</v>
      </c>
      <c r="E34">
        <v>335</v>
      </c>
      <c r="H34">
        <v>237</v>
      </c>
      <c r="I34">
        <v>46216</v>
      </c>
      <c r="J34">
        <v>0.72499999999999998</v>
      </c>
      <c r="K34">
        <v>0.51300000000000001</v>
      </c>
      <c r="L34">
        <v>43256</v>
      </c>
      <c r="M34">
        <v>0.77400000000000002</v>
      </c>
      <c r="N34">
        <v>0.54800000000000004</v>
      </c>
    </row>
    <row r="35" spans="2:14" x14ac:dyDescent="0.3">
      <c r="B35" s="387" t="s">
        <v>311</v>
      </c>
      <c r="C35">
        <v>116</v>
      </c>
      <c r="D35">
        <v>499</v>
      </c>
      <c r="E35">
        <v>615</v>
      </c>
      <c r="H35">
        <v>397</v>
      </c>
      <c r="I35">
        <v>86258</v>
      </c>
      <c r="J35">
        <v>0.71299999999999997</v>
      </c>
      <c r="K35">
        <v>0.46</v>
      </c>
      <c r="L35">
        <v>82377</v>
      </c>
      <c r="M35">
        <v>0.747</v>
      </c>
      <c r="N35">
        <v>0.48199999999999998</v>
      </c>
    </row>
    <row r="36" spans="2:14" x14ac:dyDescent="0.3">
      <c r="B36" s="387" t="s">
        <v>357</v>
      </c>
      <c r="C36">
        <v>3481</v>
      </c>
      <c r="D36">
        <v>16942</v>
      </c>
      <c r="E36">
        <v>20423</v>
      </c>
      <c r="H36">
        <v>10740</v>
      </c>
      <c r="I36">
        <v>2757863</v>
      </c>
      <c r="J36">
        <v>23.807000000000002</v>
      </c>
      <c r="K36">
        <v>13.048</v>
      </c>
      <c r="L36">
        <v>2570799</v>
      </c>
      <c r="M36">
        <v>25.45900000000001</v>
      </c>
      <c r="N36">
        <v>13.898000000000001</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1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tabColor theme="7" tint="-0.249977111117893"/>
  </sheetPr>
  <dimension ref="A1:O449"/>
  <sheetViews>
    <sheetView topLeftCell="B441" zoomScale="90" zoomScaleNormal="90" workbookViewId="0">
      <selection activeCell="F834" sqref="F834"/>
    </sheetView>
  </sheetViews>
  <sheetFormatPr defaultRowHeight="14.4" x14ac:dyDescent="0.3"/>
  <cols>
    <col min="1" max="1" width="8.21875" bestFit="1" customWidth="1"/>
    <col min="2" max="2" width="21.21875" bestFit="1" customWidth="1"/>
    <col min="3" max="3" width="11" bestFit="1" customWidth="1"/>
    <col min="4" max="4" width="22.77734375" style="937" bestFit="1" customWidth="1"/>
    <col min="5" max="5" width="18.77734375" style="937" bestFit="1" customWidth="1"/>
    <col min="6" max="6" width="12.44140625" style="937" bestFit="1" customWidth="1"/>
    <col min="7" max="7" width="17.77734375" style="937" bestFit="1" customWidth="1"/>
    <col min="8" max="8" width="21.33203125" style="937" bestFit="1" customWidth="1"/>
    <col min="9" max="9" width="13.5546875" style="937" bestFit="1" customWidth="1"/>
    <col min="10" max="10" width="11.5546875" bestFit="1" customWidth="1"/>
    <col min="11" max="11" width="21.77734375" bestFit="1" customWidth="1"/>
    <col min="12" max="12" width="23.21875" bestFit="1" customWidth="1"/>
    <col min="13" max="13" width="13.21875" bestFit="1" customWidth="1"/>
    <col min="14" max="14" width="23.44140625" bestFit="1" customWidth="1"/>
    <col min="15" max="15" width="24.88671875" bestFit="1" customWidth="1"/>
    <col min="16" max="16" width="24.5546875" bestFit="1" customWidth="1"/>
    <col min="17" max="17" width="7.44140625" bestFit="1" customWidth="1"/>
    <col min="18" max="18" width="24" bestFit="1" customWidth="1"/>
  </cols>
  <sheetData>
    <row r="1" spans="1:15" x14ac:dyDescent="0.3">
      <c r="A1" t="s">
        <v>208</v>
      </c>
      <c r="B1" t="s">
        <v>912</v>
      </c>
      <c r="C1" t="s">
        <v>1082</v>
      </c>
      <c r="D1" s="937" t="s">
        <v>1083</v>
      </c>
      <c r="E1" s="937" t="s">
        <v>920</v>
      </c>
      <c r="F1" s="937" t="s">
        <v>921</v>
      </c>
      <c r="G1" s="937" t="s">
        <v>1084</v>
      </c>
      <c r="H1" s="937" t="s">
        <v>1085</v>
      </c>
      <c r="I1" s="937" t="s">
        <v>1086</v>
      </c>
      <c r="J1" t="s">
        <v>1087</v>
      </c>
      <c r="K1" t="s">
        <v>1088</v>
      </c>
      <c r="L1" t="s">
        <v>1089</v>
      </c>
      <c r="M1" t="s">
        <v>913</v>
      </c>
      <c r="N1" t="s">
        <v>1090</v>
      </c>
      <c r="O1" t="s">
        <v>1091</v>
      </c>
    </row>
    <row r="2" spans="1:15" hidden="1" x14ac:dyDescent="0.3">
      <c r="A2" t="s">
        <v>364</v>
      </c>
      <c r="B2" t="s">
        <v>224</v>
      </c>
      <c r="C2" t="s">
        <v>223</v>
      </c>
      <c r="D2">
        <v>829</v>
      </c>
      <c r="E2">
        <v>2850</v>
      </c>
      <c r="F2">
        <v>3679</v>
      </c>
      <c r="G2">
        <v>723</v>
      </c>
      <c r="H2">
        <v>504</v>
      </c>
      <c r="I2">
        <v>1227</v>
      </c>
      <c r="J2">
        <v>54872</v>
      </c>
      <c r="K2">
        <v>6.7050000000000001</v>
      </c>
      <c r="L2">
        <v>2.2359999999999998</v>
      </c>
      <c r="M2">
        <v>52413</v>
      </c>
      <c r="N2">
        <v>7.0190000000000001</v>
      </c>
      <c r="O2">
        <v>2.3410000000000002</v>
      </c>
    </row>
    <row r="3" spans="1:15" hidden="1" x14ac:dyDescent="0.3">
      <c r="A3" t="s">
        <v>365</v>
      </c>
      <c r="B3" t="s">
        <v>224</v>
      </c>
      <c r="C3" t="s">
        <v>223</v>
      </c>
      <c r="D3">
        <v>486</v>
      </c>
      <c r="E3">
        <v>1357</v>
      </c>
      <c r="F3">
        <v>1843</v>
      </c>
      <c r="G3">
        <v>498</v>
      </c>
      <c r="H3">
        <v>226</v>
      </c>
      <c r="I3">
        <v>724</v>
      </c>
      <c r="J3">
        <v>55267</v>
      </c>
      <c r="K3">
        <v>3.335</v>
      </c>
      <c r="L3">
        <v>1.31</v>
      </c>
      <c r="M3">
        <v>52692</v>
      </c>
      <c r="N3">
        <v>3.4980000000000002</v>
      </c>
      <c r="O3">
        <v>1.3740000000000001</v>
      </c>
    </row>
    <row r="4" spans="1:15" hidden="1" x14ac:dyDescent="0.3">
      <c r="A4" t="s">
        <v>366</v>
      </c>
      <c r="B4" t="s">
        <v>224</v>
      </c>
      <c r="C4" t="s">
        <v>223</v>
      </c>
      <c r="D4">
        <v>485</v>
      </c>
      <c r="E4">
        <v>1685</v>
      </c>
      <c r="F4">
        <v>2170</v>
      </c>
      <c r="G4">
        <v>462</v>
      </c>
      <c r="H4">
        <v>262</v>
      </c>
      <c r="I4">
        <v>724</v>
      </c>
      <c r="J4">
        <v>55619</v>
      </c>
      <c r="K4">
        <v>3.9020000000000001</v>
      </c>
      <c r="L4">
        <v>1.302</v>
      </c>
      <c r="M4">
        <v>53142</v>
      </c>
      <c r="N4">
        <v>4.0830000000000002</v>
      </c>
      <c r="O4">
        <v>1.3620000000000001</v>
      </c>
    </row>
    <row r="5" spans="1:15" hidden="1" x14ac:dyDescent="0.3">
      <c r="A5" t="s">
        <v>341</v>
      </c>
      <c r="B5" t="s">
        <v>224</v>
      </c>
      <c r="C5" t="s">
        <v>223</v>
      </c>
      <c r="D5">
        <v>499</v>
      </c>
      <c r="E5">
        <v>1528</v>
      </c>
      <c r="F5">
        <v>2027</v>
      </c>
      <c r="G5">
        <v>450</v>
      </c>
      <c r="H5">
        <v>277</v>
      </c>
      <c r="I5">
        <v>727</v>
      </c>
      <c r="J5">
        <v>55872</v>
      </c>
      <c r="K5">
        <v>3.6280000000000001</v>
      </c>
      <c r="L5">
        <v>1.3009999999999999</v>
      </c>
      <c r="M5">
        <v>53333</v>
      </c>
      <c r="N5">
        <v>3.8010000000000002</v>
      </c>
      <c r="O5">
        <v>1.363</v>
      </c>
    </row>
    <row r="6" spans="1:15" hidden="1" x14ac:dyDescent="0.3">
      <c r="A6" t="s">
        <v>342</v>
      </c>
      <c r="B6" t="s">
        <v>224</v>
      </c>
      <c r="C6" t="s">
        <v>223</v>
      </c>
      <c r="D6">
        <v>469</v>
      </c>
      <c r="E6">
        <v>1121</v>
      </c>
      <c r="F6">
        <v>1590</v>
      </c>
      <c r="G6">
        <v>434</v>
      </c>
      <c r="H6">
        <v>216</v>
      </c>
      <c r="I6">
        <v>650</v>
      </c>
      <c r="J6">
        <v>56135</v>
      </c>
      <c r="K6">
        <v>2.8319999999999999</v>
      </c>
      <c r="L6">
        <v>1.1579999999999999</v>
      </c>
      <c r="M6">
        <v>53627</v>
      </c>
      <c r="N6">
        <v>2.9649999999999999</v>
      </c>
      <c r="O6">
        <v>1.212</v>
      </c>
    </row>
    <row r="7" spans="1:15" hidden="1" x14ac:dyDescent="0.3">
      <c r="A7" t="s">
        <v>213</v>
      </c>
      <c r="B7" t="s">
        <v>224</v>
      </c>
      <c r="C7" t="s">
        <v>223</v>
      </c>
      <c r="D7">
        <v>429</v>
      </c>
      <c r="E7">
        <v>1339</v>
      </c>
      <c r="F7">
        <v>1768</v>
      </c>
      <c r="G7">
        <v>450</v>
      </c>
      <c r="H7">
        <v>177</v>
      </c>
      <c r="I7">
        <v>627</v>
      </c>
      <c r="J7">
        <v>56485</v>
      </c>
      <c r="K7">
        <v>3.13</v>
      </c>
      <c r="L7">
        <v>1.1100000000000001</v>
      </c>
      <c r="M7">
        <v>53888</v>
      </c>
      <c r="N7">
        <v>3.2810000000000001</v>
      </c>
      <c r="O7">
        <v>1.1639999999999999</v>
      </c>
    </row>
    <row r="8" spans="1:15" hidden="1" x14ac:dyDescent="0.3">
      <c r="A8" t="s">
        <v>312</v>
      </c>
      <c r="B8" t="s">
        <v>224</v>
      </c>
      <c r="C8" t="s">
        <v>223</v>
      </c>
      <c r="D8">
        <v>440</v>
      </c>
      <c r="E8">
        <v>1358</v>
      </c>
      <c r="F8">
        <v>1798</v>
      </c>
      <c r="G8">
        <v>474</v>
      </c>
      <c r="H8">
        <v>203</v>
      </c>
      <c r="I8">
        <v>677</v>
      </c>
      <c r="J8">
        <v>56928</v>
      </c>
      <c r="K8">
        <v>3.1579999999999999</v>
      </c>
      <c r="L8">
        <v>1.1890000000000001</v>
      </c>
      <c r="M8">
        <v>54221</v>
      </c>
      <c r="N8">
        <v>3.3159999999999998</v>
      </c>
      <c r="O8">
        <v>1.2490000000000001</v>
      </c>
    </row>
    <row r="9" spans="1:15" hidden="1" x14ac:dyDescent="0.3">
      <c r="A9" t="s">
        <v>318</v>
      </c>
      <c r="B9" t="s">
        <v>224</v>
      </c>
      <c r="C9" t="s">
        <v>223</v>
      </c>
      <c r="D9">
        <v>199</v>
      </c>
      <c r="E9">
        <v>513</v>
      </c>
      <c r="F9">
        <v>712</v>
      </c>
      <c r="G9">
        <v>175</v>
      </c>
      <c r="H9">
        <v>113</v>
      </c>
      <c r="I9">
        <v>288</v>
      </c>
      <c r="J9">
        <v>57206</v>
      </c>
      <c r="K9">
        <v>1.2450000000000001</v>
      </c>
      <c r="L9">
        <v>0.503</v>
      </c>
      <c r="M9">
        <v>54480</v>
      </c>
      <c r="N9">
        <v>1.3069999999999999</v>
      </c>
      <c r="O9">
        <v>0.52900000000000003</v>
      </c>
    </row>
    <row r="10" spans="1:15" hidden="1" x14ac:dyDescent="0.3">
      <c r="A10" t="s">
        <v>320</v>
      </c>
      <c r="B10" t="s">
        <v>224</v>
      </c>
      <c r="C10" t="s">
        <v>223</v>
      </c>
      <c r="D10"/>
      <c r="E10"/>
      <c r="F10">
        <v>1585</v>
      </c>
      <c r="G10"/>
      <c r="H10"/>
      <c r="I10"/>
      <c r="J10">
        <v>57711</v>
      </c>
      <c r="K10">
        <v>2.746</v>
      </c>
      <c r="M10">
        <v>55003</v>
      </c>
      <c r="N10">
        <v>2.8820000000000001</v>
      </c>
    </row>
    <row r="11" spans="1:15" hidden="1" x14ac:dyDescent="0.3">
      <c r="A11" t="s">
        <v>325</v>
      </c>
      <c r="B11" t="s">
        <v>224</v>
      </c>
      <c r="C11" t="s">
        <v>223</v>
      </c>
      <c r="D11"/>
      <c r="E11"/>
      <c r="F11">
        <v>1332</v>
      </c>
      <c r="G11"/>
      <c r="H11"/>
      <c r="I11"/>
      <c r="J11">
        <v>58088</v>
      </c>
      <c r="K11">
        <v>2.2930000000000001</v>
      </c>
      <c r="M11">
        <v>55441</v>
      </c>
      <c r="N11">
        <v>2.403</v>
      </c>
    </row>
    <row r="12" spans="1:15" hidden="1" x14ac:dyDescent="0.3">
      <c r="A12" t="s">
        <v>326</v>
      </c>
      <c r="B12" t="s">
        <v>224</v>
      </c>
      <c r="D12">
        <v>107</v>
      </c>
      <c r="E12">
        <v>867</v>
      </c>
      <c r="F12">
        <v>974</v>
      </c>
      <c r="G12">
        <v>138</v>
      </c>
      <c r="H12">
        <v>132</v>
      </c>
      <c r="I12">
        <v>270</v>
      </c>
      <c r="J12">
        <v>58286</v>
      </c>
      <c r="K12">
        <v>1.671</v>
      </c>
      <c r="L12">
        <v>0.46300000000000002</v>
      </c>
      <c r="M12">
        <v>54804</v>
      </c>
      <c r="N12">
        <v>1.7770000000000001</v>
      </c>
      <c r="O12">
        <v>0.49299999999999999</v>
      </c>
    </row>
    <row r="13" spans="1:15" hidden="1" x14ac:dyDescent="0.3">
      <c r="A13" t="s">
        <v>326</v>
      </c>
      <c r="B13" t="s">
        <v>224</v>
      </c>
      <c r="D13">
        <v>107</v>
      </c>
      <c r="E13">
        <v>867</v>
      </c>
      <c r="F13">
        <v>974</v>
      </c>
      <c r="G13">
        <v>138</v>
      </c>
      <c r="H13">
        <v>132</v>
      </c>
      <c r="I13">
        <v>270</v>
      </c>
      <c r="J13">
        <v>58769</v>
      </c>
      <c r="K13">
        <v>1.657</v>
      </c>
      <c r="L13">
        <v>0.45900000000000002</v>
      </c>
      <c r="M13">
        <v>54804</v>
      </c>
      <c r="N13">
        <v>1.7770000000000001</v>
      </c>
      <c r="O13">
        <v>0.49299999999999999</v>
      </c>
    </row>
    <row r="14" spans="1:15" hidden="1" x14ac:dyDescent="0.3">
      <c r="A14" t="s">
        <v>366</v>
      </c>
      <c r="B14" t="s">
        <v>228</v>
      </c>
      <c r="C14" t="s">
        <v>227</v>
      </c>
      <c r="D14">
        <v>667</v>
      </c>
      <c r="E14">
        <v>980</v>
      </c>
      <c r="F14">
        <v>1647</v>
      </c>
      <c r="G14">
        <v>562</v>
      </c>
      <c r="H14">
        <v>512</v>
      </c>
      <c r="I14">
        <v>1074</v>
      </c>
      <c r="J14">
        <v>47712</v>
      </c>
      <c r="K14">
        <v>3.452</v>
      </c>
      <c r="L14">
        <v>2.2509999999999999</v>
      </c>
      <c r="M14">
        <v>40938</v>
      </c>
      <c r="N14">
        <v>4.0229999999999997</v>
      </c>
      <c r="O14">
        <v>2.6230000000000002</v>
      </c>
    </row>
    <row r="15" spans="1:15" hidden="1" x14ac:dyDescent="0.3">
      <c r="A15" t="s">
        <v>341</v>
      </c>
      <c r="B15" t="s">
        <v>228</v>
      </c>
      <c r="C15" t="s">
        <v>227</v>
      </c>
      <c r="D15">
        <v>630</v>
      </c>
      <c r="E15">
        <v>925</v>
      </c>
      <c r="F15">
        <v>1555</v>
      </c>
      <c r="G15">
        <v>481</v>
      </c>
      <c r="H15">
        <v>497</v>
      </c>
      <c r="I15">
        <v>978</v>
      </c>
      <c r="J15">
        <v>47780</v>
      </c>
      <c r="K15">
        <v>3.254</v>
      </c>
      <c r="L15">
        <v>2.0470000000000002</v>
      </c>
      <c r="M15">
        <v>41040</v>
      </c>
      <c r="N15">
        <v>3.7890000000000001</v>
      </c>
      <c r="O15">
        <v>2.383</v>
      </c>
    </row>
    <row r="16" spans="1:15" hidden="1" x14ac:dyDescent="0.3">
      <c r="A16" t="s">
        <v>342</v>
      </c>
      <c r="B16" t="s">
        <v>228</v>
      </c>
      <c r="C16" t="s">
        <v>227</v>
      </c>
      <c r="D16">
        <v>650</v>
      </c>
      <c r="E16">
        <v>1030</v>
      </c>
      <c r="F16">
        <v>1680</v>
      </c>
      <c r="G16">
        <v>503</v>
      </c>
      <c r="H16">
        <v>462</v>
      </c>
      <c r="I16">
        <v>965</v>
      </c>
      <c r="J16">
        <v>47884</v>
      </c>
      <c r="K16">
        <v>3.508</v>
      </c>
      <c r="L16">
        <v>2.0150000000000001</v>
      </c>
      <c r="M16">
        <v>41455</v>
      </c>
      <c r="N16">
        <v>4.0529999999999999</v>
      </c>
      <c r="O16">
        <v>2.3279999999999998</v>
      </c>
    </row>
    <row r="17" spans="1:15" hidden="1" x14ac:dyDescent="0.3">
      <c r="A17" t="s">
        <v>213</v>
      </c>
      <c r="B17" t="s">
        <v>228</v>
      </c>
      <c r="C17" t="s">
        <v>227</v>
      </c>
      <c r="D17">
        <v>531</v>
      </c>
      <c r="E17">
        <v>939</v>
      </c>
      <c r="F17">
        <v>1470</v>
      </c>
      <c r="G17">
        <v>480</v>
      </c>
      <c r="H17">
        <v>351</v>
      </c>
      <c r="I17">
        <v>831</v>
      </c>
      <c r="J17">
        <v>48020</v>
      </c>
      <c r="K17">
        <v>3.0609999999999999</v>
      </c>
      <c r="L17">
        <v>1.7309999999999999</v>
      </c>
      <c r="M17">
        <v>41630</v>
      </c>
      <c r="N17">
        <v>3.5310000000000001</v>
      </c>
      <c r="O17">
        <v>1.996</v>
      </c>
    </row>
    <row r="18" spans="1:15" hidden="1" x14ac:dyDescent="0.3">
      <c r="A18" t="s">
        <v>364</v>
      </c>
      <c r="B18" t="s">
        <v>228</v>
      </c>
      <c r="C18" t="s">
        <v>227</v>
      </c>
      <c r="D18">
        <v>529</v>
      </c>
      <c r="E18">
        <v>457</v>
      </c>
      <c r="F18">
        <v>986</v>
      </c>
      <c r="G18">
        <v>539</v>
      </c>
      <c r="H18">
        <v>425</v>
      </c>
      <c r="I18">
        <v>964</v>
      </c>
      <c r="J18">
        <v>47336</v>
      </c>
      <c r="K18">
        <v>2.0830000000000002</v>
      </c>
      <c r="L18">
        <v>2.0369999999999999</v>
      </c>
      <c r="M18">
        <v>40934</v>
      </c>
      <c r="N18">
        <v>2.4089999999999998</v>
      </c>
      <c r="O18">
        <v>2.355</v>
      </c>
    </row>
    <row r="19" spans="1:15" hidden="1" x14ac:dyDescent="0.3">
      <c r="A19" t="s">
        <v>365</v>
      </c>
      <c r="B19" t="s">
        <v>228</v>
      </c>
      <c r="C19" t="s">
        <v>227</v>
      </c>
      <c r="D19">
        <v>498</v>
      </c>
      <c r="E19">
        <v>680</v>
      </c>
      <c r="F19">
        <v>1178</v>
      </c>
      <c r="G19">
        <v>412</v>
      </c>
      <c r="H19">
        <v>414</v>
      </c>
      <c r="I19">
        <v>826</v>
      </c>
      <c r="J19">
        <v>47500</v>
      </c>
      <c r="K19">
        <v>2.48</v>
      </c>
      <c r="L19">
        <v>1.7389999999999999</v>
      </c>
      <c r="M19">
        <v>40857</v>
      </c>
      <c r="N19">
        <v>2.883</v>
      </c>
      <c r="O19">
        <v>2.0219999999999998</v>
      </c>
    </row>
    <row r="20" spans="1:15" hidden="1" x14ac:dyDescent="0.3">
      <c r="A20" t="s">
        <v>312</v>
      </c>
      <c r="B20" t="s">
        <v>228</v>
      </c>
      <c r="C20" t="s">
        <v>227</v>
      </c>
      <c r="D20">
        <v>451</v>
      </c>
      <c r="E20">
        <v>1072</v>
      </c>
      <c r="F20">
        <v>1523</v>
      </c>
      <c r="G20">
        <v>389</v>
      </c>
      <c r="H20">
        <v>332</v>
      </c>
      <c r="I20">
        <v>721</v>
      </c>
      <c r="J20">
        <v>48134</v>
      </c>
      <c r="K20">
        <v>3.1640000000000001</v>
      </c>
      <c r="L20">
        <v>1.498</v>
      </c>
      <c r="M20">
        <v>41789</v>
      </c>
      <c r="N20">
        <v>3.6440000000000001</v>
      </c>
      <c r="O20">
        <v>1.7250000000000001</v>
      </c>
    </row>
    <row r="21" spans="1:15" hidden="1" x14ac:dyDescent="0.3">
      <c r="A21" t="s">
        <v>318</v>
      </c>
      <c r="B21" t="s">
        <v>228</v>
      </c>
      <c r="C21" t="s">
        <v>227</v>
      </c>
      <c r="D21">
        <v>165</v>
      </c>
      <c r="E21">
        <v>320</v>
      </c>
      <c r="F21">
        <v>485</v>
      </c>
      <c r="G21">
        <v>154</v>
      </c>
      <c r="H21">
        <v>116</v>
      </c>
      <c r="I21">
        <v>270</v>
      </c>
      <c r="J21">
        <v>48199</v>
      </c>
      <c r="K21">
        <v>1.006</v>
      </c>
      <c r="L21">
        <v>0.56000000000000005</v>
      </c>
      <c r="M21">
        <v>41839</v>
      </c>
      <c r="N21">
        <v>1.159</v>
      </c>
      <c r="O21">
        <v>0.64500000000000002</v>
      </c>
    </row>
    <row r="22" spans="1:15" hidden="1" x14ac:dyDescent="0.3">
      <c r="A22" t="s">
        <v>320</v>
      </c>
      <c r="B22" t="s">
        <v>228</v>
      </c>
      <c r="C22" t="s">
        <v>227</v>
      </c>
      <c r="D22"/>
      <c r="E22"/>
      <c r="F22">
        <v>1019</v>
      </c>
      <c r="G22"/>
      <c r="H22"/>
      <c r="I22"/>
      <c r="J22">
        <v>48411</v>
      </c>
      <c r="K22">
        <v>2.105</v>
      </c>
      <c r="M22">
        <v>42384</v>
      </c>
      <c r="N22">
        <v>2.4039999999999999</v>
      </c>
    </row>
    <row r="23" spans="1:15" hidden="1" x14ac:dyDescent="0.3">
      <c r="A23" t="s">
        <v>325</v>
      </c>
      <c r="B23" t="s">
        <v>228</v>
      </c>
      <c r="C23" t="s">
        <v>227</v>
      </c>
      <c r="D23"/>
      <c r="E23"/>
      <c r="F23">
        <v>940</v>
      </c>
      <c r="G23"/>
      <c r="H23"/>
      <c r="I23"/>
      <c r="J23">
        <v>48786</v>
      </c>
      <c r="K23">
        <v>1.927</v>
      </c>
      <c r="M23">
        <v>42664</v>
      </c>
      <c r="N23">
        <v>2.2029999999999998</v>
      </c>
    </row>
    <row r="24" spans="1:15" hidden="1" x14ac:dyDescent="0.3">
      <c r="A24" t="s">
        <v>326</v>
      </c>
      <c r="B24" t="s">
        <v>228</v>
      </c>
      <c r="D24">
        <v>97</v>
      </c>
      <c r="E24">
        <v>739</v>
      </c>
      <c r="F24">
        <v>836</v>
      </c>
      <c r="G24">
        <v>182</v>
      </c>
      <c r="H24">
        <v>82</v>
      </c>
      <c r="I24">
        <v>264</v>
      </c>
      <c r="J24">
        <v>49144</v>
      </c>
      <c r="K24">
        <v>1.7010000000000001</v>
      </c>
      <c r="L24">
        <v>0.53700000000000003</v>
      </c>
      <c r="M24">
        <v>42610</v>
      </c>
      <c r="N24">
        <v>1.962</v>
      </c>
      <c r="O24">
        <v>0.62</v>
      </c>
    </row>
    <row r="25" spans="1:15" hidden="1" x14ac:dyDescent="0.3">
      <c r="A25" t="s">
        <v>326</v>
      </c>
      <c r="B25" t="s">
        <v>228</v>
      </c>
      <c r="D25">
        <v>97</v>
      </c>
      <c r="E25">
        <v>739</v>
      </c>
      <c r="F25">
        <v>836</v>
      </c>
      <c r="G25">
        <v>182</v>
      </c>
      <c r="H25">
        <v>82</v>
      </c>
      <c r="I25">
        <v>264</v>
      </c>
      <c r="J25">
        <v>49917</v>
      </c>
      <c r="K25">
        <v>1.675</v>
      </c>
      <c r="L25">
        <v>0.52900000000000003</v>
      </c>
      <c r="M25">
        <v>42610</v>
      </c>
      <c r="N25">
        <v>1.962</v>
      </c>
      <c r="O25">
        <v>0.62</v>
      </c>
    </row>
    <row r="26" spans="1:15" hidden="1" x14ac:dyDescent="0.3">
      <c r="A26" t="s">
        <v>364</v>
      </c>
      <c r="B26" t="s">
        <v>234</v>
      </c>
      <c r="C26" t="s">
        <v>233</v>
      </c>
      <c r="D26">
        <v>2962</v>
      </c>
      <c r="E26">
        <v>2362</v>
      </c>
      <c r="F26">
        <v>5324</v>
      </c>
      <c r="G26">
        <v>2668</v>
      </c>
      <c r="H26">
        <v>1393</v>
      </c>
      <c r="I26">
        <v>4061</v>
      </c>
      <c r="J26">
        <v>237524</v>
      </c>
      <c r="K26">
        <v>2.2410000000000001</v>
      </c>
      <c r="L26">
        <v>1.71</v>
      </c>
      <c r="M26">
        <v>227222</v>
      </c>
      <c r="N26">
        <v>2.343</v>
      </c>
      <c r="O26">
        <v>1.7869999999999999</v>
      </c>
    </row>
    <row r="27" spans="1:15" hidden="1" x14ac:dyDescent="0.3">
      <c r="A27" t="s">
        <v>365</v>
      </c>
      <c r="B27" t="s">
        <v>234</v>
      </c>
      <c r="C27" t="s">
        <v>233</v>
      </c>
      <c r="D27">
        <v>2833</v>
      </c>
      <c r="E27">
        <v>2754</v>
      </c>
      <c r="F27">
        <v>5587</v>
      </c>
      <c r="G27">
        <v>2716</v>
      </c>
      <c r="H27">
        <v>1169</v>
      </c>
      <c r="I27">
        <v>3885</v>
      </c>
      <c r="J27">
        <v>239525</v>
      </c>
      <c r="K27">
        <v>2.3330000000000002</v>
      </c>
      <c r="L27">
        <v>1.6219999999999999</v>
      </c>
      <c r="M27">
        <v>229231</v>
      </c>
      <c r="N27">
        <v>2.4369999999999998</v>
      </c>
      <c r="O27">
        <v>1.6949999999999998</v>
      </c>
    </row>
    <row r="28" spans="1:15" hidden="1" x14ac:dyDescent="0.3">
      <c r="A28" t="s">
        <v>366</v>
      </c>
      <c r="B28" t="s">
        <v>234</v>
      </c>
      <c r="C28" t="s">
        <v>233</v>
      </c>
      <c r="D28">
        <v>2759</v>
      </c>
      <c r="E28">
        <v>2546</v>
      </c>
      <c r="F28">
        <v>5305</v>
      </c>
      <c r="G28">
        <v>2752</v>
      </c>
      <c r="H28">
        <v>1091</v>
      </c>
      <c r="I28">
        <v>3843</v>
      </c>
      <c r="J28">
        <v>241433</v>
      </c>
      <c r="K28">
        <v>2.1970000000000001</v>
      </c>
      <c r="L28">
        <v>1.5920000000000001</v>
      </c>
      <c r="M28">
        <v>229650</v>
      </c>
      <c r="N28">
        <v>2.31</v>
      </c>
      <c r="O28">
        <v>1.673</v>
      </c>
    </row>
    <row r="29" spans="1:15" hidden="1" x14ac:dyDescent="0.3">
      <c r="A29" t="s">
        <v>341</v>
      </c>
      <c r="B29" t="s">
        <v>234</v>
      </c>
      <c r="C29" t="s">
        <v>233</v>
      </c>
      <c r="D29">
        <v>2671</v>
      </c>
      <c r="E29">
        <v>2368</v>
      </c>
      <c r="F29">
        <v>5039</v>
      </c>
      <c r="G29">
        <v>2446</v>
      </c>
      <c r="H29">
        <v>1264</v>
      </c>
      <c r="I29">
        <v>3710</v>
      </c>
      <c r="J29">
        <v>244131</v>
      </c>
      <c r="K29">
        <v>2.0640000000000001</v>
      </c>
      <c r="L29">
        <v>1.52</v>
      </c>
      <c r="M29">
        <v>231383</v>
      </c>
      <c r="N29">
        <v>2.1779999999999999</v>
      </c>
      <c r="O29">
        <v>1.603</v>
      </c>
    </row>
    <row r="30" spans="1:15" hidden="1" x14ac:dyDescent="0.3">
      <c r="A30" t="s">
        <v>342</v>
      </c>
      <c r="B30" t="s">
        <v>234</v>
      </c>
      <c r="C30" t="s">
        <v>233</v>
      </c>
      <c r="D30">
        <v>2302</v>
      </c>
      <c r="E30">
        <v>2297</v>
      </c>
      <c r="F30">
        <v>4599</v>
      </c>
      <c r="G30">
        <v>2309</v>
      </c>
      <c r="H30">
        <v>888</v>
      </c>
      <c r="I30">
        <v>3197</v>
      </c>
      <c r="J30">
        <v>246818</v>
      </c>
      <c r="K30">
        <v>1.863</v>
      </c>
      <c r="L30">
        <v>1.2949999999999999</v>
      </c>
      <c r="M30">
        <v>233369</v>
      </c>
      <c r="N30">
        <v>1.9710000000000001</v>
      </c>
      <c r="O30">
        <v>1.37</v>
      </c>
    </row>
    <row r="31" spans="1:15" hidden="1" x14ac:dyDescent="0.3">
      <c r="A31" t="s">
        <v>213</v>
      </c>
      <c r="B31" t="s">
        <v>234</v>
      </c>
      <c r="C31" t="s">
        <v>233</v>
      </c>
      <c r="D31">
        <v>1893</v>
      </c>
      <c r="E31">
        <v>2567</v>
      </c>
      <c r="F31">
        <v>4460</v>
      </c>
      <c r="G31">
        <v>1882</v>
      </c>
      <c r="H31">
        <v>776</v>
      </c>
      <c r="I31">
        <v>2658</v>
      </c>
      <c r="J31">
        <v>249810</v>
      </c>
      <c r="K31">
        <v>1.7850000000000001</v>
      </c>
      <c r="L31">
        <v>1.0640000000000001</v>
      </c>
      <c r="M31">
        <v>235771</v>
      </c>
      <c r="N31">
        <v>1.8919999999999999</v>
      </c>
      <c r="O31">
        <v>1.127</v>
      </c>
    </row>
    <row r="32" spans="1:15" hidden="1" x14ac:dyDescent="0.3">
      <c r="A32" t="s">
        <v>312</v>
      </c>
      <c r="B32" t="s">
        <v>234</v>
      </c>
      <c r="C32" t="s">
        <v>233</v>
      </c>
      <c r="D32">
        <v>1502</v>
      </c>
      <c r="E32">
        <v>3441</v>
      </c>
      <c r="F32">
        <v>4943</v>
      </c>
      <c r="G32">
        <v>1592</v>
      </c>
      <c r="H32">
        <v>578</v>
      </c>
      <c r="I32">
        <v>2170</v>
      </c>
      <c r="J32">
        <v>252731</v>
      </c>
      <c r="K32">
        <v>1.956</v>
      </c>
      <c r="L32">
        <v>0.85899999999999999</v>
      </c>
      <c r="M32">
        <v>238269</v>
      </c>
      <c r="N32">
        <v>2.0750000000000002</v>
      </c>
      <c r="O32">
        <v>0.91100000000000003</v>
      </c>
    </row>
    <row r="33" spans="1:15" hidden="1" x14ac:dyDescent="0.3">
      <c r="A33" t="s">
        <v>318</v>
      </c>
      <c r="B33" t="s">
        <v>234</v>
      </c>
      <c r="C33" t="s">
        <v>233</v>
      </c>
      <c r="D33">
        <v>676</v>
      </c>
      <c r="E33">
        <v>738</v>
      </c>
      <c r="F33">
        <v>1414</v>
      </c>
      <c r="G33">
        <v>694</v>
      </c>
      <c r="H33">
        <v>310</v>
      </c>
      <c r="I33">
        <v>1004</v>
      </c>
      <c r="J33">
        <v>254929</v>
      </c>
      <c r="K33">
        <v>0.55500000000000005</v>
      </c>
      <c r="L33">
        <v>0.39400000000000002</v>
      </c>
      <c r="M33">
        <v>239364</v>
      </c>
      <c r="N33">
        <v>0.59099999999999997</v>
      </c>
      <c r="O33">
        <v>0.41899999999999998</v>
      </c>
    </row>
    <row r="34" spans="1:15" hidden="1" x14ac:dyDescent="0.3">
      <c r="A34" t="s">
        <v>320</v>
      </c>
      <c r="B34" t="s">
        <v>234</v>
      </c>
      <c r="C34" t="s">
        <v>233</v>
      </c>
      <c r="D34"/>
      <c r="E34"/>
      <c r="F34">
        <v>2702</v>
      </c>
      <c r="G34"/>
      <c r="H34"/>
      <c r="I34"/>
      <c r="J34">
        <v>257658</v>
      </c>
      <c r="K34">
        <v>1.0489999999999999</v>
      </c>
      <c r="M34">
        <v>241658</v>
      </c>
      <c r="N34">
        <v>1.1179999999999999</v>
      </c>
    </row>
    <row r="35" spans="1:15" hidden="1" x14ac:dyDescent="0.3">
      <c r="A35" t="s">
        <v>325</v>
      </c>
      <c r="B35" t="s">
        <v>234</v>
      </c>
      <c r="C35" t="s">
        <v>233</v>
      </c>
      <c r="D35"/>
      <c r="E35"/>
      <c r="F35">
        <v>2046</v>
      </c>
      <c r="G35"/>
      <c r="H35"/>
      <c r="I35"/>
      <c r="J35">
        <v>261000</v>
      </c>
      <c r="K35">
        <v>0.78400000000000003</v>
      </c>
      <c r="M35">
        <v>244738</v>
      </c>
      <c r="N35">
        <v>0.83599999999999997</v>
      </c>
    </row>
    <row r="36" spans="1:15" hidden="1" x14ac:dyDescent="0.3">
      <c r="A36" t="s">
        <v>326</v>
      </c>
      <c r="B36" t="s">
        <v>234</v>
      </c>
      <c r="D36">
        <v>261</v>
      </c>
      <c r="E36">
        <v>2310</v>
      </c>
      <c r="F36">
        <v>2571</v>
      </c>
      <c r="G36">
        <v>433</v>
      </c>
      <c r="H36">
        <v>284</v>
      </c>
      <c r="I36">
        <v>717</v>
      </c>
      <c r="J36">
        <v>263670</v>
      </c>
      <c r="K36">
        <v>0.97499999999999998</v>
      </c>
      <c r="L36">
        <v>0.27200000000000002</v>
      </c>
      <c r="M36">
        <v>242021</v>
      </c>
      <c r="N36">
        <v>1.0620000000000001</v>
      </c>
      <c r="O36">
        <v>0.29599999999999999</v>
      </c>
    </row>
    <row r="37" spans="1:15" hidden="1" x14ac:dyDescent="0.3">
      <c r="A37" t="s">
        <v>326</v>
      </c>
      <c r="B37" t="s">
        <v>234</v>
      </c>
      <c r="D37">
        <v>261</v>
      </c>
      <c r="E37">
        <v>2310</v>
      </c>
      <c r="F37">
        <v>2571</v>
      </c>
      <c r="G37">
        <v>433</v>
      </c>
      <c r="H37">
        <v>284</v>
      </c>
      <c r="I37">
        <v>717</v>
      </c>
      <c r="J37">
        <v>269306</v>
      </c>
      <c r="K37">
        <v>0.95499999999999996</v>
      </c>
      <c r="L37">
        <v>0.26600000000000001</v>
      </c>
      <c r="M37">
        <v>242021</v>
      </c>
      <c r="N37">
        <v>1.0620000000000001</v>
      </c>
      <c r="O37">
        <v>0.29599999999999999</v>
      </c>
    </row>
    <row r="38" spans="1:15" hidden="1" x14ac:dyDescent="0.3">
      <c r="A38" t="s">
        <v>326</v>
      </c>
      <c r="B38" t="s">
        <v>244</v>
      </c>
      <c r="D38">
        <v>238</v>
      </c>
      <c r="E38">
        <v>849</v>
      </c>
      <c r="F38">
        <v>1087</v>
      </c>
      <c r="G38">
        <v>469</v>
      </c>
      <c r="H38">
        <v>162</v>
      </c>
      <c r="I38">
        <v>631</v>
      </c>
      <c r="J38">
        <v>76696</v>
      </c>
      <c r="K38">
        <v>1.417</v>
      </c>
      <c r="L38">
        <v>0.82299999999999995</v>
      </c>
      <c r="M38">
        <v>70696</v>
      </c>
      <c r="N38">
        <v>1.538</v>
      </c>
      <c r="O38">
        <v>0.89300000000000002</v>
      </c>
    </row>
    <row r="39" spans="1:15" hidden="1" x14ac:dyDescent="0.3">
      <c r="A39" t="s">
        <v>326</v>
      </c>
      <c r="B39" t="s">
        <v>244</v>
      </c>
      <c r="D39">
        <v>238</v>
      </c>
      <c r="E39">
        <v>849</v>
      </c>
      <c r="F39">
        <v>1087</v>
      </c>
      <c r="G39">
        <v>469</v>
      </c>
      <c r="H39">
        <v>162</v>
      </c>
      <c r="I39">
        <v>631</v>
      </c>
      <c r="J39">
        <v>76275</v>
      </c>
      <c r="K39">
        <v>1.425</v>
      </c>
      <c r="L39">
        <v>0.82699999999999996</v>
      </c>
      <c r="M39">
        <v>70696</v>
      </c>
      <c r="N39">
        <v>1.538</v>
      </c>
      <c r="O39">
        <v>0.89300000000000002</v>
      </c>
    </row>
    <row r="40" spans="1:15" hidden="1" x14ac:dyDescent="0.3">
      <c r="A40" t="s">
        <v>325</v>
      </c>
      <c r="B40" t="s">
        <v>244</v>
      </c>
      <c r="C40" t="s">
        <v>243</v>
      </c>
      <c r="D40"/>
      <c r="E40"/>
      <c r="F40">
        <v>1049</v>
      </c>
      <c r="G40"/>
      <c r="H40"/>
      <c r="I40"/>
      <c r="J40">
        <v>75922</v>
      </c>
      <c r="K40">
        <v>1.3820000000000001</v>
      </c>
      <c r="M40">
        <v>70984</v>
      </c>
      <c r="N40">
        <v>1.478</v>
      </c>
    </row>
    <row r="41" spans="1:15" hidden="1" x14ac:dyDescent="0.3">
      <c r="A41" t="s">
        <v>320</v>
      </c>
      <c r="B41" t="s">
        <v>244</v>
      </c>
      <c r="C41" t="s">
        <v>243</v>
      </c>
      <c r="D41"/>
      <c r="E41"/>
      <c r="F41">
        <v>1255</v>
      </c>
      <c r="G41"/>
      <c r="H41"/>
      <c r="I41"/>
      <c r="J41">
        <v>75521</v>
      </c>
      <c r="K41">
        <v>1.6619999999999999</v>
      </c>
      <c r="M41">
        <v>70405</v>
      </c>
      <c r="N41">
        <v>1.7829999999999999</v>
      </c>
    </row>
    <row r="42" spans="1:15" hidden="1" x14ac:dyDescent="0.3">
      <c r="A42" t="s">
        <v>318</v>
      </c>
      <c r="B42" t="s">
        <v>244</v>
      </c>
      <c r="C42" t="s">
        <v>243</v>
      </c>
      <c r="D42">
        <v>143</v>
      </c>
      <c r="E42">
        <v>231</v>
      </c>
      <c r="F42">
        <v>374</v>
      </c>
      <c r="G42">
        <v>125</v>
      </c>
      <c r="H42">
        <v>82</v>
      </c>
      <c r="I42">
        <v>207</v>
      </c>
      <c r="J42">
        <v>75298</v>
      </c>
      <c r="K42">
        <v>0.497</v>
      </c>
      <c r="L42">
        <v>0.27500000000000002</v>
      </c>
      <c r="M42">
        <v>69957</v>
      </c>
      <c r="N42">
        <v>0.53500000000000003</v>
      </c>
      <c r="O42">
        <v>0.29599999999999999</v>
      </c>
    </row>
    <row r="43" spans="1:15" hidden="1" x14ac:dyDescent="0.3">
      <c r="A43" t="s">
        <v>312</v>
      </c>
      <c r="B43" t="s">
        <v>244</v>
      </c>
      <c r="C43" t="s">
        <v>243</v>
      </c>
      <c r="D43">
        <v>870</v>
      </c>
      <c r="E43">
        <v>839</v>
      </c>
      <c r="F43">
        <v>1709</v>
      </c>
      <c r="G43">
        <v>824</v>
      </c>
      <c r="H43">
        <v>438</v>
      </c>
      <c r="I43">
        <v>1262</v>
      </c>
      <c r="J43">
        <v>75089</v>
      </c>
      <c r="K43">
        <v>2.2759999999999998</v>
      </c>
      <c r="L43">
        <v>1.681</v>
      </c>
      <c r="M43">
        <v>69699</v>
      </c>
      <c r="N43">
        <v>2.452</v>
      </c>
      <c r="O43">
        <v>1.8109999999999999</v>
      </c>
    </row>
    <row r="44" spans="1:15" hidden="1" x14ac:dyDescent="0.3">
      <c r="A44" t="s">
        <v>213</v>
      </c>
      <c r="B44" t="s">
        <v>244</v>
      </c>
      <c r="C44" t="s">
        <v>243</v>
      </c>
      <c r="D44">
        <v>1028</v>
      </c>
      <c r="E44">
        <v>721</v>
      </c>
      <c r="F44">
        <v>1749</v>
      </c>
      <c r="G44">
        <v>1107</v>
      </c>
      <c r="H44">
        <v>447</v>
      </c>
      <c r="I44">
        <v>1554</v>
      </c>
      <c r="J44">
        <v>74823</v>
      </c>
      <c r="K44">
        <v>2.3380000000000001</v>
      </c>
      <c r="L44">
        <v>2.077</v>
      </c>
      <c r="M44">
        <v>69586</v>
      </c>
      <c r="N44">
        <v>2.5129999999999999</v>
      </c>
      <c r="O44">
        <v>2.2330000000000001</v>
      </c>
    </row>
    <row r="45" spans="1:15" hidden="1" x14ac:dyDescent="0.3">
      <c r="A45" t="s">
        <v>342</v>
      </c>
      <c r="B45" t="s">
        <v>244</v>
      </c>
      <c r="C45" t="s">
        <v>243</v>
      </c>
      <c r="D45">
        <v>1115</v>
      </c>
      <c r="E45">
        <v>835</v>
      </c>
      <c r="F45">
        <v>1950</v>
      </c>
      <c r="G45">
        <v>1083</v>
      </c>
      <c r="H45">
        <v>534</v>
      </c>
      <c r="I45">
        <v>1617</v>
      </c>
      <c r="J45">
        <v>74687</v>
      </c>
      <c r="K45">
        <v>2.6109999999999998</v>
      </c>
      <c r="L45">
        <v>2.165</v>
      </c>
      <c r="M45">
        <v>69503</v>
      </c>
      <c r="N45">
        <v>2.806</v>
      </c>
      <c r="O45">
        <v>2.327</v>
      </c>
    </row>
    <row r="46" spans="1:15" hidden="1" x14ac:dyDescent="0.3">
      <c r="A46" t="s">
        <v>341</v>
      </c>
      <c r="B46" t="s">
        <v>244</v>
      </c>
      <c r="C46" t="s">
        <v>243</v>
      </c>
      <c r="D46">
        <v>1262</v>
      </c>
      <c r="E46">
        <v>848</v>
      </c>
      <c r="F46">
        <v>2110</v>
      </c>
      <c r="G46">
        <v>1150</v>
      </c>
      <c r="H46">
        <v>642</v>
      </c>
      <c r="I46">
        <v>1792</v>
      </c>
      <c r="J46">
        <v>74453</v>
      </c>
      <c r="K46">
        <v>2.8340000000000001</v>
      </c>
      <c r="L46">
        <v>2.407</v>
      </c>
      <c r="M46">
        <v>69202</v>
      </c>
      <c r="N46">
        <v>3.0489999999999999</v>
      </c>
      <c r="O46">
        <v>2.59</v>
      </c>
    </row>
    <row r="47" spans="1:15" hidden="1" x14ac:dyDescent="0.3">
      <c r="A47" t="s">
        <v>366</v>
      </c>
      <c r="B47" t="s">
        <v>244</v>
      </c>
      <c r="C47" t="s">
        <v>243</v>
      </c>
      <c r="D47">
        <v>1086</v>
      </c>
      <c r="E47">
        <v>1068</v>
      </c>
      <c r="F47">
        <v>2154</v>
      </c>
      <c r="G47">
        <v>923</v>
      </c>
      <c r="H47">
        <v>558</v>
      </c>
      <c r="I47">
        <v>1481</v>
      </c>
      <c r="J47">
        <v>74190</v>
      </c>
      <c r="K47">
        <v>2.903</v>
      </c>
      <c r="L47">
        <v>1.996</v>
      </c>
      <c r="M47">
        <v>68999</v>
      </c>
      <c r="N47">
        <v>3.1219999999999999</v>
      </c>
      <c r="O47">
        <v>2.1459999999999999</v>
      </c>
    </row>
    <row r="48" spans="1:15" hidden="1" x14ac:dyDescent="0.3">
      <c r="A48" t="s">
        <v>365</v>
      </c>
      <c r="B48" t="s">
        <v>244</v>
      </c>
      <c r="C48" t="s">
        <v>243</v>
      </c>
      <c r="D48">
        <v>897</v>
      </c>
      <c r="E48">
        <v>629</v>
      </c>
      <c r="F48">
        <v>1526</v>
      </c>
      <c r="G48">
        <v>765</v>
      </c>
      <c r="H48">
        <v>450</v>
      </c>
      <c r="I48">
        <v>1215</v>
      </c>
      <c r="J48">
        <v>73895</v>
      </c>
      <c r="K48">
        <v>2.0649999999999999</v>
      </c>
      <c r="L48">
        <v>1.6440000000000001</v>
      </c>
      <c r="M48">
        <v>68818</v>
      </c>
      <c r="N48">
        <v>2.2170000000000001</v>
      </c>
      <c r="O48">
        <v>1.766</v>
      </c>
    </row>
    <row r="49" spans="1:15" hidden="1" x14ac:dyDescent="0.3">
      <c r="A49" t="s">
        <v>364</v>
      </c>
      <c r="B49" t="s">
        <v>244</v>
      </c>
      <c r="C49" t="s">
        <v>243</v>
      </c>
      <c r="D49">
        <v>1064</v>
      </c>
      <c r="E49">
        <v>392</v>
      </c>
      <c r="F49">
        <v>1456</v>
      </c>
      <c r="G49">
        <v>882</v>
      </c>
      <c r="H49">
        <v>540</v>
      </c>
      <c r="I49">
        <v>1422</v>
      </c>
      <c r="J49">
        <v>73555</v>
      </c>
      <c r="K49">
        <v>1.9790000000000001</v>
      </c>
      <c r="L49">
        <v>1.9330000000000001</v>
      </c>
      <c r="M49">
        <v>68682</v>
      </c>
      <c r="N49">
        <v>2.12</v>
      </c>
      <c r="O49">
        <v>2.0699999999999998</v>
      </c>
    </row>
    <row r="50" spans="1:15" hidden="1" x14ac:dyDescent="0.3">
      <c r="A50" t="s">
        <v>364</v>
      </c>
      <c r="B50" t="s">
        <v>253</v>
      </c>
      <c r="C50" t="s">
        <v>252</v>
      </c>
      <c r="D50">
        <v>554</v>
      </c>
      <c r="E50">
        <v>307</v>
      </c>
      <c r="F50">
        <v>861</v>
      </c>
      <c r="G50">
        <v>757</v>
      </c>
      <c r="H50">
        <v>209</v>
      </c>
      <c r="I50">
        <v>966</v>
      </c>
      <c r="J50">
        <v>44864</v>
      </c>
      <c r="K50">
        <v>1.919</v>
      </c>
      <c r="L50">
        <v>2.153</v>
      </c>
      <c r="M50">
        <v>44102</v>
      </c>
      <c r="N50">
        <v>1.952</v>
      </c>
      <c r="O50">
        <v>2.19</v>
      </c>
    </row>
    <row r="51" spans="1:15" hidden="1" x14ac:dyDescent="0.3">
      <c r="A51" t="s">
        <v>365</v>
      </c>
      <c r="B51" t="s">
        <v>253</v>
      </c>
      <c r="C51" t="s">
        <v>252</v>
      </c>
      <c r="D51">
        <v>562</v>
      </c>
      <c r="E51">
        <v>539</v>
      </c>
      <c r="F51">
        <v>1101</v>
      </c>
      <c r="G51">
        <v>734</v>
      </c>
      <c r="H51">
        <v>214</v>
      </c>
      <c r="I51">
        <v>948</v>
      </c>
      <c r="J51">
        <v>45281</v>
      </c>
      <c r="K51">
        <v>2.431</v>
      </c>
      <c r="L51">
        <v>2.0939999999999999</v>
      </c>
      <c r="M51">
        <v>44504</v>
      </c>
      <c r="N51">
        <v>2.4740000000000002</v>
      </c>
      <c r="O51">
        <v>2.13</v>
      </c>
    </row>
    <row r="52" spans="1:15" hidden="1" x14ac:dyDescent="0.3">
      <c r="A52" t="s">
        <v>366</v>
      </c>
      <c r="B52" t="s">
        <v>253</v>
      </c>
      <c r="C52" t="s">
        <v>252</v>
      </c>
      <c r="D52">
        <v>662</v>
      </c>
      <c r="E52">
        <v>793</v>
      </c>
      <c r="F52">
        <v>1455</v>
      </c>
      <c r="G52">
        <v>844</v>
      </c>
      <c r="H52">
        <v>248</v>
      </c>
      <c r="I52">
        <v>1092</v>
      </c>
      <c r="J52">
        <v>45678</v>
      </c>
      <c r="K52">
        <v>3.1850000000000001</v>
      </c>
      <c r="L52">
        <v>2.391</v>
      </c>
      <c r="M52">
        <v>45008</v>
      </c>
      <c r="N52">
        <v>3.2330000000000001</v>
      </c>
      <c r="O52">
        <v>2.4260000000000002</v>
      </c>
    </row>
    <row r="53" spans="1:15" hidden="1" x14ac:dyDescent="0.3">
      <c r="A53" t="s">
        <v>341</v>
      </c>
      <c r="B53" t="s">
        <v>253</v>
      </c>
      <c r="C53" t="s">
        <v>252</v>
      </c>
      <c r="D53">
        <v>720</v>
      </c>
      <c r="E53">
        <v>659</v>
      </c>
      <c r="F53">
        <v>1379</v>
      </c>
      <c r="G53">
        <v>857</v>
      </c>
      <c r="H53">
        <v>291</v>
      </c>
      <c r="I53">
        <v>1148</v>
      </c>
      <c r="J53">
        <v>46026</v>
      </c>
      <c r="K53">
        <v>2.996</v>
      </c>
      <c r="L53">
        <v>2.4939999999999998</v>
      </c>
      <c r="M53">
        <v>45350</v>
      </c>
      <c r="N53">
        <v>3.0409999999999999</v>
      </c>
      <c r="O53">
        <v>2.5310000000000001</v>
      </c>
    </row>
    <row r="54" spans="1:15" hidden="1" x14ac:dyDescent="0.3">
      <c r="A54" t="s">
        <v>342</v>
      </c>
      <c r="B54" t="s">
        <v>253</v>
      </c>
      <c r="C54" t="s">
        <v>252</v>
      </c>
      <c r="D54">
        <v>721</v>
      </c>
      <c r="E54">
        <v>684</v>
      </c>
      <c r="F54">
        <v>1405</v>
      </c>
      <c r="G54">
        <v>764</v>
      </c>
      <c r="H54">
        <v>348</v>
      </c>
      <c r="I54">
        <v>1112</v>
      </c>
      <c r="J54">
        <v>46430</v>
      </c>
      <c r="K54">
        <v>3.0259999999999998</v>
      </c>
      <c r="L54">
        <v>2.395</v>
      </c>
      <c r="M54">
        <v>45690</v>
      </c>
      <c r="N54">
        <v>3.0750000000000002</v>
      </c>
      <c r="O54">
        <v>2.4340000000000002</v>
      </c>
    </row>
    <row r="55" spans="1:15" hidden="1" x14ac:dyDescent="0.3">
      <c r="A55" t="s">
        <v>213</v>
      </c>
      <c r="B55" t="s">
        <v>253</v>
      </c>
      <c r="C55" t="s">
        <v>252</v>
      </c>
      <c r="D55">
        <v>653</v>
      </c>
      <c r="E55">
        <v>579</v>
      </c>
      <c r="F55">
        <v>1232</v>
      </c>
      <c r="G55">
        <v>755</v>
      </c>
      <c r="H55">
        <v>285</v>
      </c>
      <c r="I55">
        <v>1040</v>
      </c>
      <c r="J55">
        <v>46721</v>
      </c>
      <c r="K55">
        <v>2.637</v>
      </c>
      <c r="L55">
        <v>2.226</v>
      </c>
      <c r="M55">
        <v>46023</v>
      </c>
      <c r="N55">
        <v>2.677</v>
      </c>
      <c r="O55">
        <v>2.2599999999999998</v>
      </c>
    </row>
    <row r="56" spans="1:15" hidden="1" x14ac:dyDescent="0.3">
      <c r="A56" t="s">
        <v>312</v>
      </c>
      <c r="B56" t="s">
        <v>253</v>
      </c>
      <c r="C56" t="s">
        <v>252</v>
      </c>
      <c r="D56">
        <v>656</v>
      </c>
      <c r="E56">
        <v>662</v>
      </c>
      <c r="F56">
        <v>1318</v>
      </c>
      <c r="G56">
        <v>758</v>
      </c>
      <c r="H56">
        <v>299</v>
      </c>
      <c r="I56">
        <v>1057</v>
      </c>
      <c r="J56">
        <v>46986</v>
      </c>
      <c r="K56">
        <v>2.8050000000000002</v>
      </c>
      <c r="L56">
        <v>2.25</v>
      </c>
      <c r="M56">
        <v>46228</v>
      </c>
      <c r="N56">
        <v>2.851</v>
      </c>
      <c r="O56">
        <v>2.286</v>
      </c>
    </row>
    <row r="57" spans="1:15" hidden="1" x14ac:dyDescent="0.3">
      <c r="A57" t="s">
        <v>318</v>
      </c>
      <c r="B57" t="s">
        <v>253</v>
      </c>
      <c r="C57" t="s">
        <v>252</v>
      </c>
      <c r="D57">
        <v>229</v>
      </c>
      <c r="E57">
        <v>173</v>
      </c>
      <c r="F57">
        <v>402</v>
      </c>
      <c r="G57">
        <v>238</v>
      </c>
      <c r="H57">
        <v>133</v>
      </c>
      <c r="I57">
        <v>371</v>
      </c>
      <c r="J57">
        <v>47251</v>
      </c>
      <c r="K57">
        <v>0.85099999999999998</v>
      </c>
      <c r="L57">
        <v>0.78500000000000003</v>
      </c>
      <c r="M57">
        <v>46563</v>
      </c>
      <c r="N57">
        <v>0.86299999999999999</v>
      </c>
      <c r="O57">
        <v>0.79700000000000004</v>
      </c>
    </row>
    <row r="58" spans="1:15" hidden="1" x14ac:dyDescent="0.3">
      <c r="A58" t="s">
        <v>320</v>
      </c>
      <c r="B58" t="s">
        <v>253</v>
      </c>
      <c r="C58" t="s">
        <v>252</v>
      </c>
      <c r="D58"/>
      <c r="E58"/>
      <c r="F58">
        <v>1279</v>
      </c>
      <c r="G58"/>
      <c r="H58"/>
      <c r="I58"/>
      <c r="J58">
        <v>47549</v>
      </c>
      <c r="K58">
        <v>2.69</v>
      </c>
      <c r="M58">
        <v>46849</v>
      </c>
      <c r="N58">
        <v>2.73</v>
      </c>
    </row>
    <row r="59" spans="1:15" hidden="1" x14ac:dyDescent="0.3">
      <c r="A59" t="s">
        <v>325</v>
      </c>
      <c r="B59" t="s">
        <v>253</v>
      </c>
      <c r="C59" t="s">
        <v>252</v>
      </c>
      <c r="D59"/>
      <c r="E59"/>
      <c r="F59">
        <v>1173</v>
      </c>
      <c r="G59"/>
      <c r="H59"/>
      <c r="I59"/>
      <c r="J59">
        <v>47934</v>
      </c>
      <c r="K59">
        <v>2.4470000000000001</v>
      </c>
      <c r="M59">
        <v>47131</v>
      </c>
      <c r="N59">
        <v>2.4889999999999999</v>
      </c>
    </row>
    <row r="60" spans="1:15" hidden="1" x14ac:dyDescent="0.3">
      <c r="A60" t="s">
        <v>326</v>
      </c>
      <c r="B60" t="s">
        <v>253</v>
      </c>
      <c r="D60">
        <v>166</v>
      </c>
      <c r="E60">
        <v>855</v>
      </c>
      <c r="F60">
        <v>1021</v>
      </c>
      <c r="G60">
        <v>316</v>
      </c>
      <c r="H60">
        <v>101</v>
      </c>
      <c r="I60">
        <v>417</v>
      </c>
      <c r="J60">
        <v>48165</v>
      </c>
      <c r="K60">
        <v>2.12</v>
      </c>
      <c r="L60">
        <v>0.86599999999999999</v>
      </c>
      <c r="M60">
        <v>46610</v>
      </c>
      <c r="N60">
        <v>2.1909999999999998</v>
      </c>
      <c r="O60">
        <v>0.89500000000000002</v>
      </c>
    </row>
    <row r="61" spans="1:15" hidden="1" x14ac:dyDescent="0.3">
      <c r="A61" t="s">
        <v>366</v>
      </c>
      <c r="B61" t="s">
        <v>220</v>
      </c>
      <c r="C61" t="s">
        <v>219</v>
      </c>
      <c r="D61">
        <v>683</v>
      </c>
      <c r="E61">
        <v>1249</v>
      </c>
      <c r="F61">
        <v>1932</v>
      </c>
      <c r="G61">
        <v>648</v>
      </c>
      <c r="H61">
        <v>431</v>
      </c>
      <c r="I61">
        <v>1079</v>
      </c>
      <c r="J61">
        <v>115223</v>
      </c>
      <c r="K61">
        <v>1.677</v>
      </c>
      <c r="L61">
        <v>0.93600000000000005</v>
      </c>
      <c r="M61">
        <v>109631</v>
      </c>
      <c r="N61">
        <v>1.762</v>
      </c>
      <c r="O61">
        <v>0.98399999999999999</v>
      </c>
    </row>
    <row r="62" spans="1:15" hidden="1" x14ac:dyDescent="0.3">
      <c r="A62" t="s">
        <v>341</v>
      </c>
      <c r="B62" t="s">
        <v>220</v>
      </c>
      <c r="C62" t="s">
        <v>219</v>
      </c>
      <c r="D62">
        <v>739</v>
      </c>
      <c r="E62">
        <v>1595</v>
      </c>
      <c r="F62">
        <v>2334</v>
      </c>
      <c r="G62">
        <v>712</v>
      </c>
      <c r="H62">
        <v>510</v>
      </c>
      <c r="I62">
        <v>1222</v>
      </c>
      <c r="J62">
        <v>116421</v>
      </c>
      <c r="K62">
        <v>2.0049999999999999</v>
      </c>
      <c r="L62">
        <v>1.05</v>
      </c>
      <c r="M62">
        <v>110296</v>
      </c>
      <c r="N62">
        <v>2.1160000000000001</v>
      </c>
      <c r="O62">
        <v>1.1080000000000001</v>
      </c>
    </row>
    <row r="63" spans="1:15" hidden="1" x14ac:dyDescent="0.3">
      <c r="A63" t="s">
        <v>342</v>
      </c>
      <c r="B63" t="s">
        <v>220</v>
      </c>
      <c r="C63" t="s">
        <v>219</v>
      </c>
      <c r="D63">
        <v>735</v>
      </c>
      <c r="E63">
        <v>1405</v>
      </c>
      <c r="F63">
        <v>2140</v>
      </c>
      <c r="G63">
        <v>828</v>
      </c>
      <c r="H63">
        <v>451</v>
      </c>
      <c r="I63">
        <v>1279</v>
      </c>
      <c r="J63">
        <v>117363</v>
      </c>
      <c r="K63">
        <v>1.823</v>
      </c>
      <c r="L63">
        <v>1.0900000000000001</v>
      </c>
      <c r="M63">
        <v>110941</v>
      </c>
      <c r="N63">
        <v>1.929</v>
      </c>
      <c r="O63">
        <v>1.153</v>
      </c>
    </row>
    <row r="64" spans="1:15" hidden="1" x14ac:dyDescent="0.3">
      <c r="A64" t="s">
        <v>213</v>
      </c>
      <c r="B64" t="s">
        <v>220</v>
      </c>
      <c r="C64" t="s">
        <v>219</v>
      </c>
      <c r="D64">
        <v>564</v>
      </c>
      <c r="E64">
        <v>1206</v>
      </c>
      <c r="F64">
        <v>1770</v>
      </c>
      <c r="G64">
        <v>618</v>
      </c>
      <c r="H64">
        <v>336</v>
      </c>
      <c r="I64">
        <v>954</v>
      </c>
      <c r="J64">
        <v>118197</v>
      </c>
      <c r="K64">
        <v>1.4969999999999999</v>
      </c>
      <c r="L64">
        <v>0.80700000000000005</v>
      </c>
      <c r="M64">
        <v>111156</v>
      </c>
      <c r="N64">
        <v>1.5920000000000001</v>
      </c>
      <c r="O64">
        <v>0.85799999999999998</v>
      </c>
    </row>
    <row r="65" spans="1:15" hidden="1" x14ac:dyDescent="0.3">
      <c r="A65" t="s">
        <v>364</v>
      </c>
      <c r="B65" t="s">
        <v>220</v>
      </c>
      <c r="C65" t="s">
        <v>219</v>
      </c>
      <c r="D65">
        <v>567</v>
      </c>
      <c r="E65">
        <v>789</v>
      </c>
      <c r="F65">
        <v>1356</v>
      </c>
      <c r="G65">
        <v>497</v>
      </c>
      <c r="H65">
        <v>391</v>
      </c>
      <c r="I65">
        <v>888</v>
      </c>
      <c r="J65">
        <v>112867</v>
      </c>
      <c r="K65">
        <v>1.2010000000000001</v>
      </c>
      <c r="L65">
        <v>0.78700000000000003</v>
      </c>
      <c r="M65">
        <v>107128</v>
      </c>
      <c r="N65">
        <v>1.266</v>
      </c>
      <c r="O65">
        <v>0.82899999999999996</v>
      </c>
    </row>
    <row r="66" spans="1:15" hidden="1" x14ac:dyDescent="0.3">
      <c r="A66" t="s">
        <v>312</v>
      </c>
      <c r="B66" t="s">
        <v>220</v>
      </c>
      <c r="C66" t="s">
        <v>219</v>
      </c>
      <c r="D66">
        <v>699</v>
      </c>
      <c r="E66">
        <v>1579</v>
      </c>
      <c r="F66">
        <v>2278</v>
      </c>
      <c r="G66">
        <v>731</v>
      </c>
      <c r="H66">
        <v>413</v>
      </c>
      <c r="I66">
        <v>1144</v>
      </c>
      <c r="J66">
        <v>119196</v>
      </c>
      <c r="K66">
        <v>1.911</v>
      </c>
      <c r="L66">
        <v>0.96</v>
      </c>
      <c r="M66">
        <v>112114</v>
      </c>
      <c r="N66">
        <v>2.032</v>
      </c>
      <c r="O66">
        <v>1.02</v>
      </c>
    </row>
    <row r="67" spans="1:15" hidden="1" x14ac:dyDescent="0.3">
      <c r="A67" t="s">
        <v>318</v>
      </c>
      <c r="B67" t="s">
        <v>220</v>
      </c>
      <c r="C67" t="s">
        <v>219</v>
      </c>
      <c r="D67">
        <v>127</v>
      </c>
      <c r="E67">
        <v>310</v>
      </c>
      <c r="F67">
        <v>437</v>
      </c>
      <c r="G67">
        <v>150</v>
      </c>
      <c r="H67">
        <v>76</v>
      </c>
      <c r="I67">
        <v>226</v>
      </c>
      <c r="J67">
        <v>119854</v>
      </c>
      <c r="K67">
        <v>0.36499999999999999</v>
      </c>
      <c r="L67">
        <v>0.189</v>
      </c>
      <c r="M67">
        <v>112713</v>
      </c>
      <c r="N67">
        <v>0.38800000000000001</v>
      </c>
      <c r="O67">
        <v>0.20100000000000001</v>
      </c>
    </row>
    <row r="68" spans="1:15" hidden="1" x14ac:dyDescent="0.3">
      <c r="A68" t="s">
        <v>320</v>
      </c>
      <c r="B68" t="s">
        <v>220</v>
      </c>
      <c r="C68" t="s">
        <v>219</v>
      </c>
      <c r="D68"/>
      <c r="E68"/>
      <c r="F68">
        <v>1319</v>
      </c>
      <c r="G68"/>
      <c r="H68"/>
      <c r="I68"/>
      <c r="J68">
        <v>120682</v>
      </c>
      <c r="K68">
        <v>1.093</v>
      </c>
      <c r="M68">
        <v>113861</v>
      </c>
      <c r="N68">
        <v>1.1579999999999999</v>
      </c>
    </row>
    <row r="69" spans="1:15" hidden="1" x14ac:dyDescent="0.3">
      <c r="A69" t="s">
        <v>325</v>
      </c>
      <c r="B69" t="s">
        <v>220</v>
      </c>
      <c r="C69" t="s">
        <v>219</v>
      </c>
      <c r="D69"/>
      <c r="E69"/>
      <c r="F69">
        <v>1211</v>
      </c>
      <c r="G69"/>
      <c r="H69"/>
      <c r="I69"/>
      <c r="J69">
        <v>121610</v>
      </c>
      <c r="K69">
        <v>0.996</v>
      </c>
      <c r="M69">
        <v>114897</v>
      </c>
      <c r="N69">
        <v>1.054</v>
      </c>
    </row>
    <row r="70" spans="1:15" hidden="1" x14ac:dyDescent="0.3">
      <c r="A70" t="s">
        <v>326</v>
      </c>
      <c r="B70" t="s">
        <v>220</v>
      </c>
      <c r="D70">
        <v>108</v>
      </c>
      <c r="E70">
        <v>1156</v>
      </c>
      <c r="F70">
        <v>1264</v>
      </c>
      <c r="G70">
        <v>253</v>
      </c>
      <c r="H70">
        <v>62</v>
      </c>
      <c r="I70">
        <v>315</v>
      </c>
      <c r="J70">
        <v>122524</v>
      </c>
      <c r="K70">
        <v>1.032</v>
      </c>
      <c r="L70">
        <v>0.25700000000000001</v>
      </c>
      <c r="M70">
        <v>116807</v>
      </c>
      <c r="N70">
        <v>1.0820000000000001</v>
      </c>
      <c r="O70">
        <v>0.27</v>
      </c>
    </row>
    <row r="71" spans="1:15" hidden="1" x14ac:dyDescent="0.3">
      <c r="A71" t="s">
        <v>326</v>
      </c>
      <c r="B71" t="s">
        <v>220</v>
      </c>
      <c r="D71">
        <v>108</v>
      </c>
      <c r="E71">
        <v>1156</v>
      </c>
      <c r="F71">
        <v>1264</v>
      </c>
      <c r="G71">
        <v>253</v>
      </c>
      <c r="H71">
        <v>62</v>
      </c>
      <c r="I71">
        <v>315</v>
      </c>
      <c r="J71">
        <v>124154</v>
      </c>
      <c r="K71">
        <v>1.018</v>
      </c>
      <c r="L71">
        <v>0.254</v>
      </c>
      <c r="M71">
        <v>116807</v>
      </c>
      <c r="N71">
        <v>1.0820000000000001</v>
      </c>
      <c r="O71">
        <v>0.27</v>
      </c>
    </row>
    <row r="72" spans="1:15" hidden="1" x14ac:dyDescent="0.3">
      <c r="A72" t="s">
        <v>365</v>
      </c>
      <c r="B72" t="s">
        <v>220</v>
      </c>
      <c r="C72" t="s">
        <v>219</v>
      </c>
      <c r="D72">
        <v>617</v>
      </c>
      <c r="E72">
        <v>831</v>
      </c>
      <c r="F72">
        <v>1448</v>
      </c>
      <c r="G72">
        <v>609</v>
      </c>
      <c r="H72">
        <v>394</v>
      </c>
      <c r="I72">
        <v>1003</v>
      </c>
      <c r="J72">
        <v>114086</v>
      </c>
      <c r="K72">
        <v>1.2690000000000001</v>
      </c>
      <c r="L72">
        <v>0.879</v>
      </c>
      <c r="M72">
        <v>108381</v>
      </c>
      <c r="N72">
        <v>1.3360000000000001</v>
      </c>
      <c r="O72">
        <v>0.92500000000000004</v>
      </c>
    </row>
    <row r="73" spans="1:15" hidden="1" x14ac:dyDescent="0.3">
      <c r="A73" t="s">
        <v>326</v>
      </c>
      <c r="B73" t="s">
        <v>292</v>
      </c>
      <c r="D73">
        <v>31</v>
      </c>
      <c r="E73">
        <v>175</v>
      </c>
      <c r="F73">
        <v>206</v>
      </c>
      <c r="G73">
        <v>95</v>
      </c>
      <c r="H73">
        <v>16</v>
      </c>
      <c r="I73">
        <v>111</v>
      </c>
      <c r="J73">
        <v>11896</v>
      </c>
      <c r="K73">
        <v>1.732</v>
      </c>
      <c r="L73">
        <v>0.93300000000000005</v>
      </c>
      <c r="M73">
        <v>10811</v>
      </c>
      <c r="N73">
        <v>1.905</v>
      </c>
      <c r="O73">
        <v>1.0269999999999999</v>
      </c>
    </row>
    <row r="74" spans="1:15" hidden="1" x14ac:dyDescent="0.3">
      <c r="A74" t="s">
        <v>326</v>
      </c>
      <c r="B74" t="s">
        <v>292</v>
      </c>
      <c r="D74">
        <v>31</v>
      </c>
      <c r="E74">
        <v>175</v>
      </c>
      <c r="F74">
        <v>206</v>
      </c>
      <c r="G74">
        <v>95</v>
      </c>
      <c r="H74">
        <v>16</v>
      </c>
      <c r="I74">
        <v>111</v>
      </c>
      <c r="J74">
        <v>11719</v>
      </c>
      <c r="K74">
        <v>1.758</v>
      </c>
      <c r="L74">
        <v>0.94699999999999995</v>
      </c>
      <c r="M74">
        <v>10811</v>
      </c>
      <c r="N74">
        <v>1.905</v>
      </c>
      <c r="O74">
        <v>1.0269999999999999</v>
      </c>
    </row>
    <row r="75" spans="1:15" hidden="1" x14ac:dyDescent="0.3">
      <c r="A75" t="s">
        <v>325</v>
      </c>
      <c r="B75" t="s">
        <v>292</v>
      </c>
      <c r="C75" t="s">
        <v>291</v>
      </c>
      <c r="D75"/>
      <c r="E75"/>
      <c r="F75">
        <v>148</v>
      </c>
      <c r="G75"/>
      <c r="H75"/>
      <c r="I75"/>
      <c r="J75">
        <v>11618</v>
      </c>
      <c r="K75">
        <v>1.274</v>
      </c>
      <c r="M75">
        <v>10799</v>
      </c>
      <c r="N75">
        <v>1.37</v>
      </c>
    </row>
    <row r="76" spans="1:15" hidden="1" x14ac:dyDescent="0.3">
      <c r="A76" t="s">
        <v>320</v>
      </c>
      <c r="B76" t="s">
        <v>292</v>
      </c>
      <c r="C76" t="s">
        <v>291</v>
      </c>
      <c r="D76"/>
      <c r="E76"/>
      <c r="F76">
        <v>209</v>
      </c>
      <c r="G76"/>
      <c r="H76"/>
      <c r="I76"/>
      <c r="J76">
        <v>11475</v>
      </c>
      <c r="K76">
        <v>1.821</v>
      </c>
      <c r="M76">
        <v>10758</v>
      </c>
      <c r="N76">
        <v>1.9430000000000001</v>
      </c>
    </row>
    <row r="77" spans="1:15" hidden="1" x14ac:dyDescent="0.3">
      <c r="A77" t="s">
        <v>318</v>
      </c>
      <c r="B77" t="s">
        <v>292</v>
      </c>
      <c r="C77" t="s">
        <v>291</v>
      </c>
      <c r="D77">
        <v>35</v>
      </c>
      <c r="E77">
        <v>35</v>
      </c>
      <c r="F77">
        <v>70</v>
      </c>
      <c r="G77">
        <v>45</v>
      </c>
      <c r="H77">
        <v>39</v>
      </c>
      <c r="I77">
        <v>84</v>
      </c>
      <c r="J77">
        <v>11391</v>
      </c>
      <c r="K77">
        <v>0.61499999999999999</v>
      </c>
      <c r="L77">
        <v>0.73699999999999999</v>
      </c>
      <c r="M77">
        <v>10635</v>
      </c>
      <c r="N77">
        <v>0.65800000000000003</v>
      </c>
      <c r="O77">
        <v>0.79</v>
      </c>
    </row>
    <row r="78" spans="1:15" hidden="1" x14ac:dyDescent="0.3">
      <c r="A78" t="s">
        <v>312</v>
      </c>
      <c r="B78" t="s">
        <v>292</v>
      </c>
      <c r="C78" t="s">
        <v>291</v>
      </c>
      <c r="D78">
        <v>122</v>
      </c>
      <c r="E78">
        <v>237</v>
      </c>
      <c r="F78">
        <v>359</v>
      </c>
      <c r="G78">
        <v>127</v>
      </c>
      <c r="H78">
        <v>84</v>
      </c>
      <c r="I78">
        <v>211</v>
      </c>
      <c r="J78">
        <v>11322</v>
      </c>
      <c r="K78">
        <v>3.1709999999999998</v>
      </c>
      <c r="L78">
        <v>1.8639999999999999</v>
      </c>
      <c r="M78">
        <v>10589</v>
      </c>
      <c r="N78">
        <v>3.39</v>
      </c>
      <c r="O78">
        <v>1.9929999999999999</v>
      </c>
    </row>
    <row r="79" spans="1:15" hidden="1" x14ac:dyDescent="0.3">
      <c r="A79" t="s">
        <v>364</v>
      </c>
      <c r="B79" t="s">
        <v>292</v>
      </c>
      <c r="C79" t="s">
        <v>291</v>
      </c>
      <c r="D79">
        <v>115</v>
      </c>
      <c r="E79">
        <v>150</v>
      </c>
      <c r="F79">
        <v>265</v>
      </c>
      <c r="G79">
        <v>183</v>
      </c>
      <c r="H79">
        <v>64</v>
      </c>
      <c r="I79">
        <v>247</v>
      </c>
      <c r="J79">
        <v>10717</v>
      </c>
      <c r="K79">
        <v>2.4729999999999999</v>
      </c>
      <c r="L79">
        <v>2.3050000000000002</v>
      </c>
      <c r="M79">
        <v>9945</v>
      </c>
      <c r="N79">
        <v>2.665</v>
      </c>
      <c r="O79">
        <v>2.484</v>
      </c>
    </row>
    <row r="80" spans="1:15" hidden="1" x14ac:dyDescent="0.3">
      <c r="A80" t="s">
        <v>213</v>
      </c>
      <c r="B80" t="s">
        <v>292</v>
      </c>
      <c r="C80" t="s">
        <v>291</v>
      </c>
      <c r="D80">
        <v>96</v>
      </c>
      <c r="E80">
        <v>194</v>
      </c>
      <c r="F80">
        <v>290</v>
      </c>
      <c r="G80">
        <v>82</v>
      </c>
      <c r="H80">
        <v>85</v>
      </c>
      <c r="I80">
        <v>167</v>
      </c>
      <c r="J80">
        <v>11261</v>
      </c>
      <c r="K80">
        <v>2.5750000000000002</v>
      </c>
      <c r="L80">
        <v>1.4830000000000001</v>
      </c>
      <c r="M80">
        <v>10506</v>
      </c>
      <c r="N80">
        <v>2.76</v>
      </c>
      <c r="O80">
        <v>1.5899999999999999</v>
      </c>
    </row>
    <row r="81" spans="1:15" hidden="1" x14ac:dyDescent="0.3">
      <c r="A81" t="s">
        <v>365</v>
      </c>
      <c r="B81" t="s">
        <v>292</v>
      </c>
      <c r="C81" t="s">
        <v>291</v>
      </c>
      <c r="D81">
        <v>87</v>
      </c>
      <c r="E81">
        <v>161</v>
      </c>
      <c r="F81">
        <v>248</v>
      </c>
      <c r="G81">
        <v>64</v>
      </c>
      <c r="H81">
        <v>81</v>
      </c>
      <c r="I81">
        <v>145</v>
      </c>
      <c r="J81">
        <v>10816</v>
      </c>
      <c r="K81">
        <v>2.2930000000000001</v>
      </c>
      <c r="L81">
        <v>1.341</v>
      </c>
      <c r="M81">
        <v>10042</v>
      </c>
      <c r="N81">
        <v>2.4699999999999998</v>
      </c>
      <c r="O81">
        <v>1.444</v>
      </c>
    </row>
    <row r="82" spans="1:15" hidden="1" x14ac:dyDescent="0.3">
      <c r="A82" t="s">
        <v>342</v>
      </c>
      <c r="B82" t="s">
        <v>292</v>
      </c>
      <c r="C82" t="s">
        <v>291</v>
      </c>
      <c r="D82">
        <v>126</v>
      </c>
      <c r="E82">
        <v>250</v>
      </c>
      <c r="F82">
        <v>376</v>
      </c>
      <c r="G82">
        <v>88</v>
      </c>
      <c r="H82">
        <v>105</v>
      </c>
      <c r="I82">
        <v>193</v>
      </c>
      <c r="J82">
        <v>11192</v>
      </c>
      <c r="K82">
        <v>3.36</v>
      </c>
      <c r="L82">
        <v>1.724</v>
      </c>
      <c r="M82">
        <v>10385</v>
      </c>
      <c r="N82">
        <v>3.621</v>
      </c>
      <c r="O82">
        <v>1.8580000000000001</v>
      </c>
    </row>
    <row r="83" spans="1:15" hidden="1" x14ac:dyDescent="0.3">
      <c r="A83" t="s">
        <v>341</v>
      </c>
      <c r="B83" t="s">
        <v>292</v>
      </c>
      <c r="C83" t="s">
        <v>291</v>
      </c>
      <c r="D83">
        <v>116</v>
      </c>
      <c r="E83">
        <v>272</v>
      </c>
      <c r="F83">
        <v>388</v>
      </c>
      <c r="G83">
        <v>90</v>
      </c>
      <c r="H83">
        <v>90</v>
      </c>
      <c r="I83">
        <v>180</v>
      </c>
      <c r="J83">
        <v>11063</v>
      </c>
      <c r="K83">
        <v>3.5070000000000001</v>
      </c>
      <c r="L83">
        <v>1.627</v>
      </c>
      <c r="M83">
        <v>10256</v>
      </c>
      <c r="N83">
        <v>3.7829999999999999</v>
      </c>
      <c r="O83">
        <v>1.7549999999999999</v>
      </c>
    </row>
    <row r="84" spans="1:15" hidden="1" x14ac:dyDescent="0.3">
      <c r="A84" t="s">
        <v>366</v>
      </c>
      <c r="B84" t="s">
        <v>292</v>
      </c>
      <c r="C84" t="s">
        <v>291</v>
      </c>
      <c r="D84">
        <v>134</v>
      </c>
      <c r="E84">
        <v>192</v>
      </c>
      <c r="F84">
        <v>326</v>
      </c>
      <c r="G84">
        <v>109</v>
      </c>
      <c r="H84">
        <v>92</v>
      </c>
      <c r="I84">
        <v>201</v>
      </c>
      <c r="J84">
        <v>10924</v>
      </c>
      <c r="K84">
        <v>2.984</v>
      </c>
      <c r="L84">
        <v>1.8399999999999999</v>
      </c>
      <c r="M84">
        <v>10146</v>
      </c>
      <c r="N84">
        <v>3.2130000000000001</v>
      </c>
      <c r="O84">
        <v>1.9809999999999999</v>
      </c>
    </row>
    <row r="85" spans="1:15" hidden="1" x14ac:dyDescent="0.3">
      <c r="A85" t="s">
        <v>366</v>
      </c>
      <c r="B85" t="s">
        <v>294</v>
      </c>
      <c r="C85" t="s">
        <v>293</v>
      </c>
      <c r="D85">
        <v>443</v>
      </c>
      <c r="E85">
        <v>1554</v>
      </c>
      <c r="F85">
        <v>1997</v>
      </c>
      <c r="G85">
        <v>437</v>
      </c>
      <c r="H85">
        <v>234</v>
      </c>
      <c r="I85">
        <v>671</v>
      </c>
      <c r="J85">
        <v>70828</v>
      </c>
      <c r="K85">
        <v>2.82</v>
      </c>
      <c r="L85">
        <v>0.94699999999999995</v>
      </c>
      <c r="M85">
        <v>66545</v>
      </c>
      <c r="N85">
        <v>3.0009999999999999</v>
      </c>
      <c r="O85">
        <v>1.008</v>
      </c>
    </row>
    <row r="86" spans="1:15" hidden="1" x14ac:dyDescent="0.3">
      <c r="A86" t="s">
        <v>341</v>
      </c>
      <c r="B86" t="s">
        <v>294</v>
      </c>
      <c r="C86" t="s">
        <v>293</v>
      </c>
      <c r="D86">
        <v>466</v>
      </c>
      <c r="E86">
        <v>1489</v>
      </c>
      <c r="F86">
        <v>1955</v>
      </c>
      <c r="G86">
        <v>375</v>
      </c>
      <c r="H86">
        <v>285</v>
      </c>
      <c r="I86">
        <v>660</v>
      </c>
      <c r="J86">
        <v>71347</v>
      </c>
      <c r="K86">
        <v>2.74</v>
      </c>
      <c r="L86">
        <v>0.92500000000000004</v>
      </c>
      <c r="M86">
        <v>67101</v>
      </c>
      <c r="N86">
        <v>2.9140000000000001</v>
      </c>
      <c r="O86">
        <v>0.98399999999999999</v>
      </c>
    </row>
    <row r="87" spans="1:15" hidden="1" x14ac:dyDescent="0.3">
      <c r="A87" t="s">
        <v>342</v>
      </c>
      <c r="B87" t="s">
        <v>294</v>
      </c>
      <c r="C87" t="s">
        <v>293</v>
      </c>
      <c r="D87">
        <v>484</v>
      </c>
      <c r="E87">
        <v>1014</v>
      </c>
      <c r="F87">
        <v>1498</v>
      </c>
      <c r="G87">
        <v>451</v>
      </c>
      <c r="H87">
        <v>265</v>
      </c>
      <c r="I87">
        <v>716</v>
      </c>
      <c r="J87">
        <v>71810</v>
      </c>
      <c r="K87">
        <v>2.0859999999999999</v>
      </c>
      <c r="L87">
        <v>0.997</v>
      </c>
      <c r="M87">
        <v>67618</v>
      </c>
      <c r="N87">
        <v>2.2149999999999999</v>
      </c>
      <c r="O87">
        <v>1.0589999999999999</v>
      </c>
    </row>
    <row r="88" spans="1:15" hidden="1" x14ac:dyDescent="0.3">
      <c r="A88" t="s">
        <v>365</v>
      </c>
      <c r="B88" t="s">
        <v>294</v>
      </c>
      <c r="C88" t="s">
        <v>293</v>
      </c>
      <c r="D88">
        <v>635</v>
      </c>
      <c r="E88">
        <v>1787</v>
      </c>
      <c r="F88">
        <v>2422</v>
      </c>
      <c r="G88">
        <v>628</v>
      </c>
      <c r="H88">
        <v>319</v>
      </c>
      <c r="I88">
        <v>947</v>
      </c>
      <c r="J88">
        <v>70312</v>
      </c>
      <c r="K88">
        <v>3.4449999999999998</v>
      </c>
      <c r="L88">
        <v>1.347</v>
      </c>
      <c r="M88">
        <v>66035</v>
      </c>
      <c r="N88">
        <v>3.6680000000000001</v>
      </c>
      <c r="O88">
        <v>1.4339999999999999</v>
      </c>
    </row>
    <row r="89" spans="1:15" hidden="1" x14ac:dyDescent="0.3">
      <c r="A89" t="s">
        <v>213</v>
      </c>
      <c r="B89" t="s">
        <v>294</v>
      </c>
      <c r="C89" t="s">
        <v>293</v>
      </c>
      <c r="D89">
        <v>385</v>
      </c>
      <c r="E89">
        <v>1084</v>
      </c>
      <c r="F89">
        <v>1469</v>
      </c>
      <c r="G89">
        <v>357</v>
      </c>
      <c r="H89">
        <v>249</v>
      </c>
      <c r="I89">
        <v>606</v>
      </c>
      <c r="J89">
        <v>72441</v>
      </c>
      <c r="K89">
        <v>2.028</v>
      </c>
      <c r="L89">
        <v>0.83699999999999997</v>
      </c>
      <c r="M89">
        <v>68196</v>
      </c>
      <c r="N89">
        <v>2.1539999999999999</v>
      </c>
      <c r="O89">
        <v>0.88900000000000001</v>
      </c>
    </row>
    <row r="90" spans="1:15" hidden="1" x14ac:dyDescent="0.3">
      <c r="A90" t="s">
        <v>364</v>
      </c>
      <c r="B90" t="s">
        <v>294</v>
      </c>
      <c r="C90" t="s">
        <v>293</v>
      </c>
      <c r="D90">
        <v>922</v>
      </c>
      <c r="E90">
        <v>3441</v>
      </c>
      <c r="F90">
        <v>4363</v>
      </c>
      <c r="G90">
        <v>890</v>
      </c>
      <c r="H90">
        <v>524</v>
      </c>
      <c r="I90">
        <v>1414</v>
      </c>
      <c r="J90">
        <v>69923</v>
      </c>
      <c r="K90">
        <v>6.24</v>
      </c>
      <c r="L90">
        <v>2.0219999999999998</v>
      </c>
      <c r="M90">
        <v>65616</v>
      </c>
      <c r="N90">
        <v>6.649</v>
      </c>
      <c r="O90">
        <v>2.1549999999999998</v>
      </c>
    </row>
    <row r="91" spans="1:15" hidden="1" x14ac:dyDescent="0.3">
      <c r="A91" t="s">
        <v>312</v>
      </c>
      <c r="B91" t="s">
        <v>294</v>
      </c>
      <c r="C91" t="s">
        <v>293</v>
      </c>
      <c r="D91">
        <v>389</v>
      </c>
      <c r="E91">
        <v>1165</v>
      </c>
      <c r="F91">
        <v>1554</v>
      </c>
      <c r="G91">
        <v>403</v>
      </c>
      <c r="H91">
        <v>198</v>
      </c>
      <c r="I91">
        <v>601</v>
      </c>
      <c r="J91">
        <v>73267</v>
      </c>
      <c r="K91">
        <v>2.121</v>
      </c>
      <c r="L91">
        <v>0.82</v>
      </c>
      <c r="M91">
        <v>69003</v>
      </c>
      <c r="N91">
        <v>2.2519999999999998</v>
      </c>
      <c r="O91">
        <v>0.871</v>
      </c>
    </row>
    <row r="92" spans="1:15" hidden="1" x14ac:dyDescent="0.3">
      <c r="A92" t="s">
        <v>318</v>
      </c>
      <c r="B92" t="s">
        <v>294</v>
      </c>
      <c r="C92" t="s">
        <v>293</v>
      </c>
      <c r="D92">
        <v>166</v>
      </c>
      <c r="E92">
        <v>375</v>
      </c>
      <c r="F92">
        <v>541</v>
      </c>
      <c r="G92">
        <v>186</v>
      </c>
      <c r="H92">
        <v>102</v>
      </c>
      <c r="I92">
        <v>288</v>
      </c>
      <c r="J92">
        <v>73775</v>
      </c>
      <c r="K92">
        <v>0.73299999999999998</v>
      </c>
      <c r="L92">
        <v>0.39</v>
      </c>
      <c r="M92">
        <v>69432</v>
      </c>
      <c r="N92">
        <v>0.77900000000000003</v>
      </c>
      <c r="O92">
        <v>0.41499999999999998</v>
      </c>
    </row>
    <row r="93" spans="1:15" hidden="1" x14ac:dyDescent="0.3">
      <c r="A93" t="s">
        <v>320</v>
      </c>
      <c r="B93" t="s">
        <v>294</v>
      </c>
      <c r="C93" t="s">
        <v>293</v>
      </c>
      <c r="D93"/>
      <c r="E93"/>
      <c r="F93">
        <v>849</v>
      </c>
      <c r="G93"/>
      <c r="H93"/>
      <c r="I93"/>
      <c r="J93">
        <v>74589</v>
      </c>
      <c r="K93">
        <v>1.1379999999999999</v>
      </c>
      <c r="M93">
        <v>70315</v>
      </c>
      <c r="N93">
        <v>1.2070000000000001</v>
      </c>
    </row>
    <row r="94" spans="1:15" hidden="1" x14ac:dyDescent="0.3">
      <c r="A94" t="s">
        <v>325</v>
      </c>
      <c r="B94" t="s">
        <v>294</v>
      </c>
      <c r="C94" t="s">
        <v>293</v>
      </c>
      <c r="D94"/>
      <c r="E94"/>
      <c r="F94">
        <v>890</v>
      </c>
      <c r="G94"/>
      <c r="H94"/>
      <c r="I94"/>
      <c r="J94">
        <v>75321</v>
      </c>
      <c r="K94">
        <v>1.1819999999999999</v>
      </c>
      <c r="M94">
        <v>71103</v>
      </c>
      <c r="N94">
        <v>1.252</v>
      </c>
    </row>
    <row r="95" spans="1:15" hidden="1" x14ac:dyDescent="0.3">
      <c r="A95" t="s">
        <v>326</v>
      </c>
      <c r="B95" t="s">
        <v>294</v>
      </c>
      <c r="D95">
        <v>110</v>
      </c>
      <c r="E95">
        <v>642</v>
      </c>
      <c r="F95">
        <v>752</v>
      </c>
      <c r="G95">
        <v>258</v>
      </c>
      <c r="H95">
        <v>52</v>
      </c>
      <c r="I95">
        <v>310</v>
      </c>
      <c r="J95">
        <v>76136</v>
      </c>
      <c r="K95">
        <v>0.98799999999999999</v>
      </c>
      <c r="L95">
        <v>0.40699999999999997</v>
      </c>
      <c r="M95">
        <v>70837</v>
      </c>
      <c r="N95">
        <v>1.0620000000000001</v>
      </c>
      <c r="O95">
        <v>0.438</v>
      </c>
    </row>
    <row r="96" spans="1:15" hidden="1" x14ac:dyDescent="0.3">
      <c r="A96" t="s">
        <v>326</v>
      </c>
      <c r="B96" t="s">
        <v>294</v>
      </c>
      <c r="D96">
        <v>110</v>
      </c>
      <c r="E96">
        <v>642</v>
      </c>
      <c r="F96">
        <v>752</v>
      </c>
      <c r="G96">
        <v>258</v>
      </c>
      <c r="H96">
        <v>52</v>
      </c>
      <c r="I96">
        <v>310</v>
      </c>
      <c r="J96">
        <v>77337</v>
      </c>
      <c r="K96">
        <v>0.97199999999999998</v>
      </c>
      <c r="L96">
        <v>0.40100000000000002</v>
      </c>
      <c r="M96">
        <v>70837</v>
      </c>
      <c r="N96">
        <v>1.0620000000000001</v>
      </c>
      <c r="O96">
        <v>0.438</v>
      </c>
    </row>
    <row r="97" spans="1:15" hidden="1" x14ac:dyDescent="0.3">
      <c r="A97" t="s">
        <v>213</v>
      </c>
      <c r="B97" t="s">
        <v>302</v>
      </c>
      <c r="C97" t="s">
        <v>301</v>
      </c>
      <c r="D97">
        <v>437</v>
      </c>
      <c r="E97">
        <v>687</v>
      </c>
      <c r="F97">
        <v>1124</v>
      </c>
      <c r="G97">
        <v>531</v>
      </c>
      <c r="H97">
        <v>204</v>
      </c>
      <c r="I97">
        <v>735</v>
      </c>
      <c r="J97">
        <v>55486</v>
      </c>
      <c r="K97">
        <v>2.0259999999999998</v>
      </c>
      <c r="L97">
        <v>1.325</v>
      </c>
      <c r="M97">
        <v>52281</v>
      </c>
      <c r="N97">
        <v>2.15</v>
      </c>
      <c r="O97">
        <v>1.4060000000000001</v>
      </c>
    </row>
    <row r="98" spans="1:15" hidden="1" x14ac:dyDescent="0.3">
      <c r="A98" t="s">
        <v>326</v>
      </c>
      <c r="B98" t="s">
        <v>302</v>
      </c>
      <c r="D98">
        <v>161</v>
      </c>
      <c r="E98">
        <v>529</v>
      </c>
      <c r="F98">
        <v>690</v>
      </c>
      <c r="G98">
        <v>302</v>
      </c>
      <c r="H98">
        <v>110</v>
      </c>
      <c r="I98">
        <v>412</v>
      </c>
      <c r="J98">
        <v>57312</v>
      </c>
      <c r="K98">
        <v>1.204</v>
      </c>
      <c r="L98">
        <v>0.71899999999999997</v>
      </c>
      <c r="M98">
        <v>52851</v>
      </c>
      <c r="N98">
        <v>1.306</v>
      </c>
      <c r="O98">
        <v>0.78</v>
      </c>
    </row>
    <row r="99" spans="1:15" hidden="1" x14ac:dyDescent="0.3">
      <c r="A99" t="s">
        <v>326</v>
      </c>
      <c r="B99" t="s">
        <v>302</v>
      </c>
      <c r="D99">
        <v>161</v>
      </c>
      <c r="E99">
        <v>529</v>
      </c>
      <c r="F99">
        <v>690</v>
      </c>
      <c r="G99">
        <v>302</v>
      </c>
      <c r="H99">
        <v>110</v>
      </c>
      <c r="I99">
        <v>412</v>
      </c>
      <c r="J99">
        <v>56697</v>
      </c>
      <c r="K99">
        <v>1.2170000000000001</v>
      </c>
      <c r="L99">
        <v>0.72699999999999998</v>
      </c>
      <c r="M99">
        <v>52851</v>
      </c>
      <c r="N99">
        <v>1.306</v>
      </c>
      <c r="O99">
        <v>0.78</v>
      </c>
    </row>
    <row r="100" spans="1:15" hidden="1" x14ac:dyDescent="0.3">
      <c r="A100" t="s">
        <v>325</v>
      </c>
      <c r="B100" t="s">
        <v>302</v>
      </c>
      <c r="C100" t="s">
        <v>301</v>
      </c>
      <c r="D100"/>
      <c r="E100"/>
      <c r="F100">
        <v>675</v>
      </c>
      <c r="G100"/>
      <c r="H100"/>
      <c r="I100"/>
      <c r="J100">
        <v>56453</v>
      </c>
      <c r="K100">
        <v>1.196</v>
      </c>
      <c r="M100">
        <v>52920</v>
      </c>
      <c r="N100">
        <v>1.276</v>
      </c>
    </row>
    <row r="101" spans="1:15" hidden="1" x14ac:dyDescent="0.3">
      <c r="A101" t="s">
        <v>320</v>
      </c>
      <c r="B101" t="s">
        <v>302</v>
      </c>
      <c r="C101" t="s">
        <v>301</v>
      </c>
      <c r="D101"/>
      <c r="E101"/>
      <c r="F101">
        <v>834</v>
      </c>
      <c r="G101"/>
      <c r="H101"/>
      <c r="I101"/>
      <c r="J101">
        <v>56016</v>
      </c>
      <c r="K101">
        <v>1.4889999999999999</v>
      </c>
      <c r="M101">
        <v>52753</v>
      </c>
      <c r="N101">
        <v>1.581</v>
      </c>
    </row>
    <row r="102" spans="1:15" hidden="1" x14ac:dyDescent="0.3">
      <c r="A102" t="s">
        <v>318</v>
      </c>
      <c r="B102" t="s">
        <v>302</v>
      </c>
      <c r="C102" t="s">
        <v>301</v>
      </c>
      <c r="D102">
        <v>130</v>
      </c>
      <c r="E102">
        <v>263</v>
      </c>
      <c r="F102">
        <v>393</v>
      </c>
      <c r="G102">
        <v>197</v>
      </c>
      <c r="H102">
        <v>53</v>
      </c>
      <c r="I102">
        <v>250</v>
      </c>
      <c r="J102">
        <v>55793</v>
      </c>
      <c r="K102">
        <v>0.70399999999999996</v>
      </c>
      <c r="L102">
        <v>0.44800000000000001</v>
      </c>
      <c r="M102">
        <v>52571</v>
      </c>
      <c r="N102">
        <v>0.748</v>
      </c>
      <c r="O102">
        <v>0.47599999999999998</v>
      </c>
    </row>
    <row r="103" spans="1:15" hidden="1" x14ac:dyDescent="0.3">
      <c r="A103" t="s">
        <v>312</v>
      </c>
      <c r="B103" t="s">
        <v>302</v>
      </c>
      <c r="C103" t="s">
        <v>301</v>
      </c>
      <c r="D103">
        <v>413</v>
      </c>
      <c r="E103">
        <v>588</v>
      </c>
      <c r="F103">
        <v>1001</v>
      </c>
      <c r="G103">
        <v>525</v>
      </c>
      <c r="H103">
        <v>185</v>
      </c>
      <c r="I103">
        <v>710</v>
      </c>
      <c r="J103">
        <v>55668</v>
      </c>
      <c r="K103">
        <v>1.798</v>
      </c>
      <c r="L103">
        <v>1.2749999999999999</v>
      </c>
      <c r="M103">
        <v>52588</v>
      </c>
      <c r="N103">
        <v>1.903</v>
      </c>
      <c r="O103">
        <v>1.35</v>
      </c>
    </row>
    <row r="104" spans="1:15" hidden="1" x14ac:dyDescent="0.3">
      <c r="A104" t="s">
        <v>364</v>
      </c>
      <c r="B104" t="s">
        <v>302</v>
      </c>
      <c r="C104" t="s">
        <v>301</v>
      </c>
      <c r="D104">
        <v>601</v>
      </c>
      <c r="E104">
        <v>462</v>
      </c>
      <c r="F104">
        <v>1063</v>
      </c>
      <c r="G104">
        <v>577</v>
      </c>
      <c r="H104">
        <v>430</v>
      </c>
      <c r="I104">
        <v>1007</v>
      </c>
      <c r="J104">
        <v>54385</v>
      </c>
      <c r="K104">
        <v>1.9550000000000001</v>
      </c>
      <c r="L104">
        <v>1.8519999999999999</v>
      </c>
      <c r="M104">
        <v>51654</v>
      </c>
      <c r="N104">
        <v>2.0579999999999998</v>
      </c>
      <c r="O104">
        <v>1.95</v>
      </c>
    </row>
    <row r="105" spans="1:15" hidden="1" x14ac:dyDescent="0.3">
      <c r="A105" t="s">
        <v>365</v>
      </c>
      <c r="B105" t="s">
        <v>302</v>
      </c>
      <c r="C105" t="s">
        <v>301</v>
      </c>
      <c r="D105">
        <v>608</v>
      </c>
      <c r="E105">
        <v>517</v>
      </c>
      <c r="F105">
        <v>1125</v>
      </c>
      <c r="G105">
        <v>715</v>
      </c>
      <c r="H105">
        <v>318</v>
      </c>
      <c r="I105">
        <v>1033</v>
      </c>
      <c r="J105">
        <v>54489</v>
      </c>
      <c r="K105">
        <v>2.0649999999999999</v>
      </c>
      <c r="L105">
        <v>1.8959999999999999</v>
      </c>
      <c r="M105">
        <v>51874</v>
      </c>
      <c r="N105">
        <v>2.169</v>
      </c>
      <c r="O105">
        <v>1.9910000000000001</v>
      </c>
    </row>
    <row r="106" spans="1:15" hidden="1" x14ac:dyDescent="0.3">
      <c r="A106" t="s">
        <v>342</v>
      </c>
      <c r="B106" t="s">
        <v>302</v>
      </c>
      <c r="C106" t="s">
        <v>301</v>
      </c>
      <c r="D106">
        <v>543</v>
      </c>
      <c r="E106">
        <v>765</v>
      </c>
      <c r="F106">
        <v>1308</v>
      </c>
      <c r="G106">
        <v>559</v>
      </c>
      <c r="H106">
        <v>334</v>
      </c>
      <c r="I106">
        <v>893</v>
      </c>
      <c r="J106">
        <v>55252</v>
      </c>
      <c r="K106">
        <v>2.367</v>
      </c>
      <c r="L106">
        <v>1.6160000000000001</v>
      </c>
      <c r="M106">
        <v>52104</v>
      </c>
      <c r="N106">
        <v>2.5099999999999998</v>
      </c>
      <c r="O106">
        <v>1.714</v>
      </c>
    </row>
    <row r="107" spans="1:15" hidden="1" x14ac:dyDescent="0.3">
      <c r="A107" t="s">
        <v>341</v>
      </c>
      <c r="B107" t="s">
        <v>302</v>
      </c>
      <c r="C107" t="s">
        <v>301</v>
      </c>
      <c r="D107">
        <v>691</v>
      </c>
      <c r="E107">
        <v>784</v>
      </c>
      <c r="F107">
        <v>1475</v>
      </c>
      <c r="G107">
        <v>697</v>
      </c>
      <c r="H107">
        <v>405</v>
      </c>
      <c r="I107">
        <v>1102</v>
      </c>
      <c r="J107">
        <v>54942</v>
      </c>
      <c r="K107">
        <v>2.6850000000000001</v>
      </c>
      <c r="L107">
        <v>2.0059999999999998</v>
      </c>
      <c r="M107">
        <v>51923</v>
      </c>
      <c r="N107">
        <v>2.8410000000000002</v>
      </c>
      <c r="O107">
        <v>2.1219999999999999</v>
      </c>
    </row>
    <row r="108" spans="1:15" hidden="1" x14ac:dyDescent="0.3">
      <c r="A108" t="s">
        <v>366</v>
      </c>
      <c r="B108" t="s">
        <v>302</v>
      </c>
      <c r="C108" t="s">
        <v>301</v>
      </c>
      <c r="D108">
        <v>657</v>
      </c>
      <c r="E108">
        <v>731</v>
      </c>
      <c r="F108">
        <v>1388</v>
      </c>
      <c r="G108">
        <v>688</v>
      </c>
      <c r="H108">
        <v>380</v>
      </c>
      <c r="I108">
        <v>1068</v>
      </c>
      <c r="J108">
        <v>54635</v>
      </c>
      <c r="K108">
        <v>2.54</v>
      </c>
      <c r="L108">
        <v>1.9550000000000001</v>
      </c>
      <c r="M108">
        <v>51912</v>
      </c>
      <c r="N108">
        <v>2.6739999999999999</v>
      </c>
      <c r="O108">
        <v>2.0569999999999999</v>
      </c>
    </row>
    <row r="109" spans="1:15" hidden="1" x14ac:dyDescent="0.3">
      <c r="A109" t="s">
        <v>366</v>
      </c>
      <c r="B109" t="s">
        <v>215</v>
      </c>
      <c r="C109" t="s">
        <v>214</v>
      </c>
      <c r="D109">
        <v>572</v>
      </c>
      <c r="E109">
        <v>2074</v>
      </c>
      <c r="F109">
        <v>2646</v>
      </c>
      <c r="G109">
        <v>538</v>
      </c>
      <c r="H109">
        <v>281</v>
      </c>
      <c r="I109">
        <v>819</v>
      </c>
      <c r="J109">
        <v>114234</v>
      </c>
      <c r="K109">
        <v>2.3159999999999998</v>
      </c>
      <c r="L109">
        <v>0.71699999999999997</v>
      </c>
      <c r="M109">
        <v>105311</v>
      </c>
      <c r="N109">
        <v>2.5129999999999999</v>
      </c>
      <c r="O109">
        <v>0.77800000000000002</v>
      </c>
    </row>
    <row r="110" spans="1:15" hidden="1" x14ac:dyDescent="0.3">
      <c r="A110" t="s">
        <v>341</v>
      </c>
      <c r="B110" t="s">
        <v>215</v>
      </c>
      <c r="C110" t="s">
        <v>214</v>
      </c>
      <c r="D110">
        <v>466</v>
      </c>
      <c r="E110">
        <v>1427</v>
      </c>
      <c r="F110">
        <v>1893</v>
      </c>
      <c r="G110">
        <v>374</v>
      </c>
      <c r="H110">
        <v>299</v>
      </c>
      <c r="I110">
        <v>673</v>
      </c>
      <c r="J110">
        <v>115080</v>
      </c>
      <c r="K110">
        <v>1.645</v>
      </c>
      <c r="L110">
        <v>0.58499999999999996</v>
      </c>
      <c r="M110">
        <v>106749</v>
      </c>
      <c r="N110">
        <v>1.7730000000000001</v>
      </c>
      <c r="O110">
        <v>0.63</v>
      </c>
    </row>
    <row r="111" spans="1:15" hidden="1" x14ac:dyDescent="0.3">
      <c r="A111" t="s">
        <v>342</v>
      </c>
      <c r="B111" t="s">
        <v>215</v>
      </c>
      <c r="C111" t="s">
        <v>214</v>
      </c>
      <c r="D111">
        <v>478</v>
      </c>
      <c r="E111">
        <v>1669</v>
      </c>
      <c r="F111">
        <v>2147</v>
      </c>
      <c r="G111">
        <v>432</v>
      </c>
      <c r="H111">
        <v>260</v>
      </c>
      <c r="I111">
        <v>692</v>
      </c>
      <c r="J111">
        <v>116821</v>
      </c>
      <c r="K111">
        <v>1.8380000000000001</v>
      </c>
      <c r="L111">
        <v>0.59199999999999997</v>
      </c>
      <c r="M111">
        <v>106802</v>
      </c>
      <c r="N111">
        <v>2.0099999999999998</v>
      </c>
      <c r="O111">
        <v>0.64800000000000002</v>
      </c>
    </row>
    <row r="112" spans="1:15" hidden="1" x14ac:dyDescent="0.3">
      <c r="A112" t="s">
        <v>213</v>
      </c>
      <c r="B112" t="s">
        <v>215</v>
      </c>
      <c r="C112" t="s">
        <v>214</v>
      </c>
      <c r="D112">
        <v>569</v>
      </c>
      <c r="E112">
        <v>2176</v>
      </c>
      <c r="F112">
        <v>2745</v>
      </c>
      <c r="G112">
        <v>546</v>
      </c>
      <c r="H112">
        <v>278</v>
      </c>
      <c r="I112">
        <v>824</v>
      </c>
      <c r="J112">
        <v>118131</v>
      </c>
      <c r="K112">
        <v>2.3239999999999998</v>
      </c>
      <c r="L112">
        <v>0.69799999999999995</v>
      </c>
      <c r="M112">
        <v>107586</v>
      </c>
      <c r="N112">
        <v>2.5510000000000002</v>
      </c>
      <c r="O112">
        <v>0.76600000000000001</v>
      </c>
    </row>
    <row r="113" spans="1:15" hidden="1" x14ac:dyDescent="0.3">
      <c r="A113" t="s">
        <v>364</v>
      </c>
      <c r="B113" t="s">
        <v>215</v>
      </c>
      <c r="C113" t="s">
        <v>214</v>
      </c>
      <c r="D113">
        <v>492</v>
      </c>
      <c r="E113">
        <v>1898</v>
      </c>
      <c r="F113">
        <v>2390</v>
      </c>
      <c r="G113">
        <v>419</v>
      </c>
      <c r="H113">
        <v>245</v>
      </c>
      <c r="I113">
        <v>664</v>
      </c>
      <c r="J113">
        <v>112713</v>
      </c>
      <c r="K113">
        <v>2.12</v>
      </c>
      <c r="L113">
        <v>0.58899999999999997</v>
      </c>
      <c r="M113">
        <v>105047</v>
      </c>
      <c r="N113">
        <v>2.2749999999999999</v>
      </c>
      <c r="O113">
        <v>0.63200000000000001</v>
      </c>
    </row>
    <row r="114" spans="1:15" hidden="1" x14ac:dyDescent="0.3">
      <c r="A114" t="s">
        <v>312</v>
      </c>
      <c r="B114" t="s">
        <v>215</v>
      </c>
      <c r="C114" t="s">
        <v>214</v>
      </c>
      <c r="D114">
        <v>392</v>
      </c>
      <c r="E114">
        <v>2273</v>
      </c>
      <c r="F114">
        <v>2665</v>
      </c>
      <c r="G114">
        <v>391</v>
      </c>
      <c r="H114">
        <v>199</v>
      </c>
      <c r="I114">
        <v>590</v>
      </c>
      <c r="J114">
        <v>119523</v>
      </c>
      <c r="K114">
        <v>2.23</v>
      </c>
      <c r="L114">
        <v>0.49399999999999999</v>
      </c>
      <c r="M114">
        <v>108381</v>
      </c>
      <c r="N114">
        <v>2.4590000000000001</v>
      </c>
      <c r="O114">
        <v>0.54400000000000004</v>
      </c>
    </row>
    <row r="115" spans="1:15" hidden="1" x14ac:dyDescent="0.3">
      <c r="A115" t="s">
        <v>365</v>
      </c>
      <c r="B115" t="s">
        <v>215</v>
      </c>
      <c r="C115" t="s">
        <v>214</v>
      </c>
      <c r="D115">
        <v>524</v>
      </c>
      <c r="E115">
        <v>1951</v>
      </c>
      <c r="F115">
        <v>2475</v>
      </c>
      <c r="G115">
        <v>469</v>
      </c>
      <c r="H115">
        <v>283</v>
      </c>
      <c r="I115">
        <v>752</v>
      </c>
      <c r="J115">
        <v>113508</v>
      </c>
      <c r="K115">
        <v>2.1800000000000002</v>
      </c>
      <c r="L115">
        <v>0.66300000000000003</v>
      </c>
      <c r="M115">
        <v>105287</v>
      </c>
      <c r="N115">
        <v>2.351</v>
      </c>
      <c r="O115">
        <v>0.71399999999999997</v>
      </c>
    </row>
    <row r="116" spans="1:15" hidden="1" x14ac:dyDescent="0.3">
      <c r="A116" t="s">
        <v>318</v>
      </c>
      <c r="B116" t="s">
        <v>215</v>
      </c>
      <c r="C116" t="s">
        <v>214</v>
      </c>
      <c r="D116">
        <v>130</v>
      </c>
      <c r="E116">
        <v>406</v>
      </c>
      <c r="F116">
        <v>536</v>
      </c>
      <c r="G116">
        <v>135</v>
      </c>
      <c r="H116">
        <v>54</v>
      </c>
      <c r="I116">
        <v>189</v>
      </c>
      <c r="J116">
        <v>120980</v>
      </c>
      <c r="K116">
        <v>0.443</v>
      </c>
      <c r="L116">
        <v>0.156</v>
      </c>
      <c r="M116">
        <v>108893</v>
      </c>
      <c r="N116">
        <v>0.49199999999999999</v>
      </c>
      <c r="O116">
        <v>0.17399999999999999</v>
      </c>
    </row>
    <row r="117" spans="1:15" hidden="1" x14ac:dyDescent="0.3">
      <c r="A117" t="s">
        <v>320</v>
      </c>
      <c r="B117" t="s">
        <v>215</v>
      </c>
      <c r="C117" t="s">
        <v>214</v>
      </c>
      <c r="D117"/>
      <c r="E117"/>
      <c r="F117">
        <v>1463</v>
      </c>
      <c r="G117"/>
      <c r="H117"/>
      <c r="I117"/>
      <c r="J117">
        <v>122242</v>
      </c>
      <c r="K117">
        <v>1.1970000000000001</v>
      </c>
      <c r="M117">
        <v>108844</v>
      </c>
      <c r="N117">
        <v>1.3439999999999999</v>
      </c>
    </row>
    <row r="118" spans="1:15" hidden="1" x14ac:dyDescent="0.3">
      <c r="A118" t="s">
        <v>325</v>
      </c>
      <c r="B118" t="s">
        <v>215</v>
      </c>
      <c r="C118" t="s">
        <v>214</v>
      </c>
      <c r="D118"/>
      <c r="E118"/>
      <c r="F118">
        <v>1645</v>
      </c>
      <c r="G118"/>
      <c r="H118"/>
      <c r="I118"/>
      <c r="J118">
        <v>123363</v>
      </c>
      <c r="K118">
        <v>1.333</v>
      </c>
      <c r="M118">
        <v>109827</v>
      </c>
      <c r="N118">
        <v>1.498</v>
      </c>
    </row>
    <row r="119" spans="1:15" hidden="1" x14ac:dyDescent="0.3">
      <c r="A119" t="s">
        <v>326</v>
      </c>
      <c r="B119" t="s">
        <v>215</v>
      </c>
      <c r="D119">
        <v>158</v>
      </c>
      <c r="E119">
        <v>1521</v>
      </c>
      <c r="F119">
        <v>1679</v>
      </c>
      <c r="G119">
        <v>349</v>
      </c>
      <c r="H119">
        <v>132</v>
      </c>
      <c r="I119">
        <v>481</v>
      </c>
      <c r="J119">
        <v>124369</v>
      </c>
      <c r="K119">
        <v>1.35</v>
      </c>
      <c r="L119">
        <v>0.38700000000000001</v>
      </c>
      <c r="M119">
        <v>111024</v>
      </c>
      <c r="N119">
        <v>1.512</v>
      </c>
      <c r="O119">
        <v>0.433</v>
      </c>
    </row>
    <row r="120" spans="1:15" hidden="1" x14ac:dyDescent="0.3">
      <c r="A120" t="s">
        <v>326</v>
      </c>
      <c r="B120" t="s">
        <v>215</v>
      </c>
      <c r="D120">
        <v>158</v>
      </c>
      <c r="E120">
        <v>1521</v>
      </c>
      <c r="F120">
        <v>1679</v>
      </c>
      <c r="G120">
        <v>349</v>
      </c>
      <c r="H120">
        <v>132</v>
      </c>
      <c r="I120">
        <v>481</v>
      </c>
      <c r="J120">
        <v>126846</v>
      </c>
      <c r="K120">
        <v>1.3240000000000001</v>
      </c>
      <c r="L120">
        <v>0.379</v>
      </c>
      <c r="M120">
        <v>111024</v>
      </c>
      <c r="N120">
        <v>1.512</v>
      </c>
      <c r="O120">
        <v>0.433</v>
      </c>
    </row>
    <row r="121" spans="1:15" hidden="1" x14ac:dyDescent="0.3">
      <c r="A121" t="s">
        <v>326</v>
      </c>
      <c r="B121" t="s">
        <v>247</v>
      </c>
      <c r="D121">
        <v>134</v>
      </c>
      <c r="E121">
        <v>1306</v>
      </c>
      <c r="F121">
        <v>1440</v>
      </c>
      <c r="G121">
        <v>158</v>
      </c>
      <c r="H121">
        <v>117</v>
      </c>
      <c r="I121">
        <v>275</v>
      </c>
      <c r="J121">
        <v>77323</v>
      </c>
      <c r="K121">
        <v>1.8620000000000001</v>
      </c>
      <c r="L121">
        <v>0.35599999999999998</v>
      </c>
      <c r="M121">
        <v>70409</v>
      </c>
      <c r="N121">
        <v>2.0449999999999999</v>
      </c>
      <c r="O121">
        <v>0.39100000000000001</v>
      </c>
    </row>
    <row r="122" spans="1:15" hidden="1" x14ac:dyDescent="0.3">
      <c r="A122" t="s">
        <v>326</v>
      </c>
      <c r="B122" t="s">
        <v>247</v>
      </c>
      <c r="D122">
        <v>134</v>
      </c>
      <c r="E122">
        <v>1306</v>
      </c>
      <c r="F122">
        <v>1440</v>
      </c>
      <c r="G122">
        <v>158</v>
      </c>
      <c r="H122">
        <v>117</v>
      </c>
      <c r="I122">
        <v>275</v>
      </c>
      <c r="J122">
        <v>76306</v>
      </c>
      <c r="K122">
        <v>1.887</v>
      </c>
      <c r="L122">
        <v>0.36</v>
      </c>
      <c r="M122">
        <v>70409</v>
      </c>
      <c r="N122">
        <v>2.0449999999999999</v>
      </c>
      <c r="O122">
        <v>0.39100000000000001</v>
      </c>
    </row>
    <row r="123" spans="1:15" hidden="1" x14ac:dyDescent="0.3">
      <c r="A123" t="s">
        <v>325</v>
      </c>
      <c r="B123" t="s">
        <v>247</v>
      </c>
      <c r="C123" t="s">
        <v>246</v>
      </c>
      <c r="D123"/>
      <c r="E123"/>
      <c r="F123">
        <v>1763</v>
      </c>
      <c r="G123"/>
      <c r="H123"/>
      <c r="I123"/>
      <c r="J123">
        <v>75840</v>
      </c>
      <c r="K123">
        <v>2.3250000000000002</v>
      </c>
      <c r="M123">
        <v>71701</v>
      </c>
      <c r="N123">
        <v>2.4590000000000001</v>
      </c>
    </row>
    <row r="124" spans="1:15" hidden="1" x14ac:dyDescent="0.3">
      <c r="A124" t="s">
        <v>320</v>
      </c>
      <c r="B124" t="s">
        <v>247</v>
      </c>
      <c r="C124" t="s">
        <v>246</v>
      </c>
      <c r="D124"/>
      <c r="E124"/>
      <c r="F124">
        <v>1766</v>
      </c>
      <c r="G124"/>
      <c r="H124"/>
      <c r="I124"/>
      <c r="J124">
        <v>75453</v>
      </c>
      <c r="K124">
        <v>2.3410000000000002</v>
      </c>
      <c r="M124">
        <v>71224</v>
      </c>
      <c r="N124">
        <v>2.48</v>
      </c>
    </row>
    <row r="125" spans="1:15" hidden="1" x14ac:dyDescent="0.3">
      <c r="A125" t="s">
        <v>318</v>
      </c>
      <c r="B125" t="s">
        <v>247</v>
      </c>
      <c r="C125" t="s">
        <v>246</v>
      </c>
      <c r="D125">
        <v>286</v>
      </c>
      <c r="E125">
        <v>637</v>
      </c>
      <c r="F125">
        <v>923</v>
      </c>
      <c r="G125">
        <v>280</v>
      </c>
      <c r="H125">
        <v>166</v>
      </c>
      <c r="I125">
        <v>446</v>
      </c>
      <c r="J125">
        <v>75027</v>
      </c>
      <c r="K125">
        <v>1.23</v>
      </c>
      <c r="L125">
        <v>0.59399999999999997</v>
      </c>
      <c r="M125">
        <v>70689</v>
      </c>
      <c r="N125">
        <v>1.306</v>
      </c>
      <c r="O125">
        <v>0.63100000000000001</v>
      </c>
    </row>
    <row r="126" spans="1:15" hidden="1" x14ac:dyDescent="0.3">
      <c r="A126" t="s">
        <v>365</v>
      </c>
      <c r="B126" t="s">
        <v>247</v>
      </c>
      <c r="C126" t="s">
        <v>246</v>
      </c>
      <c r="D126">
        <v>698</v>
      </c>
      <c r="E126">
        <v>3024</v>
      </c>
      <c r="F126">
        <v>3722</v>
      </c>
      <c r="G126">
        <v>677</v>
      </c>
      <c r="H126">
        <v>308</v>
      </c>
      <c r="I126">
        <v>985</v>
      </c>
      <c r="J126">
        <v>73575</v>
      </c>
      <c r="K126">
        <v>5.0590000000000002</v>
      </c>
      <c r="L126">
        <v>1.339</v>
      </c>
      <c r="M126">
        <v>69610</v>
      </c>
      <c r="N126">
        <v>5.3469999999999995</v>
      </c>
      <c r="O126">
        <v>1.415</v>
      </c>
    </row>
    <row r="127" spans="1:15" hidden="1" x14ac:dyDescent="0.3">
      <c r="A127" t="s">
        <v>312</v>
      </c>
      <c r="B127" t="s">
        <v>247</v>
      </c>
      <c r="C127" t="s">
        <v>246</v>
      </c>
      <c r="D127">
        <v>577</v>
      </c>
      <c r="E127">
        <v>2144</v>
      </c>
      <c r="F127">
        <v>2721</v>
      </c>
      <c r="G127">
        <v>510</v>
      </c>
      <c r="H127">
        <v>327</v>
      </c>
      <c r="I127">
        <v>837</v>
      </c>
      <c r="J127">
        <v>74891</v>
      </c>
      <c r="K127">
        <v>3.633</v>
      </c>
      <c r="L127">
        <v>1.1179999999999999</v>
      </c>
      <c r="M127">
        <v>70685</v>
      </c>
      <c r="N127">
        <v>3.8490000000000002</v>
      </c>
      <c r="O127">
        <v>1.1839999999999999</v>
      </c>
    </row>
    <row r="128" spans="1:15" hidden="1" x14ac:dyDescent="0.3">
      <c r="A128" t="s">
        <v>364</v>
      </c>
      <c r="B128" t="s">
        <v>247</v>
      </c>
      <c r="C128" t="s">
        <v>246</v>
      </c>
      <c r="D128">
        <v>1038</v>
      </c>
      <c r="E128">
        <v>6335</v>
      </c>
      <c r="F128">
        <v>7373</v>
      </c>
      <c r="G128">
        <v>936</v>
      </c>
      <c r="H128">
        <v>496</v>
      </c>
      <c r="I128">
        <v>1432</v>
      </c>
      <c r="J128">
        <v>73560</v>
      </c>
      <c r="K128">
        <v>10.023</v>
      </c>
      <c r="L128">
        <v>1.9470000000000001</v>
      </c>
      <c r="M128">
        <v>69500</v>
      </c>
      <c r="N128">
        <v>10.609</v>
      </c>
      <c r="O128">
        <v>2.06</v>
      </c>
    </row>
    <row r="129" spans="1:15" hidden="1" x14ac:dyDescent="0.3">
      <c r="A129" t="s">
        <v>213</v>
      </c>
      <c r="B129" t="s">
        <v>247</v>
      </c>
      <c r="C129" t="s">
        <v>246</v>
      </c>
      <c r="D129">
        <v>692</v>
      </c>
      <c r="E129">
        <v>2702</v>
      </c>
      <c r="F129">
        <v>3394</v>
      </c>
      <c r="G129">
        <v>680</v>
      </c>
      <c r="H129">
        <v>318</v>
      </c>
      <c r="I129">
        <v>998</v>
      </c>
      <c r="J129">
        <v>74531</v>
      </c>
      <c r="K129">
        <v>4.5540000000000003</v>
      </c>
      <c r="L129">
        <v>1.339</v>
      </c>
      <c r="M129">
        <v>70337</v>
      </c>
      <c r="N129">
        <v>4.8250000000000002</v>
      </c>
      <c r="O129">
        <v>1.419</v>
      </c>
    </row>
    <row r="130" spans="1:15" hidden="1" x14ac:dyDescent="0.3">
      <c r="A130" t="s">
        <v>342</v>
      </c>
      <c r="B130" t="s">
        <v>247</v>
      </c>
      <c r="C130" t="s">
        <v>246</v>
      </c>
      <c r="D130">
        <v>661</v>
      </c>
      <c r="E130">
        <v>2303</v>
      </c>
      <c r="F130">
        <v>2964</v>
      </c>
      <c r="G130">
        <v>624</v>
      </c>
      <c r="H130">
        <v>289</v>
      </c>
      <c r="I130">
        <v>913</v>
      </c>
      <c r="J130">
        <v>74354</v>
      </c>
      <c r="K130">
        <v>3.9859999999999998</v>
      </c>
      <c r="L130">
        <v>1.228</v>
      </c>
      <c r="M130">
        <v>70049</v>
      </c>
      <c r="N130">
        <v>4.2309999999999999</v>
      </c>
      <c r="O130">
        <v>1.3029999999999999</v>
      </c>
    </row>
    <row r="131" spans="1:15" hidden="1" x14ac:dyDescent="0.3">
      <c r="A131" t="s">
        <v>341</v>
      </c>
      <c r="B131" t="s">
        <v>247</v>
      </c>
      <c r="C131" t="s">
        <v>246</v>
      </c>
      <c r="D131">
        <v>870</v>
      </c>
      <c r="E131">
        <v>3053</v>
      </c>
      <c r="F131">
        <v>3923</v>
      </c>
      <c r="G131">
        <v>823</v>
      </c>
      <c r="H131">
        <v>377</v>
      </c>
      <c r="I131">
        <v>1200</v>
      </c>
      <c r="J131">
        <v>74026</v>
      </c>
      <c r="K131">
        <v>5.2990000000000004</v>
      </c>
      <c r="L131">
        <v>1.621</v>
      </c>
      <c r="M131">
        <v>69635</v>
      </c>
      <c r="N131">
        <v>5.6340000000000003</v>
      </c>
      <c r="O131">
        <v>1.7229999999999999</v>
      </c>
    </row>
    <row r="132" spans="1:15" hidden="1" x14ac:dyDescent="0.3">
      <c r="A132" t="s">
        <v>366</v>
      </c>
      <c r="B132" t="s">
        <v>247</v>
      </c>
      <c r="C132" t="s">
        <v>246</v>
      </c>
      <c r="D132">
        <v>849</v>
      </c>
      <c r="E132">
        <v>3502</v>
      </c>
      <c r="F132">
        <v>4351</v>
      </c>
      <c r="G132">
        <v>818</v>
      </c>
      <c r="H132">
        <v>370</v>
      </c>
      <c r="I132">
        <v>1188</v>
      </c>
      <c r="J132">
        <v>73689</v>
      </c>
      <c r="K132">
        <v>5.9050000000000002</v>
      </c>
      <c r="L132">
        <v>1.6120000000000001</v>
      </c>
      <c r="M132">
        <v>69534</v>
      </c>
      <c r="N132">
        <v>6.2569999999999997</v>
      </c>
      <c r="O132">
        <v>1.7090000000000001</v>
      </c>
    </row>
    <row r="133" spans="1:15" hidden="1" x14ac:dyDescent="0.3">
      <c r="A133" t="s">
        <v>366</v>
      </c>
      <c r="B133" t="s">
        <v>249</v>
      </c>
      <c r="C133" t="s">
        <v>248</v>
      </c>
      <c r="D133">
        <v>509</v>
      </c>
      <c r="E133">
        <v>828</v>
      </c>
      <c r="F133">
        <v>1337</v>
      </c>
      <c r="G133">
        <v>543</v>
      </c>
      <c r="H133">
        <v>320</v>
      </c>
      <c r="I133">
        <v>863</v>
      </c>
      <c r="J133">
        <v>57654</v>
      </c>
      <c r="K133">
        <v>2.319</v>
      </c>
      <c r="L133">
        <v>1.4969999999999999</v>
      </c>
      <c r="M133">
        <v>54570</v>
      </c>
      <c r="N133">
        <v>2.4500000000000002</v>
      </c>
      <c r="O133">
        <v>1.581</v>
      </c>
    </row>
    <row r="134" spans="1:15" hidden="1" x14ac:dyDescent="0.3">
      <c r="A134" t="s">
        <v>341</v>
      </c>
      <c r="B134" t="s">
        <v>249</v>
      </c>
      <c r="C134" t="s">
        <v>248</v>
      </c>
      <c r="D134">
        <v>574</v>
      </c>
      <c r="E134">
        <v>681</v>
      </c>
      <c r="F134">
        <v>1255</v>
      </c>
      <c r="G134">
        <v>584</v>
      </c>
      <c r="H134">
        <v>364</v>
      </c>
      <c r="I134">
        <v>948</v>
      </c>
      <c r="J134">
        <v>57873</v>
      </c>
      <c r="K134">
        <v>2.169</v>
      </c>
      <c r="L134">
        <v>1.6379999999999999</v>
      </c>
      <c r="M134">
        <v>54748</v>
      </c>
      <c r="N134">
        <v>2.2919999999999998</v>
      </c>
      <c r="O134">
        <v>1.732</v>
      </c>
    </row>
    <row r="135" spans="1:15" hidden="1" x14ac:dyDescent="0.3">
      <c r="A135" t="s">
        <v>342</v>
      </c>
      <c r="B135" t="s">
        <v>249</v>
      </c>
      <c r="C135" t="s">
        <v>248</v>
      </c>
      <c r="D135">
        <v>485</v>
      </c>
      <c r="E135">
        <v>664</v>
      </c>
      <c r="F135">
        <v>1149</v>
      </c>
      <c r="G135">
        <v>538</v>
      </c>
      <c r="H135">
        <v>276</v>
      </c>
      <c r="I135">
        <v>814</v>
      </c>
      <c r="J135">
        <v>58158</v>
      </c>
      <c r="K135">
        <v>1.976</v>
      </c>
      <c r="L135">
        <v>1.4</v>
      </c>
      <c r="M135">
        <v>54873</v>
      </c>
      <c r="N135">
        <v>2.0939999999999999</v>
      </c>
      <c r="O135">
        <v>1.4830000000000001</v>
      </c>
    </row>
    <row r="136" spans="1:15" hidden="1" x14ac:dyDescent="0.3">
      <c r="A136" t="s">
        <v>213</v>
      </c>
      <c r="B136" t="s">
        <v>249</v>
      </c>
      <c r="C136" t="s">
        <v>248</v>
      </c>
      <c r="D136">
        <v>421</v>
      </c>
      <c r="E136">
        <v>656</v>
      </c>
      <c r="F136">
        <v>1077</v>
      </c>
      <c r="G136">
        <v>446</v>
      </c>
      <c r="H136">
        <v>251</v>
      </c>
      <c r="I136">
        <v>697</v>
      </c>
      <c r="J136">
        <v>58453</v>
      </c>
      <c r="K136">
        <v>1.843</v>
      </c>
      <c r="L136">
        <v>1.1919999999999999</v>
      </c>
      <c r="M136">
        <v>55107</v>
      </c>
      <c r="N136">
        <v>1.954</v>
      </c>
      <c r="O136">
        <v>1.2650000000000001</v>
      </c>
    </row>
    <row r="137" spans="1:15" hidden="1" x14ac:dyDescent="0.3">
      <c r="A137" t="s">
        <v>364</v>
      </c>
      <c r="B137" t="s">
        <v>249</v>
      </c>
      <c r="C137" t="s">
        <v>248</v>
      </c>
      <c r="D137">
        <v>582</v>
      </c>
      <c r="E137">
        <v>1242</v>
      </c>
      <c r="F137">
        <v>1824</v>
      </c>
      <c r="G137">
        <v>662</v>
      </c>
      <c r="H137">
        <v>298</v>
      </c>
      <c r="I137">
        <v>960</v>
      </c>
      <c r="J137">
        <v>57172</v>
      </c>
      <c r="K137">
        <v>3.19</v>
      </c>
      <c r="L137">
        <v>1.679</v>
      </c>
      <c r="M137">
        <v>54453</v>
      </c>
      <c r="N137">
        <v>3.35</v>
      </c>
      <c r="O137">
        <v>1.7629999999999999</v>
      </c>
    </row>
    <row r="138" spans="1:15" hidden="1" x14ac:dyDescent="0.3">
      <c r="A138" t="s">
        <v>312</v>
      </c>
      <c r="B138" t="s">
        <v>249</v>
      </c>
      <c r="C138" t="s">
        <v>248</v>
      </c>
      <c r="D138">
        <v>423</v>
      </c>
      <c r="E138">
        <v>680</v>
      </c>
      <c r="F138">
        <v>1103</v>
      </c>
      <c r="G138">
        <v>487</v>
      </c>
      <c r="H138">
        <v>216</v>
      </c>
      <c r="I138">
        <v>703</v>
      </c>
      <c r="J138">
        <v>58628</v>
      </c>
      <c r="K138">
        <v>1.881</v>
      </c>
      <c r="L138">
        <v>1.1990000000000001</v>
      </c>
      <c r="M138">
        <v>55387</v>
      </c>
      <c r="N138">
        <v>1.9910000000000001</v>
      </c>
      <c r="O138">
        <v>1.2690000000000001</v>
      </c>
    </row>
    <row r="139" spans="1:15" hidden="1" x14ac:dyDescent="0.3">
      <c r="A139" t="s">
        <v>365</v>
      </c>
      <c r="B139" t="s">
        <v>249</v>
      </c>
      <c r="C139" t="s">
        <v>248</v>
      </c>
      <c r="D139">
        <v>467</v>
      </c>
      <c r="E139">
        <v>836</v>
      </c>
      <c r="F139">
        <v>1303</v>
      </c>
      <c r="G139">
        <v>506</v>
      </c>
      <c r="H139">
        <v>256</v>
      </c>
      <c r="I139">
        <v>762</v>
      </c>
      <c r="J139">
        <v>57324</v>
      </c>
      <c r="K139">
        <v>2.2730000000000001</v>
      </c>
      <c r="L139">
        <v>1.329</v>
      </c>
      <c r="M139">
        <v>54401</v>
      </c>
      <c r="N139">
        <v>2.395</v>
      </c>
      <c r="O139">
        <v>1.401</v>
      </c>
    </row>
    <row r="140" spans="1:15" hidden="1" x14ac:dyDescent="0.3">
      <c r="A140" t="s">
        <v>318</v>
      </c>
      <c r="B140" t="s">
        <v>249</v>
      </c>
      <c r="C140" t="s">
        <v>248</v>
      </c>
      <c r="D140">
        <v>172</v>
      </c>
      <c r="E140">
        <v>315</v>
      </c>
      <c r="F140">
        <v>487</v>
      </c>
      <c r="G140">
        <v>222</v>
      </c>
      <c r="H140">
        <v>77</v>
      </c>
      <c r="I140">
        <v>299</v>
      </c>
      <c r="J140">
        <v>58821</v>
      </c>
      <c r="K140">
        <v>0.82799999999999996</v>
      </c>
      <c r="L140">
        <v>0.50800000000000001</v>
      </c>
      <c r="M140">
        <v>55564</v>
      </c>
      <c r="N140">
        <v>0.876</v>
      </c>
      <c r="O140">
        <v>0.53800000000000003</v>
      </c>
    </row>
    <row r="141" spans="1:15" hidden="1" x14ac:dyDescent="0.3">
      <c r="A141" t="s">
        <v>320</v>
      </c>
      <c r="B141" t="s">
        <v>249</v>
      </c>
      <c r="C141" t="s">
        <v>248</v>
      </c>
      <c r="D141"/>
      <c r="E141"/>
      <c r="F141">
        <v>1194</v>
      </c>
      <c r="G141"/>
      <c r="H141"/>
      <c r="I141"/>
      <c r="J141">
        <v>58973</v>
      </c>
      <c r="K141">
        <v>2.0249999999999999</v>
      </c>
      <c r="M141">
        <v>56149</v>
      </c>
      <c r="N141">
        <v>2.1259999999999999</v>
      </c>
    </row>
    <row r="142" spans="1:15" hidden="1" x14ac:dyDescent="0.3">
      <c r="A142" t="s">
        <v>325</v>
      </c>
      <c r="B142" t="s">
        <v>249</v>
      </c>
      <c r="C142" t="s">
        <v>248</v>
      </c>
      <c r="D142"/>
      <c r="E142"/>
      <c r="F142">
        <v>1109</v>
      </c>
      <c r="G142"/>
      <c r="H142"/>
      <c r="I142"/>
      <c r="J142">
        <v>59305</v>
      </c>
      <c r="K142">
        <v>1.87</v>
      </c>
      <c r="M142">
        <v>56621</v>
      </c>
      <c r="N142">
        <v>1.9590000000000001</v>
      </c>
    </row>
    <row r="143" spans="1:15" hidden="1" x14ac:dyDescent="0.3">
      <c r="A143" t="s">
        <v>326</v>
      </c>
      <c r="B143" t="s">
        <v>249</v>
      </c>
      <c r="D143">
        <v>264</v>
      </c>
      <c r="E143">
        <v>829</v>
      </c>
      <c r="F143">
        <v>1093</v>
      </c>
      <c r="G143">
        <v>597</v>
      </c>
      <c r="H143">
        <v>105</v>
      </c>
      <c r="I143">
        <v>702</v>
      </c>
      <c r="J143">
        <v>59737</v>
      </c>
      <c r="K143">
        <v>1.83</v>
      </c>
      <c r="L143">
        <v>1.175</v>
      </c>
      <c r="M143">
        <v>55811</v>
      </c>
      <c r="N143">
        <v>1.958</v>
      </c>
      <c r="O143">
        <v>1.258</v>
      </c>
    </row>
    <row r="144" spans="1:15" hidden="1" x14ac:dyDescent="0.3">
      <c r="A144" t="s">
        <v>326</v>
      </c>
      <c r="B144" t="s">
        <v>249</v>
      </c>
      <c r="D144">
        <v>264</v>
      </c>
      <c r="E144">
        <v>829</v>
      </c>
      <c r="F144">
        <v>1093</v>
      </c>
      <c r="G144">
        <v>597</v>
      </c>
      <c r="H144">
        <v>105</v>
      </c>
      <c r="I144">
        <v>702</v>
      </c>
      <c r="J144">
        <v>60223</v>
      </c>
      <c r="K144">
        <v>1.8149999999999999</v>
      </c>
      <c r="L144">
        <v>1.1659999999999999</v>
      </c>
      <c r="M144">
        <v>55811</v>
      </c>
      <c r="N144">
        <v>1.958</v>
      </c>
      <c r="O144">
        <v>1.258</v>
      </c>
    </row>
    <row r="145" spans="1:15" hidden="1" x14ac:dyDescent="0.3">
      <c r="A145" t="s">
        <v>326</v>
      </c>
      <c r="B145" t="s">
        <v>263</v>
      </c>
      <c r="D145">
        <v>126</v>
      </c>
      <c r="E145">
        <v>678</v>
      </c>
      <c r="F145">
        <v>804</v>
      </c>
      <c r="G145">
        <v>275</v>
      </c>
      <c r="H145">
        <v>91</v>
      </c>
      <c r="I145">
        <v>366</v>
      </c>
      <c r="J145">
        <v>77222</v>
      </c>
      <c r="K145">
        <v>1.0409999999999999</v>
      </c>
      <c r="L145">
        <v>0.47399999999999998</v>
      </c>
      <c r="M145">
        <v>72907</v>
      </c>
      <c r="N145">
        <v>1.103</v>
      </c>
      <c r="O145">
        <v>0.502</v>
      </c>
    </row>
    <row r="146" spans="1:15" hidden="1" x14ac:dyDescent="0.3">
      <c r="A146" t="s">
        <v>326</v>
      </c>
      <c r="B146" t="s">
        <v>263</v>
      </c>
      <c r="D146">
        <v>126</v>
      </c>
      <c r="E146">
        <v>678</v>
      </c>
      <c r="F146">
        <v>804</v>
      </c>
      <c r="G146">
        <v>275</v>
      </c>
      <c r="H146">
        <v>91</v>
      </c>
      <c r="I146">
        <v>366</v>
      </c>
      <c r="J146">
        <v>76689</v>
      </c>
      <c r="K146">
        <v>1.048</v>
      </c>
      <c r="L146">
        <v>0.47699999999999998</v>
      </c>
      <c r="M146">
        <v>72907</v>
      </c>
      <c r="N146">
        <v>1.103</v>
      </c>
      <c r="O146">
        <v>0.502</v>
      </c>
    </row>
    <row r="147" spans="1:15" hidden="1" x14ac:dyDescent="0.3">
      <c r="A147" t="s">
        <v>326</v>
      </c>
      <c r="B147" t="s">
        <v>253</v>
      </c>
      <c r="D147">
        <v>166</v>
      </c>
      <c r="E147">
        <v>855</v>
      </c>
      <c r="F147">
        <v>1021</v>
      </c>
      <c r="G147">
        <v>316</v>
      </c>
      <c r="H147">
        <v>101</v>
      </c>
      <c r="I147">
        <v>417</v>
      </c>
      <c r="J147">
        <v>48397</v>
      </c>
      <c r="K147">
        <v>2.11</v>
      </c>
      <c r="L147">
        <v>0.86199999999999999</v>
      </c>
      <c r="M147">
        <v>46610</v>
      </c>
      <c r="N147">
        <v>2.1909999999999998</v>
      </c>
      <c r="O147">
        <v>0.89500000000000002</v>
      </c>
    </row>
    <row r="148" spans="1:15" hidden="1" x14ac:dyDescent="0.3">
      <c r="A148" t="s">
        <v>326</v>
      </c>
      <c r="B148" t="s">
        <v>267</v>
      </c>
      <c r="D148">
        <v>484</v>
      </c>
      <c r="E148">
        <v>1848</v>
      </c>
      <c r="F148">
        <v>2332</v>
      </c>
      <c r="G148">
        <v>832</v>
      </c>
      <c r="H148">
        <v>385</v>
      </c>
      <c r="I148">
        <v>1217</v>
      </c>
      <c r="J148">
        <v>184628</v>
      </c>
      <c r="K148">
        <v>1.2629999999999999</v>
      </c>
      <c r="L148">
        <v>0.65900000000000003</v>
      </c>
      <c r="M148">
        <v>170982</v>
      </c>
      <c r="N148">
        <v>1.3639999999999999</v>
      </c>
      <c r="O148">
        <v>0.71199999999999997</v>
      </c>
    </row>
    <row r="149" spans="1:15" hidden="1" x14ac:dyDescent="0.3">
      <c r="A149" t="s">
        <v>326</v>
      </c>
      <c r="B149" t="s">
        <v>267</v>
      </c>
      <c r="D149">
        <v>484</v>
      </c>
      <c r="E149">
        <v>1848</v>
      </c>
      <c r="F149">
        <v>2332</v>
      </c>
      <c r="G149">
        <v>832</v>
      </c>
      <c r="H149">
        <v>385</v>
      </c>
      <c r="I149">
        <v>1217</v>
      </c>
      <c r="J149">
        <v>182775</v>
      </c>
      <c r="K149">
        <v>1.276</v>
      </c>
      <c r="L149">
        <v>0.66600000000000004</v>
      </c>
      <c r="M149">
        <v>170982</v>
      </c>
      <c r="N149">
        <v>1.3639999999999999</v>
      </c>
      <c r="O149">
        <v>0.71199999999999997</v>
      </c>
    </row>
    <row r="150" spans="1:15" hidden="1" x14ac:dyDescent="0.3">
      <c r="A150" t="s">
        <v>325</v>
      </c>
      <c r="B150" t="s">
        <v>267</v>
      </c>
      <c r="C150" t="s">
        <v>1092</v>
      </c>
      <c r="D150"/>
      <c r="E150"/>
      <c r="F150">
        <v>2647</v>
      </c>
      <c r="G150"/>
      <c r="H150"/>
      <c r="I150"/>
      <c r="J150">
        <v>181405</v>
      </c>
      <c r="K150">
        <v>1.4590000000000001</v>
      </c>
      <c r="M150">
        <v>172287</v>
      </c>
      <c r="N150">
        <v>1.536</v>
      </c>
    </row>
    <row r="151" spans="1:15" hidden="1" x14ac:dyDescent="0.3">
      <c r="A151" t="s">
        <v>320</v>
      </c>
      <c r="B151" t="s">
        <v>267</v>
      </c>
      <c r="C151" t="s">
        <v>1092</v>
      </c>
      <c r="D151"/>
      <c r="E151"/>
      <c r="F151">
        <v>3158</v>
      </c>
      <c r="G151"/>
      <c r="H151"/>
      <c r="I151"/>
      <c r="J151">
        <v>180234</v>
      </c>
      <c r="K151">
        <v>1.752</v>
      </c>
      <c r="M151">
        <v>171086</v>
      </c>
      <c r="N151">
        <v>1.8460000000000001</v>
      </c>
    </row>
    <row r="152" spans="1:15" hidden="1" x14ac:dyDescent="0.3">
      <c r="A152" t="s">
        <v>318</v>
      </c>
      <c r="B152" t="s">
        <v>267</v>
      </c>
      <c r="C152" t="s">
        <v>1092</v>
      </c>
      <c r="D152">
        <v>580</v>
      </c>
      <c r="E152">
        <v>716</v>
      </c>
      <c r="F152">
        <v>1296</v>
      </c>
      <c r="G152">
        <v>652</v>
      </c>
      <c r="H152">
        <v>329</v>
      </c>
      <c r="I152">
        <v>981</v>
      </c>
      <c r="J152">
        <v>179232</v>
      </c>
      <c r="K152">
        <v>0.72299999999999998</v>
      </c>
      <c r="L152">
        <v>0.54700000000000004</v>
      </c>
      <c r="M152">
        <v>169886</v>
      </c>
      <c r="N152">
        <v>0.76300000000000001</v>
      </c>
      <c r="O152">
        <v>0.57699999999999996</v>
      </c>
    </row>
    <row r="153" spans="1:15" hidden="1" x14ac:dyDescent="0.3">
      <c r="A153" t="s">
        <v>312</v>
      </c>
      <c r="B153" t="s">
        <v>267</v>
      </c>
      <c r="C153" t="s">
        <v>1092</v>
      </c>
      <c r="D153">
        <v>2533</v>
      </c>
      <c r="E153">
        <v>3908</v>
      </c>
      <c r="F153">
        <v>6441</v>
      </c>
      <c r="G153">
        <v>2725</v>
      </c>
      <c r="H153">
        <v>1258</v>
      </c>
      <c r="I153">
        <v>3983</v>
      </c>
      <c r="J153">
        <v>178183</v>
      </c>
      <c r="K153">
        <v>3.6150000000000002</v>
      </c>
      <c r="L153">
        <v>2.2349999999999999</v>
      </c>
      <c r="M153">
        <v>169239</v>
      </c>
      <c r="N153">
        <v>3.806</v>
      </c>
      <c r="O153">
        <v>2.3529999999999998</v>
      </c>
    </row>
    <row r="154" spans="1:15" hidden="1" x14ac:dyDescent="0.3">
      <c r="A154" t="s">
        <v>213</v>
      </c>
      <c r="B154" t="s">
        <v>267</v>
      </c>
      <c r="C154" t="s">
        <v>1092</v>
      </c>
      <c r="D154">
        <v>2778</v>
      </c>
      <c r="E154">
        <v>3429</v>
      </c>
      <c r="F154">
        <v>6207</v>
      </c>
      <c r="G154">
        <v>2925</v>
      </c>
      <c r="H154">
        <v>1478</v>
      </c>
      <c r="I154">
        <v>4403</v>
      </c>
      <c r="J154">
        <v>177084</v>
      </c>
      <c r="K154">
        <v>3.5049999999999999</v>
      </c>
      <c r="L154">
        <v>2.4859999999999998</v>
      </c>
      <c r="M154">
        <v>167944</v>
      </c>
      <c r="N154">
        <v>3.6959999999999997</v>
      </c>
      <c r="O154">
        <v>2.6219999999999999</v>
      </c>
    </row>
    <row r="155" spans="1:15" hidden="1" x14ac:dyDescent="0.3">
      <c r="A155" t="s">
        <v>342</v>
      </c>
      <c r="B155" t="s">
        <v>267</v>
      </c>
      <c r="C155" t="s">
        <v>1092</v>
      </c>
      <c r="D155">
        <v>3137</v>
      </c>
      <c r="E155">
        <v>3401</v>
      </c>
      <c r="F155">
        <v>6538</v>
      </c>
      <c r="G155">
        <v>3292</v>
      </c>
      <c r="H155">
        <v>1655</v>
      </c>
      <c r="I155">
        <v>4947</v>
      </c>
      <c r="J155">
        <v>175915</v>
      </c>
      <c r="K155">
        <v>3.7170000000000001</v>
      </c>
      <c r="L155">
        <v>2.8120000000000003</v>
      </c>
      <c r="M155">
        <v>166960</v>
      </c>
      <c r="N155">
        <v>3.9159999999999999</v>
      </c>
      <c r="O155">
        <v>2.9630000000000001</v>
      </c>
    </row>
    <row r="156" spans="1:15" hidden="1" x14ac:dyDescent="0.3">
      <c r="A156" t="s">
        <v>341</v>
      </c>
      <c r="B156" t="s">
        <v>267</v>
      </c>
      <c r="C156" t="s">
        <v>1092</v>
      </c>
      <c r="D156">
        <v>3392</v>
      </c>
      <c r="E156">
        <v>3061</v>
      </c>
      <c r="F156">
        <v>6453</v>
      </c>
      <c r="G156">
        <v>3462</v>
      </c>
      <c r="H156">
        <v>1853</v>
      </c>
      <c r="I156">
        <v>5315</v>
      </c>
      <c r="J156">
        <v>174528</v>
      </c>
      <c r="K156">
        <v>3.6970000000000001</v>
      </c>
      <c r="L156">
        <v>3.0449999999999999</v>
      </c>
      <c r="M156">
        <v>165833</v>
      </c>
      <c r="N156">
        <v>3.891</v>
      </c>
      <c r="O156">
        <v>3.2050000000000001</v>
      </c>
    </row>
    <row r="157" spans="1:15" hidden="1" x14ac:dyDescent="0.3">
      <c r="A157" t="s">
        <v>366</v>
      </c>
      <c r="B157" t="s">
        <v>267</v>
      </c>
      <c r="C157" t="s">
        <v>1092</v>
      </c>
      <c r="D157">
        <v>3204</v>
      </c>
      <c r="E157">
        <v>3874</v>
      </c>
      <c r="F157">
        <v>7078</v>
      </c>
      <c r="G157">
        <v>3231</v>
      </c>
      <c r="H157">
        <v>1803</v>
      </c>
      <c r="I157">
        <v>5034</v>
      </c>
      <c r="J157">
        <v>173366</v>
      </c>
      <c r="K157">
        <v>4.0830000000000002</v>
      </c>
      <c r="L157">
        <v>2.9039999999999999</v>
      </c>
      <c r="M157">
        <v>164705</v>
      </c>
      <c r="N157">
        <v>4.2969999999999997</v>
      </c>
      <c r="O157">
        <v>3.056</v>
      </c>
    </row>
    <row r="158" spans="1:15" hidden="1" x14ac:dyDescent="0.3">
      <c r="A158" t="s">
        <v>365</v>
      </c>
      <c r="B158" t="s">
        <v>267</v>
      </c>
      <c r="C158" t="s">
        <v>1092</v>
      </c>
      <c r="D158">
        <v>3404</v>
      </c>
      <c r="E158">
        <v>3462</v>
      </c>
      <c r="F158">
        <v>6866</v>
      </c>
      <c r="G158">
        <v>3640</v>
      </c>
      <c r="H158">
        <v>1737</v>
      </c>
      <c r="I158">
        <v>5377</v>
      </c>
      <c r="J158">
        <v>172425</v>
      </c>
      <c r="K158">
        <v>3.9820000000000002</v>
      </c>
      <c r="L158">
        <v>3.1179999999999999</v>
      </c>
      <c r="M158">
        <v>163958</v>
      </c>
      <c r="N158">
        <v>4.1879999999999997</v>
      </c>
      <c r="O158">
        <v>3.2789999999999999</v>
      </c>
    </row>
    <row r="159" spans="1:15" hidden="1" x14ac:dyDescent="0.3">
      <c r="A159" t="s">
        <v>364</v>
      </c>
      <c r="B159" t="s">
        <v>267</v>
      </c>
      <c r="C159" t="s">
        <v>1092</v>
      </c>
      <c r="D159">
        <v>3531</v>
      </c>
      <c r="E159">
        <v>3068</v>
      </c>
      <c r="F159">
        <v>6599</v>
      </c>
      <c r="G159">
        <v>3943</v>
      </c>
      <c r="H159">
        <v>1691</v>
      </c>
      <c r="I159">
        <v>5634</v>
      </c>
      <c r="J159">
        <v>171560</v>
      </c>
      <c r="K159">
        <v>3.8460000000000001</v>
      </c>
      <c r="L159">
        <v>3.2839999999999998</v>
      </c>
      <c r="M159">
        <v>162200</v>
      </c>
      <c r="N159">
        <v>4.0679999999999996</v>
      </c>
      <c r="O159">
        <v>3.4729999999999999</v>
      </c>
    </row>
    <row r="160" spans="1:15" hidden="1" x14ac:dyDescent="0.3">
      <c r="A160" t="s">
        <v>364</v>
      </c>
      <c r="B160" t="s">
        <v>279</v>
      </c>
      <c r="C160" t="s">
        <v>278</v>
      </c>
      <c r="D160">
        <v>569</v>
      </c>
      <c r="E160">
        <v>411</v>
      </c>
      <c r="F160">
        <v>980</v>
      </c>
      <c r="G160">
        <v>405</v>
      </c>
      <c r="H160">
        <v>452</v>
      </c>
      <c r="I160">
        <v>857</v>
      </c>
      <c r="J160">
        <v>37503</v>
      </c>
      <c r="K160">
        <v>2.613</v>
      </c>
      <c r="L160">
        <v>2.2850000000000001</v>
      </c>
      <c r="M160">
        <v>36009</v>
      </c>
      <c r="N160">
        <v>2.722</v>
      </c>
      <c r="O160">
        <v>2.38</v>
      </c>
    </row>
    <row r="161" spans="1:15" hidden="1" x14ac:dyDescent="0.3">
      <c r="A161" t="s">
        <v>365</v>
      </c>
      <c r="B161" t="s">
        <v>279</v>
      </c>
      <c r="C161" t="s">
        <v>278</v>
      </c>
      <c r="D161">
        <v>479</v>
      </c>
      <c r="E161">
        <v>491</v>
      </c>
      <c r="F161">
        <v>970</v>
      </c>
      <c r="G161">
        <v>465</v>
      </c>
      <c r="H161">
        <v>272</v>
      </c>
      <c r="I161">
        <v>737</v>
      </c>
      <c r="J161">
        <v>38159</v>
      </c>
      <c r="K161">
        <v>2.5419999999999998</v>
      </c>
      <c r="L161">
        <v>1.931</v>
      </c>
      <c r="M161">
        <v>36602</v>
      </c>
      <c r="N161">
        <v>2.65</v>
      </c>
      <c r="O161">
        <v>2.0139999999999998</v>
      </c>
    </row>
    <row r="162" spans="1:15" hidden="1" x14ac:dyDescent="0.3">
      <c r="A162" t="s">
        <v>366</v>
      </c>
      <c r="B162" t="s">
        <v>279</v>
      </c>
      <c r="C162" t="s">
        <v>278</v>
      </c>
      <c r="D162">
        <v>574</v>
      </c>
      <c r="E162">
        <v>527</v>
      </c>
      <c r="F162">
        <v>1101</v>
      </c>
      <c r="G162">
        <v>474</v>
      </c>
      <c r="H162">
        <v>435</v>
      </c>
      <c r="I162">
        <v>909</v>
      </c>
      <c r="J162">
        <v>38675</v>
      </c>
      <c r="K162">
        <v>2.847</v>
      </c>
      <c r="L162">
        <v>2.35</v>
      </c>
      <c r="M162">
        <v>37069</v>
      </c>
      <c r="N162">
        <v>2.9699999999999998</v>
      </c>
      <c r="O162">
        <v>2.452</v>
      </c>
    </row>
    <row r="163" spans="1:15" hidden="1" x14ac:dyDescent="0.3">
      <c r="A163" t="s">
        <v>341</v>
      </c>
      <c r="B163" t="s">
        <v>279</v>
      </c>
      <c r="C163" t="s">
        <v>278</v>
      </c>
      <c r="D163">
        <v>528</v>
      </c>
      <c r="E163">
        <v>438</v>
      </c>
      <c r="F163">
        <v>966</v>
      </c>
      <c r="G163">
        <v>416</v>
      </c>
      <c r="H163">
        <v>424</v>
      </c>
      <c r="I163">
        <v>840</v>
      </c>
      <c r="J163">
        <v>39297</v>
      </c>
      <c r="K163">
        <v>2.4580000000000002</v>
      </c>
      <c r="L163">
        <v>2.1379999999999999</v>
      </c>
      <c r="M163">
        <v>37766</v>
      </c>
      <c r="N163">
        <v>2.5579999999999998</v>
      </c>
      <c r="O163">
        <v>2.2240000000000002</v>
      </c>
    </row>
    <row r="164" spans="1:15" hidden="1" x14ac:dyDescent="0.3">
      <c r="A164" t="s">
        <v>342</v>
      </c>
      <c r="B164" t="s">
        <v>279</v>
      </c>
      <c r="C164" t="s">
        <v>278</v>
      </c>
      <c r="D164">
        <v>489</v>
      </c>
      <c r="E164">
        <v>509</v>
      </c>
      <c r="F164">
        <v>998</v>
      </c>
      <c r="G164">
        <v>349</v>
      </c>
      <c r="H164">
        <v>448</v>
      </c>
      <c r="I164">
        <v>797</v>
      </c>
      <c r="J164">
        <v>39937</v>
      </c>
      <c r="K164">
        <v>2.4990000000000001</v>
      </c>
      <c r="L164">
        <v>1.996</v>
      </c>
      <c r="M164">
        <v>38557</v>
      </c>
      <c r="N164">
        <v>2.5880000000000001</v>
      </c>
      <c r="O164">
        <v>2.0670000000000002</v>
      </c>
    </row>
    <row r="165" spans="1:15" hidden="1" x14ac:dyDescent="0.3">
      <c r="A165" t="s">
        <v>213</v>
      </c>
      <c r="B165" t="s">
        <v>279</v>
      </c>
      <c r="C165" t="s">
        <v>278</v>
      </c>
      <c r="D165">
        <v>394</v>
      </c>
      <c r="E165">
        <v>606</v>
      </c>
      <c r="F165">
        <v>1000</v>
      </c>
      <c r="G165">
        <v>353</v>
      </c>
      <c r="H165">
        <v>267</v>
      </c>
      <c r="I165">
        <v>620</v>
      </c>
      <c r="J165">
        <v>40612</v>
      </c>
      <c r="K165">
        <v>2.4620000000000002</v>
      </c>
      <c r="L165">
        <v>1.5270000000000001</v>
      </c>
      <c r="M165">
        <v>39122</v>
      </c>
      <c r="N165">
        <v>2.556</v>
      </c>
      <c r="O165">
        <v>1.585</v>
      </c>
    </row>
    <row r="166" spans="1:15" hidden="1" x14ac:dyDescent="0.3">
      <c r="A166" t="s">
        <v>312</v>
      </c>
      <c r="B166" t="s">
        <v>279</v>
      </c>
      <c r="C166" t="s">
        <v>278</v>
      </c>
      <c r="D166">
        <v>338</v>
      </c>
      <c r="E166">
        <v>669</v>
      </c>
      <c r="F166">
        <v>1007</v>
      </c>
      <c r="G166">
        <v>303</v>
      </c>
      <c r="H166">
        <v>225</v>
      </c>
      <c r="I166">
        <v>528</v>
      </c>
      <c r="J166">
        <v>41226</v>
      </c>
      <c r="K166">
        <v>2.4430000000000001</v>
      </c>
      <c r="L166">
        <v>1.2810000000000001</v>
      </c>
      <c r="M166">
        <v>39733</v>
      </c>
      <c r="N166">
        <v>2.5339999999999998</v>
      </c>
      <c r="O166">
        <v>1.329</v>
      </c>
    </row>
    <row r="167" spans="1:15" hidden="1" x14ac:dyDescent="0.3">
      <c r="A167" t="s">
        <v>318</v>
      </c>
      <c r="B167" t="s">
        <v>279</v>
      </c>
      <c r="C167" t="s">
        <v>278</v>
      </c>
      <c r="D167">
        <v>103</v>
      </c>
      <c r="E167">
        <v>196</v>
      </c>
      <c r="F167">
        <v>299</v>
      </c>
      <c r="G167">
        <v>110</v>
      </c>
      <c r="H167">
        <v>58</v>
      </c>
      <c r="I167">
        <v>168</v>
      </c>
      <c r="J167">
        <v>41657</v>
      </c>
      <c r="K167">
        <v>0.71799999999999997</v>
      </c>
      <c r="L167">
        <v>0.40300000000000002</v>
      </c>
      <c r="M167">
        <v>40137</v>
      </c>
      <c r="N167">
        <v>0.745</v>
      </c>
      <c r="O167">
        <v>0.41899999999999998</v>
      </c>
    </row>
    <row r="168" spans="1:15" hidden="1" x14ac:dyDescent="0.3">
      <c r="A168" t="s">
        <v>320</v>
      </c>
      <c r="B168" t="s">
        <v>279</v>
      </c>
      <c r="C168" t="s">
        <v>278</v>
      </c>
      <c r="D168"/>
      <c r="E168"/>
      <c r="F168">
        <v>577</v>
      </c>
      <c r="G168"/>
      <c r="H168"/>
      <c r="I168"/>
      <c r="J168">
        <v>42492</v>
      </c>
      <c r="K168">
        <v>1.3580000000000001</v>
      </c>
      <c r="M168">
        <v>40876</v>
      </c>
      <c r="N168">
        <v>1.4119999999999999</v>
      </c>
    </row>
    <row r="169" spans="1:15" hidden="1" x14ac:dyDescent="0.3">
      <c r="A169" t="s">
        <v>325</v>
      </c>
      <c r="B169" t="s">
        <v>279</v>
      </c>
      <c r="C169" t="s">
        <v>278</v>
      </c>
      <c r="D169"/>
      <c r="E169"/>
      <c r="F169">
        <v>443</v>
      </c>
      <c r="G169"/>
      <c r="H169"/>
      <c r="I169"/>
      <c r="J169">
        <v>43231</v>
      </c>
      <c r="K169">
        <v>1.0249999999999999</v>
      </c>
      <c r="M169">
        <v>41676</v>
      </c>
      <c r="N169">
        <v>1.0629999999999999</v>
      </c>
    </row>
    <row r="170" spans="1:15" hidden="1" x14ac:dyDescent="0.3">
      <c r="A170" t="s">
        <v>326</v>
      </c>
      <c r="B170" t="s">
        <v>279</v>
      </c>
      <c r="D170">
        <v>68</v>
      </c>
      <c r="E170">
        <v>350</v>
      </c>
      <c r="F170">
        <v>418</v>
      </c>
      <c r="G170">
        <v>133</v>
      </c>
      <c r="H170">
        <v>47</v>
      </c>
      <c r="I170">
        <v>180</v>
      </c>
      <c r="J170">
        <v>44052</v>
      </c>
      <c r="K170">
        <v>0.94899999999999995</v>
      </c>
      <c r="L170">
        <v>0.40899999999999997</v>
      </c>
      <c r="M170">
        <v>41958</v>
      </c>
      <c r="N170">
        <v>0.996</v>
      </c>
      <c r="O170">
        <v>0.42899999999999999</v>
      </c>
    </row>
    <row r="171" spans="1:15" hidden="1" x14ac:dyDescent="0.3">
      <c r="A171" t="s">
        <v>326</v>
      </c>
      <c r="B171" t="s">
        <v>279</v>
      </c>
      <c r="D171">
        <v>68</v>
      </c>
      <c r="E171">
        <v>350</v>
      </c>
      <c r="F171">
        <v>418</v>
      </c>
      <c r="G171">
        <v>133</v>
      </c>
      <c r="H171">
        <v>47</v>
      </c>
      <c r="I171">
        <v>180</v>
      </c>
      <c r="J171">
        <v>45527</v>
      </c>
      <c r="K171">
        <v>0.91800000000000004</v>
      </c>
      <c r="L171">
        <v>0.39500000000000002</v>
      </c>
      <c r="M171">
        <v>41958</v>
      </c>
      <c r="N171">
        <v>0.996</v>
      </c>
      <c r="O171">
        <v>0.42899999999999999</v>
      </c>
    </row>
    <row r="172" spans="1:15" hidden="1" x14ac:dyDescent="0.3">
      <c r="A172" t="s">
        <v>364</v>
      </c>
      <c r="B172" t="s">
        <v>240</v>
      </c>
      <c r="C172" t="s">
        <v>239</v>
      </c>
      <c r="D172">
        <v>354</v>
      </c>
      <c r="E172">
        <v>518</v>
      </c>
      <c r="F172">
        <v>872</v>
      </c>
      <c r="G172">
        <v>391</v>
      </c>
      <c r="H172">
        <v>151</v>
      </c>
      <c r="I172">
        <v>542</v>
      </c>
      <c r="J172">
        <v>23894</v>
      </c>
      <c r="K172">
        <v>3.649</v>
      </c>
      <c r="L172">
        <v>2.2679999999999998</v>
      </c>
      <c r="M172">
        <v>22978</v>
      </c>
      <c r="N172">
        <v>3.7949999999999999</v>
      </c>
      <c r="O172">
        <v>2.359</v>
      </c>
    </row>
    <row r="173" spans="1:15" hidden="1" x14ac:dyDescent="0.3">
      <c r="A173" t="s">
        <v>365</v>
      </c>
      <c r="B173" t="s">
        <v>240</v>
      </c>
      <c r="C173" t="s">
        <v>239</v>
      </c>
      <c r="D173">
        <v>273</v>
      </c>
      <c r="E173">
        <v>511</v>
      </c>
      <c r="F173">
        <v>784</v>
      </c>
      <c r="G173">
        <v>314</v>
      </c>
      <c r="H173">
        <v>87</v>
      </c>
      <c r="I173">
        <v>401</v>
      </c>
      <c r="J173">
        <v>23995</v>
      </c>
      <c r="K173">
        <v>3.2669999999999999</v>
      </c>
      <c r="L173">
        <v>1.671</v>
      </c>
      <c r="M173">
        <v>23217</v>
      </c>
      <c r="N173">
        <v>3.3769999999999998</v>
      </c>
      <c r="O173">
        <v>1.7269999999999999</v>
      </c>
    </row>
    <row r="174" spans="1:15" hidden="1" x14ac:dyDescent="0.3">
      <c r="A174" t="s">
        <v>366</v>
      </c>
      <c r="B174" t="s">
        <v>240</v>
      </c>
      <c r="C174" t="s">
        <v>239</v>
      </c>
      <c r="D174">
        <v>243</v>
      </c>
      <c r="E174">
        <v>382</v>
      </c>
      <c r="F174">
        <v>625</v>
      </c>
      <c r="G174">
        <v>229</v>
      </c>
      <c r="H174">
        <v>130</v>
      </c>
      <c r="I174">
        <v>359</v>
      </c>
      <c r="J174">
        <v>24114</v>
      </c>
      <c r="K174">
        <v>2.5920000000000001</v>
      </c>
      <c r="L174">
        <v>1.4889999999999999</v>
      </c>
      <c r="M174">
        <v>23333</v>
      </c>
      <c r="N174">
        <v>2.6790000000000003</v>
      </c>
      <c r="O174">
        <v>1.5390000000000001</v>
      </c>
    </row>
    <row r="175" spans="1:15" hidden="1" x14ac:dyDescent="0.3">
      <c r="A175" t="s">
        <v>341</v>
      </c>
      <c r="B175" t="s">
        <v>240</v>
      </c>
      <c r="C175" t="s">
        <v>239</v>
      </c>
      <c r="D175">
        <v>270</v>
      </c>
      <c r="E175">
        <v>361</v>
      </c>
      <c r="F175">
        <v>631</v>
      </c>
      <c r="G175">
        <v>281</v>
      </c>
      <c r="H175">
        <v>120</v>
      </c>
      <c r="I175">
        <v>401</v>
      </c>
      <c r="J175">
        <v>24221</v>
      </c>
      <c r="K175">
        <v>2.605</v>
      </c>
      <c r="L175">
        <v>1.6560000000000001</v>
      </c>
      <c r="M175">
        <v>23401</v>
      </c>
      <c r="N175">
        <v>2.6959999999999997</v>
      </c>
      <c r="O175">
        <v>1.714</v>
      </c>
    </row>
    <row r="176" spans="1:15" hidden="1" x14ac:dyDescent="0.3">
      <c r="A176" t="s">
        <v>342</v>
      </c>
      <c r="B176" t="s">
        <v>240</v>
      </c>
      <c r="C176" t="s">
        <v>239</v>
      </c>
      <c r="D176">
        <v>205</v>
      </c>
      <c r="E176">
        <v>360</v>
      </c>
      <c r="F176">
        <v>565</v>
      </c>
      <c r="G176">
        <v>233</v>
      </c>
      <c r="H176">
        <v>85</v>
      </c>
      <c r="I176">
        <v>318</v>
      </c>
      <c r="J176">
        <v>24377</v>
      </c>
      <c r="K176">
        <v>2.3180000000000001</v>
      </c>
      <c r="L176">
        <v>1.3049999999999999</v>
      </c>
      <c r="M176">
        <v>23563</v>
      </c>
      <c r="N176">
        <v>2.3980000000000001</v>
      </c>
      <c r="O176">
        <v>1.35</v>
      </c>
    </row>
    <row r="177" spans="1:15" hidden="1" x14ac:dyDescent="0.3">
      <c r="A177" t="s">
        <v>213</v>
      </c>
      <c r="B177" t="s">
        <v>240</v>
      </c>
      <c r="C177" t="s">
        <v>239</v>
      </c>
      <c r="D177">
        <v>219</v>
      </c>
      <c r="E177">
        <v>372</v>
      </c>
      <c r="F177">
        <v>591</v>
      </c>
      <c r="G177">
        <v>235</v>
      </c>
      <c r="H177">
        <v>82</v>
      </c>
      <c r="I177">
        <v>317</v>
      </c>
      <c r="J177">
        <v>24524</v>
      </c>
      <c r="K177">
        <v>2.41</v>
      </c>
      <c r="L177">
        <v>1.2929999999999999</v>
      </c>
      <c r="M177">
        <v>23674</v>
      </c>
      <c r="N177">
        <v>2.496</v>
      </c>
      <c r="O177">
        <v>1.339</v>
      </c>
    </row>
    <row r="178" spans="1:15" hidden="1" x14ac:dyDescent="0.3">
      <c r="A178" t="s">
        <v>312</v>
      </c>
      <c r="B178" t="s">
        <v>240</v>
      </c>
      <c r="C178" t="s">
        <v>239</v>
      </c>
      <c r="D178">
        <v>292</v>
      </c>
      <c r="E178">
        <v>379</v>
      </c>
      <c r="F178">
        <v>671</v>
      </c>
      <c r="G178">
        <v>445</v>
      </c>
      <c r="H178">
        <v>50</v>
      </c>
      <c r="I178">
        <v>495</v>
      </c>
      <c r="J178">
        <v>24716</v>
      </c>
      <c r="K178">
        <v>2.7149999999999999</v>
      </c>
      <c r="L178">
        <v>2.0030000000000001</v>
      </c>
      <c r="M178">
        <v>23890</v>
      </c>
      <c r="N178">
        <v>2.8090000000000002</v>
      </c>
      <c r="O178">
        <v>2.0720000000000001</v>
      </c>
    </row>
    <row r="179" spans="1:15" hidden="1" x14ac:dyDescent="0.3">
      <c r="A179" t="s">
        <v>318</v>
      </c>
      <c r="B179" t="s">
        <v>240</v>
      </c>
      <c r="C179" t="s">
        <v>239</v>
      </c>
      <c r="D179">
        <v>63</v>
      </c>
      <c r="E179">
        <v>100</v>
      </c>
      <c r="F179">
        <v>163</v>
      </c>
      <c r="G179">
        <v>94</v>
      </c>
      <c r="H179">
        <v>28</v>
      </c>
      <c r="I179">
        <v>122</v>
      </c>
      <c r="J179">
        <v>24838</v>
      </c>
      <c r="K179">
        <v>0.65600000000000003</v>
      </c>
      <c r="L179">
        <v>0.49099999999999999</v>
      </c>
      <c r="M179">
        <v>24066</v>
      </c>
      <c r="N179">
        <v>0.67700000000000005</v>
      </c>
      <c r="O179">
        <v>0.50700000000000001</v>
      </c>
    </row>
    <row r="180" spans="1:15" hidden="1" x14ac:dyDescent="0.3">
      <c r="A180" t="s">
        <v>320</v>
      </c>
      <c r="B180" t="s">
        <v>240</v>
      </c>
      <c r="C180" t="s">
        <v>239</v>
      </c>
      <c r="D180"/>
      <c r="E180"/>
      <c r="F180">
        <v>520</v>
      </c>
      <c r="G180"/>
      <c r="H180"/>
      <c r="I180"/>
      <c r="J180">
        <v>24931</v>
      </c>
      <c r="K180">
        <v>2.0859999999999999</v>
      </c>
      <c r="M180">
        <v>24077</v>
      </c>
      <c r="N180">
        <v>2.16</v>
      </c>
    </row>
    <row r="181" spans="1:15" hidden="1" x14ac:dyDescent="0.3">
      <c r="A181" t="s">
        <v>325</v>
      </c>
      <c r="B181" t="s">
        <v>240</v>
      </c>
      <c r="C181" t="s">
        <v>239</v>
      </c>
      <c r="D181"/>
      <c r="E181"/>
      <c r="F181">
        <v>428</v>
      </c>
      <c r="G181"/>
      <c r="H181"/>
      <c r="I181"/>
      <c r="J181">
        <v>25109</v>
      </c>
      <c r="K181">
        <v>1.7050000000000001</v>
      </c>
      <c r="M181">
        <v>24157</v>
      </c>
      <c r="N181">
        <v>1.772</v>
      </c>
    </row>
    <row r="182" spans="1:15" hidden="1" x14ac:dyDescent="0.3">
      <c r="A182" t="s">
        <v>326</v>
      </c>
      <c r="B182" t="s">
        <v>240</v>
      </c>
      <c r="D182">
        <v>58</v>
      </c>
      <c r="E182">
        <v>398</v>
      </c>
      <c r="F182">
        <v>456</v>
      </c>
      <c r="G182">
        <v>88</v>
      </c>
      <c r="H182">
        <v>43</v>
      </c>
      <c r="I182">
        <v>131</v>
      </c>
      <c r="J182">
        <v>25277</v>
      </c>
      <c r="K182">
        <v>1.804</v>
      </c>
      <c r="L182">
        <v>0.51800000000000002</v>
      </c>
      <c r="M182">
        <v>24305</v>
      </c>
      <c r="N182">
        <v>1.8759999999999999</v>
      </c>
      <c r="O182">
        <v>0.53900000000000003</v>
      </c>
    </row>
    <row r="183" spans="1:15" hidden="1" x14ac:dyDescent="0.3">
      <c r="A183" t="s">
        <v>326</v>
      </c>
      <c r="B183" t="s">
        <v>240</v>
      </c>
      <c r="D183">
        <v>58</v>
      </c>
      <c r="E183">
        <v>398</v>
      </c>
      <c r="F183">
        <v>456</v>
      </c>
      <c r="G183">
        <v>88</v>
      </c>
      <c r="H183">
        <v>43</v>
      </c>
      <c r="I183">
        <v>131</v>
      </c>
      <c r="J183">
        <v>25328</v>
      </c>
      <c r="K183">
        <v>1.8</v>
      </c>
      <c r="L183">
        <v>0.51700000000000002</v>
      </c>
      <c r="M183">
        <v>24305</v>
      </c>
      <c r="N183">
        <v>1.8759999999999999</v>
      </c>
      <c r="O183">
        <v>0.53900000000000003</v>
      </c>
    </row>
    <row r="184" spans="1:15" hidden="1" x14ac:dyDescent="0.3">
      <c r="A184" t="s">
        <v>326</v>
      </c>
      <c r="B184" t="s">
        <v>259</v>
      </c>
      <c r="D184">
        <v>159</v>
      </c>
      <c r="E184">
        <v>487</v>
      </c>
      <c r="F184">
        <v>646</v>
      </c>
      <c r="G184">
        <v>314</v>
      </c>
      <c r="H184">
        <v>68</v>
      </c>
      <c r="I184">
        <v>382</v>
      </c>
      <c r="J184">
        <v>41304</v>
      </c>
      <c r="K184">
        <v>1.5640000000000001</v>
      </c>
      <c r="L184">
        <v>0.92500000000000004</v>
      </c>
      <c r="M184">
        <v>40260</v>
      </c>
      <c r="N184">
        <v>1.605</v>
      </c>
      <c r="O184">
        <v>0.94899999999999995</v>
      </c>
    </row>
    <row r="185" spans="1:15" hidden="1" x14ac:dyDescent="0.3">
      <c r="A185" t="s">
        <v>326</v>
      </c>
      <c r="B185" t="s">
        <v>259</v>
      </c>
      <c r="D185">
        <v>159</v>
      </c>
      <c r="E185">
        <v>487</v>
      </c>
      <c r="F185">
        <v>646</v>
      </c>
      <c r="G185">
        <v>314</v>
      </c>
      <c r="H185">
        <v>68</v>
      </c>
      <c r="I185">
        <v>382</v>
      </c>
      <c r="J185">
        <v>40849</v>
      </c>
      <c r="K185">
        <v>1.581</v>
      </c>
      <c r="L185">
        <v>0.93500000000000005</v>
      </c>
      <c r="M185">
        <v>40260</v>
      </c>
      <c r="N185">
        <v>1.605</v>
      </c>
      <c r="O185">
        <v>0.94899999999999995</v>
      </c>
    </row>
    <row r="186" spans="1:15" hidden="1" x14ac:dyDescent="0.3">
      <c r="A186" t="s">
        <v>325</v>
      </c>
      <c r="B186" t="s">
        <v>259</v>
      </c>
      <c r="C186" t="s">
        <v>258</v>
      </c>
      <c r="D186"/>
      <c r="E186"/>
      <c r="F186">
        <v>679</v>
      </c>
      <c r="G186"/>
      <c r="H186"/>
      <c r="I186"/>
      <c r="J186">
        <v>40507</v>
      </c>
      <c r="K186">
        <v>1.6760000000000002</v>
      </c>
      <c r="M186">
        <v>40697</v>
      </c>
      <c r="N186">
        <v>1.6680000000000001</v>
      </c>
    </row>
    <row r="187" spans="1:15" hidden="1" x14ac:dyDescent="0.3">
      <c r="A187" t="s">
        <v>320</v>
      </c>
      <c r="B187" t="s">
        <v>259</v>
      </c>
      <c r="C187" t="s">
        <v>258</v>
      </c>
      <c r="D187"/>
      <c r="E187"/>
      <c r="F187">
        <v>645</v>
      </c>
      <c r="G187"/>
      <c r="H187"/>
      <c r="I187"/>
      <c r="J187">
        <v>39909</v>
      </c>
      <c r="K187">
        <v>1.6160000000000001</v>
      </c>
      <c r="M187">
        <v>40081</v>
      </c>
      <c r="N187">
        <v>1.609</v>
      </c>
    </row>
    <row r="188" spans="1:15" hidden="1" x14ac:dyDescent="0.3">
      <c r="A188" t="s">
        <v>318</v>
      </c>
      <c r="B188" t="s">
        <v>259</v>
      </c>
      <c r="C188" t="s">
        <v>258</v>
      </c>
      <c r="D188">
        <v>204</v>
      </c>
      <c r="E188">
        <v>172</v>
      </c>
      <c r="F188">
        <v>376</v>
      </c>
      <c r="G188">
        <v>222</v>
      </c>
      <c r="H188">
        <v>100</v>
      </c>
      <c r="I188">
        <v>322</v>
      </c>
      <c r="J188">
        <v>39453</v>
      </c>
      <c r="K188">
        <v>0.95299999999999996</v>
      </c>
      <c r="L188">
        <v>0.81599999999999995</v>
      </c>
      <c r="M188">
        <v>39586</v>
      </c>
      <c r="N188">
        <v>0.95</v>
      </c>
      <c r="O188">
        <v>0.81299999999999994</v>
      </c>
    </row>
    <row r="189" spans="1:15" hidden="1" x14ac:dyDescent="0.3">
      <c r="A189" t="s">
        <v>312</v>
      </c>
      <c r="B189" t="s">
        <v>259</v>
      </c>
      <c r="C189" t="s">
        <v>258</v>
      </c>
      <c r="D189">
        <v>366</v>
      </c>
      <c r="E189">
        <v>587</v>
      </c>
      <c r="F189">
        <v>953</v>
      </c>
      <c r="G189">
        <v>397</v>
      </c>
      <c r="H189">
        <v>172</v>
      </c>
      <c r="I189">
        <v>569</v>
      </c>
      <c r="J189">
        <v>39144</v>
      </c>
      <c r="K189">
        <v>2.4350000000000001</v>
      </c>
      <c r="L189">
        <v>1.454</v>
      </c>
      <c r="M189">
        <v>39345</v>
      </c>
      <c r="N189">
        <v>2.4220000000000002</v>
      </c>
      <c r="O189">
        <v>1.446</v>
      </c>
    </row>
    <row r="190" spans="1:15" hidden="1" x14ac:dyDescent="0.3">
      <c r="A190" t="s">
        <v>213</v>
      </c>
      <c r="B190" t="s">
        <v>259</v>
      </c>
      <c r="C190" t="s">
        <v>258</v>
      </c>
      <c r="D190">
        <v>445</v>
      </c>
      <c r="E190">
        <v>651</v>
      </c>
      <c r="F190">
        <v>1096</v>
      </c>
      <c r="G190">
        <v>492</v>
      </c>
      <c r="H190">
        <v>194</v>
      </c>
      <c r="I190">
        <v>686</v>
      </c>
      <c r="J190">
        <v>38902</v>
      </c>
      <c r="K190">
        <v>2.8170000000000002</v>
      </c>
      <c r="L190">
        <v>1.7629999999999999</v>
      </c>
      <c r="M190">
        <v>39108</v>
      </c>
      <c r="N190">
        <v>2.802</v>
      </c>
      <c r="O190">
        <v>1.754</v>
      </c>
    </row>
    <row r="191" spans="1:15" hidden="1" x14ac:dyDescent="0.3">
      <c r="A191" t="s">
        <v>342</v>
      </c>
      <c r="B191" t="s">
        <v>259</v>
      </c>
      <c r="C191" t="s">
        <v>258</v>
      </c>
      <c r="D191">
        <v>604</v>
      </c>
      <c r="E191">
        <v>662</v>
      </c>
      <c r="F191">
        <v>1266</v>
      </c>
      <c r="G191">
        <v>700</v>
      </c>
      <c r="H191">
        <v>194</v>
      </c>
      <c r="I191">
        <v>894</v>
      </c>
      <c r="J191">
        <v>38677</v>
      </c>
      <c r="K191">
        <v>3.2730000000000001</v>
      </c>
      <c r="L191">
        <v>2.3109999999999999</v>
      </c>
      <c r="M191">
        <v>38899</v>
      </c>
      <c r="N191">
        <v>3.2549999999999999</v>
      </c>
      <c r="O191">
        <v>2.298</v>
      </c>
    </row>
    <row r="192" spans="1:15" hidden="1" x14ac:dyDescent="0.3">
      <c r="A192" t="s">
        <v>341</v>
      </c>
      <c r="B192" t="s">
        <v>259</v>
      </c>
      <c r="C192" t="s">
        <v>258</v>
      </c>
      <c r="D192">
        <v>644</v>
      </c>
      <c r="E192">
        <v>916</v>
      </c>
      <c r="F192">
        <v>1560</v>
      </c>
      <c r="G192">
        <v>686</v>
      </c>
      <c r="H192">
        <v>274</v>
      </c>
      <c r="I192">
        <v>960</v>
      </c>
      <c r="J192">
        <v>38389</v>
      </c>
      <c r="K192">
        <v>4.0640000000000001</v>
      </c>
      <c r="L192">
        <v>2.5009999999999999</v>
      </c>
      <c r="M192">
        <v>38581</v>
      </c>
      <c r="N192">
        <v>4.0430000000000001</v>
      </c>
      <c r="O192">
        <v>2.488</v>
      </c>
    </row>
    <row r="193" spans="1:15" hidden="1" x14ac:dyDescent="0.3">
      <c r="A193" t="s">
        <v>366</v>
      </c>
      <c r="B193" t="s">
        <v>259</v>
      </c>
      <c r="C193" t="s">
        <v>258</v>
      </c>
      <c r="D193">
        <v>587</v>
      </c>
      <c r="E193">
        <v>1106</v>
      </c>
      <c r="F193">
        <v>1693</v>
      </c>
      <c r="G193">
        <v>640</v>
      </c>
      <c r="H193">
        <v>250</v>
      </c>
      <c r="I193">
        <v>890</v>
      </c>
      <c r="J193">
        <v>38061</v>
      </c>
      <c r="K193">
        <v>4.4480000000000004</v>
      </c>
      <c r="L193">
        <v>2.3380000000000001</v>
      </c>
      <c r="M193">
        <v>38270</v>
      </c>
      <c r="N193">
        <v>4.4240000000000004</v>
      </c>
      <c r="O193">
        <v>2.3260000000000001</v>
      </c>
    </row>
    <row r="194" spans="1:15" hidden="1" x14ac:dyDescent="0.3">
      <c r="A194" t="s">
        <v>365</v>
      </c>
      <c r="B194" t="s">
        <v>259</v>
      </c>
      <c r="C194" t="s">
        <v>258</v>
      </c>
      <c r="D194">
        <v>546</v>
      </c>
      <c r="E194">
        <v>689</v>
      </c>
      <c r="F194">
        <v>1235</v>
      </c>
      <c r="G194">
        <v>549</v>
      </c>
      <c r="H194">
        <v>267</v>
      </c>
      <c r="I194">
        <v>816</v>
      </c>
      <c r="J194">
        <v>37852</v>
      </c>
      <c r="K194">
        <v>3.2629999999999999</v>
      </c>
      <c r="L194">
        <v>2.1560000000000001</v>
      </c>
      <c r="M194">
        <v>38048</v>
      </c>
      <c r="N194">
        <v>3.246</v>
      </c>
      <c r="O194">
        <v>2.145</v>
      </c>
    </row>
    <row r="195" spans="1:15" hidden="1" x14ac:dyDescent="0.3">
      <c r="A195" t="s">
        <v>364</v>
      </c>
      <c r="B195" t="s">
        <v>259</v>
      </c>
      <c r="C195" t="s">
        <v>258</v>
      </c>
      <c r="D195">
        <v>492</v>
      </c>
      <c r="E195">
        <v>448</v>
      </c>
      <c r="F195">
        <v>940</v>
      </c>
      <c r="G195">
        <v>603</v>
      </c>
      <c r="H195">
        <v>198</v>
      </c>
      <c r="I195">
        <v>801</v>
      </c>
      <c r="J195">
        <v>37639</v>
      </c>
      <c r="K195">
        <v>2.4969999999999999</v>
      </c>
      <c r="L195">
        <v>2.1280000000000001</v>
      </c>
      <c r="M195">
        <v>37804</v>
      </c>
      <c r="N195">
        <v>2.4870000000000001</v>
      </c>
      <c r="O195">
        <v>2.1189999999999998</v>
      </c>
    </row>
    <row r="196" spans="1:15" hidden="1" x14ac:dyDescent="0.3">
      <c r="A196" t="s">
        <v>364</v>
      </c>
      <c r="B196" t="s">
        <v>281</v>
      </c>
      <c r="C196" t="s">
        <v>280</v>
      </c>
      <c r="D196">
        <v>332</v>
      </c>
      <c r="E196">
        <v>299</v>
      </c>
      <c r="F196">
        <v>631</v>
      </c>
      <c r="G196">
        <v>317</v>
      </c>
      <c r="H196">
        <v>264</v>
      </c>
      <c r="I196">
        <v>581</v>
      </c>
      <c r="J196">
        <v>43495</v>
      </c>
      <c r="K196">
        <v>1.4510000000000001</v>
      </c>
      <c r="L196">
        <v>1.3360000000000001</v>
      </c>
      <c r="M196">
        <v>40839</v>
      </c>
      <c r="N196">
        <v>1.5449999999999999</v>
      </c>
      <c r="O196">
        <v>1.423</v>
      </c>
    </row>
    <row r="197" spans="1:15" hidden="1" x14ac:dyDescent="0.3">
      <c r="A197" t="s">
        <v>365</v>
      </c>
      <c r="B197" t="s">
        <v>281</v>
      </c>
      <c r="C197" t="s">
        <v>280</v>
      </c>
      <c r="D197">
        <v>372</v>
      </c>
      <c r="E197">
        <v>356</v>
      </c>
      <c r="F197">
        <v>728</v>
      </c>
      <c r="G197">
        <v>336</v>
      </c>
      <c r="H197">
        <v>293</v>
      </c>
      <c r="I197">
        <v>629</v>
      </c>
      <c r="J197">
        <v>43788</v>
      </c>
      <c r="K197">
        <v>1.663</v>
      </c>
      <c r="L197">
        <v>1.4359999999999999</v>
      </c>
      <c r="M197">
        <v>41288</v>
      </c>
      <c r="N197">
        <v>1.7629999999999999</v>
      </c>
      <c r="O197">
        <v>1.5230000000000001</v>
      </c>
    </row>
    <row r="198" spans="1:15" hidden="1" x14ac:dyDescent="0.3">
      <c r="A198" t="s">
        <v>366</v>
      </c>
      <c r="B198" t="s">
        <v>281</v>
      </c>
      <c r="C198" t="s">
        <v>280</v>
      </c>
      <c r="D198">
        <v>426</v>
      </c>
      <c r="E198">
        <v>479</v>
      </c>
      <c r="F198">
        <v>905</v>
      </c>
      <c r="G198">
        <v>383</v>
      </c>
      <c r="H198">
        <v>384</v>
      </c>
      <c r="I198">
        <v>767</v>
      </c>
      <c r="J198">
        <v>44096</v>
      </c>
      <c r="K198">
        <v>2.052</v>
      </c>
      <c r="L198">
        <v>1.7389999999999999</v>
      </c>
      <c r="M198">
        <v>41641</v>
      </c>
      <c r="N198">
        <v>2.173</v>
      </c>
      <c r="O198">
        <v>1.8420000000000001</v>
      </c>
    </row>
    <row r="199" spans="1:15" hidden="1" x14ac:dyDescent="0.3">
      <c r="A199" t="s">
        <v>341</v>
      </c>
      <c r="B199" t="s">
        <v>281</v>
      </c>
      <c r="C199" t="s">
        <v>280</v>
      </c>
      <c r="D199">
        <v>768</v>
      </c>
      <c r="E199">
        <v>1016</v>
      </c>
      <c r="F199">
        <v>1784</v>
      </c>
      <c r="G199">
        <v>709</v>
      </c>
      <c r="H199">
        <v>647</v>
      </c>
      <c r="I199">
        <v>1356</v>
      </c>
      <c r="J199">
        <v>44454</v>
      </c>
      <c r="K199">
        <v>4.0129999999999999</v>
      </c>
      <c r="L199">
        <v>3.05</v>
      </c>
      <c r="M199">
        <v>41961</v>
      </c>
      <c r="N199">
        <v>4.2519999999999998</v>
      </c>
      <c r="O199">
        <v>3.2320000000000002</v>
      </c>
    </row>
    <row r="200" spans="1:15" hidden="1" x14ac:dyDescent="0.3">
      <c r="A200" t="s">
        <v>342</v>
      </c>
      <c r="B200" t="s">
        <v>281</v>
      </c>
      <c r="C200" t="s">
        <v>280</v>
      </c>
      <c r="D200">
        <v>609</v>
      </c>
      <c r="E200">
        <v>826</v>
      </c>
      <c r="F200">
        <v>1435</v>
      </c>
      <c r="G200">
        <v>554</v>
      </c>
      <c r="H200">
        <v>522</v>
      </c>
      <c r="I200">
        <v>1076</v>
      </c>
      <c r="J200">
        <v>44838</v>
      </c>
      <c r="K200">
        <v>3.2</v>
      </c>
      <c r="L200">
        <v>2.4</v>
      </c>
      <c r="M200">
        <v>42269</v>
      </c>
      <c r="N200">
        <v>3.395</v>
      </c>
      <c r="O200">
        <v>2.5460000000000003</v>
      </c>
    </row>
    <row r="201" spans="1:15" hidden="1" x14ac:dyDescent="0.3">
      <c r="A201" t="s">
        <v>213</v>
      </c>
      <c r="B201" t="s">
        <v>281</v>
      </c>
      <c r="C201" t="s">
        <v>280</v>
      </c>
      <c r="D201">
        <v>516</v>
      </c>
      <c r="E201">
        <v>1149</v>
      </c>
      <c r="F201">
        <v>1665</v>
      </c>
      <c r="G201">
        <v>399</v>
      </c>
      <c r="H201">
        <v>473</v>
      </c>
      <c r="I201">
        <v>872</v>
      </c>
      <c r="J201">
        <v>45209</v>
      </c>
      <c r="K201">
        <v>3.6829999999999998</v>
      </c>
      <c r="L201">
        <v>1.929</v>
      </c>
      <c r="M201">
        <v>42554</v>
      </c>
      <c r="N201">
        <v>3.9130000000000003</v>
      </c>
      <c r="O201">
        <v>2.0489999999999999</v>
      </c>
    </row>
    <row r="202" spans="1:15" hidden="1" x14ac:dyDescent="0.3">
      <c r="A202" t="s">
        <v>312</v>
      </c>
      <c r="B202" t="s">
        <v>281</v>
      </c>
      <c r="C202" t="s">
        <v>280</v>
      </c>
      <c r="D202">
        <v>483</v>
      </c>
      <c r="E202">
        <v>1205</v>
      </c>
      <c r="F202">
        <v>1688</v>
      </c>
      <c r="G202">
        <v>500</v>
      </c>
      <c r="H202">
        <v>377</v>
      </c>
      <c r="I202">
        <v>877</v>
      </c>
      <c r="J202">
        <v>45630</v>
      </c>
      <c r="K202">
        <v>3.6989999999999998</v>
      </c>
      <c r="L202">
        <v>1.9220000000000002</v>
      </c>
      <c r="M202">
        <v>42932</v>
      </c>
      <c r="N202">
        <v>3.9319999999999999</v>
      </c>
      <c r="O202">
        <v>2.0430000000000001</v>
      </c>
    </row>
    <row r="203" spans="1:15" hidden="1" x14ac:dyDescent="0.3">
      <c r="A203" t="s">
        <v>318</v>
      </c>
      <c r="B203" t="s">
        <v>281</v>
      </c>
      <c r="C203" t="s">
        <v>280</v>
      </c>
      <c r="D203">
        <v>86</v>
      </c>
      <c r="E203">
        <v>260</v>
      </c>
      <c r="F203">
        <v>346</v>
      </c>
      <c r="G203">
        <v>97</v>
      </c>
      <c r="H203">
        <v>61</v>
      </c>
      <c r="I203">
        <v>158</v>
      </c>
      <c r="J203">
        <v>45838</v>
      </c>
      <c r="K203">
        <v>0.755</v>
      </c>
      <c r="L203">
        <v>0.34499999999999997</v>
      </c>
      <c r="M203">
        <v>43175</v>
      </c>
      <c r="N203">
        <v>0.80100000000000005</v>
      </c>
      <c r="O203">
        <v>0.36599999999999999</v>
      </c>
    </row>
    <row r="204" spans="1:15" hidden="1" x14ac:dyDescent="0.3">
      <c r="A204" t="s">
        <v>320</v>
      </c>
      <c r="B204" t="s">
        <v>281</v>
      </c>
      <c r="C204" t="s">
        <v>280</v>
      </c>
      <c r="D204"/>
      <c r="E204"/>
      <c r="F204">
        <v>931</v>
      </c>
      <c r="G204"/>
      <c r="H204"/>
      <c r="I204"/>
      <c r="J204">
        <v>46166</v>
      </c>
      <c r="K204">
        <v>2.0169999999999999</v>
      </c>
      <c r="M204">
        <v>43590</v>
      </c>
      <c r="N204">
        <v>2.1360000000000001</v>
      </c>
    </row>
    <row r="205" spans="1:15" hidden="1" x14ac:dyDescent="0.3">
      <c r="A205" t="s">
        <v>325</v>
      </c>
      <c r="B205" t="s">
        <v>281</v>
      </c>
      <c r="C205" t="s">
        <v>280</v>
      </c>
      <c r="D205"/>
      <c r="E205"/>
      <c r="F205">
        <v>687</v>
      </c>
      <c r="G205"/>
      <c r="H205"/>
      <c r="I205"/>
      <c r="J205">
        <v>46585</v>
      </c>
      <c r="K205">
        <v>1.4750000000000001</v>
      </c>
      <c r="M205">
        <v>43995</v>
      </c>
      <c r="N205">
        <v>1.5620000000000001</v>
      </c>
    </row>
    <row r="206" spans="1:15" hidden="1" x14ac:dyDescent="0.3">
      <c r="A206" t="s">
        <v>326</v>
      </c>
      <c r="B206" t="s">
        <v>281</v>
      </c>
      <c r="D206">
        <v>58</v>
      </c>
      <c r="E206">
        <v>619</v>
      </c>
      <c r="F206">
        <v>677</v>
      </c>
      <c r="G206">
        <v>104</v>
      </c>
      <c r="H206">
        <v>71</v>
      </c>
      <c r="I206">
        <v>175</v>
      </c>
      <c r="J206">
        <v>47060</v>
      </c>
      <c r="K206">
        <v>1.4390000000000001</v>
      </c>
      <c r="L206">
        <v>0.372</v>
      </c>
      <c r="M206">
        <v>43891</v>
      </c>
      <c r="N206">
        <v>1.542</v>
      </c>
      <c r="O206">
        <v>0.39900000000000002</v>
      </c>
    </row>
    <row r="207" spans="1:15" hidden="1" x14ac:dyDescent="0.3">
      <c r="A207" t="s">
        <v>326</v>
      </c>
      <c r="B207" t="s">
        <v>281</v>
      </c>
      <c r="D207">
        <v>58</v>
      </c>
      <c r="E207">
        <v>619</v>
      </c>
      <c r="F207">
        <v>677</v>
      </c>
      <c r="G207">
        <v>104</v>
      </c>
      <c r="H207">
        <v>71</v>
      </c>
      <c r="I207">
        <v>175</v>
      </c>
      <c r="J207">
        <v>47804</v>
      </c>
      <c r="K207">
        <v>1.4159999999999999</v>
      </c>
      <c r="L207">
        <v>0.36599999999999999</v>
      </c>
      <c r="M207">
        <v>43891</v>
      </c>
      <c r="N207">
        <v>1.542</v>
      </c>
      <c r="O207">
        <v>0.39900000000000002</v>
      </c>
    </row>
    <row r="208" spans="1:15" hidden="1" x14ac:dyDescent="0.3">
      <c r="A208" t="s">
        <v>326</v>
      </c>
      <c r="B208" t="s">
        <v>289</v>
      </c>
      <c r="D208">
        <v>356</v>
      </c>
      <c r="E208">
        <v>1712</v>
      </c>
      <c r="F208">
        <v>2068</v>
      </c>
      <c r="G208">
        <v>746</v>
      </c>
      <c r="H208">
        <v>208</v>
      </c>
      <c r="I208">
        <v>954</v>
      </c>
      <c r="J208">
        <v>161718</v>
      </c>
      <c r="K208">
        <v>1.2789999999999999</v>
      </c>
      <c r="L208">
        <v>0.59</v>
      </c>
      <c r="M208">
        <v>152653</v>
      </c>
      <c r="N208">
        <v>1.355</v>
      </c>
      <c r="O208">
        <v>0.625</v>
      </c>
    </row>
    <row r="209" spans="1:15" hidden="1" x14ac:dyDescent="0.3">
      <c r="A209" t="s">
        <v>326</v>
      </c>
      <c r="B209" t="s">
        <v>289</v>
      </c>
      <c r="D209">
        <v>356</v>
      </c>
      <c r="E209">
        <v>1712</v>
      </c>
      <c r="F209">
        <v>2068</v>
      </c>
      <c r="G209">
        <v>746</v>
      </c>
      <c r="H209">
        <v>208</v>
      </c>
      <c r="I209">
        <v>954</v>
      </c>
      <c r="J209">
        <v>160560</v>
      </c>
      <c r="K209">
        <v>1.288</v>
      </c>
      <c r="L209">
        <v>0.59399999999999997</v>
      </c>
      <c r="M209">
        <v>152653</v>
      </c>
      <c r="N209">
        <v>1.355</v>
      </c>
      <c r="O209">
        <v>0.625</v>
      </c>
    </row>
    <row r="210" spans="1:15" hidden="1" x14ac:dyDescent="0.3">
      <c r="A210" t="s">
        <v>364</v>
      </c>
      <c r="B210" t="s">
        <v>255</v>
      </c>
      <c r="C210" t="s">
        <v>254</v>
      </c>
      <c r="D210">
        <v>649</v>
      </c>
      <c r="E210">
        <v>366</v>
      </c>
      <c r="F210">
        <v>1015</v>
      </c>
      <c r="G210">
        <v>611</v>
      </c>
      <c r="H210">
        <v>496</v>
      </c>
      <c r="I210">
        <v>1107</v>
      </c>
      <c r="J210">
        <v>45613</v>
      </c>
      <c r="K210">
        <v>2.2250000000000001</v>
      </c>
      <c r="L210">
        <v>2.427</v>
      </c>
      <c r="M210">
        <v>43682</v>
      </c>
      <c r="N210">
        <v>2.3239999999999998</v>
      </c>
      <c r="O210">
        <v>2.5339999999999998</v>
      </c>
    </row>
    <row r="211" spans="1:15" hidden="1" x14ac:dyDescent="0.3">
      <c r="A211" t="s">
        <v>365</v>
      </c>
      <c r="B211" t="s">
        <v>255</v>
      </c>
      <c r="C211" t="s">
        <v>254</v>
      </c>
      <c r="D211">
        <v>737</v>
      </c>
      <c r="E211">
        <v>511</v>
      </c>
      <c r="F211">
        <v>1248</v>
      </c>
      <c r="G211">
        <v>708</v>
      </c>
      <c r="H211">
        <v>526</v>
      </c>
      <c r="I211">
        <v>1234</v>
      </c>
      <c r="J211">
        <v>45968</v>
      </c>
      <c r="K211">
        <v>2.7149999999999999</v>
      </c>
      <c r="L211">
        <v>2.6840000000000002</v>
      </c>
      <c r="M211">
        <v>43981</v>
      </c>
      <c r="N211">
        <v>2.8380000000000001</v>
      </c>
      <c r="O211">
        <v>2.806</v>
      </c>
    </row>
    <row r="212" spans="1:15" hidden="1" x14ac:dyDescent="0.3">
      <c r="A212" t="s">
        <v>366</v>
      </c>
      <c r="B212" t="s">
        <v>255</v>
      </c>
      <c r="C212" t="s">
        <v>254</v>
      </c>
      <c r="D212">
        <v>716</v>
      </c>
      <c r="E212">
        <v>704</v>
      </c>
      <c r="F212">
        <v>1420</v>
      </c>
      <c r="G212">
        <v>715</v>
      </c>
      <c r="H212">
        <v>505</v>
      </c>
      <c r="I212">
        <v>1220</v>
      </c>
      <c r="J212">
        <v>46332</v>
      </c>
      <c r="K212">
        <v>3.0649999999999999</v>
      </c>
      <c r="L212">
        <v>2.633</v>
      </c>
      <c r="M212">
        <v>44384</v>
      </c>
      <c r="N212">
        <v>3.1989999999999998</v>
      </c>
      <c r="O212">
        <v>2.7490000000000001</v>
      </c>
    </row>
    <row r="213" spans="1:15" hidden="1" x14ac:dyDescent="0.3">
      <c r="A213" t="s">
        <v>341</v>
      </c>
      <c r="B213" t="s">
        <v>255</v>
      </c>
      <c r="C213" t="s">
        <v>254</v>
      </c>
      <c r="D213">
        <v>596</v>
      </c>
      <c r="E213">
        <v>578</v>
      </c>
      <c r="F213">
        <v>1174</v>
      </c>
      <c r="G213">
        <v>608</v>
      </c>
      <c r="H213">
        <v>364</v>
      </c>
      <c r="I213">
        <v>972</v>
      </c>
      <c r="J213">
        <v>46672</v>
      </c>
      <c r="K213">
        <v>2.5150000000000001</v>
      </c>
      <c r="L213">
        <v>2.0830000000000002</v>
      </c>
      <c r="M213">
        <v>44749</v>
      </c>
      <c r="N213">
        <v>2.6240000000000001</v>
      </c>
      <c r="O213">
        <v>2.1720000000000002</v>
      </c>
    </row>
    <row r="214" spans="1:15" hidden="1" x14ac:dyDescent="0.3">
      <c r="A214" t="s">
        <v>342</v>
      </c>
      <c r="B214" t="s">
        <v>255</v>
      </c>
      <c r="C214" t="s">
        <v>254</v>
      </c>
      <c r="D214">
        <v>540</v>
      </c>
      <c r="E214">
        <v>494</v>
      </c>
      <c r="F214">
        <v>1034</v>
      </c>
      <c r="G214">
        <v>544</v>
      </c>
      <c r="H214">
        <v>339</v>
      </c>
      <c r="I214">
        <v>883</v>
      </c>
      <c r="J214">
        <v>47407</v>
      </c>
      <c r="K214">
        <v>2.181</v>
      </c>
      <c r="L214">
        <v>1.863</v>
      </c>
      <c r="M214">
        <v>45301</v>
      </c>
      <c r="N214">
        <v>2.2829999999999999</v>
      </c>
      <c r="O214">
        <v>1.9489999999999998</v>
      </c>
    </row>
    <row r="215" spans="1:15" hidden="1" x14ac:dyDescent="0.3">
      <c r="A215" t="s">
        <v>213</v>
      </c>
      <c r="B215" t="s">
        <v>255</v>
      </c>
      <c r="C215" t="s">
        <v>254</v>
      </c>
      <c r="D215">
        <v>440</v>
      </c>
      <c r="E215">
        <v>524</v>
      </c>
      <c r="F215">
        <v>964</v>
      </c>
      <c r="G215">
        <v>530</v>
      </c>
      <c r="H215">
        <v>193</v>
      </c>
      <c r="I215">
        <v>723</v>
      </c>
      <c r="J215">
        <v>48055</v>
      </c>
      <c r="K215">
        <v>2.0059999999999998</v>
      </c>
      <c r="L215">
        <v>1.5049999999999999</v>
      </c>
      <c r="M215">
        <v>45975</v>
      </c>
      <c r="N215">
        <v>2.097</v>
      </c>
      <c r="O215">
        <v>1.573</v>
      </c>
    </row>
    <row r="216" spans="1:15" hidden="1" x14ac:dyDescent="0.3">
      <c r="A216" t="s">
        <v>312</v>
      </c>
      <c r="B216" t="s">
        <v>255</v>
      </c>
      <c r="C216" t="s">
        <v>254</v>
      </c>
      <c r="D216">
        <v>372</v>
      </c>
      <c r="E216">
        <v>530</v>
      </c>
      <c r="F216">
        <v>902</v>
      </c>
      <c r="G216">
        <v>448</v>
      </c>
      <c r="H216">
        <v>151</v>
      </c>
      <c r="I216">
        <v>599</v>
      </c>
      <c r="J216">
        <v>48851</v>
      </c>
      <c r="K216">
        <v>1.8460000000000001</v>
      </c>
      <c r="L216">
        <v>1.226</v>
      </c>
      <c r="M216">
        <v>46771</v>
      </c>
      <c r="N216">
        <v>1.929</v>
      </c>
      <c r="O216">
        <v>1.2810000000000001</v>
      </c>
    </row>
    <row r="217" spans="1:15" hidden="1" x14ac:dyDescent="0.3">
      <c r="A217" t="s">
        <v>318</v>
      </c>
      <c r="B217" t="s">
        <v>255</v>
      </c>
      <c r="C217" t="s">
        <v>254</v>
      </c>
      <c r="D217">
        <v>124</v>
      </c>
      <c r="E217">
        <v>154</v>
      </c>
      <c r="F217">
        <v>278</v>
      </c>
      <c r="G217">
        <v>162</v>
      </c>
      <c r="H217">
        <v>64</v>
      </c>
      <c r="I217">
        <v>226</v>
      </c>
      <c r="J217">
        <v>49642</v>
      </c>
      <c r="K217">
        <v>0.56000000000000005</v>
      </c>
      <c r="L217">
        <v>0.45500000000000002</v>
      </c>
      <c r="M217">
        <v>47482</v>
      </c>
      <c r="N217">
        <v>0.58499999999999996</v>
      </c>
      <c r="O217">
        <v>0.47599999999999998</v>
      </c>
    </row>
    <row r="218" spans="1:15" hidden="1" x14ac:dyDescent="0.3">
      <c r="A218" t="s">
        <v>320</v>
      </c>
      <c r="B218" t="s">
        <v>255</v>
      </c>
      <c r="C218" t="s">
        <v>254</v>
      </c>
      <c r="D218"/>
      <c r="E218"/>
      <c r="F218">
        <v>646</v>
      </c>
      <c r="G218"/>
      <c r="H218"/>
      <c r="I218"/>
      <c r="J218">
        <v>50641</v>
      </c>
      <c r="K218">
        <v>1.276</v>
      </c>
      <c r="M218">
        <v>48440</v>
      </c>
      <c r="N218">
        <v>1.3340000000000001</v>
      </c>
    </row>
    <row r="219" spans="1:15" hidden="1" x14ac:dyDescent="0.3">
      <c r="A219" t="s">
        <v>325</v>
      </c>
      <c r="B219" t="s">
        <v>255</v>
      </c>
      <c r="C219" t="s">
        <v>254</v>
      </c>
      <c r="D219"/>
      <c r="E219"/>
      <c r="F219">
        <v>520</v>
      </c>
      <c r="G219"/>
      <c r="H219"/>
      <c r="I219"/>
      <c r="J219">
        <v>51409</v>
      </c>
      <c r="K219">
        <v>1.0109999999999999</v>
      </c>
      <c r="M219">
        <v>49220</v>
      </c>
      <c r="N219">
        <v>1.056</v>
      </c>
    </row>
    <row r="220" spans="1:15" hidden="1" x14ac:dyDescent="0.3">
      <c r="A220" t="s">
        <v>326</v>
      </c>
      <c r="B220" t="s">
        <v>255</v>
      </c>
      <c r="D220">
        <v>65</v>
      </c>
      <c r="E220">
        <v>558</v>
      </c>
      <c r="F220">
        <v>623</v>
      </c>
      <c r="G220">
        <v>123</v>
      </c>
      <c r="H220">
        <v>39</v>
      </c>
      <c r="I220">
        <v>162</v>
      </c>
      <c r="J220">
        <v>52327</v>
      </c>
      <c r="K220">
        <v>1.1910000000000001</v>
      </c>
      <c r="L220">
        <v>0.31</v>
      </c>
      <c r="M220">
        <v>49686</v>
      </c>
      <c r="N220">
        <v>1.254</v>
      </c>
      <c r="O220">
        <v>0.32600000000000001</v>
      </c>
    </row>
    <row r="221" spans="1:15" hidden="1" x14ac:dyDescent="0.3">
      <c r="A221" t="s">
        <v>326</v>
      </c>
      <c r="B221" t="s">
        <v>255</v>
      </c>
      <c r="D221">
        <v>65</v>
      </c>
      <c r="E221">
        <v>558</v>
      </c>
      <c r="F221">
        <v>623</v>
      </c>
      <c r="G221">
        <v>123</v>
      </c>
      <c r="H221">
        <v>39</v>
      </c>
      <c r="I221">
        <v>162</v>
      </c>
      <c r="J221">
        <v>54314</v>
      </c>
      <c r="K221">
        <v>1.147</v>
      </c>
      <c r="L221">
        <v>0.29799999999999999</v>
      </c>
      <c r="M221">
        <v>49686</v>
      </c>
      <c r="N221">
        <v>1.254</v>
      </c>
      <c r="O221">
        <v>0.32600000000000001</v>
      </c>
    </row>
    <row r="222" spans="1:15" hidden="1" x14ac:dyDescent="0.3">
      <c r="A222" t="s">
        <v>326</v>
      </c>
      <c r="B222" t="s">
        <v>273</v>
      </c>
      <c r="D222">
        <v>145</v>
      </c>
      <c r="E222">
        <v>1925</v>
      </c>
      <c r="F222">
        <v>2070</v>
      </c>
      <c r="G222">
        <v>233</v>
      </c>
      <c r="H222">
        <v>226</v>
      </c>
      <c r="I222">
        <v>459</v>
      </c>
      <c r="J222">
        <v>125736</v>
      </c>
      <c r="K222">
        <v>1.6459999999999999</v>
      </c>
      <c r="L222">
        <v>0.36499999999999999</v>
      </c>
      <c r="M222">
        <v>112857</v>
      </c>
      <c r="N222">
        <v>1.8340000000000001</v>
      </c>
      <c r="O222">
        <v>0.40699999999999997</v>
      </c>
    </row>
    <row r="223" spans="1:15" hidden="1" x14ac:dyDescent="0.3">
      <c r="A223" t="s">
        <v>326</v>
      </c>
      <c r="B223" t="s">
        <v>273</v>
      </c>
      <c r="D223">
        <v>145</v>
      </c>
      <c r="E223">
        <v>1925</v>
      </c>
      <c r="F223">
        <v>2070</v>
      </c>
      <c r="G223">
        <v>233</v>
      </c>
      <c r="H223">
        <v>226</v>
      </c>
      <c r="I223">
        <v>459</v>
      </c>
      <c r="J223">
        <v>123568</v>
      </c>
      <c r="K223">
        <v>1.675</v>
      </c>
      <c r="L223">
        <v>0.371</v>
      </c>
      <c r="M223">
        <v>112857</v>
      </c>
      <c r="N223">
        <v>1.8340000000000001</v>
      </c>
      <c r="O223">
        <v>0.40699999999999997</v>
      </c>
    </row>
    <row r="224" spans="1:15" hidden="1" x14ac:dyDescent="0.3">
      <c r="A224" t="s">
        <v>325</v>
      </c>
      <c r="B224" t="s">
        <v>273</v>
      </c>
      <c r="C224" t="s">
        <v>272</v>
      </c>
      <c r="D224"/>
      <c r="E224"/>
      <c r="F224">
        <v>2133</v>
      </c>
      <c r="G224"/>
      <c r="H224"/>
      <c r="I224"/>
      <c r="J224">
        <v>122235</v>
      </c>
      <c r="K224">
        <v>1.7450000000000001</v>
      </c>
      <c r="M224">
        <v>111633</v>
      </c>
      <c r="N224">
        <v>1.911</v>
      </c>
    </row>
    <row r="225" spans="1:15" hidden="1" x14ac:dyDescent="0.3">
      <c r="A225" t="s">
        <v>320</v>
      </c>
      <c r="B225" t="s">
        <v>273</v>
      </c>
      <c r="C225" t="s">
        <v>272</v>
      </c>
      <c r="D225"/>
      <c r="E225"/>
      <c r="F225">
        <v>2214</v>
      </c>
      <c r="G225"/>
      <c r="H225"/>
      <c r="I225"/>
      <c r="J225">
        <v>120785</v>
      </c>
      <c r="K225">
        <v>1.833</v>
      </c>
      <c r="M225">
        <v>110743</v>
      </c>
      <c r="N225">
        <v>1.9990000000000001</v>
      </c>
    </row>
    <row r="226" spans="1:15" hidden="1" x14ac:dyDescent="0.3">
      <c r="A226" t="s">
        <v>318</v>
      </c>
      <c r="B226" t="s">
        <v>273</v>
      </c>
      <c r="C226" t="s">
        <v>272</v>
      </c>
      <c r="D226">
        <v>164</v>
      </c>
      <c r="E226">
        <v>631</v>
      </c>
      <c r="F226">
        <v>795</v>
      </c>
      <c r="G226">
        <v>167</v>
      </c>
      <c r="H226">
        <v>166</v>
      </c>
      <c r="I226">
        <v>333</v>
      </c>
      <c r="J226">
        <v>119918</v>
      </c>
      <c r="K226">
        <v>0.66300000000000003</v>
      </c>
      <c r="L226">
        <v>0.27800000000000002</v>
      </c>
      <c r="M226">
        <v>110084</v>
      </c>
      <c r="N226">
        <v>0.72199999999999998</v>
      </c>
      <c r="O226">
        <v>0.30199999999999999</v>
      </c>
    </row>
    <row r="227" spans="1:15" hidden="1" x14ac:dyDescent="0.3">
      <c r="A227" t="s">
        <v>312</v>
      </c>
      <c r="B227" t="s">
        <v>273</v>
      </c>
      <c r="C227" t="s">
        <v>272</v>
      </c>
      <c r="D227">
        <v>592</v>
      </c>
      <c r="E227">
        <v>2276</v>
      </c>
      <c r="F227">
        <v>2868</v>
      </c>
      <c r="G227">
        <v>522</v>
      </c>
      <c r="H227">
        <v>464</v>
      </c>
      <c r="I227">
        <v>986</v>
      </c>
      <c r="J227">
        <v>119061</v>
      </c>
      <c r="K227">
        <v>2.4089999999999998</v>
      </c>
      <c r="L227">
        <v>0.82799999999999996</v>
      </c>
      <c r="M227">
        <v>109514</v>
      </c>
      <c r="N227">
        <v>2.6189999999999998</v>
      </c>
      <c r="O227">
        <v>0.9</v>
      </c>
    </row>
    <row r="228" spans="1:15" hidden="1" x14ac:dyDescent="0.3">
      <c r="A228" t="s">
        <v>213</v>
      </c>
      <c r="B228" t="s">
        <v>273</v>
      </c>
      <c r="C228" t="s">
        <v>272</v>
      </c>
      <c r="D228">
        <v>813</v>
      </c>
      <c r="E228">
        <v>2969</v>
      </c>
      <c r="F228">
        <v>3782</v>
      </c>
      <c r="G228">
        <v>818</v>
      </c>
      <c r="H228">
        <v>537</v>
      </c>
      <c r="I228">
        <v>1355</v>
      </c>
      <c r="J228">
        <v>118117</v>
      </c>
      <c r="K228">
        <v>3.202</v>
      </c>
      <c r="L228">
        <v>1.147</v>
      </c>
      <c r="M228">
        <v>108878</v>
      </c>
      <c r="N228">
        <v>3.4740000000000002</v>
      </c>
      <c r="O228">
        <v>1.2450000000000001</v>
      </c>
    </row>
    <row r="229" spans="1:15" hidden="1" x14ac:dyDescent="0.3">
      <c r="A229" t="s">
        <v>342</v>
      </c>
      <c r="B229" t="s">
        <v>273</v>
      </c>
      <c r="C229" t="s">
        <v>272</v>
      </c>
      <c r="D229">
        <v>1288</v>
      </c>
      <c r="E229">
        <v>3927</v>
      </c>
      <c r="F229">
        <v>5215</v>
      </c>
      <c r="G229">
        <v>1385</v>
      </c>
      <c r="H229">
        <v>742</v>
      </c>
      <c r="I229">
        <v>2127</v>
      </c>
      <c r="J229">
        <v>117291</v>
      </c>
      <c r="K229">
        <v>4.4459999999999997</v>
      </c>
      <c r="L229">
        <v>1.8129999999999999</v>
      </c>
      <c r="M229">
        <v>108319</v>
      </c>
      <c r="N229">
        <v>4.8140000000000001</v>
      </c>
      <c r="O229">
        <v>1.964</v>
      </c>
    </row>
    <row r="230" spans="1:15" hidden="1" x14ac:dyDescent="0.3">
      <c r="A230" t="s">
        <v>341</v>
      </c>
      <c r="B230" t="s">
        <v>273</v>
      </c>
      <c r="C230" t="s">
        <v>272</v>
      </c>
      <c r="D230">
        <v>1215</v>
      </c>
      <c r="E230">
        <v>3439</v>
      </c>
      <c r="F230">
        <v>4654</v>
      </c>
      <c r="G230">
        <v>1204</v>
      </c>
      <c r="H230">
        <v>702</v>
      </c>
      <c r="I230">
        <v>1906</v>
      </c>
      <c r="J230">
        <v>116453</v>
      </c>
      <c r="K230">
        <v>3.996</v>
      </c>
      <c r="L230">
        <v>1.637</v>
      </c>
      <c r="M230">
        <v>107573</v>
      </c>
      <c r="N230">
        <v>4.3259999999999996</v>
      </c>
      <c r="O230">
        <v>1.772</v>
      </c>
    </row>
    <row r="231" spans="1:15" hidden="1" x14ac:dyDescent="0.3">
      <c r="A231" t="s">
        <v>366</v>
      </c>
      <c r="B231" t="s">
        <v>273</v>
      </c>
      <c r="C231" t="s">
        <v>272</v>
      </c>
      <c r="D231">
        <v>1073</v>
      </c>
      <c r="E231">
        <v>2605</v>
      </c>
      <c r="F231">
        <v>3678</v>
      </c>
      <c r="G231">
        <v>1225</v>
      </c>
      <c r="H231">
        <v>526</v>
      </c>
      <c r="I231">
        <v>1751</v>
      </c>
      <c r="J231">
        <v>115538</v>
      </c>
      <c r="K231">
        <v>3.1829999999999998</v>
      </c>
      <c r="L231">
        <v>1.516</v>
      </c>
      <c r="M231">
        <v>106834</v>
      </c>
      <c r="N231">
        <v>3.4430000000000001</v>
      </c>
      <c r="O231">
        <v>1.639</v>
      </c>
    </row>
    <row r="232" spans="1:15" hidden="1" x14ac:dyDescent="0.3">
      <c r="A232" t="s">
        <v>365</v>
      </c>
      <c r="B232" t="s">
        <v>273</v>
      </c>
      <c r="C232" t="s">
        <v>272</v>
      </c>
      <c r="D232">
        <v>962</v>
      </c>
      <c r="E232">
        <v>2623</v>
      </c>
      <c r="F232">
        <v>3585</v>
      </c>
      <c r="G232">
        <v>1042</v>
      </c>
      <c r="H232">
        <v>500</v>
      </c>
      <c r="I232">
        <v>1542</v>
      </c>
      <c r="J232">
        <v>114603</v>
      </c>
      <c r="K232">
        <v>3.1280000000000001</v>
      </c>
      <c r="L232">
        <v>1.3460000000000001</v>
      </c>
      <c r="M232">
        <v>105711</v>
      </c>
      <c r="N232">
        <v>3.391</v>
      </c>
      <c r="O232">
        <v>1.4590000000000001</v>
      </c>
    </row>
    <row r="233" spans="1:15" hidden="1" x14ac:dyDescent="0.3">
      <c r="A233" t="s">
        <v>364</v>
      </c>
      <c r="B233" t="s">
        <v>273</v>
      </c>
      <c r="C233" t="s">
        <v>272</v>
      </c>
      <c r="D233">
        <v>1287</v>
      </c>
      <c r="E233">
        <v>2547</v>
      </c>
      <c r="F233">
        <v>3834</v>
      </c>
      <c r="G233">
        <v>1317</v>
      </c>
      <c r="H233">
        <v>724</v>
      </c>
      <c r="I233">
        <v>2041</v>
      </c>
      <c r="J233">
        <v>113703</v>
      </c>
      <c r="K233">
        <v>3.3719999999999999</v>
      </c>
      <c r="L233">
        <v>1.7949999999999999</v>
      </c>
      <c r="M233">
        <v>104445</v>
      </c>
      <c r="N233">
        <v>3.6710000000000003</v>
      </c>
      <c r="O233">
        <v>1.954</v>
      </c>
    </row>
    <row r="234" spans="1:15" hidden="1" x14ac:dyDescent="0.3">
      <c r="A234" t="s">
        <v>364</v>
      </c>
      <c r="B234" t="s">
        <v>283</v>
      </c>
      <c r="C234" t="s">
        <v>282</v>
      </c>
      <c r="D234">
        <v>123</v>
      </c>
      <c r="E234">
        <v>226</v>
      </c>
      <c r="F234">
        <v>349</v>
      </c>
      <c r="G234">
        <v>181</v>
      </c>
      <c r="H234">
        <v>15</v>
      </c>
      <c r="I234">
        <v>196</v>
      </c>
      <c r="J234">
        <v>14490</v>
      </c>
      <c r="K234">
        <v>2.4089999999999998</v>
      </c>
      <c r="L234">
        <v>1.353</v>
      </c>
      <c r="M234">
        <v>12924</v>
      </c>
      <c r="N234">
        <v>2.7</v>
      </c>
      <c r="O234">
        <v>1.5169999999999999</v>
      </c>
    </row>
    <row r="235" spans="1:15" hidden="1" x14ac:dyDescent="0.3">
      <c r="A235" t="s">
        <v>365</v>
      </c>
      <c r="B235" t="s">
        <v>283</v>
      </c>
      <c r="C235" t="s">
        <v>282</v>
      </c>
      <c r="D235">
        <v>93</v>
      </c>
      <c r="E235">
        <v>199</v>
      </c>
      <c r="F235">
        <v>292</v>
      </c>
      <c r="G235">
        <v>116</v>
      </c>
      <c r="H235">
        <v>30</v>
      </c>
      <c r="I235">
        <v>146</v>
      </c>
      <c r="J235">
        <v>14520</v>
      </c>
      <c r="K235">
        <v>2.0110000000000001</v>
      </c>
      <c r="L235">
        <v>1.006</v>
      </c>
      <c r="M235">
        <v>12920</v>
      </c>
      <c r="N235">
        <v>2.2599999999999998</v>
      </c>
      <c r="O235">
        <v>1.1299999999999999</v>
      </c>
    </row>
    <row r="236" spans="1:15" hidden="1" x14ac:dyDescent="0.3">
      <c r="A236" t="s">
        <v>366</v>
      </c>
      <c r="B236" t="s">
        <v>283</v>
      </c>
      <c r="C236" t="s">
        <v>282</v>
      </c>
      <c r="D236">
        <v>114</v>
      </c>
      <c r="E236">
        <v>205</v>
      </c>
      <c r="F236">
        <v>319</v>
      </c>
      <c r="G236">
        <v>144</v>
      </c>
      <c r="H236">
        <v>41</v>
      </c>
      <c r="I236">
        <v>185</v>
      </c>
      <c r="J236">
        <v>14577</v>
      </c>
      <c r="K236">
        <v>2.1880000000000002</v>
      </c>
      <c r="L236">
        <v>1.2690000000000001</v>
      </c>
      <c r="M236">
        <v>12968</v>
      </c>
      <c r="N236">
        <v>2.46</v>
      </c>
      <c r="O236">
        <v>1.427</v>
      </c>
    </row>
    <row r="237" spans="1:15" hidden="1" x14ac:dyDescent="0.3">
      <c r="A237" t="s">
        <v>341</v>
      </c>
      <c r="B237" t="s">
        <v>283</v>
      </c>
      <c r="C237" t="s">
        <v>282</v>
      </c>
      <c r="D237">
        <v>94</v>
      </c>
      <c r="E237">
        <v>249</v>
      </c>
      <c r="F237">
        <v>343</v>
      </c>
      <c r="G237">
        <v>95</v>
      </c>
      <c r="H237">
        <v>46</v>
      </c>
      <c r="I237">
        <v>141</v>
      </c>
      <c r="J237">
        <v>14599</v>
      </c>
      <c r="K237">
        <v>2.3490000000000002</v>
      </c>
      <c r="L237">
        <v>0.96599999999999997</v>
      </c>
      <c r="M237">
        <v>12951</v>
      </c>
      <c r="N237">
        <v>2.6480000000000001</v>
      </c>
      <c r="O237">
        <v>1.089</v>
      </c>
    </row>
    <row r="238" spans="1:15" hidden="1" x14ac:dyDescent="0.3">
      <c r="A238" t="s">
        <v>342</v>
      </c>
      <c r="B238" t="s">
        <v>283</v>
      </c>
      <c r="C238" t="s">
        <v>282</v>
      </c>
      <c r="D238">
        <v>125</v>
      </c>
      <c r="E238">
        <v>223</v>
      </c>
      <c r="F238">
        <v>348</v>
      </c>
      <c r="G238">
        <v>171</v>
      </c>
      <c r="H238">
        <v>11</v>
      </c>
      <c r="I238">
        <v>182</v>
      </c>
      <c r="J238">
        <v>14714</v>
      </c>
      <c r="K238">
        <v>2.3650000000000002</v>
      </c>
      <c r="L238">
        <v>1.2370000000000001</v>
      </c>
      <c r="M238">
        <v>12805</v>
      </c>
      <c r="N238">
        <v>2.718</v>
      </c>
      <c r="O238">
        <v>1.421</v>
      </c>
    </row>
    <row r="239" spans="1:15" hidden="1" x14ac:dyDescent="0.3">
      <c r="A239" t="s">
        <v>213</v>
      </c>
      <c r="B239" t="s">
        <v>283</v>
      </c>
      <c r="C239" t="s">
        <v>282</v>
      </c>
      <c r="D239">
        <v>112</v>
      </c>
      <c r="E239">
        <v>274</v>
      </c>
      <c r="F239">
        <v>386</v>
      </c>
      <c r="G239">
        <v>132</v>
      </c>
      <c r="H239">
        <v>29</v>
      </c>
      <c r="I239">
        <v>161</v>
      </c>
      <c r="J239">
        <v>14706</v>
      </c>
      <c r="K239">
        <v>2.625</v>
      </c>
      <c r="L239">
        <v>1.095</v>
      </c>
      <c r="M239">
        <v>12773</v>
      </c>
      <c r="N239">
        <v>3.0219999999999998</v>
      </c>
      <c r="O239">
        <v>1.26</v>
      </c>
    </row>
    <row r="240" spans="1:15" hidden="1" x14ac:dyDescent="0.3">
      <c r="A240" t="s">
        <v>312</v>
      </c>
      <c r="B240" t="s">
        <v>283</v>
      </c>
      <c r="C240" t="s">
        <v>282</v>
      </c>
      <c r="D240">
        <v>67</v>
      </c>
      <c r="E240">
        <v>235</v>
      </c>
      <c r="F240">
        <v>302</v>
      </c>
      <c r="G240">
        <v>69</v>
      </c>
      <c r="H240">
        <v>42</v>
      </c>
      <c r="I240">
        <v>111</v>
      </c>
      <c r="J240">
        <v>14734</v>
      </c>
      <c r="K240">
        <v>2.0499999999999998</v>
      </c>
      <c r="L240">
        <v>0.753</v>
      </c>
      <c r="M240">
        <v>12833</v>
      </c>
      <c r="N240">
        <v>2.3529999999999998</v>
      </c>
      <c r="O240">
        <v>0.86499999999999999</v>
      </c>
    </row>
    <row r="241" spans="1:15" hidden="1" x14ac:dyDescent="0.3">
      <c r="A241" t="s">
        <v>318</v>
      </c>
      <c r="B241" t="s">
        <v>283</v>
      </c>
      <c r="C241" t="s">
        <v>282</v>
      </c>
      <c r="D241">
        <v>23</v>
      </c>
      <c r="E241">
        <v>34</v>
      </c>
      <c r="F241">
        <v>57</v>
      </c>
      <c r="G241">
        <v>26</v>
      </c>
      <c r="H241">
        <v>12</v>
      </c>
      <c r="I241">
        <v>38</v>
      </c>
      <c r="J241">
        <v>14764</v>
      </c>
      <c r="K241">
        <v>0.38600000000000001</v>
      </c>
      <c r="L241">
        <v>0.25700000000000001</v>
      </c>
      <c r="M241">
        <v>12849</v>
      </c>
      <c r="N241">
        <v>0.44400000000000001</v>
      </c>
      <c r="O241">
        <v>0.29599999999999999</v>
      </c>
    </row>
    <row r="242" spans="1:15" hidden="1" x14ac:dyDescent="0.3">
      <c r="A242" t="s">
        <v>320</v>
      </c>
      <c r="B242" t="s">
        <v>283</v>
      </c>
      <c r="C242" t="s">
        <v>282</v>
      </c>
      <c r="D242"/>
      <c r="E242"/>
      <c r="F242">
        <v>242</v>
      </c>
      <c r="G242"/>
      <c r="H242"/>
      <c r="I242"/>
      <c r="J242">
        <v>14856</v>
      </c>
      <c r="K242">
        <v>1.629</v>
      </c>
      <c r="M242">
        <v>12925</v>
      </c>
      <c r="N242">
        <v>1.8719999999999999</v>
      </c>
    </row>
    <row r="243" spans="1:15" hidden="1" x14ac:dyDescent="0.3">
      <c r="A243" t="s">
        <v>325</v>
      </c>
      <c r="B243" t="s">
        <v>283</v>
      </c>
      <c r="C243" t="s">
        <v>282</v>
      </c>
      <c r="D243"/>
      <c r="E243"/>
      <c r="F243">
        <v>134</v>
      </c>
      <c r="G243"/>
      <c r="H243"/>
      <c r="I243"/>
      <c r="J243">
        <v>14975</v>
      </c>
      <c r="K243">
        <v>0.89500000000000002</v>
      </c>
      <c r="M243">
        <v>12986</v>
      </c>
      <c r="N243">
        <v>1.032</v>
      </c>
    </row>
    <row r="244" spans="1:15" hidden="1" x14ac:dyDescent="0.3">
      <c r="A244" t="s">
        <v>326</v>
      </c>
      <c r="B244" t="s">
        <v>283</v>
      </c>
      <c r="D244">
        <v>12</v>
      </c>
      <c r="E244">
        <v>90</v>
      </c>
      <c r="F244">
        <v>102</v>
      </c>
      <c r="G244">
        <v>28</v>
      </c>
      <c r="H244">
        <v>18</v>
      </c>
      <c r="I244">
        <v>46</v>
      </c>
      <c r="J244">
        <v>15097</v>
      </c>
      <c r="K244">
        <v>0.67600000000000005</v>
      </c>
      <c r="L244">
        <v>0.30499999999999999</v>
      </c>
      <c r="M244">
        <v>12806</v>
      </c>
      <c r="N244">
        <v>0.79700000000000004</v>
      </c>
      <c r="O244">
        <v>0.35899999999999999</v>
      </c>
    </row>
    <row r="245" spans="1:15" hidden="1" x14ac:dyDescent="0.3">
      <c r="A245" t="s">
        <v>326</v>
      </c>
      <c r="B245" t="s">
        <v>283</v>
      </c>
      <c r="D245">
        <v>12</v>
      </c>
      <c r="E245">
        <v>90</v>
      </c>
      <c r="F245">
        <v>102</v>
      </c>
      <c r="G245">
        <v>28</v>
      </c>
      <c r="H245">
        <v>18</v>
      </c>
      <c r="I245">
        <v>46</v>
      </c>
      <c r="J245">
        <v>15353</v>
      </c>
      <c r="K245">
        <v>0.66400000000000003</v>
      </c>
      <c r="L245">
        <v>0.3</v>
      </c>
      <c r="M245">
        <v>12806</v>
      </c>
      <c r="N245">
        <v>0.79700000000000004</v>
      </c>
      <c r="O245">
        <v>0.35899999999999999</v>
      </c>
    </row>
    <row r="246" spans="1:15" hidden="1" x14ac:dyDescent="0.3">
      <c r="A246" t="s">
        <v>326</v>
      </c>
      <c r="B246" t="s">
        <v>296</v>
      </c>
      <c r="D246">
        <v>342</v>
      </c>
      <c r="E246">
        <v>826</v>
      </c>
      <c r="F246">
        <v>1168</v>
      </c>
      <c r="G246">
        <v>726</v>
      </c>
      <c r="H246">
        <v>131</v>
      </c>
      <c r="I246">
        <v>857</v>
      </c>
      <c r="J246">
        <v>91995</v>
      </c>
      <c r="K246">
        <v>1.27</v>
      </c>
      <c r="L246">
        <v>0.93200000000000005</v>
      </c>
      <c r="M246">
        <v>87576</v>
      </c>
      <c r="N246">
        <v>1.3340000000000001</v>
      </c>
      <c r="O246">
        <v>0.97899999999999998</v>
      </c>
    </row>
    <row r="247" spans="1:15" hidden="1" x14ac:dyDescent="0.3">
      <c r="A247" t="s">
        <v>326</v>
      </c>
      <c r="B247" t="s">
        <v>296</v>
      </c>
      <c r="D247">
        <v>342</v>
      </c>
      <c r="E247">
        <v>826</v>
      </c>
      <c r="F247">
        <v>1168</v>
      </c>
      <c r="G247">
        <v>726</v>
      </c>
      <c r="H247">
        <v>131</v>
      </c>
      <c r="I247">
        <v>857</v>
      </c>
      <c r="J247">
        <v>91192</v>
      </c>
      <c r="K247">
        <v>1.2810000000000001</v>
      </c>
      <c r="L247">
        <v>0.94</v>
      </c>
      <c r="M247">
        <v>87576</v>
      </c>
      <c r="N247">
        <v>1.3340000000000001</v>
      </c>
      <c r="O247">
        <v>0.97899999999999998</v>
      </c>
    </row>
    <row r="248" spans="1:15" hidden="1" x14ac:dyDescent="0.3">
      <c r="A248" t="s">
        <v>325</v>
      </c>
      <c r="B248" t="s">
        <v>263</v>
      </c>
      <c r="C248" t="s">
        <v>262</v>
      </c>
      <c r="D248"/>
      <c r="E248"/>
      <c r="F248">
        <v>930</v>
      </c>
      <c r="G248"/>
      <c r="H248"/>
      <c r="I248"/>
      <c r="J248">
        <v>76359</v>
      </c>
      <c r="K248">
        <v>1.218</v>
      </c>
      <c r="M248">
        <v>73646</v>
      </c>
      <c r="N248">
        <v>1.2629999999999999</v>
      </c>
    </row>
    <row r="249" spans="1:15" hidden="1" x14ac:dyDescent="0.3">
      <c r="A249" t="s">
        <v>320</v>
      </c>
      <c r="B249" t="s">
        <v>263</v>
      </c>
      <c r="C249" t="s">
        <v>262</v>
      </c>
      <c r="D249"/>
      <c r="E249"/>
      <c r="F249">
        <v>1070</v>
      </c>
      <c r="G249"/>
      <c r="H249"/>
      <c r="I249"/>
      <c r="J249">
        <v>75942</v>
      </c>
      <c r="K249">
        <v>1.409</v>
      </c>
      <c r="M249">
        <v>73375</v>
      </c>
      <c r="N249">
        <v>1.458</v>
      </c>
    </row>
    <row r="250" spans="1:15" hidden="1" x14ac:dyDescent="0.3">
      <c r="A250" t="s">
        <v>318</v>
      </c>
      <c r="B250" t="s">
        <v>263</v>
      </c>
      <c r="C250" t="s">
        <v>262</v>
      </c>
      <c r="D250">
        <v>157</v>
      </c>
      <c r="E250">
        <v>297</v>
      </c>
      <c r="F250">
        <v>454</v>
      </c>
      <c r="G250">
        <v>179</v>
      </c>
      <c r="H250">
        <v>71</v>
      </c>
      <c r="I250">
        <v>250</v>
      </c>
      <c r="J250">
        <v>75595</v>
      </c>
      <c r="K250">
        <v>0.60099999999999998</v>
      </c>
      <c r="L250">
        <v>0.33100000000000002</v>
      </c>
      <c r="M250">
        <v>72994</v>
      </c>
      <c r="N250">
        <v>0.622</v>
      </c>
      <c r="O250">
        <v>0.34200000000000003</v>
      </c>
    </row>
    <row r="251" spans="1:15" hidden="1" x14ac:dyDescent="0.3">
      <c r="A251" t="s">
        <v>312</v>
      </c>
      <c r="B251" t="s">
        <v>263</v>
      </c>
      <c r="C251" t="s">
        <v>262</v>
      </c>
      <c r="D251">
        <v>511</v>
      </c>
      <c r="E251">
        <v>1174</v>
      </c>
      <c r="F251">
        <v>1685</v>
      </c>
      <c r="G251">
        <v>590</v>
      </c>
      <c r="H251">
        <v>172</v>
      </c>
      <c r="I251">
        <v>762</v>
      </c>
      <c r="J251">
        <v>75226</v>
      </c>
      <c r="K251">
        <v>2.2400000000000002</v>
      </c>
      <c r="L251">
        <v>1.0129999999999999</v>
      </c>
      <c r="M251">
        <v>72672</v>
      </c>
      <c r="N251">
        <v>2.319</v>
      </c>
      <c r="O251">
        <v>1.0489999999999999</v>
      </c>
    </row>
    <row r="252" spans="1:15" hidden="1" x14ac:dyDescent="0.3">
      <c r="A252" t="s">
        <v>364</v>
      </c>
      <c r="B252" t="s">
        <v>263</v>
      </c>
      <c r="C252" t="s">
        <v>262</v>
      </c>
      <c r="D252">
        <v>552</v>
      </c>
      <c r="E252">
        <v>1169</v>
      </c>
      <c r="F252">
        <v>1721</v>
      </c>
      <c r="G252">
        <v>614</v>
      </c>
      <c r="H252">
        <v>186</v>
      </c>
      <c r="I252">
        <v>800</v>
      </c>
      <c r="J252">
        <v>72128</v>
      </c>
      <c r="K252">
        <v>2.3860000000000001</v>
      </c>
      <c r="L252">
        <v>1.109</v>
      </c>
      <c r="M252">
        <v>69443</v>
      </c>
      <c r="N252">
        <v>2.4779999999999998</v>
      </c>
      <c r="O252">
        <v>1.1519999999999999</v>
      </c>
    </row>
    <row r="253" spans="1:15" hidden="1" x14ac:dyDescent="0.3">
      <c r="A253" t="s">
        <v>213</v>
      </c>
      <c r="B253" t="s">
        <v>263</v>
      </c>
      <c r="C253" t="s">
        <v>262</v>
      </c>
      <c r="D253">
        <v>533</v>
      </c>
      <c r="E253">
        <v>1326</v>
      </c>
      <c r="F253">
        <v>1859</v>
      </c>
      <c r="G253">
        <v>606</v>
      </c>
      <c r="H253">
        <v>192</v>
      </c>
      <c r="I253">
        <v>798</v>
      </c>
      <c r="J253">
        <v>74826</v>
      </c>
      <c r="K253">
        <v>2.484</v>
      </c>
      <c r="L253">
        <v>1.0660000000000001</v>
      </c>
      <c r="M253">
        <v>72267</v>
      </c>
      <c r="N253">
        <v>2.5720000000000001</v>
      </c>
      <c r="O253">
        <v>1.1040000000000001</v>
      </c>
    </row>
    <row r="254" spans="1:15" hidden="1" x14ac:dyDescent="0.3">
      <c r="A254" t="s">
        <v>342</v>
      </c>
      <c r="B254" t="s">
        <v>263</v>
      </c>
      <c r="C254" t="s">
        <v>262</v>
      </c>
      <c r="D254">
        <v>512</v>
      </c>
      <c r="E254">
        <v>1083</v>
      </c>
      <c r="F254">
        <v>1595</v>
      </c>
      <c r="G254">
        <v>530</v>
      </c>
      <c r="H254">
        <v>280</v>
      </c>
      <c r="I254">
        <v>810</v>
      </c>
      <c r="J254">
        <v>74361</v>
      </c>
      <c r="K254">
        <v>2.145</v>
      </c>
      <c r="L254">
        <v>1.089</v>
      </c>
      <c r="M254">
        <v>71800</v>
      </c>
      <c r="N254">
        <v>2.2210000000000001</v>
      </c>
      <c r="O254">
        <v>1.1280000000000001</v>
      </c>
    </row>
    <row r="255" spans="1:15" hidden="1" x14ac:dyDescent="0.3">
      <c r="A255" t="s">
        <v>341</v>
      </c>
      <c r="B255" t="s">
        <v>263</v>
      </c>
      <c r="C255" t="s">
        <v>262</v>
      </c>
      <c r="D255">
        <v>570</v>
      </c>
      <c r="E255">
        <v>980</v>
      </c>
      <c r="F255">
        <v>1550</v>
      </c>
      <c r="G255">
        <v>612</v>
      </c>
      <c r="H255">
        <v>266</v>
      </c>
      <c r="I255">
        <v>878</v>
      </c>
      <c r="J255">
        <v>73767</v>
      </c>
      <c r="K255">
        <v>2.101</v>
      </c>
      <c r="L255">
        <v>1.19</v>
      </c>
      <c r="M255">
        <v>71072</v>
      </c>
      <c r="N255">
        <v>2.181</v>
      </c>
      <c r="O255">
        <v>1.2349999999999999</v>
      </c>
    </row>
    <row r="256" spans="1:15" hidden="1" x14ac:dyDescent="0.3">
      <c r="A256" t="s">
        <v>366</v>
      </c>
      <c r="B256" t="s">
        <v>263</v>
      </c>
      <c r="C256" t="s">
        <v>262</v>
      </c>
      <c r="D256">
        <v>552</v>
      </c>
      <c r="E256">
        <v>1153</v>
      </c>
      <c r="F256">
        <v>1705</v>
      </c>
      <c r="G256">
        <v>631</v>
      </c>
      <c r="H256">
        <v>207</v>
      </c>
      <c r="I256">
        <v>838</v>
      </c>
      <c r="J256">
        <v>73290</v>
      </c>
      <c r="K256">
        <v>2.3260000000000001</v>
      </c>
      <c r="L256">
        <v>1.143</v>
      </c>
      <c r="M256">
        <v>70431</v>
      </c>
      <c r="N256">
        <v>2.4209999999999998</v>
      </c>
      <c r="O256">
        <v>1.19</v>
      </c>
    </row>
    <row r="257" spans="1:15" hidden="1" x14ac:dyDescent="0.3">
      <c r="A257" t="s">
        <v>365</v>
      </c>
      <c r="B257" t="s">
        <v>263</v>
      </c>
      <c r="C257" t="s">
        <v>262</v>
      </c>
      <c r="D257">
        <v>533</v>
      </c>
      <c r="E257">
        <v>1084</v>
      </c>
      <c r="F257">
        <v>1617</v>
      </c>
      <c r="G257">
        <v>573</v>
      </c>
      <c r="H257">
        <v>201</v>
      </c>
      <c r="I257">
        <v>774</v>
      </c>
      <c r="J257">
        <v>72624</v>
      </c>
      <c r="K257">
        <v>2.2269999999999999</v>
      </c>
      <c r="L257">
        <v>1.0660000000000001</v>
      </c>
      <c r="M257">
        <v>69693</v>
      </c>
      <c r="N257">
        <v>2.3199999999999998</v>
      </c>
      <c r="O257">
        <v>1.111</v>
      </c>
    </row>
    <row r="258" spans="1:15" hidden="1" x14ac:dyDescent="0.3">
      <c r="A258" t="s">
        <v>365</v>
      </c>
      <c r="B258" t="s">
        <v>270</v>
      </c>
      <c r="C258" t="s">
        <v>269</v>
      </c>
      <c r="D258">
        <v>2493</v>
      </c>
      <c r="E258">
        <v>3638</v>
      </c>
      <c r="F258">
        <v>6131</v>
      </c>
      <c r="G258">
        <v>2836</v>
      </c>
      <c r="H258">
        <v>867</v>
      </c>
      <c r="I258">
        <v>3703</v>
      </c>
      <c r="J258">
        <v>301891</v>
      </c>
      <c r="K258">
        <v>2.0310000000000001</v>
      </c>
      <c r="L258">
        <v>1.2270000000000001</v>
      </c>
      <c r="M258">
        <v>286377</v>
      </c>
      <c r="N258">
        <v>2.141</v>
      </c>
      <c r="O258">
        <v>1.2929999999999999</v>
      </c>
    </row>
    <row r="259" spans="1:15" hidden="1" x14ac:dyDescent="0.3">
      <c r="A259" t="s">
        <v>366</v>
      </c>
      <c r="B259" t="s">
        <v>270</v>
      </c>
      <c r="C259" t="s">
        <v>269</v>
      </c>
      <c r="D259">
        <v>2649</v>
      </c>
      <c r="E259">
        <v>3737</v>
      </c>
      <c r="F259">
        <v>6386</v>
      </c>
      <c r="G259">
        <v>2864</v>
      </c>
      <c r="H259">
        <v>956</v>
      </c>
      <c r="I259">
        <v>3820</v>
      </c>
      <c r="J259">
        <v>304013</v>
      </c>
      <c r="K259">
        <v>2.101</v>
      </c>
      <c r="L259">
        <v>1.2570000000000001</v>
      </c>
      <c r="M259">
        <v>287862</v>
      </c>
      <c r="N259">
        <v>2.218</v>
      </c>
      <c r="O259">
        <v>1.327</v>
      </c>
    </row>
    <row r="260" spans="1:15" hidden="1" x14ac:dyDescent="0.3">
      <c r="A260" t="s">
        <v>341</v>
      </c>
      <c r="B260" t="s">
        <v>270</v>
      </c>
      <c r="C260" t="s">
        <v>269</v>
      </c>
      <c r="D260">
        <v>2485</v>
      </c>
      <c r="E260">
        <v>3499</v>
      </c>
      <c r="F260">
        <v>5984</v>
      </c>
      <c r="G260">
        <v>2530</v>
      </c>
      <c r="H260">
        <v>949</v>
      </c>
      <c r="I260">
        <v>3479</v>
      </c>
      <c r="J260">
        <v>306000</v>
      </c>
      <c r="K260">
        <v>1.956</v>
      </c>
      <c r="L260">
        <v>1.137</v>
      </c>
      <c r="M260">
        <v>289399</v>
      </c>
      <c r="N260">
        <v>2.0680000000000001</v>
      </c>
      <c r="O260">
        <v>1.202</v>
      </c>
    </row>
    <row r="261" spans="1:15" hidden="1" x14ac:dyDescent="0.3">
      <c r="A261" t="s">
        <v>342</v>
      </c>
      <c r="B261" t="s">
        <v>270</v>
      </c>
      <c r="C261" t="s">
        <v>269</v>
      </c>
      <c r="D261">
        <v>2973</v>
      </c>
      <c r="E261">
        <v>5059</v>
      </c>
      <c r="F261">
        <v>8032</v>
      </c>
      <c r="G261">
        <v>3089</v>
      </c>
      <c r="H261">
        <v>982</v>
      </c>
      <c r="I261">
        <v>4071</v>
      </c>
      <c r="J261">
        <v>308293</v>
      </c>
      <c r="K261">
        <v>2.605</v>
      </c>
      <c r="L261">
        <v>1.32</v>
      </c>
      <c r="M261">
        <v>291115</v>
      </c>
      <c r="N261">
        <v>2.7589999999999999</v>
      </c>
      <c r="O261">
        <v>1.3980000000000001</v>
      </c>
    </row>
    <row r="262" spans="1:15" hidden="1" x14ac:dyDescent="0.3">
      <c r="A262" t="s">
        <v>213</v>
      </c>
      <c r="B262" t="s">
        <v>270</v>
      </c>
      <c r="C262" t="s">
        <v>269</v>
      </c>
      <c r="D262">
        <v>2993</v>
      </c>
      <c r="E262">
        <v>7060</v>
      </c>
      <c r="F262">
        <v>10053</v>
      </c>
      <c r="G262">
        <v>3265</v>
      </c>
      <c r="H262">
        <v>886</v>
      </c>
      <c r="I262">
        <v>4151</v>
      </c>
      <c r="J262">
        <v>311447</v>
      </c>
      <c r="K262">
        <v>3.2280000000000002</v>
      </c>
      <c r="L262">
        <v>1.333</v>
      </c>
      <c r="M262">
        <v>292619</v>
      </c>
      <c r="N262">
        <v>3.4359999999999999</v>
      </c>
      <c r="O262">
        <v>1.419</v>
      </c>
    </row>
    <row r="263" spans="1:15" hidden="1" x14ac:dyDescent="0.3">
      <c r="A263" t="s">
        <v>364</v>
      </c>
      <c r="B263" t="s">
        <v>270</v>
      </c>
      <c r="C263" t="s">
        <v>269</v>
      </c>
      <c r="D263">
        <v>2763</v>
      </c>
      <c r="E263">
        <v>3336</v>
      </c>
      <c r="F263">
        <v>6099</v>
      </c>
      <c r="G263">
        <v>3186</v>
      </c>
      <c r="H263">
        <v>954</v>
      </c>
      <c r="I263">
        <v>4140</v>
      </c>
      <c r="J263">
        <v>301633</v>
      </c>
      <c r="K263">
        <v>2.0219999999999998</v>
      </c>
      <c r="L263">
        <v>1.373</v>
      </c>
      <c r="M263">
        <v>285346</v>
      </c>
      <c r="N263">
        <v>2.137</v>
      </c>
      <c r="O263">
        <v>1.4510000000000001</v>
      </c>
    </row>
    <row r="264" spans="1:15" hidden="1" x14ac:dyDescent="0.3">
      <c r="A264" t="s">
        <v>312</v>
      </c>
      <c r="B264" t="s">
        <v>270</v>
      </c>
      <c r="C264" t="s">
        <v>269</v>
      </c>
      <c r="D264">
        <v>2529</v>
      </c>
      <c r="E264">
        <v>7410</v>
      </c>
      <c r="F264">
        <v>9939</v>
      </c>
      <c r="G264">
        <v>2783</v>
      </c>
      <c r="H264">
        <v>753</v>
      </c>
      <c r="I264">
        <v>3536</v>
      </c>
      <c r="J264">
        <v>314604</v>
      </c>
      <c r="K264">
        <v>3.1589999999999998</v>
      </c>
      <c r="L264">
        <v>1.1240000000000001</v>
      </c>
      <c r="M264">
        <v>294622</v>
      </c>
      <c r="N264">
        <v>3.3730000000000002</v>
      </c>
      <c r="O264">
        <v>1.2</v>
      </c>
    </row>
    <row r="265" spans="1:15" hidden="1" x14ac:dyDescent="0.3">
      <c r="A265" t="s">
        <v>318</v>
      </c>
      <c r="B265" t="s">
        <v>270</v>
      </c>
      <c r="C265" t="s">
        <v>269</v>
      </c>
      <c r="D265">
        <v>767</v>
      </c>
      <c r="E265">
        <v>1321</v>
      </c>
      <c r="F265">
        <v>2088</v>
      </c>
      <c r="G265">
        <v>901</v>
      </c>
      <c r="H265">
        <v>243</v>
      </c>
      <c r="I265">
        <v>1144</v>
      </c>
      <c r="J265">
        <v>317193</v>
      </c>
      <c r="K265">
        <v>0.65800000000000003</v>
      </c>
      <c r="L265">
        <v>0.36099999999999999</v>
      </c>
      <c r="M265">
        <v>295761</v>
      </c>
      <c r="N265">
        <v>0.70599999999999996</v>
      </c>
      <c r="O265">
        <v>0.38700000000000001</v>
      </c>
    </row>
    <row r="266" spans="1:15" hidden="1" x14ac:dyDescent="0.3">
      <c r="A266" t="s">
        <v>320</v>
      </c>
      <c r="B266" t="s">
        <v>270</v>
      </c>
      <c r="C266" t="s">
        <v>269</v>
      </c>
      <c r="D266"/>
      <c r="E266"/>
      <c r="F266">
        <v>4705</v>
      </c>
      <c r="G266"/>
      <c r="H266"/>
      <c r="I266"/>
      <c r="J266">
        <v>319810</v>
      </c>
      <c r="K266">
        <v>1.4710000000000001</v>
      </c>
      <c r="M266">
        <v>298847</v>
      </c>
      <c r="N266">
        <v>1.5739999999999998</v>
      </c>
    </row>
    <row r="267" spans="1:15" hidden="1" x14ac:dyDescent="0.3">
      <c r="A267" t="s">
        <v>325</v>
      </c>
      <c r="B267" t="s">
        <v>270</v>
      </c>
      <c r="C267" t="s">
        <v>269</v>
      </c>
      <c r="D267"/>
      <c r="E267"/>
      <c r="F267">
        <v>4422</v>
      </c>
      <c r="G267"/>
      <c r="H267"/>
      <c r="I267"/>
      <c r="J267">
        <v>322238</v>
      </c>
      <c r="K267">
        <v>1.3719999999999999</v>
      </c>
      <c r="M267">
        <v>300340</v>
      </c>
      <c r="N267">
        <v>1.472</v>
      </c>
    </row>
    <row r="268" spans="1:15" hidden="1" x14ac:dyDescent="0.3">
      <c r="A268" t="s">
        <v>326</v>
      </c>
      <c r="B268" t="s">
        <v>270</v>
      </c>
      <c r="D268">
        <v>751</v>
      </c>
      <c r="E268">
        <v>3363</v>
      </c>
      <c r="F268">
        <v>4114</v>
      </c>
      <c r="G268">
        <v>1394</v>
      </c>
      <c r="H268">
        <v>534</v>
      </c>
      <c r="I268">
        <v>1928</v>
      </c>
      <c r="J268">
        <v>324431</v>
      </c>
      <c r="K268">
        <v>1.268</v>
      </c>
      <c r="L268">
        <v>0.59399999999999997</v>
      </c>
      <c r="M268">
        <v>297386</v>
      </c>
      <c r="N268">
        <v>1.383</v>
      </c>
      <c r="O268">
        <v>0.64800000000000002</v>
      </c>
    </row>
    <row r="269" spans="1:15" hidden="1" x14ac:dyDescent="0.3">
      <c r="A269" t="s">
        <v>326</v>
      </c>
      <c r="B269" t="s">
        <v>270</v>
      </c>
      <c r="D269">
        <v>751</v>
      </c>
      <c r="E269">
        <v>3363</v>
      </c>
      <c r="F269">
        <v>4114</v>
      </c>
      <c r="G269">
        <v>1394</v>
      </c>
      <c r="H269">
        <v>534</v>
      </c>
      <c r="I269">
        <v>1928</v>
      </c>
      <c r="J269">
        <v>329581</v>
      </c>
      <c r="K269">
        <v>1.248</v>
      </c>
      <c r="L269">
        <v>0.58499999999999996</v>
      </c>
      <c r="M269">
        <v>297386</v>
      </c>
      <c r="N269">
        <v>1.383</v>
      </c>
      <c r="O269">
        <v>0.64800000000000002</v>
      </c>
    </row>
    <row r="270" spans="1:15" hidden="1" x14ac:dyDescent="0.3">
      <c r="A270" t="s">
        <v>326</v>
      </c>
      <c r="B270" t="s">
        <v>277</v>
      </c>
      <c r="D270">
        <v>177</v>
      </c>
      <c r="E270">
        <v>315</v>
      </c>
      <c r="F270">
        <v>492</v>
      </c>
      <c r="G270">
        <v>328</v>
      </c>
      <c r="H270">
        <v>116</v>
      </c>
      <c r="I270">
        <v>444</v>
      </c>
      <c r="J270">
        <v>39788</v>
      </c>
      <c r="K270">
        <v>1.2370000000000001</v>
      </c>
      <c r="L270">
        <v>1.1160000000000001</v>
      </c>
      <c r="M270">
        <v>37556</v>
      </c>
      <c r="N270">
        <v>1.31</v>
      </c>
      <c r="O270">
        <v>1.1819999999999999</v>
      </c>
    </row>
    <row r="271" spans="1:15" hidden="1" x14ac:dyDescent="0.3">
      <c r="A271" t="s">
        <v>326</v>
      </c>
      <c r="B271" t="s">
        <v>277</v>
      </c>
      <c r="D271">
        <v>177</v>
      </c>
      <c r="E271">
        <v>315</v>
      </c>
      <c r="F271">
        <v>492</v>
      </c>
      <c r="G271">
        <v>328</v>
      </c>
      <c r="H271">
        <v>116</v>
      </c>
      <c r="I271">
        <v>444</v>
      </c>
      <c r="J271">
        <v>39913</v>
      </c>
      <c r="K271">
        <v>1.2330000000000001</v>
      </c>
      <c r="L271">
        <v>1.1120000000000001</v>
      </c>
      <c r="M271">
        <v>37556</v>
      </c>
      <c r="N271">
        <v>1.31</v>
      </c>
      <c r="O271">
        <v>1.1819999999999999</v>
      </c>
    </row>
    <row r="272" spans="1:15" hidden="1" x14ac:dyDescent="0.3">
      <c r="A272" t="s">
        <v>325</v>
      </c>
      <c r="B272" t="s">
        <v>277</v>
      </c>
      <c r="C272" t="s">
        <v>276</v>
      </c>
      <c r="D272"/>
      <c r="E272"/>
      <c r="F272">
        <v>592</v>
      </c>
      <c r="G272"/>
      <c r="H272"/>
      <c r="I272"/>
      <c r="J272">
        <v>39776</v>
      </c>
      <c r="K272">
        <v>1.488</v>
      </c>
      <c r="M272">
        <v>38218</v>
      </c>
      <c r="N272">
        <v>1.5489999999999999</v>
      </c>
    </row>
    <row r="273" spans="1:15" hidden="1" x14ac:dyDescent="0.3">
      <c r="A273" t="s">
        <v>320</v>
      </c>
      <c r="B273" t="s">
        <v>277</v>
      </c>
      <c r="C273" t="s">
        <v>276</v>
      </c>
      <c r="D273"/>
      <c r="E273"/>
      <c r="F273">
        <v>871</v>
      </c>
      <c r="G273"/>
      <c r="H273"/>
      <c r="I273"/>
      <c r="J273">
        <v>39446</v>
      </c>
      <c r="K273">
        <v>2.2080000000000002</v>
      </c>
      <c r="M273">
        <v>37958</v>
      </c>
      <c r="N273">
        <v>2.2949999999999999</v>
      </c>
    </row>
    <row r="274" spans="1:15" hidden="1" x14ac:dyDescent="0.3">
      <c r="A274" t="s">
        <v>318</v>
      </c>
      <c r="B274" t="s">
        <v>277</v>
      </c>
      <c r="C274" t="s">
        <v>276</v>
      </c>
      <c r="D274">
        <v>292</v>
      </c>
      <c r="E274">
        <v>201</v>
      </c>
      <c r="F274">
        <v>493</v>
      </c>
      <c r="G274">
        <v>339</v>
      </c>
      <c r="H274">
        <v>129</v>
      </c>
      <c r="I274">
        <v>468</v>
      </c>
      <c r="J274">
        <v>39107</v>
      </c>
      <c r="K274">
        <v>1.2610000000000001</v>
      </c>
      <c r="L274">
        <v>1.1970000000000001</v>
      </c>
      <c r="M274">
        <v>37646</v>
      </c>
      <c r="N274">
        <v>1.31</v>
      </c>
      <c r="O274">
        <v>1.2429999999999999</v>
      </c>
    </row>
    <row r="275" spans="1:15" hidden="1" x14ac:dyDescent="0.3">
      <c r="A275" t="s">
        <v>312</v>
      </c>
      <c r="B275" t="s">
        <v>277</v>
      </c>
      <c r="C275" t="s">
        <v>276</v>
      </c>
      <c r="D275">
        <v>631</v>
      </c>
      <c r="E275">
        <v>773</v>
      </c>
      <c r="F275">
        <v>1404</v>
      </c>
      <c r="G275">
        <v>603</v>
      </c>
      <c r="H275">
        <v>338</v>
      </c>
      <c r="I275">
        <v>941</v>
      </c>
      <c r="J275">
        <v>38977</v>
      </c>
      <c r="K275">
        <v>3.6019999999999999</v>
      </c>
      <c r="L275">
        <v>2.4140000000000001</v>
      </c>
      <c r="M275">
        <v>37614</v>
      </c>
      <c r="N275">
        <v>3.7330000000000001</v>
      </c>
      <c r="O275">
        <v>2.5019999999999998</v>
      </c>
    </row>
    <row r="276" spans="1:15" hidden="1" x14ac:dyDescent="0.3">
      <c r="A276" t="s">
        <v>364</v>
      </c>
      <c r="B276" t="s">
        <v>277</v>
      </c>
      <c r="C276" t="s">
        <v>276</v>
      </c>
      <c r="D276">
        <v>649</v>
      </c>
      <c r="E276">
        <v>595</v>
      </c>
      <c r="F276">
        <v>1244</v>
      </c>
      <c r="G276">
        <v>626</v>
      </c>
      <c r="H276">
        <v>354</v>
      </c>
      <c r="I276">
        <v>980</v>
      </c>
      <c r="J276">
        <v>38791</v>
      </c>
      <c r="K276">
        <v>3.2069999999999999</v>
      </c>
      <c r="L276">
        <v>2.5259999999999998</v>
      </c>
      <c r="M276">
        <v>37337</v>
      </c>
      <c r="N276">
        <v>3.3319999999999999</v>
      </c>
      <c r="O276">
        <v>2.625</v>
      </c>
    </row>
    <row r="277" spans="1:15" hidden="1" x14ac:dyDescent="0.3">
      <c r="A277" t="s">
        <v>213</v>
      </c>
      <c r="B277" t="s">
        <v>277</v>
      </c>
      <c r="C277" t="s">
        <v>276</v>
      </c>
      <c r="D277">
        <v>635</v>
      </c>
      <c r="E277">
        <v>894</v>
      </c>
      <c r="F277">
        <v>1529</v>
      </c>
      <c r="G277">
        <v>575</v>
      </c>
      <c r="H277">
        <v>360</v>
      </c>
      <c r="I277">
        <v>935</v>
      </c>
      <c r="J277">
        <v>38985</v>
      </c>
      <c r="K277">
        <v>3.9220000000000002</v>
      </c>
      <c r="L277">
        <v>2.3980000000000001</v>
      </c>
      <c r="M277">
        <v>37640</v>
      </c>
      <c r="N277">
        <v>4.0620000000000003</v>
      </c>
      <c r="O277">
        <v>2.484</v>
      </c>
    </row>
    <row r="278" spans="1:15" hidden="1" x14ac:dyDescent="0.3">
      <c r="A278" t="s">
        <v>342</v>
      </c>
      <c r="B278" t="s">
        <v>277</v>
      </c>
      <c r="C278" t="s">
        <v>276</v>
      </c>
      <c r="D278">
        <v>712</v>
      </c>
      <c r="E278">
        <v>762</v>
      </c>
      <c r="F278">
        <v>1474</v>
      </c>
      <c r="G278">
        <v>621</v>
      </c>
      <c r="H278">
        <v>402</v>
      </c>
      <c r="I278">
        <v>1023</v>
      </c>
      <c r="J278">
        <v>38848</v>
      </c>
      <c r="K278">
        <v>3.794</v>
      </c>
      <c r="L278">
        <v>2.633</v>
      </c>
      <c r="M278">
        <v>37651</v>
      </c>
      <c r="N278">
        <v>3.915</v>
      </c>
      <c r="O278">
        <v>2.7170000000000001</v>
      </c>
    </row>
    <row r="279" spans="1:15" hidden="1" x14ac:dyDescent="0.3">
      <c r="A279" t="s">
        <v>341</v>
      </c>
      <c r="B279" t="s">
        <v>277</v>
      </c>
      <c r="C279" t="s">
        <v>276</v>
      </c>
      <c r="D279">
        <v>797</v>
      </c>
      <c r="E279">
        <v>1003</v>
      </c>
      <c r="F279">
        <v>1800</v>
      </c>
      <c r="G279">
        <v>621</v>
      </c>
      <c r="H279">
        <v>567</v>
      </c>
      <c r="I279">
        <v>1188</v>
      </c>
      <c r="J279">
        <v>38835</v>
      </c>
      <c r="K279">
        <v>4.6349999999999998</v>
      </c>
      <c r="L279">
        <v>3.0590000000000002</v>
      </c>
      <c r="M279">
        <v>37586</v>
      </c>
      <c r="N279">
        <v>4.7889999999999997</v>
      </c>
      <c r="O279">
        <v>3.161</v>
      </c>
    </row>
    <row r="280" spans="1:15" hidden="1" x14ac:dyDescent="0.3">
      <c r="A280" t="s">
        <v>366</v>
      </c>
      <c r="B280" t="s">
        <v>277</v>
      </c>
      <c r="C280" t="s">
        <v>276</v>
      </c>
      <c r="D280">
        <v>758</v>
      </c>
      <c r="E280">
        <v>936</v>
      </c>
      <c r="F280">
        <v>1694</v>
      </c>
      <c r="G280">
        <v>685</v>
      </c>
      <c r="H280">
        <v>396</v>
      </c>
      <c r="I280">
        <v>1081</v>
      </c>
      <c r="J280">
        <v>38787</v>
      </c>
      <c r="K280">
        <v>4.367</v>
      </c>
      <c r="L280">
        <v>2.7869999999999999</v>
      </c>
      <c r="M280">
        <v>37426</v>
      </c>
      <c r="N280">
        <v>4.5259999999999998</v>
      </c>
      <c r="O280">
        <v>2.8879999999999999</v>
      </c>
    </row>
    <row r="281" spans="1:15" hidden="1" x14ac:dyDescent="0.3">
      <c r="A281" t="s">
        <v>365</v>
      </c>
      <c r="B281" t="s">
        <v>277</v>
      </c>
      <c r="C281" t="s">
        <v>276</v>
      </c>
      <c r="D281">
        <v>673</v>
      </c>
      <c r="E281">
        <v>631</v>
      </c>
      <c r="F281">
        <v>1304</v>
      </c>
      <c r="G281">
        <v>636</v>
      </c>
      <c r="H281">
        <v>386</v>
      </c>
      <c r="I281">
        <v>1022</v>
      </c>
      <c r="J281">
        <v>38699</v>
      </c>
      <c r="K281">
        <v>3.37</v>
      </c>
      <c r="L281">
        <v>2.641</v>
      </c>
      <c r="M281">
        <v>37384</v>
      </c>
      <c r="N281">
        <v>3.488</v>
      </c>
      <c r="O281">
        <v>2.734</v>
      </c>
    </row>
    <row r="282" spans="1:15" hidden="1" x14ac:dyDescent="0.3">
      <c r="A282" t="s">
        <v>365</v>
      </c>
      <c r="B282" t="s">
        <v>287</v>
      </c>
      <c r="C282" t="s">
        <v>286</v>
      </c>
      <c r="D282">
        <v>901</v>
      </c>
      <c r="E282">
        <v>964</v>
      </c>
      <c r="F282">
        <v>1865</v>
      </c>
      <c r="G282">
        <v>932</v>
      </c>
      <c r="H282">
        <v>551</v>
      </c>
      <c r="I282">
        <v>1483</v>
      </c>
      <c r="J282">
        <v>67204</v>
      </c>
      <c r="K282">
        <v>2.7749999999999999</v>
      </c>
      <c r="L282">
        <v>2.2069999999999999</v>
      </c>
      <c r="M282">
        <v>62802</v>
      </c>
      <c r="N282">
        <v>2.9699999999999998</v>
      </c>
      <c r="O282">
        <v>2.3609999999999998</v>
      </c>
    </row>
    <row r="283" spans="1:15" hidden="1" x14ac:dyDescent="0.3">
      <c r="A283" t="s">
        <v>366</v>
      </c>
      <c r="B283" t="s">
        <v>287</v>
      </c>
      <c r="C283" t="s">
        <v>286</v>
      </c>
      <c r="D283">
        <v>932</v>
      </c>
      <c r="E283">
        <v>1137</v>
      </c>
      <c r="F283">
        <v>2069</v>
      </c>
      <c r="G283">
        <v>954</v>
      </c>
      <c r="H283">
        <v>531</v>
      </c>
      <c r="I283">
        <v>1485</v>
      </c>
      <c r="J283">
        <v>67590</v>
      </c>
      <c r="K283">
        <v>3.0609999999999999</v>
      </c>
      <c r="L283">
        <v>2.1970000000000001</v>
      </c>
      <c r="M283">
        <v>63189</v>
      </c>
      <c r="N283">
        <v>3.274</v>
      </c>
      <c r="O283">
        <v>2.35</v>
      </c>
    </row>
    <row r="284" spans="1:15" hidden="1" x14ac:dyDescent="0.3">
      <c r="A284" t="s">
        <v>341</v>
      </c>
      <c r="B284" t="s">
        <v>287</v>
      </c>
      <c r="C284" t="s">
        <v>286</v>
      </c>
      <c r="D284">
        <v>905</v>
      </c>
      <c r="E284">
        <v>1053</v>
      </c>
      <c r="F284">
        <v>1958</v>
      </c>
      <c r="G284">
        <v>831</v>
      </c>
      <c r="H284">
        <v>575</v>
      </c>
      <c r="I284">
        <v>1406</v>
      </c>
      <c r="J284">
        <v>67800</v>
      </c>
      <c r="K284">
        <v>2.8879999999999999</v>
      </c>
      <c r="L284">
        <v>2.0739999999999998</v>
      </c>
      <c r="M284">
        <v>63440</v>
      </c>
      <c r="N284">
        <v>3.0859999999999999</v>
      </c>
      <c r="O284">
        <v>2.2160000000000002</v>
      </c>
    </row>
    <row r="285" spans="1:15" hidden="1" x14ac:dyDescent="0.3">
      <c r="A285" t="s">
        <v>342</v>
      </c>
      <c r="B285" t="s">
        <v>287</v>
      </c>
      <c r="C285" t="s">
        <v>286</v>
      </c>
      <c r="D285">
        <v>805</v>
      </c>
      <c r="E285">
        <v>932</v>
      </c>
      <c r="F285">
        <v>1737</v>
      </c>
      <c r="G285">
        <v>822</v>
      </c>
      <c r="H285">
        <v>457</v>
      </c>
      <c r="I285">
        <v>1279</v>
      </c>
      <c r="J285">
        <v>67960</v>
      </c>
      <c r="K285">
        <v>2.556</v>
      </c>
      <c r="L285">
        <v>1.8820000000000001</v>
      </c>
      <c r="M285">
        <v>63756</v>
      </c>
      <c r="N285">
        <v>2.7240000000000002</v>
      </c>
      <c r="O285">
        <v>2.0059999999999998</v>
      </c>
    </row>
    <row r="286" spans="1:15" hidden="1" x14ac:dyDescent="0.3">
      <c r="A286" t="s">
        <v>213</v>
      </c>
      <c r="B286" t="s">
        <v>287</v>
      </c>
      <c r="C286" t="s">
        <v>286</v>
      </c>
      <c r="D286">
        <v>701</v>
      </c>
      <c r="E286">
        <v>879</v>
      </c>
      <c r="F286">
        <v>1580</v>
      </c>
      <c r="G286">
        <v>725</v>
      </c>
      <c r="H286">
        <v>449</v>
      </c>
      <c r="I286">
        <v>1174</v>
      </c>
      <c r="J286">
        <v>68158</v>
      </c>
      <c r="K286">
        <v>2.3180000000000001</v>
      </c>
      <c r="L286">
        <v>1.722</v>
      </c>
      <c r="M286">
        <v>63935</v>
      </c>
      <c r="N286">
        <v>2.4710000000000001</v>
      </c>
      <c r="O286">
        <v>1.8359999999999999</v>
      </c>
    </row>
    <row r="287" spans="1:15" hidden="1" x14ac:dyDescent="0.3">
      <c r="A287" t="s">
        <v>325</v>
      </c>
      <c r="B287" t="s">
        <v>296</v>
      </c>
      <c r="C287" t="s">
        <v>295</v>
      </c>
      <c r="D287"/>
      <c r="E287"/>
      <c r="F287">
        <v>1179</v>
      </c>
      <c r="G287"/>
      <c r="H287"/>
      <c r="I287"/>
      <c r="J287">
        <v>90485</v>
      </c>
      <c r="K287">
        <v>1.3029999999999999</v>
      </c>
      <c r="M287">
        <v>88749</v>
      </c>
      <c r="N287">
        <v>1.3280000000000001</v>
      </c>
    </row>
    <row r="288" spans="1:15" hidden="1" x14ac:dyDescent="0.3">
      <c r="A288" t="s">
        <v>320</v>
      </c>
      <c r="B288" t="s">
        <v>296</v>
      </c>
      <c r="C288" t="s">
        <v>295</v>
      </c>
      <c r="D288"/>
      <c r="E288"/>
      <c r="F288">
        <v>1377</v>
      </c>
      <c r="G288"/>
      <c r="H288"/>
      <c r="I288"/>
      <c r="J288">
        <v>89571</v>
      </c>
      <c r="K288">
        <v>1.5369999999999999</v>
      </c>
      <c r="M288">
        <v>87910</v>
      </c>
      <c r="N288">
        <v>1.5659999999999998</v>
      </c>
    </row>
    <row r="289" spans="1:15" hidden="1" x14ac:dyDescent="0.3">
      <c r="A289" t="s">
        <v>318</v>
      </c>
      <c r="B289" t="s">
        <v>296</v>
      </c>
      <c r="C289" t="s">
        <v>295</v>
      </c>
      <c r="D289">
        <v>333</v>
      </c>
      <c r="E289">
        <v>352</v>
      </c>
      <c r="F289">
        <v>685</v>
      </c>
      <c r="G289">
        <v>424</v>
      </c>
      <c r="H289">
        <v>124</v>
      </c>
      <c r="I289">
        <v>548</v>
      </c>
      <c r="J289">
        <v>88624</v>
      </c>
      <c r="K289">
        <v>0.77300000000000002</v>
      </c>
      <c r="L289">
        <v>0.61799999999999999</v>
      </c>
      <c r="M289">
        <v>87241</v>
      </c>
      <c r="N289">
        <v>0.78500000000000003</v>
      </c>
      <c r="O289">
        <v>0.628</v>
      </c>
    </row>
    <row r="290" spans="1:15" hidden="1" x14ac:dyDescent="0.3">
      <c r="A290" t="s">
        <v>312</v>
      </c>
      <c r="B290" t="s">
        <v>296</v>
      </c>
      <c r="C290" t="s">
        <v>295</v>
      </c>
      <c r="D290">
        <v>774</v>
      </c>
      <c r="E290">
        <v>1023</v>
      </c>
      <c r="F290">
        <v>1797</v>
      </c>
      <c r="G290">
        <v>786</v>
      </c>
      <c r="H290">
        <v>396</v>
      </c>
      <c r="I290">
        <v>1182</v>
      </c>
      <c r="J290">
        <v>88086</v>
      </c>
      <c r="K290">
        <v>2.04</v>
      </c>
      <c r="L290">
        <v>1.3420000000000001</v>
      </c>
      <c r="M290">
        <v>86683</v>
      </c>
      <c r="N290">
        <v>2.073</v>
      </c>
      <c r="O290">
        <v>1.3639999999999999</v>
      </c>
    </row>
    <row r="291" spans="1:15" hidden="1" x14ac:dyDescent="0.3">
      <c r="A291" t="s">
        <v>213</v>
      </c>
      <c r="B291" t="s">
        <v>296</v>
      </c>
      <c r="C291" t="s">
        <v>295</v>
      </c>
      <c r="D291">
        <v>848</v>
      </c>
      <c r="E291">
        <v>1039</v>
      </c>
      <c r="F291">
        <v>1887</v>
      </c>
      <c r="G291">
        <v>803</v>
      </c>
      <c r="H291">
        <v>475</v>
      </c>
      <c r="I291">
        <v>1278</v>
      </c>
      <c r="J291">
        <v>87265</v>
      </c>
      <c r="K291">
        <v>2.1619999999999999</v>
      </c>
      <c r="L291">
        <v>1.4650000000000001</v>
      </c>
      <c r="M291">
        <v>85745</v>
      </c>
      <c r="N291">
        <v>2.2010000000000001</v>
      </c>
      <c r="O291">
        <v>1.49</v>
      </c>
    </row>
    <row r="292" spans="1:15" hidden="1" x14ac:dyDescent="0.3">
      <c r="A292" t="s">
        <v>342</v>
      </c>
      <c r="B292" t="s">
        <v>296</v>
      </c>
      <c r="C292" t="s">
        <v>295</v>
      </c>
      <c r="D292">
        <v>1137</v>
      </c>
      <c r="E292">
        <v>1411</v>
      </c>
      <c r="F292">
        <v>2548</v>
      </c>
      <c r="G292">
        <v>1077</v>
      </c>
      <c r="H292">
        <v>656</v>
      </c>
      <c r="I292">
        <v>1733</v>
      </c>
      <c r="J292">
        <v>86449</v>
      </c>
      <c r="K292">
        <v>2.9470000000000001</v>
      </c>
      <c r="L292">
        <v>2.0049999999999999</v>
      </c>
      <c r="M292">
        <v>84938</v>
      </c>
      <c r="N292">
        <v>3</v>
      </c>
      <c r="O292">
        <v>2.04</v>
      </c>
    </row>
    <row r="293" spans="1:15" hidden="1" x14ac:dyDescent="0.3">
      <c r="A293" t="s">
        <v>341</v>
      </c>
      <c r="B293" t="s">
        <v>296</v>
      </c>
      <c r="C293" t="s">
        <v>295</v>
      </c>
      <c r="D293">
        <v>1030</v>
      </c>
      <c r="E293">
        <v>1105</v>
      </c>
      <c r="F293">
        <v>2135</v>
      </c>
      <c r="G293">
        <v>905</v>
      </c>
      <c r="H293">
        <v>674</v>
      </c>
      <c r="I293">
        <v>1579</v>
      </c>
      <c r="J293">
        <v>85724</v>
      </c>
      <c r="K293">
        <v>2.4910000000000001</v>
      </c>
      <c r="L293">
        <v>1.8420000000000001</v>
      </c>
      <c r="M293">
        <v>84025</v>
      </c>
      <c r="N293">
        <v>2.5409999999999999</v>
      </c>
      <c r="O293">
        <v>1.879</v>
      </c>
    </row>
    <row r="294" spans="1:15" hidden="1" x14ac:dyDescent="0.3">
      <c r="A294" t="s">
        <v>366</v>
      </c>
      <c r="B294" t="s">
        <v>296</v>
      </c>
      <c r="C294" t="s">
        <v>295</v>
      </c>
      <c r="D294">
        <v>794</v>
      </c>
      <c r="E294">
        <v>944</v>
      </c>
      <c r="F294">
        <v>1738</v>
      </c>
      <c r="G294">
        <v>865</v>
      </c>
      <c r="H294">
        <v>399</v>
      </c>
      <c r="I294">
        <v>1264</v>
      </c>
      <c r="J294">
        <v>84997</v>
      </c>
      <c r="K294">
        <v>2.0449999999999999</v>
      </c>
      <c r="L294">
        <v>1.4870000000000001</v>
      </c>
      <c r="M294">
        <v>83245</v>
      </c>
      <c r="N294">
        <v>2.0880000000000001</v>
      </c>
      <c r="O294">
        <v>1.518</v>
      </c>
    </row>
    <row r="295" spans="1:15" hidden="1" x14ac:dyDescent="0.3">
      <c r="A295" t="s">
        <v>365</v>
      </c>
      <c r="B295" t="s">
        <v>296</v>
      </c>
      <c r="C295" t="s">
        <v>295</v>
      </c>
      <c r="D295">
        <v>884</v>
      </c>
      <c r="E295">
        <v>1268</v>
      </c>
      <c r="F295">
        <v>2152</v>
      </c>
      <c r="G295">
        <v>1019</v>
      </c>
      <c r="H295">
        <v>425</v>
      </c>
      <c r="I295">
        <v>1444</v>
      </c>
      <c r="J295">
        <v>84442</v>
      </c>
      <c r="K295">
        <v>2.548</v>
      </c>
      <c r="L295">
        <v>1.71</v>
      </c>
      <c r="M295">
        <v>82385</v>
      </c>
      <c r="N295">
        <v>2.6120000000000001</v>
      </c>
      <c r="O295">
        <v>1.7530000000000001</v>
      </c>
    </row>
    <row r="296" spans="1:15" hidden="1" x14ac:dyDescent="0.3">
      <c r="A296" t="s">
        <v>364</v>
      </c>
      <c r="B296" t="s">
        <v>296</v>
      </c>
      <c r="C296" t="s">
        <v>295</v>
      </c>
      <c r="D296">
        <v>1045</v>
      </c>
      <c r="E296">
        <v>832</v>
      </c>
      <c r="F296">
        <v>1877</v>
      </c>
      <c r="G296">
        <v>1240</v>
      </c>
      <c r="H296">
        <v>486</v>
      </c>
      <c r="I296">
        <v>1726</v>
      </c>
      <c r="J296">
        <v>83933</v>
      </c>
      <c r="K296">
        <v>2.2359999999999998</v>
      </c>
      <c r="L296">
        <v>2.056</v>
      </c>
      <c r="M296">
        <v>81787</v>
      </c>
      <c r="N296">
        <v>2.2949999999999999</v>
      </c>
      <c r="O296">
        <v>2.11</v>
      </c>
    </row>
    <row r="297" spans="1:15" hidden="1" x14ac:dyDescent="0.3">
      <c r="A297" t="s">
        <v>364</v>
      </c>
      <c r="B297" t="s">
        <v>300</v>
      </c>
      <c r="C297" t="s">
        <v>299</v>
      </c>
      <c r="D297">
        <v>73</v>
      </c>
      <c r="E297">
        <v>218</v>
      </c>
      <c r="F297">
        <v>291</v>
      </c>
      <c r="G297">
        <v>69</v>
      </c>
      <c r="H297">
        <v>56</v>
      </c>
      <c r="I297">
        <v>125</v>
      </c>
      <c r="J297">
        <v>10852</v>
      </c>
      <c r="K297">
        <v>2.6819999999999999</v>
      </c>
      <c r="L297">
        <v>1.1519999999999999</v>
      </c>
      <c r="M297">
        <v>10135</v>
      </c>
      <c r="N297">
        <v>2.871</v>
      </c>
      <c r="O297">
        <v>1.2330000000000001</v>
      </c>
    </row>
    <row r="298" spans="1:15" hidden="1" x14ac:dyDescent="0.3">
      <c r="A298" t="s">
        <v>365</v>
      </c>
      <c r="B298" t="s">
        <v>300</v>
      </c>
      <c r="C298" t="s">
        <v>299</v>
      </c>
      <c r="D298">
        <v>55</v>
      </c>
      <c r="E298">
        <v>168</v>
      </c>
      <c r="F298">
        <v>223</v>
      </c>
      <c r="G298">
        <v>60</v>
      </c>
      <c r="H298">
        <v>42</v>
      </c>
      <c r="I298">
        <v>102</v>
      </c>
      <c r="J298">
        <v>10950</v>
      </c>
      <c r="K298">
        <v>2.0369999999999999</v>
      </c>
      <c r="L298">
        <v>0.93200000000000005</v>
      </c>
      <c r="M298">
        <v>10166</v>
      </c>
      <c r="N298">
        <v>2.194</v>
      </c>
      <c r="O298">
        <v>1.0029999999999999</v>
      </c>
    </row>
    <row r="299" spans="1:15" hidden="1" x14ac:dyDescent="0.3">
      <c r="A299" t="s">
        <v>366</v>
      </c>
      <c r="B299" t="s">
        <v>300</v>
      </c>
      <c r="C299" t="s">
        <v>299</v>
      </c>
      <c r="D299">
        <v>100</v>
      </c>
      <c r="E299">
        <v>177</v>
      </c>
      <c r="F299">
        <v>277</v>
      </c>
      <c r="G299">
        <v>101</v>
      </c>
      <c r="H299">
        <v>94</v>
      </c>
      <c r="I299">
        <v>195</v>
      </c>
      <c r="J299">
        <v>11021</v>
      </c>
      <c r="K299">
        <v>2.5129999999999999</v>
      </c>
      <c r="L299">
        <v>1.7690000000000001</v>
      </c>
      <c r="M299">
        <v>10235</v>
      </c>
      <c r="N299">
        <v>2.706</v>
      </c>
      <c r="O299">
        <v>1.905</v>
      </c>
    </row>
    <row r="300" spans="1:15" hidden="1" x14ac:dyDescent="0.3">
      <c r="A300" t="s">
        <v>341</v>
      </c>
      <c r="B300" t="s">
        <v>300</v>
      </c>
      <c r="C300" t="s">
        <v>299</v>
      </c>
      <c r="D300">
        <v>86</v>
      </c>
      <c r="E300">
        <v>283</v>
      </c>
      <c r="F300">
        <v>369</v>
      </c>
      <c r="G300">
        <v>90</v>
      </c>
      <c r="H300">
        <v>70</v>
      </c>
      <c r="I300">
        <v>160</v>
      </c>
      <c r="J300">
        <v>11109</v>
      </c>
      <c r="K300">
        <v>3.3220000000000001</v>
      </c>
      <c r="L300">
        <v>1.44</v>
      </c>
      <c r="M300">
        <v>10283</v>
      </c>
      <c r="N300">
        <v>3.5880000000000001</v>
      </c>
      <c r="O300">
        <v>1.556</v>
      </c>
    </row>
    <row r="301" spans="1:15" hidden="1" x14ac:dyDescent="0.3">
      <c r="A301" t="s">
        <v>342</v>
      </c>
      <c r="B301" t="s">
        <v>300</v>
      </c>
      <c r="C301" t="s">
        <v>299</v>
      </c>
      <c r="D301">
        <v>113</v>
      </c>
      <c r="E301">
        <v>212</v>
      </c>
      <c r="F301">
        <v>325</v>
      </c>
      <c r="G301">
        <v>128</v>
      </c>
      <c r="H301">
        <v>76</v>
      </c>
      <c r="I301">
        <v>204</v>
      </c>
      <c r="J301">
        <v>11180</v>
      </c>
      <c r="K301">
        <v>2.907</v>
      </c>
      <c r="L301">
        <v>1.825</v>
      </c>
      <c r="M301">
        <v>10341</v>
      </c>
      <c r="N301">
        <v>3.1429999999999998</v>
      </c>
      <c r="O301">
        <v>1.9729999999999999</v>
      </c>
    </row>
    <row r="302" spans="1:15" hidden="1" x14ac:dyDescent="0.3">
      <c r="A302" t="s">
        <v>213</v>
      </c>
      <c r="B302" t="s">
        <v>300</v>
      </c>
      <c r="C302" t="s">
        <v>299</v>
      </c>
      <c r="D302">
        <v>87</v>
      </c>
      <c r="E302">
        <v>209</v>
      </c>
      <c r="F302">
        <v>296</v>
      </c>
      <c r="G302">
        <v>85</v>
      </c>
      <c r="H302">
        <v>74</v>
      </c>
      <c r="I302">
        <v>159</v>
      </c>
      <c r="J302">
        <v>11270</v>
      </c>
      <c r="K302">
        <v>2.6259999999999999</v>
      </c>
      <c r="L302">
        <v>1.411</v>
      </c>
      <c r="M302">
        <v>10384</v>
      </c>
      <c r="N302">
        <v>2.851</v>
      </c>
      <c r="O302">
        <v>1.5310000000000001</v>
      </c>
    </row>
    <row r="303" spans="1:15" hidden="1" x14ac:dyDescent="0.3">
      <c r="A303" t="s">
        <v>312</v>
      </c>
      <c r="B303" t="s">
        <v>300</v>
      </c>
      <c r="C303" t="s">
        <v>299</v>
      </c>
      <c r="D303">
        <v>156</v>
      </c>
      <c r="E303">
        <v>407</v>
      </c>
      <c r="F303">
        <v>563</v>
      </c>
      <c r="G303">
        <v>141</v>
      </c>
      <c r="H303">
        <v>112</v>
      </c>
      <c r="I303">
        <v>253</v>
      </c>
      <c r="J303">
        <v>11305</v>
      </c>
      <c r="K303">
        <v>4.9800000000000004</v>
      </c>
      <c r="L303">
        <v>2.238</v>
      </c>
      <c r="M303">
        <v>10439</v>
      </c>
      <c r="N303">
        <v>5.3929999999999998</v>
      </c>
      <c r="O303">
        <v>2.4239999999999999</v>
      </c>
    </row>
    <row r="304" spans="1:15" hidden="1" x14ac:dyDescent="0.3">
      <c r="A304" t="s">
        <v>318</v>
      </c>
      <c r="B304" t="s">
        <v>300</v>
      </c>
      <c r="C304" t="s">
        <v>299</v>
      </c>
      <c r="D304">
        <v>17</v>
      </c>
      <c r="E304">
        <v>59</v>
      </c>
      <c r="F304">
        <v>76</v>
      </c>
      <c r="G304">
        <v>8</v>
      </c>
      <c r="H304">
        <v>26</v>
      </c>
      <c r="I304">
        <v>34</v>
      </c>
      <c r="J304">
        <v>11374</v>
      </c>
      <c r="K304">
        <v>0.66800000000000004</v>
      </c>
      <c r="L304">
        <v>0.29899999999999999</v>
      </c>
      <c r="M304">
        <v>10461</v>
      </c>
      <c r="N304">
        <v>0.72699999999999998</v>
      </c>
      <c r="O304">
        <v>0.32500000000000001</v>
      </c>
    </row>
    <row r="305" spans="1:15" hidden="1" x14ac:dyDescent="0.3">
      <c r="A305" t="s">
        <v>320</v>
      </c>
      <c r="B305" t="s">
        <v>300</v>
      </c>
      <c r="C305" t="s">
        <v>299</v>
      </c>
      <c r="D305"/>
      <c r="E305"/>
      <c r="F305">
        <v>342</v>
      </c>
      <c r="G305"/>
      <c r="H305"/>
      <c r="I305"/>
      <c r="J305">
        <v>11462</v>
      </c>
      <c r="K305">
        <v>2.984</v>
      </c>
      <c r="M305">
        <v>10554</v>
      </c>
      <c r="N305">
        <v>3.24</v>
      </c>
    </row>
    <row r="306" spans="1:15" hidden="1" x14ac:dyDescent="0.3">
      <c r="A306" t="s">
        <v>325</v>
      </c>
      <c r="B306" t="s">
        <v>300</v>
      </c>
      <c r="C306" t="s">
        <v>299</v>
      </c>
      <c r="D306"/>
      <c r="E306"/>
      <c r="F306">
        <v>228</v>
      </c>
      <c r="G306"/>
      <c r="H306"/>
      <c r="I306"/>
      <c r="J306">
        <v>11544</v>
      </c>
      <c r="K306">
        <v>1.9750000000000001</v>
      </c>
      <c r="M306">
        <v>10633</v>
      </c>
      <c r="N306">
        <v>2.1440000000000001</v>
      </c>
    </row>
    <row r="307" spans="1:15" hidden="1" x14ac:dyDescent="0.3">
      <c r="A307" t="s">
        <v>326</v>
      </c>
      <c r="B307" t="s">
        <v>300</v>
      </c>
      <c r="D307">
        <v>23</v>
      </c>
      <c r="E307">
        <v>193</v>
      </c>
      <c r="F307">
        <v>216</v>
      </c>
      <c r="G307">
        <v>19</v>
      </c>
      <c r="H307">
        <v>53</v>
      </c>
      <c r="I307">
        <v>72</v>
      </c>
      <c r="J307">
        <v>11629</v>
      </c>
      <c r="K307">
        <v>1.857</v>
      </c>
      <c r="L307">
        <v>0.61899999999999999</v>
      </c>
      <c r="M307">
        <v>10621</v>
      </c>
      <c r="N307">
        <v>2.0339999999999998</v>
      </c>
      <c r="O307">
        <v>0.67800000000000005</v>
      </c>
    </row>
    <row r="308" spans="1:15" hidden="1" x14ac:dyDescent="0.3">
      <c r="A308" t="s">
        <v>326</v>
      </c>
      <c r="B308" t="s">
        <v>300</v>
      </c>
      <c r="D308">
        <v>23</v>
      </c>
      <c r="E308">
        <v>193</v>
      </c>
      <c r="F308">
        <v>216</v>
      </c>
      <c r="G308">
        <v>19</v>
      </c>
      <c r="H308">
        <v>53</v>
      </c>
      <c r="I308">
        <v>72</v>
      </c>
      <c r="J308">
        <v>11702</v>
      </c>
      <c r="K308">
        <v>1.8460000000000001</v>
      </c>
      <c r="L308">
        <v>0.61499999999999999</v>
      </c>
      <c r="M308">
        <v>10621</v>
      </c>
      <c r="N308">
        <v>2.0339999999999998</v>
      </c>
      <c r="O308">
        <v>0.67800000000000005</v>
      </c>
    </row>
    <row r="309" spans="1:15" hidden="1" x14ac:dyDescent="0.3">
      <c r="A309" t="s">
        <v>325</v>
      </c>
      <c r="B309" t="s">
        <v>289</v>
      </c>
      <c r="C309" t="s">
        <v>288</v>
      </c>
      <c r="D309"/>
      <c r="E309"/>
      <c r="F309">
        <v>2568</v>
      </c>
      <c r="G309"/>
      <c r="H309"/>
      <c r="I309"/>
      <c r="J309">
        <v>159586</v>
      </c>
      <c r="K309">
        <v>1.609</v>
      </c>
      <c r="M309">
        <v>154382</v>
      </c>
      <c r="N309">
        <v>1.663</v>
      </c>
    </row>
    <row r="310" spans="1:15" hidden="1" x14ac:dyDescent="0.3">
      <c r="A310" t="s">
        <v>320</v>
      </c>
      <c r="B310" t="s">
        <v>289</v>
      </c>
      <c r="C310" t="s">
        <v>288</v>
      </c>
      <c r="D310"/>
      <c r="E310"/>
      <c r="F310">
        <v>3283</v>
      </c>
      <c r="G310"/>
      <c r="H310"/>
      <c r="I310"/>
      <c r="J310">
        <v>158456</v>
      </c>
      <c r="K310">
        <v>2.0720000000000001</v>
      </c>
      <c r="M310">
        <v>153643</v>
      </c>
      <c r="N310">
        <v>2.137</v>
      </c>
    </row>
    <row r="311" spans="1:15" hidden="1" x14ac:dyDescent="0.3">
      <c r="A311" t="s">
        <v>318</v>
      </c>
      <c r="B311" t="s">
        <v>289</v>
      </c>
      <c r="C311" t="s">
        <v>288</v>
      </c>
      <c r="D311">
        <v>678</v>
      </c>
      <c r="E311">
        <v>1189</v>
      </c>
      <c r="F311">
        <v>1867</v>
      </c>
      <c r="G311">
        <v>858</v>
      </c>
      <c r="H311">
        <v>263</v>
      </c>
      <c r="I311">
        <v>1121</v>
      </c>
      <c r="J311">
        <v>157625</v>
      </c>
      <c r="K311">
        <v>1.1839999999999999</v>
      </c>
      <c r="L311">
        <v>0.71099999999999997</v>
      </c>
      <c r="M311">
        <v>152910</v>
      </c>
      <c r="N311">
        <v>1.2210000000000001</v>
      </c>
      <c r="O311">
        <v>0.73299999999999998</v>
      </c>
    </row>
    <row r="312" spans="1:15" hidden="1" x14ac:dyDescent="0.3">
      <c r="A312" t="s">
        <v>312</v>
      </c>
      <c r="B312" t="s">
        <v>289</v>
      </c>
      <c r="C312" t="s">
        <v>288</v>
      </c>
      <c r="D312">
        <v>1328</v>
      </c>
      <c r="E312">
        <v>2916</v>
      </c>
      <c r="F312">
        <v>4244</v>
      </c>
      <c r="G312">
        <v>1742</v>
      </c>
      <c r="H312">
        <v>411</v>
      </c>
      <c r="I312">
        <v>2153</v>
      </c>
      <c r="J312">
        <v>156694</v>
      </c>
      <c r="K312">
        <v>2.7080000000000002</v>
      </c>
      <c r="L312">
        <v>1.3740000000000001</v>
      </c>
      <c r="M312">
        <v>152443</v>
      </c>
      <c r="N312">
        <v>2.7839999999999998</v>
      </c>
      <c r="O312">
        <v>1.4119999999999999</v>
      </c>
    </row>
    <row r="313" spans="1:15" hidden="1" x14ac:dyDescent="0.3">
      <c r="A313" t="s">
        <v>213</v>
      </c>
      <c r="B313" t="s">
        <v>289</v>
      </c>
      <c r="C313" t="s">
        <v>288</v>
      </c>
      <c r="D313">
        <v>1248</v>
      </c>
      <c r="E313">
        <v>2019</v>
      </c>
      <c r="F313">
        <v>3267</v>
      </c>
      <c r="G313">
        <v>1614</v>
      </c>
      <c r="H313">
        <v>428</v>
      </c>
      <c r="I313">
        <v>2042</v>
      </c>
      <c r="J313">
        <v>155364</v>
      </c>
      <c r="K313">
        <v>2.1030000000000002</v>
      </c>
      <c r="L313">
        <v>1.3140000000000001</v>
      </c>
      <c r="M313">
        <v>151744</v>
      </c>
      <c r="N313">
        <v>2.153</v>
      </c>
      <c r="O313">
        <v>1.3460000000000001</v>
      </c>
    </row>
    <row r="314" spans="1:15" hidden="1" x14ac:dyDescent="0.3">
      <c r="A314" t="s">
        <v>342</v>
      </c>
      <c r="B314" t="s">
        <v>289</v>
      </c>
      <c r="C314" t="s">
        <v>288</v>
      </c>
      <c r="D314">
        <v>1327</v>
      </c>
      <c r="E314">
        <v>1990</v>
      </c>
      <c r="F314">
        <v>3317</v>
      </c>
      <c r="G314">
        <v>1744</v>
      </c>
      <c r="H314">
        <v>446</v>
      </c>
      <c r="I314">
        <v>2190</v>
      </c>
      <c r="J314">
        <v>154286</v>
      </c>
      <c r="K314">
        <v>2.15</v>
      </c>
      <c r="L314">
        <v>1.419</v>
      </c>
      <c r="M314">
        <v>151155</v>
      </c>
      <c r="N314">
        <v>2.194</v>
      </c>
      <c r="O314">
        <v>1.4490000000000001</v>
      </c>
    </row>
    <row r="315" spans="1:15" hidden="1" x14ac:dyDescent="0.3">
      <c r="A315" t="s">
        <v>341</v>
      </c>
      <c r="B315" t="s">
        <v>289</v>
      </c>
      <c r="C315" t="s">
        <v>288</v>
      </c>
      <c r="D315">
        <v>1400</v>
      </c>
      <c r="E315">
        <v>2084</v>
      </c>
      <c r="F315">
        <v>3484</v>
      </c>
      <c r="G315">
        <v>1722</v>
      </c>
      <c r="H315">
        <v>548</v>
      </c>
      <c r="I315">
        <v>2270</v>
      </c>
      <c r="J315">
        <v>153388</v>
      </c>
      <c r="K315">
        <v>2.2709999999999999</v>
      </c>
      <c r="L315">
        <v>1.48</v>
      </c>
      <c r="M315">
        <v>150364</v>
      </c>
      <c r="N315">
        <v>2.3170000000000002</v>
      </c>
      <c r="O315">
        <v>1.51</v>
      </c>
    </row>
    <row r="316" spans="1:15" hidden="1" x14ac:dyDescent="0.3">
      <c r="A316" t="s">
        <v>366</v>
      </c>
      <c r="B316" t="s">
        <v>289</v>
      </c>
      <c r="C316" t="s">
        <v>288</v>
      </c>
      <c r="D316">
        <v>1654</v>
      </c>
      <c r="E316">
        <v>2505</v>
      </c>
      <c r="F316">
        <v>4159</v>
      </c>
      <c r="G316">
        <v>2213</v>
      </c>
      <c r="H316">
        <v>542</v>
      </c>
      <c r="I316">
        <v>2755</v>
      </c>
      <c r="J316">
        <v>152293</v>
      </c>
      <c r="K316">
        <v>2.7309999999999999</v>
      </c>
      <c r="L316">
        <v>1.8090000000000002</v>
      </c>
      <c r="M316">
        <v>149282</v>
      </c>
      <c r="N316">
        <v>2.786</v>
      </c>
      <c r="O316">
        <v>1.8460000000000001</v>
      </c>
    </row>
    <row r="317" spans="1:15" hidden="1" x14ac:dyDescent="0.3">
      <c r="A317" t="s">
        <v>365</v>
      </c>
      <c r="B317" t="s">
        <v>289</v>
      </c>
      <c r="C317" t="s">
        <v>288</v>
      </c>
      <c r="D317">
        <v>1427</v>
      </c>
      <c r="E317">
        <v>2067</v>
      </c>
      <c r="F317">
        <v>3494</v>
      </c>
      <c r="G317">
        <v>1929</v>
      </c>
      <c r="H317">
        <v>499</v>
      </c>
      <c r="I317">
        <v>2428</v>
      </c>
      <c r="J317">
        <v>151424</v>
      </c>
      <c r="K317">
        <v>2.3069999999999999</v>
      </c>
      <c r="L317">
        <v>1.603</v>
      </c>
      <c r="M317">
        <v>148610</v>
      </c>
      <c r="N317">
        <v>2.351</v>
      </c>
      <c r="O317">
        <v>1.6339999999999999</v>
      </c>
    </row>
    <row r="318" spans="1:15" hidden="1" x14ac:dyDescent="0.3">
      <c r="A318" t="s">
        <v>364</v>
      </c>
      <c r="B318" t="s">
        <v>289</v>
      </c>
      <c r="C318" t="s">
        <v>288</v>
      </c>
      <c r="D318">
        <v>1381</v>
      </c>
      <c r="E318">
        <v>1452</v>
      </c>
      <c r="F318">
        <v>2833</v>
      </c>
      <c r="G318">
        <v>1819</v>
      </c>
      <c r="H318">
        <v>538</v>
      </c>
      <c r="I318">
        <v>2357</v>
      </c>
      <c r="J318">
        <v>150541</v>
      </c>
      <c r="K318">
        <v>1.8820000000000001</v>
      </c>
      <c r="L318">
        <v>1.5659999999999998</v>
      </c>
      <c r="M318">
        <v>147554</v>
      </c>
      <c r="N318">
        <v>1.92</v>
      </c>
      <c r="O318">
        <v>1.597</v>
      </c>
    </row>
    <row r="319" spans="1:15" hidden="1" x14ac:dyDescent="0.3">
      <c r="A319" t="s">
        <v>364</v>
      </c>
      <c r="B319" t="s">
        <v>298</v>
      </c>
      <c r="C319" t="s">
        <v>297</v>
      </c>
      <c r="D319">
        <v>1252</v>
      </c>
      <c r="E319">
        <v>1347</v>
      </c>
      <c r="F319">
        <v>2599</v>
      </c>
      <c r="G319">
        <v>948</v>
      </c>
      <c r="H319">
        <v>1046</v>
      </c>
      <c r="I319">
        <v>1994</v>
      </c>
      <c r="J319">
        <v>57097</v>
      </c>
      <c r="K319">
        <v>4.5519999999999996</v>
      </c>
      <c r="L319">
        <v>3.492</v>
      </c>
      <c r="M319">
        <v>52934</v>
      </c>
      <c r="N319">
        <v>4.91</v>
      </c>
      <c r="O319">
        <v>3.7669999999999999</v>
      </c>
    </row>
    <row r="320" spans="1:15" hidden="1" x14ac:dyDescent="0.3">
      <c r="A320" t="s">
        <v>365</v>
      </c>
      <c r="B320" t="s">
        <v>298</v>
      </c>
      <c r="C320" t="s">
        <v>297</v>
      </c>
      <c r="D320">
        <v>1229</v>
      </c>
      <c r="E320">
        <v>1194</v>
      </c>
      <c r="F320">
        <v>2423</v>
      </c>
      <c r="G320">
        <v>844</v>
      </c>
      <c r="H320">
        <v>1072</v>
      </c>
      <c r="I320">
        <v>1916</v>
      </c>
      <c r="J320">
        <v>57274</v>
      </c>
      <c r="K320">
        <v>4.2309999999999999</v>
      </c>
      <c r="L320">
        <v>3.3449999999999998</v>
      </c>
      <c r="M320">
        <v>53157</v>
      </c>
      <c r="N320">
        <v>4.5579999999999998</v>
      </c>
      <c r="O320">
        <v>3.6040000000000001</v>
      </c>
    </row>
    <row r="321" spans="1:15" hidden="1" x14ac:dyDescent="0.3">
      <c r="A321" t="s">
        <v>366</v>
      </c>
      <c r="B321" t="s">
        <v>298</v>
      </c>
      <c r="C321" t="s">
        <v>297</v>
      </c>
      <c r="D321">
        <v>1347</v>
      </c>
      <c r="E321">
        <v>1196</v>
      </c>
      <c r="F321">
        <v>2543</v>
      </c>
      <c r="G321">
        <v>802</v>
      </c>
      <c r="H321">
        <v>1330</v>
      </c>
      <c r="I321">
        <v>2132</v>
      </c>
      <c r="J321">
        <v>57628</v>
      </c>
      <c r="K321">
        <v>4.4130000000000003</v>
      </c>
      <c r="L321">
        <v>3.7</v>
      </c>
      <c r="M321">
        <v>53351</v>
      </c>
      <c r="N321">
        <v>4.7670000000000003</v>
      </c>
      <c r="O321">
        <v>3.996</v>
      </c>
    </row>
    <row r="322" spans="1:15" hidden="1" x14ac:dyDescent="0.3">
      <c r="A322" t="s">
        <v>341</v>
      </c>
      <c r="B322" t="s">
        <v>298</v>
      </c>
      <c r="C322" t="s">
        <v>297</v>
      </c>
      <c r="D322">
        <v>1359</v>
      </c>
      <c r="E322">
        <v>1477</v>
      </c>
      <c r="F322">
        <v>2836</v>
      </c>
      <c r="G322">
        <v>832</v>
      </c>
      <c r="H322">
        <v>1288</v>
      </c>
      <c r="I322">
        <v>2120</v>
      </c>
      <c r="J322">
        <v>57940</v>
      </c>
      <c r="K322">
        <v>4.8949999999999996</v>
      </c>
      <c r="L322">
        <v>3.6589999999999998</v>
      </c>
      <c r="M322">
        <v>53787</v>
      </c>
      <c r="N322">
        <v>5.2729999999999997</v>
      </c>
      <c r="O322">
        <v>3.9409999999999998</v>
      </c>
    </row>
    <row r="323" spans="1:15" hidden="1" x14ac:dyDescent="0.3">
      <c r="A323" t="s">
        <v>342</v>
      </c>
      <c r="B323" t="s">
        <v>298</v>
      </c>
      <c r="C323" t="s">
        <v>297</v>
      </c>
      <c r="D323">
        <v>1121</v>
      </c>
      <c r="E323">
        <v>1263</v>
      </c>
      <c r="F323">
        <v>2384</v>
      </c>
      <c r="G323">
        <v>779</v>
      </c>
      <c r="H323">
        <v>941</v>
      </c>
      <c r="I323">
        <v>1720</v>
      </c>
      <c r="J323">
        <v>58167</v>
      </c>
      <c r="K323">
        <v>4.0990000000000002</v>
      </c>
      <c r="L323">
        <v>2.9569999999999999</v>
      </c>
      <c r="M323">
        <v>54306</v>
      </c>
      <c r="N323">
        <v>4.3899999999999997</v>
      </c>
      <c r="O323">
        <v>3.1669999999999998</v>
      </c>
    </row>
    <row r="324" spans="1:15" hidden="1" x14ac:dyDescent="0.3">
      <c r="A324" t="s">
        <v>213</v>
      </c>
      <c r="B324" t="s">
        <v>298</v>
      </c>
      <c r="C324" t="s">
        <v>297</v>
      </c>
      <c r="D324">
        <v>920</v>
      </c>
      <c r="E324">
        <v>1208</v>
      </c>
      <c r="F324">
        <v>2128</v>
      </c>
      <c r="G324">
        <v>740</v>
      </c>
      <c r="H324">
        <v>673</v>
      </c>
      <c r="I324">
        <v>1413</v>
      </c>
      <c r="J324">
        <v>58425</v>
      </c>
      <c r="K324">
        <v>3.6419999999999999</v>
      </c>
      <c r="L324">
        <v>2.4180000000000001</v>
      </c>
      <c r="M324">
        <v>54413</v>
      </c>
      <c r="N324">
        <v>3.911</v>
      </c>
      <c r="O324">
        <v>2.597</v>
      </c>
    </row>
    <row r="325" spans="1:15" hidden="1" x14ac:dyDescent="0.3">
      <c r="A325" t="s">
        <v>312</v>
      </c>
      <c r="B325" t="s">
        <v>298</v>
      </c>
      <c r="C325" t="s">
        <v>297</v>
      </c>
      <c r="D325">
        <v>869</v>
      </c>
      <c r="E325">
        <v>1387</v>
      </c>
      <c r="F325">
        <v>2256</v>
      </c>
      <c r="G325">
        <v>798</v>
      </c>
      <c r="H325">
        <v>632</v>
      </c>
      <c r="I325">
        <v>1430</v>
      </c>
      <c r="J325">
        <v>58671</v>
      </c>
      <c r="K325">
        <v>3.8449999999999998</v>
      </c>
      <c r="L325">
        <v>2.4369999999999998</v>
      </c>
      <c r="M325">
        <v>54715</v>
      </c>
      <c r="N325">
        <v>4.1230000000000002</v>
      </c>
      <c r="O325">
        <v>2.6139999999999999</v>
      </c>
    </row>
    <row r="326" spans="1:15" hidden="1" x14ac:dyDescent="0.3">
      <c r="A326" t="s">
        <v>318</v>
      </c>
      <c r="B326" t="s">
        <v>298</v>
      </c>
      <c r="C326" t="s">
        <v>297</v>
      </c>
      <c r="D326">
        <v>265</v>
      </c>
      <c r="E326">
        <v>374</v>
      </c>
      <c r="F326">
        <v>639</v>
      </c>
      <c r="G326">
        <v>252</v>
      </c>
      <c r="H326">
        <v>193</v>
      </c>
      <c r="I326">
        <v>445</v>
      </c>
      <c r="J326">
        <v>58814</v>
      </c>
      <c r="K326">
        <v>1.0860000000000001</v>
      </c>
      <c r="L326">
        <v>0.75700000000000001</v>
      </c>
      <c r="M326">
        <v>54796</v>
      </c>
      <c r="N326">
        <v>1.1659999999999999</v>
      </c>
      <c r="O326">
        <v>0.81200000000000006</v>
      </c>
    </row>
    <row r="327" spans="1:15" hidden="1" x14ac:dyDescent="0.3">
      <c r="A327" t="s">
        <v>320</v>
      </c>
      <c r="B327" t="s">
        <v>298</v>
      </c>
      <c r="C327" t="s">
        <v>297</v>
      </c>
      <c r="D327"/>
      <c r="E327"/>
      <c r="F327">
        <v>1001</v>
      </c>
      <c r="G327"/>
      <c r="H327"/>
      <c r="I327"/>
      <c r="J327">
        <v>59126</v>
      </c>
      <c r="K327">
        <v>1.6930000000000001</v>
      </c>
      <c r="M327">
        <v>55296</v>
      </c>
      <c r="N327">
        <v>1.81</v>
      </c>
    </row>
    <row r="328" spans="1:15" hidden="1" x14ac:dyDescent="0.3">
      <c r="A328" t="s">
        <v>325</v>
      </c>
      <c r="B328" t="s">
        <v>298</v>
      </c>
      <c r="C328" t="s">
        <v>297</v>
      </c>
      <c r="D328"/>
      <c r="E328"/>
      <c r="F328">
        <v>859</v>
      </c>
      <c r="G328"/>
      <c r="H328"/>
      <c r="I328"/>
      <c r="J328">
        <v>59557</v>
      </c>
      <c r="K328">
        <v>1.4419999999999999</v>
      </c>
      <c r="M328">
        <v>55660</v>
      </c>
      <c r="N328">
        <v>1.5430000000000001</v>
      </c>
    </row>
    <row r="329" spans="1:15" hidden="1" x14ac:dyDescent="0.3">
      <c r="A329" t="s">
        <v>326</v>
      </c>
      <c r="B329" t="s">
        <v>298</v>
      </c>
      <c r="D329">
        <v>129</v>
      </c>
      <c r="E329">
        <v>775</v>
      </c>
      <c r="F329">
        <v>904</v>
      </c>
      <c r="G329">
        <v>261</v>
      </c>
      <c r="H329">
        <v>97</v>
      </c>
      <c r="I329">
        <v>358</v>
      </c>
      <c r="J329">
        <v>59974</v>
      </c>
      <c r="K329">
        <v>1.5070000000000001</v>
      </c>
      <c r="L329">
        <v>0.59699999999999998</v>
      </c>
      <c r="M329">
        <v>55826</v>
      </c>
      <c r="N329">
        <v>1.619</v>
      </c>
      <c r="O329">
        <v>0.64100000000000001</v>
      </c>
    </row>
    <row r="330" spans="1:15" hidden="1" x14ac:dyDescent="0.3">
      <c r="A330" t="s">
        <v>326</v>
      </c>
      <c r="B330" t="s">
        <v>298</v>
      </c>
      <c r="D330">
        <v>129</v>
      </c>
      <c r="E330">
        <v>775</v>
      </c>
      <c r="F330">
        <v>904</v>
      </c>
      <c r="G330">
        <v>261</v>
      </c>
      <c r="H330">
        <v>97</v>
      </c>
      <c r="I330">
        <v>358</v>
      </c>
      <c r="J330">
        <v>60195</v>
      </c>
      <c r="K330">
        <v>1.502</v>
      </c>
      <c r="L330">
        <v>0.59499999999999997</v>
      </c>
      <c r="M330">
        <v>55826</v>
      </c>
      <c r="N330">
        <v>1.619</v>
      </c>
      <c r="O330">
        <v>0.64100000000000001</v>
      </c>
    </row>
    <row r="331" spans="1:15" hidden="1" x14ac:dyDescent="0.3">
      <c r="A331" t="s">
        <v>326</v>
      </c>
      <c r="B331" t="s">
        <v>307</v>
      </c>
      <c r="D331">
        <v>103</v>
      </c>
      <c r="E331">
        <v>516</v>
      </c>
      <c r="F331">
        <v>619</v>
      </c>
      <c r="G331">
        <v>181</v>
      </c>
      <c r="H331">
        <v>85</v>
      </c>
      <c r="I331">
        <v>266</v>
      </c>
      <c r="J331">
        <v>43489</v>
      </c>
      <c r="K331">
        <v>1.423</v>
      </c>
      <c r="L331">
        <v>0.61199999999999999</v>
      </c>
      <c r="M331">
        <v>40810</v>
      </c>
      <c r="N331">
        <v>1.5169999999999999</v>
      </c>
      <c r="O331">
        <v>0.65200000000000002</v>
      </c>
    </row>
    <row r="332" spans="1:15" hidden="1" x14ac:dyDescent="0.3">
      <c r="A332" t="s">
        <v>326</v>
      </c>
      <c r="B332" t="s">
        <v>307</v>
      </c>
      <c r="D332">
        <v>103</v>
      </c>
      <c r="E332">
        <v>516</v>
      </c>
      <c r="F332">
        <v>619</v>
      </c>
      <c r="G332">
        <v>181</v>
      </c>
      <c r="H332">
        <v>85</v>
      </c>
      <c r="I332">
        <v>266</v>
      </c>
      <c r="J332">
        <v>42990</v>
      </c>
      <c r="K332">
        <v>1.44</v>
      </c>
      <c r="L332">
        <v>0.61899999999999999</v>
      </c>
      <c r="M332">
        <v>40810</v>
      </c>
      <c r="N332">
        <v>1.5169999999999999</v>
      </c>
      <c r="O332">
        <v>0.65200000000000002</v>
      </c>
    </row>
    <row r="333" spans="1:15" hidden="1" x14ac:dyDescent="0.3">
      <c r="A333" t="s">
        <v>325</v>
      </c>
      <c r="B333" t="s">
        <v>307</v>
      </c>
      <c r="C333" t="s">
        <v>306</v>
      </c>
      <c r="D333"/>
      <c r="E333"/>
      <c r="F333">
        <v>450</v>
      </c>
      <c r="G333"/>
      <c r="H333"/>
      <c r="I333"/>
      <c r="J333">
        <v>42644</v>
      </c>
      <c r="K333">
        <v>1.0549999999999999</v>
      </c>
      <c r="M333">
        <v>40609</v>
      </c>
      <c r="N333">
        <v>1.1080000000000001</v>
      </c>
    </row>
    <row r="334" spans="1:15" hidden="1" x14ac:dyDescent="0.3">
      <c r="A334" t="s">
        <v>320</v>
      </c>
      <c r="B334" t="s">
        <v>307</v>
      </c>
      <c r="C334" t="s">
        <v>306</v>
      </c>
      <c r="D334"/>
      <c r="E334"/>
      <c r="F334">
        <v>479</v>
      </c>
      <c r="G334"/>
      <c r="H334"/>
      <c r="I334"/>
      <c r="J334">
        <v>42140</v>
      </c>
      <c r="K334">
        <v>1.137</v>
      </c>
      <c r="M334">
        <v>40174</v>
      </c>
      <c r="N334">
        <v>1.1919999999999999</v>
      </c>
    </row>
    <row r="335" spans="1:15" hidden="1" x14ac:dyDescent="0.3">
      <c r="A335" t="s">
        <v>318</v>
      </c>
      <c r="B335" t="s">
        <v>307</v>
      </c>
      <c r="C335" t="s">
        <v>306</v>
      </c>
      <c r="D335">
        <v>63</v>
      </c>
      <c r="E335">
        <v>108</v>
      </c>
      <c r="F335">
        <v>171</v>
      </c>
      <c r="G335">
        <v>76</v>
      </c>
      <c r="H335">
        <v>44</v>
      </c>
      <c r="I335">
        <v>120</v>
      </c>
      <c r="J335">
        <v>41950</v>
      </c>
      <c r="K335">
        <v>0.40799999999999997</v>
      </c>
      <c r="L335">
        <v>0.28599999999999998</v>
      </c>
      <c r="M335">
        <v>39896</v>
      </c>
      <c r="N335">
        <v>0.42899999999999999</v>
      </c>
      <c r="O335">
        <v>0.30099999999999999</v>
      </c>
    </row>
    <row r="336" spans="1:15" hidden="1" x14ac:dyDescent="0.3">
      <c r="A336" t="s">
        <v>312</v>
      </c>
      <c r="B336" t="s">
        <v>307</v>
      </c>
      <c r="C336" t="s">
        <v>306</v>
      </c>
      <c r="D336">
        <v>311</v>
      </c>
      <c r="E336">
        <v>590</v>
      </c>
      <c r="F336">
        <v>901</v>
      </c>
      <c r="G336">
        <v>360</v>
      </c>
      <c r="H336">
        <v>153</v>
      </c>
      <c r="I336">
        <v>513</v>
      </c>
      <c r="J336">
        <v>41638</v>
      </c>
      <c r="K336">
        <v>2.1640000000000001</v>
      </c>
      <c r="L336">
        <v>1.232</v>
      </c>
      <c r="M336">
        <v>39654</v>
      </c>
      <c r="N336">
        <v>2.2720000000000002</v>
      </c>
      <c r="O336">
        <v>1.294</v>
      </c>
    </row>
    <row r="337" spans="1:15" hidden="1" x14ac:dyDescent="0.3">
      <c r="A337" t="s">
        <v>213</v>
      </c>
      <c r="B337" t="s">
        <v>307</v>
      </c>
      <c r="C337" t="s">
        <v>306</v>
      </c>
      <c r="D337">
        <v>323</v>
      </c>
      <c r="E337">
        <v>611</v>
      </c>
      <c r="F337">
        <v>934</v>
      </c>
      <c r="G337">
        <v>329</v>
      </c>
      <c r="H337">
        <v>182</v>
      </c>
      <c r="I337">
        <v>511</v>
      </c>
      <c r="J337">
        <v>41443</v>
      </c>
      <c r="K337">
        <v>2.254</v>
      </c>
      <c r="L337">
        <v>1.2330000000000001</v>
      </c>
      <c r="M337">
        <v>39440</v>
      </c>
      <c r="N337">
        <v>2.3679999999999999</v>
      </c>
      <c r="O337">
        <v>1.296</v>
      </c>
    </row>
    <row r="338" spans="1:15" hidden="1" x14ac:dyDescent="0.3">
      <c r="A338" t="s">
        <v>342</v>
      </c>
      <c r="B338" t="s">
        <v>307</v>
      </c>
      <c r="C338" t="s">
        <v>306</v>
      </c>
      <c r="D338">
        <v>335</v>
      </c>
      <c r="E338">
        <v>625</v>
      </c>
      <c r="F338">
        <v>960</v>
      </c>
      <c r="G338">
        <v>315</v>
      </c>
      <c r="H338">
        <v>213</v>
      </c>
      <c r="I338">
        <v>528</v>
      </c>
      <c r="J338">
        <v>41250</v>
      </c>
      <c r="K338">
        <v>2.327</v>
      </c>
      <c r="L338">
        <v>1.28</v>
      </c>
      <c r="M338">
        <v>39285</v>
      </c>
      <c r="N338">
        <v>2.444</v>
      </c>
      <c r="O338">
        <v>1.3439999999999999</v>
      </c>
    </row>
    <row r="339" spans="1:15" hidden="1" x14ac:dyDescent="0.3">
      <c r="A339" t="s">
        <v>341</v>
      </c>
      <c r="B339" t="s">
        <v>307</v>
      </c>
      <c r="C339" t="s">
        <v>306</v>
      </c>
      <c r="D339">
        <v>336</v>
      </c>
      <c r="E339">
        <v>720</v>
      </c>
      <c r="F339">
        <v>1056</v>
      </c>
      <c r="G339">
        <v>334</v>
      </c>
      <c r="H339">
        <v>201</v>
      </c>
      <c r="I339">
        <v>535</v>
      </c>
      <c r="J339">
        <v>40998</v>
      </c>
      <c r="K339">
        <v>2.5760000000000001</v>
      </c>
      <c r="L339">
        <v>1.3049999999999999</v>
      </c>
      <c r="M339">
        <v>38951</v>
      </c>
      <c r="N339">
        <v>2.7109999999999999</v>
      </c>
      <c r="O339">
        <v>1.3740000000000001</v>
      </c>
    </row>
    <row r="340" spans="1:15" hidden="1" x14ac:dyDescent="0.3">
      <c r="A340" t="s">
        <v>366</v>
      </c>
      <c r="B340" t="s">
        <v>307</v>
      </c>
      <c r="C340" t="s">
        <v>306</v>
      </c>
      <c r="D340">
        <v>358</v>
      </c>
      <c r="E340">
        <v>653</v>
      </c>
      <c r="F340">
        <v>1011</v>
      </c>
      <c r="G340">
        <v>384</v>
      </c>
      <c r="H340">
        <v>181</v>
      </c>
      <c r="I340">
        <v>565</v>
      </c>
      <c r="J340">
        <v>40646</v>
      </c>
      <c r="K340">
        <v>2.4870000000000001</v>
      </c>
      <c r="L340">
        <v>1.3900000000000001</v>
      </c>
      <c r="M340">
        <v>38665</v>
      </c>
      <c r="N340">
        <v>2.6150000000000002</v>
      </c>
      <c r="O340">
        <v>1.4610000000000001</v>
      </c>
    </row>
    <row r="341" spans="1:15" hidden="1" x14ac:dyDescent="0.3">
      <c r="A341" t="s">
        <v>365</v>
      </c>
      <c r="B341" t="s">
        <v>307</v>
      </c>
      <c r="C341" t="s">
        <v>306</v>
      </c>
      <c r="D341">
        <v>352</v>
      </c>
      <c r="E341">
        <v>667</v>
      </c>
      <c r="F341">
        <v>1019</v>
      </c>
      <c r="G341">
        <v>391</v>
      </c>
      <c r="H341">
        <v>166</v>
      </c>
      <c r="I341">
        <v>557</v>
      </c>
      <c r="J341">
        <v>40320</v>
      </c>
      <c r="K341">
        <v>2.5270000000000001</v>
      </c>
      <c r="L341">
        <v>1.381</v>
      </c>
      <c r="M341">
        <v>38310</v>
      </c>
      <c r="N341">
        <v>2.66</v>
      </c>
      <c r="O341">
        <v>1.454</v>
      </c>
    </row>
    <row r="342" spans="1:15" hidden="1" x14ac:dyDescent="0.3">
      <c r="A342" t="s">
        <v>364</v>
      </c>
      <c r="B342" t="s">
        <v>307</v>
      </c>
      <c r="C342" t="s">
        <v>306</v>
      </c>
      <c r="D342">
        <v>265</v>
      </c>
      <c r="E342">
        <v>607</v>
      </c>
      <c r="F342">
        <v>872</v>
      </c>
      <c r="G342">
        <v>297</v>
      </c>
      <c r="H342">
        <v>113</v>
      </c>
      <c r="I342">
        <v>410</v>
      </c>
      <c r="J342">
        <v>39965</v>
      </c>
      <c r="K342">
        <v>2.1819999999999999</v>
      </c>
      <c r="L342">
        <v>1.026</v>
      </c>
      <c r="M342">
        <v>38056</v>
      </c>
      <c r="N342">
        <v>2.2909999999999999</v>
      </c>
      <c r="O342">
        <v>1.077</v>
      </c>
    </row>
    <row r="343" spans="1:15" hidden="1" x14ac:dyDescent="0.3">
      <c r="A343" t="s">
        <v>364</v>
      </c>
      <c r="B343" t="s">
        <v>287</v>
      </c>
      <c r="C343" t="s">
        <v>286</v>
      </c>
      <c r="D343">
        <v>958</v>
      </c>
      <c r="E343">
        <v>660</v>
      </c>
      <c r="F343">
        <v>1618</v>
      </c>
      <c r="G343">
        <v>972</v>
      </c>
      <c r="H343">
        <v>661</v>
      </c>
      <c r="I343">
        <v>1633</v>
      </c>
      <c r="J343">
        <v>67082</v>
      </c>
      <c r="K343">
        <v>2.4119999999999999</v>
      </c>
      <c r="L343">
        <v>2.4340000000000002</v>
      </c>
      <c r="M343">
        <v>62613</v>
      </c>
      <c r="N343">
        <v>2.5840000000000001</v>
      </c>
      <c r="O343">
        <v>2.6080000000000001</v>
      </c>
    </row>
    <row r="344" spans="1:15" hidden="1" x14ac:dyDescent="0.3">
      <c r="A344" t="s">
        <v>312</v>
      </c>
      <c r="B344" t="s">
        <v>287</v>
      </c>
      <c r="C344" t="s">
        <v>286</v>
      </c>
      <c r="D344">
        <v>716</v>
      </c>
      <c r="E344">
        <v>969</v>
      </c>
      <c r="F344">
        <v>1685</v>
      </c>
      <c r="G344">
        <v>784</v>
      </c>
      <c r="H344">
        <v>366</v>
      </c>
      <c r="I344">
        <v>1150</v>
      </c>
      <c r="J344">
        <v>68496</v>
      </c>
      <c r="K344">
        <v>2.46</v>
      </c>
      <c r="L344">
        <v>1.679</v>
      </c>
      <c r="M344">
        <v>64140</v>
      </c>
      <c r="N344">
        <v>2.6269999999999998</v>
      </c>
      <c r="O344">
        <v>1.7930000000000001</v>
      </c>
    </row>
    <row r="345" spans="1:15" hidden="1" x14ac:dyDescent="0.3">
      <c r="A345" t="s">
        <v>318</v>
      </c>
      <c r="B345" t="s">
        <v>287</v>
      </c>
      <c r="C345" t="s">
        <v>286</v>
      </c>
      <c r="D345">
        <v>230</v>
      </c>
      <c r="E345">
        <v>321</v>
      </c>
      <c r="F345">
        <v>551</v>
      </c>
      <c r="G345">
        <v>255</v>
      </c>
      <c r="H345">
        <v>150</v>
      </c>
      <c r="I345">
        <v>405</v>
      </c>
      <c r="J345">
        <v>68843</v>
      </c>
      <c r="K345">
        <v>0.8</v>
      </c>
      <c r="L345">
        <v>0.58799999999999997</v>
      </c>
      <c r="M345">
        <v>64415</v>
      </c>
      <c r="N345">
        <v>0.85499999999999998</v>
      </c>
      <c r="O345">
        <v>0.629</v>
      </c>
    </row>
    <row r="346" spans="1:15" hidden="1" x14ac:dyDescent="0.3">
      <c r="A346" t="s">
        <v>320</v>
      </c>
      <c r="B346" t="s">
        <v>287</v>
      </c>
      <c r="C346" t="s">
        <v>286</v>
      </c>
      <c r="D346"/>
      <c r="E346"/>
      <c r="F346">
        <v>1177</v>
      </c>
      <c r="G346"/>
      <c r="H346"/>
      <c r="I346"/>
      <c r="J346">
        <v>69175</v>
      </c>
      <c r="K346">
        <v>1.7010000000000001</v>
      </c>
      <c r="M346">
        <v>64886</v>
      </c>
      <c r="N346">
        <v>1.8140000000000001</v>
      </c>
    </row>
    <row r="347" spans="1:15" hidden="1" x14ac:dyDescent="0.3">
      <c r="A347" t="s">
        <v>325</v>
      </c>
      <c r="B347" t="s">
        <v>287</v>
      </c>
      <c r="C347" t="s">
        <v>286</v>
      </c>
      <c r="D347"/>
      <c r="E347"/>
      <c r="F347">
        <v>944</v>
      </c>
      <c r="G347"/>
      <c r="H347"/>
      <c r="I347"/>
      <c r="J347">
        <v>69747</v>
      </c>
      <c r="K347">
        <v>1.353</v>
      </c>
      <c r="M347">
        <v>65237</v>
      </c>
      <c r="N347">
        <v>1.4470000000000001</v>
      </c>
    </row>
    <row r="348" spans="1:15" hidden="1" x14ac:dyDescent="0.3">
      <c r="A348" t="s">
        <v>326</v>
      </c>
      <c r="B348" t="s">
        <v>287</v>
      </c>
      <c r="D348">
        <v>202</v>
      </c>
      <c r="E348">
        <v>665</v>
      </c>
      <c r="F348">
        <v>867</v>
      </c>
      <c r="G348">
        <v>314</v>
      </c>
      <c r="H348">
        <v>176</v>
      </c>
      <c r="I348">
        <v>490</v>
      </c>
      <c r="J348">
        <v>70223</v>
      </c>
      <c r="K348">
        <v>1.2349999999999999</v>
      </c>
      <c r="L348">
        <v>0.69799999999999995</v>
      </c>
      <c r="M348">
        <v>64633</v>
      </c>
      <c r="N348">
        <v>1.341</v>
      </c>
      <c r="O348">
        <v>0.75800000000000001</v>
      </c>
    </row>
    <row r="349" spans="1:15" hidden="1" x14ac:dyDescent="0.3">
      <c r="A349" t="s">
        <v>326</v>
      </c>
      <c r="B349" t="s">
        <v>287</v>
      </c>
      <c r="D349">
        <v>202</v>
      </c>
      <c r="E349">
        <v>665</v>
      </c>
      <c r="F349">
        <v>867</v>
      </c>
      <c r="G349">
        <v>314</v>
      </c>
      <c r="H349">
        <v>176</v>
      </c>
      <c r="I349">
        <v>490</v>
      </c>
      <c r="J349">
        <v>70686</v>
      </c>
      <c r="K349">
        <v>1.2270000000000001</v>
      </c>
      <c r="L349">
        <v>0.69299999999999995</v>
      </c>
      <c r="M349">
        <v>64633</v>
      </c>
      <c r="N349">
        <v>1.341</v>
      </c>
      <c r="O349">
        <v>0.75800000000000001</v>
      </c>
    </row>
    <row r="350" spans="1:15" hidden="1" x14ac:dyDescent="0.3">
      <c r="A350" t="s">
        <v>342</v>
      </c>
      <c r="B350" t="s">
        <v>304</v>
      </c>
      <c r="C350" t="s">
        <v>303</v>
      </c>
      <c r="D350">
        <v>1336</v>
      </c>
      <c r="E350">
        <v>2180</v>
      </c>
      <c r="F350">
        <v>3516</v>
      </c>
      <c r="G350">
        <v>1607</v>
      </c>
      <c r="H350">
        <v>503</v>
      </c>
      <c r="I350">
        <v>2110</v>
      </c>
      <c r="J350">
        <v>149972</v>
      </c>
      <c r="K350">
        <v>2.3439999999999999</v>
      </c>
      <c r="L350">
        <v>1.407</v>
      </c>
      <c r="M350">
        <v>145182</v>
      </c>
      <c r="N350">
        <v>2.4220000000000002</v>
      </c>
      <c r="O350">
        <v>1.4530000000000001</v>
      </c>
    </row>
    <row r="351" spans="1:15" hidden="1" x14ac:dyDescent="0.3">
      <c r="A351" t="s">
        <v>341</v>
      </c>
      <c r="B351" t="s">
        <v>304</v>
      </c>
      <c r="C351" t="s">
        <v>303</v>
      </c>
      <c r="D351">
        <v>1304</v>
      </c>
      <c r="E351">
        <v>2091</v>
      </c>
      <c r="F351">
        <v>3395</v>
      </c>
      <c r="G351">
        <v>1516</v>
      </c>
      <c r="H351">
        <v>593</v>
      </c>
      <c r="I351">
        <v>2109</v>
      </c>
      <c r="J351">
        <v>148771</v>
      </c>
      <c r="K351">
        <v>2.282</v>
      </c>
      <c r="L351">
        <v>1.4179999999999999</v>
      </c>
      <c r="M351">
        <v>144148</v>
      </c>
      <c r="N351">
        <v>2.355</v>
      </c>
      <c r="O351">
        <v>1.4630000000000001</v>
      </c>
    </row>
    <row r="352" spans="1:15" hidden="1" x14ac:dyDescent="0.3">
      <c r="A352" t="s">
        <v>366</v>
      </c>
      <c r="B352" t="s">
        <v>304</v>
      </c>
      <c r="C352" t="s">
        <v>303</v>
      </c>
      <c r="D352">
        <v>1189</v>
      </c>
      <c r="E352">
        <v>2143</v>
      </c>
      <c r="F352">
        <v>3332</v>
      </c>
      <c r="G352">
        <v>1396</v>
      </c>
      <c r="H352">
        <v>511</v>
      </c>
      <c r="I352">
        <v>1907</v>
      </c>
      <c r="J352">
        <v>147849</v>
      </c>
      <c r="K352">
        <v>2.254</v>
      </c>
      <c r="L352">
        <v>1.29</v>
      </c>
      <c r="M352">
        <v>143313</v>
      </c>
      <c r="N352">
        <v>2.3250000000000002</v>
      </c>
      <c r="O352">
        <v>1.331</v>
      </c>
    </row>
    <row r="353" spans="1:15" hidden="1" x14ac:dyDescent="0.3">
      <c r="A353" t="s">
        <v>365</v>
      </c>
      <c r="B353" t="s">
        <v>304</v>
      </c>
      <c r="C353" t="s">
        <v>303</v>
      </c>
      <c r="D353">
        <v>1155</v>
      </c>
      <c r="E353">
        <v>1979</v>
      </c>
      <c r="F353">
        <v>3134</v>
      </c>
      <c r="G353">
        <v>1410</v>
      </c>
      <c r="H353">
        <v>474</v>
      </c>
      <c r="I353">
        <v>1884</v>
      </c>
      <c r="J353">
        <v>146925</v>
      </c>
      <c r="K353">
        <v>2.133</v>
      </c>
      <c r="L353">
        <v>1.282</v>
      </c>
      <c r="M353">
        <v>142286</v>
      </c>
      <c r="N353">
        <v>2.2029999999999998</v>
      </c>
      <c r="O353">
        <v>1.3240000000000001</v>
      </c>
    </row>
    <row r="354" spans="1:15" hidden="1" x14ac:dyDescent="0.3">
      <c r="A354" t="s">
        <v>312</v>
      </c>
      <c r="B354" t="s">
        <v>304</v>
      </c>
      <c r="C354" t="s">
        <v>303</v>
      </c>
      <c r="D354">
        <v>1364</v>
      </c>
      <c r="E354">
        <v>2345</v>
      </c>
      <c r="F354">
        <v>3709</v>
      </c>
      <c r="G354">
        <v>1628</v>
      </c>
      <c r="H354">
        <v>551</v>
      </c>
      <c r="I354">
        <v>2179</v>
      </c>
      <c r="J354">
        <v>152998</v>
      </c>
      <c r="K354">
        <v>2.4239999999999999</v>
      </c>
      <c r="L354">
        <v>1.4239999999999999</v>
      </c>
      <c r="M354">
        <v>147434</v>
      </c>
      <c r="N354">
        <v>2.516</v>
      </c>
      <c r="O354">
        <v>1.478</v>
      </c>
    </row>
    <row r="355" spans="1:15" hidden="1" x14ac:dyDescent="0.3">
      <c r="A355" t="s">
        <v>364</v>
      </c>
      <c r="B355" t="s">
        <v>304</v>
      </c>
      <c r="C355" t="s">
        <v>303</v>
      </c>
      <c r="D355">
        <v>1230</v>
      </c>
      <c r="E355">
        <v>1647</v>
      </c>
      <c r="F355">
        <v>2877</v>
      </c>
      <c r="G355">
        <v>1474</v>
      </c>
      <c r="H355">
        <v>585</v>
      </c>
      <c r="I355">
        <v>2059</v>
      </c>
      <c r="J355">
        <v>146110</v>
      </c>
      <c r="K355">
        <v>1.9689999999999999</v>
      </c>
      <c r="L355">
        <v>1.409</v>
      </c>
      <c r="M355">
        <v>141129</v>
      </c>
      <c r="N355">
        <v>2.0390000000000001</v>
      </c>
      <c r="O355">
        <v>1.4590000000000001</v>
      </c>
    </row>
    <row r="356" spans="1:15" hidden="1" x14ac:dyDescent="0.3">
      <c r="A356" t="s">
        <v>213</v>
      </c>
      <c r="B356" t="s">
        <v>304</v>
      </c>
      <c r="C356" t="s">
        <v>303</v>
      </c>
      <c r="D356">
        <v>1352</v>
      </c>
      <c r="E356">
        <v>2193</v>
      </c>
      <c r="F356">
        <v>3545</v>
      </c>
      <c r="G356">
        <v>1663</v>
      </c>
      <c r="H356">
        <v>484</v>
      </c>
      <c r="I356">
        <v>2147</v>
      </c>
      <c r="J356">
        <v>151352</v>
      </c>
      <c r="K356">
        <v>2.3420000000000001</v>
      </c>
      <c r="L356">
        <v>1.419</v>
      </c>
      <c r="M356">
        <v>146173</v>
      </c>
      <c r="N356">
        <v>2.4249999999999998</v>
      </c>
      <c r="O356">
        <v>1.4689999999999999</v>
      </c>
    </row>
    <row r="357" spans="1:15" hidden="1" x14ac:dyDescent="0.3">
      <c r="A357" t="s">
        <v>318</v>
      </c>
      <c r="B357" t="s">
        <v>304</v>
      </c>
      <c r="C357" t="s">
        <v>303</v>
      </c>
      <c r="D357">
        <v>578</v>
      </c>
      <c r="E357">
        <v>758</v>
      </c>
      <c r="F357">
        <v>1336</v>
      </c>
      <c r="G357">
        <v>744</v>
      </c>
      <c r="H357">
        <v>232</v>
      </c>
      <c r="I357">
        <v>976</v>
      </c>
      <c r="J357">
        <v>153863</v>
      </c>
      <c r="K357">
        <v>0.86799999999999999</v>
      </c>
      <c r="L357">
        <v>0.63400000000000001</v>
      </c>
      <c r="M357">
        <v>148483</v>
      </c>
      <c r="N357">
        <v>0.9</v>
      </c>
      <c r="O357">
        <v>0.65700000000000003</v>
      </c>
    </row>
    <row r="358" spans="1:15" hidden="1" x14ac:dyDescent="0.3">
      <c r="A358" t="s">
        <v>325</v>
      </c>
      <c r="B358" t="s">
        <v>304</v>
      </c>
      <c r="C358" t="s">
        <v>303</v>
      </c>
      <c r="D358"/>
      <c r="E358"/>
      <c r="F358">
        <v>2707</v>
      </c>
      <c r="G358"/>
      <c r="H358"/>
      <c r="I358"/>
      <c r="J358">
        <v>157277</v>
      </c>
      <c r="K358">
        <v>1.7210000000000001</v>
      </c>
      <c r="M358">
        <v>151587</v>
      </c>
      <c r="N358">
        <v>1.786</v>
      </c>
    </row>
    <row r="359" spans="1:15" hidden="1" x14ac:dyDescent="0.3">
      <c r="A359" t="s">
        <v>320</v>
      </c>
      <c r="B359" t="s">
        <v>304</v>
      </c>
      <c r="C359" t="s">
        <v>303</v>
      </c>
      <c r="D359"/>
      <c r="E359"/>
      <c r="F359">
        <v>3086</v>
      </c>
      <c r="G359"/>
      <c r="H359"/>
      <c r="I359"/>
      <c r="J359">
        <v>155373</v>
      </c>
      <c r="K359">
        <v>1.986</v>
      </c>
      <c r="M359">
        <v>149864</v>
      </c>
      <c r="N359">
        <v>2.0590000000000002</v>
      </c>
    </row>
    <row r="360" spans="1:15" hidden="1" x14ac:dyDescent="0.3">
      <c r="A360" t="s">
        <v>326</v>
      </c>
      <c r="B360" t="s">
        <v>304</v>
      </c>
      <c r="D360">
        <v>424</v>
      </c>
      <c r="E360">
        <v>1895</v>
      </c>
      <c r="F360">
        <v>2319</v>
      </c>
      <c r="G360">
        <v>943</v>
      </c>
      <c r="H360">
        <v>264</v>
      </c>
      <c r="I360">
        <v>1207</v>
      </c>
      <c r="J360">
        <v>160843</v>
      </c>
      <c r="K360">
        <v>1.4419999999999999</v>
      </c>
      <c r="L360">
        <v>0.75</v>
      </c>
      <c r="M360">
        <v>149454</v>
      </c>
      <c r="N360">
        <v>1.552</v>
      </c>
      <c r="O360">
        <v>0.80800000000000005</v>
      </c>
    </row>
    <row r="361" spans="1:15" hidden="1" x14ac:dyDescent="0.3">
      <c r="A361" t="s">
        <v>326</v>
      </c>
      <c r="B361" t="s">
        <v>304</v>
      </c>
      <c r="D361">
        <v>424</v>
      </c>
      <c r="E361">
        <v>1895</v>
      </c>
      <c r="F361">
        <v>2319</v>
      </c>
      <c r="G361">
        <v>943</v>
      </c>
      <c r="H361">
        <v>264</v>
      </c>
      <c r="I361">
        <v>1207</v>
      </c>
      <c r="J361">
        <v>158594</v>
      </c>
      <c r="K361">
        <v>1.462</v>
      </c>
      <c r="L361">
        <v>0.76100000000000001</v>
      </c>
      <c r="M361">
        <v>149454</v>
      </c>
      <c r="N361">
        <v>1.552</v>
      </c>
      <c r="O361">
        <v>0.80800000000000005</v>
      </c>
    </row>
    <row r="362" spans="1:15" hidden="1" x14ac:dyDescent="0.3">
      <c r="A362" t="s">
        <v>326</v>
      </c>
      <c r="B362" t="s">
        <v>309</v>
      </c>
      <c r="D362">
        <v>194</v>
      </c>
      <c r="E362">
        <v>749</v>
      </c>
      <c r="F362">
        <v>943</v>
      </c>
      <c r="G362">
        <v>268</v>
      </c>
      <c r="H362">
        <v>137</v>
      </c>
      <c r="I362">
        <v>405</v>
      </c>
      <c r="J362">
        <v>46068</v>
      </c>
      <c r="K362">
        <v>2.0470000000000002</v>
      </c>
      <c r="L362">
        <v>0.879</v>
      </c>
      <c r="M362">
        <v>42822</v>
      </c>
      <c r="N362">
        <v>2.202</v>
      </c>
      <c r="O362">
        <v>0.94599999999999995</v>
      </c>
    </row>
    <row r="363" spans="1:15" hidden="1" x14ac:dyDescent="0.3">
      <c r="A363" t="s">
        <v>326</v>
      </c>
      <c r="B363" t="s">
        <v>309</v>
      </c>
      <c r="D363">
        <v>194</v>
      </c>
      <c r="E363">
        <v>749</v>
      </c>
      <c r="F363">
        <v>943</v>
      </c>
      <c r="G363">
        <v>268</v>
      </c>
      <c r="H363">
        <v>137</v>
      </c>
      <c r="I363">
        <v>405</v>
      </c>
      <c r="J363">
        <v>46216</v>
      </c>
      <c r="K363">
        <v>2.04</v>
      </c>
      <c r="L363">
        <v>0.876</v>
      </c>
      <c r="M363">
        <v>42822</v>
      </c>
      <c r="N363">
        <v>2.202</v>
      </c>
      <c r="O363">
        <v>0.94599999999999995</v>
      </c>
    </row>
    <row r="364" spans="1:15" hidden="1" x14ac:dyDescent="0.3">
      <c r="A364" t="s">
        <v>320</v>
      </c>
      <c r="B364" t="s">
        <v>309</v>
      </c>
      <c r="C364" t="s">
        <v>308</v>
      </c>
      <c r="D364"/>
      <c r="E364"/>
      <c r="F364">
        <v>1111</v>
      </c>
      <c r="G364"/>
      <c r="H364"/>
      <c r="I364"/>
      <c r="J364">
        <v>45607</v>
      </c>
      <c r="K364">
        <v>2.4359999999999999</v>
      </c>
      <c r="M364">
        <v>43364</v>
      </c>
      <c r="N364">
        <v>2.5620000000000003</v>
      </c>
    </row>
    <row r="365" spans="1:15" hidden="1" x14ac:dyDescent="0.3">
      <c r="A365" t="s">
        <v>325</v>
      </c>
      <c r="B365" t="s">
        <v>309</v>
      </c>
      <c r="C365" t="s">
        <v>308</v>
      </c>
      <c r="D365"/>
      <c r="E365"/>
      <c r="F365">
        <v>928</v>
      </c>
      <c r="G365"/>
      <c r="H365"/>
      <c r="I365"/>
      <c r="J365">
        <v>45846</v>
      </c>
      <c r="K365">
        <v>2.024</v>
      </c>
      <c r="M365">
        <v>43481</v>
      </c>
      <c r="N365">
        <v>2.1339999999999999</v>
      </c>
    </row>
    <row r="366" spans="1:15" hidden="1" x14ac:dyDescent="0.3">
      <c r="A366" t="s">
        <v>318</v>
      </c>
      <c r="B366" t="s">
        <v>309</v>
      </c>
      <c r="C366" t="s">
        <v>308</v>
      </c>
      <c r="D366">
        <v>222</v>
      </c>
      <c r="E366">
        <v>355</v>
      </c>
      <c r="F366">
        <v>577</v>
      </c>
      <c r="G366">
        <v>269</v>
      </c>
      <c r="H366">
        <v>67</v>
      </c>
      <c r="I366">
        <v>336</v>
      </c>
      <c r="J366">
        <v>45148</v>
      </c>
      <c r="K366">
        <v>1.278</v>
      </c>
      <c r="L366">
        <v>0.74399999999999999</v>
      </c>
      <c r="M366">
        <v>43164</v>
      </c>
      <c r="N366">
        <v>1.337</v>
      </c>
      <c r="O366">
        <v>0.77800000000000002</v>
      </c>
    </row>
    <row r="367" spans="1:15" hidden="1" x14ac:dyDescent="0.3">
      <c r="A367" t="s">
        <v>213</v>
      </c>
      <c r="B367" t="s">
        <v>309</v>
      </c>
      <c r="C367" t="s">
        <v>308</v>
      </c>
      <c r="D367">
        <v>556</v>
      </c>
      <c r="E367">
        <v>1008</v>
      </c>
      <c r="F367">
        <v>1564</v>
      </c>
      <c r="G367">
        <v>642</v>
      </c>
      <c r="H367">
        <v>185</v>
      </c>
      <c r="I367">
        <v>827</v>
      </c>
      <c r="J367">
        <v>45228</v>
      </c>
      <c r="K367">
        <v>3.4580000000000002</v>
      </c>
      <c r="L367">
        <v>1.829</v>
      </c>
      <c r="M367">
        <v>42868</v>
      </c>
      <c r="N367">
        <v>3.6480000000000001</v>
      </c>
      <c r="O367">
        <v>1.929</v>
      </c>
    </row>
    <row r="368" spans="1:15" hidden="1" x14ac:dyDescent="0.3">
      <c r="A368" t="s">
        <v>364</v>
      </c>
      <c r="B368" t="s">
        <v>309</v>
      </c>
      <c r="C368" t="s">
        <v>308</v>
      </c>
      <c r="D368">
        <v>436</v>
      </c>
      <c r="E368">
        <v>496</v>
      </c>
      <c r="F368">
        <v>932</v>
      </c>
      <c r="G368">
        <v>473</v>
      </c>
      <c r="H368">
        <v>195</v>
      </c>
      <c r="I368">
        <v>668</v>
      </c>
      <c r="J368">
        <v>44880</v>
      </c>
      <c r="K368">
        <v>2.077</v>
      </c>
      <c r="L368">
        <v>1.488</v>
      </c>
      <c r="M368">
        <v>42097</v>
      </c>
      <c r="N368">
        <v>2.214</v>
      </c>
      <c r="O368">
        <v>1.587</v>
      </c>
    </row>
    <row r="369" spans="1:15" hidden="1" x14ac:dyDescent="0.3">
      <c r="A369" t="s">
        <v>312</v>
      </c>
      <c r="B369" t="s">
        <v>309</v>
      </c>
      <c r="C369" t="s">
        <v>308</v>
      </c>
      <c r="D369">
        <v>468</v>
      </c>
      <c r="E369">
        <v>931</v>
      </c>
      <c r="F369">
        <v>1399</v>
      </c>
      <c r="G369">
        <v>550</v>
      </c>
      <c r="H369">
        <v>172</v>
      </c>
      <c r="I369">
        <v>722</v>
      </c>
      <c r="J369">
        <v>45357</v>
      </c>
      <c r="K369">
        <v>3.0840000000000001</v>
      </c>
      <c r="L369">
        <v>1.5920000000000001</v>
      </c>
      <c r="M369">
        <v>43030</v>
      </c>
      <c r="N369">
        <v>3.2509999999999999</v>
      </c>
      <c r="O369">
        <v>1.6779999999999999</v>
      </c>
    </row>
    <row r="370" spans="1:15" hidden="1" x14ac:dyDescent="0.3">
      <c r="A370" t="s">
        <v>365</v>
      </c>
      <c r="B370" t="s">
        <v>309</v>
      </c>
      <c r="C370" t="s">
        <v>308</v>
      </c>
      <c r="D370">
        <v>402</v>
      </c>
      <c r="E370">
        <v>519</v>
      </c>
      <c r="F370">
        <v>921</v>
      </c>
      <c r="G370">
        <v>471</v>
      </c>
      <c r="H370">
        <v>160</v>
      </c>
      <c r="I370">
        <v>631</v>
      </c>
      <c r="J370">
        <v>44734</v>
      </c>
      <c r="K370">
        <v>2.0590000000000002</v>
      </c>
      <c r="L370">
        <v>1.411</v>
      </c>
      <c r="M370">
        <v>42353</v>
      </c>
      <c r="N370">
        <v>2.1749999999999998</v>
      </c>
      <c r="O370">
        <v>1.49</v>
      </c>
    </row>
    <row r="371" spans="1:15" hidden="1" x14ac:dyDescent="0.3">
      <c r="A371" t="s">
        <v>366</v>
      </c>
      <c r="B371" t="s">
        <v>309</v>
      </c>
      <c r="C371" t="s">
        <v>308</v>
      </c>
      <c r="D371">
        <v>470</v>
      </c>
      <c r="E371">
        <v>934</v>
      </c>
      <c r="F371">
        <v>1404</v>
      </c>
      <c r="G371">
        <v>586</v>
      </c>
      <c r="H371">
        <v>154</v>
      </c>
      <c r="I371">
        <v>740</v>
      </c>
      <c r="J371">
        <v>45056</v>
      </c>
      <c r="K371">
        <v>3.1160000000000001</v>
      </c>
      <c r="L371">
        <v>1.6419999999999999</v>
      </c>
      <c r="M371">
        <v>42571</v>
      </c>
      <c r="N371">
        <v>3.298</v>
      </c>
      <c r="O371">
        <v>1.738</v>
      </c>
    </row>
    <row r="372" spans="1:15" hidden="1" x14ac:dyDescent="0.3">
      <c r="A372" t="s">
        <v>341</v>
      </c>
      <c r="B372" t="s">
        <v>309</v>
      </c>
      <c r="C372" t="s">
        <v>308</v>
      </c>
      <c r="D372">
        <v>558</v>
      </c>
      <c r="E372">
        <v>1036</v>
      </c>
      <c r="F372">
        <v>1594</v>
      </c>
      <c r="G372">
        <v>620</v>
      </c>
      <c r="H372">
        <v>238</v>
      </c>
      <c r="I372">
        <v>858</v>
      </c>
      <c r="J372">
        <v>45104</v>
      </c>
      <c r="K372">
        <v>3.5339999999999998</v>
      </c>
      <c r="L372">
        <v>1.9020000000000001</v>
      </c>
      <c r="M372">
        <v>42657</v>
      </c>
      <c r="N372">
        <v>3.7370000000000001</v>
      </c>
      <c r="O372">
        <v>2.0110000000000001</v>
      </c>
    </row>
    <row r="373" spans="1:15" hidden="1" x14ac:dyDescent="0.3">
      <c r="A373" t="s">
        <v>342</v>
      </c>
      <c r="B373" t="s">
        <v>309</v>
      </c>
      <c r="C373" t="s">
        <v>308</v>
      </c>
      <c r="D373">
        <v>654</v>
      </c>
      <c r="E373">
        <v>1023</v>
      </c>
      <c r="F373">
        <v>1677</v>
      </c>
      <c r="G373">
        <v>714</v>
      </c>
      <c r="H373">
        <v>285</v>
      </c>
      <c r="I373">
        <v>999</v>
      </c>
      <c r="J373">
        <v>45093</v>
      </c>
      <c r="K373">
        <v>3.7189999999999999</v>
      </c>
      <c r="L373">
        <v>2.2149999999999999</v>
      </c>
      <c r="M373">
        <v>42746</v>
      </c>
      <c r="N373">
        <v>3.923</v>
      </c>
      <c r="O373">
        <v>2.3370000000000002</v>
      </c>
    </row>
    <row r="374" spans="1:15" hidden="1" x14ac:dyDescent="0.3">
      <c r="A374" t="s">
        <v>342</v>
      </c>
      <c r="B374" t="s">
        <v>311</v>
      </c>
      <c r="C374" t="s">
        <v>310</v>
      </c>
      <c r="D374">
        <v>963</v>
      </c>
      <c r="E374">
        <v>1092</v>
      </c>
      <c r="F374">
        <v>2055</v>
      </c>
      <c r="G374">
        <v>850</v>
      </c>
      <c r="H374">
        <v>604</v>
      </c>
      <c r="I374">
        <v>1454</v>
      </c>
      <c r="J374">
        <v>79112</v>
      </c>
      <c r="K374">
        <v>2.5979999999999999</v>
      </c>
      <c r="L374">
        <v>1.8380000000000001</v>
      </c>
      <c r="M374">
        <v>77369</v>
      </c>
      <c r="N374">
        <v>2.6560000000000001</v>
      </c>
      <c r="O374">
        <v>1.879</v>
      </c>
    </row>
    <row r="375" spans="1:15" hidden="1" x14ac:dyDescent="0.3">
      <c r="A375" t="s">
        <v>341</v>
      </c>
      <c r="B375" t="s">
        <v>311</v>
      </c>
      <c r="C375" t="s">
        <v>310</v>
      </c>
      <c r="D375">
        <v>972</v>
      </c>
      <c r="E375">
        <v>766</v>
      </c>
      <c r="F375">
        <v>1738</v>
      </c>
      <c r="G375">
        <v>837</v>
      </c>
      <c r="H375">
        <v>665</v>
      </c>
      <c r="I375">
        <v>1502</v>
      </c>
      <c r="J375">
        <v>78604</v>
      </c>
      <c r="K375">
        <v>2.2109999999999999</v>
      </c>
      <c r="L375">
        <v>1.911</v>
      </c>
      <c r="M375">
        <v>76630</v>
      </c>
      <c r="N375">
        <v>2.2679999999999998</v>
      </c>
      <c r="O375">
        <v>1.96</v>
      </c>
    </row>
    <row r="376" spans="1:15" hidden="1" x14ac:dyDescent="0.3">
      <c r="A376" t="s">
        <v>366</v>
      </c>
      <c r="B376" t="s">
        <v>311</v>
      </c>
      <c r="C376" t="s">
        <v>310</v>
      </c>
      <c r="D376">
        <v>1092</v>
      </c>
      <c r="E376">
        <v>779</v>
      </c>
      <c r="F376">
        <v>1871</v>
      </c>
      <c r="G376">
        <v>1051</v>
      </c>
      <c r="H376">
        <v>659</v>
      </c>
      <c r="I376">
        <v>1710</v>
      </c>
      <c r="J376">
        <v>77834</v>
      </c>
      <c r="K376">
        <v>2.4039999999999999</v>
      </c>
      <c r="L376">
        <v>2.1970000000000001</v>
      </c>
      <c r="M376">
        <v>75782</v>
      </c>
      <c r="N376">
        <v>2.4689999999999999</v>
      </c>
      <c r="O376">
        <v>2.2560000000000002</v>
      </c>
    </row>
    <row r="377" spans="1:15" hidden="1" x14ac:dyDescent="0.3">
      <c r="A377" t="s">
        <v>365</v>
      </c>
      <c r="B377" t="s">
        <v>311</v>
      </c>
      <c r="C377" t="s">
        <v>310</v>
      </c>
      <c r="D377">
        <v>1103</v>
      </c>
      <c r="E377">
        <v>638</v>
      </c>
      <c r="F377">
        <v>1741</v>
      </c>
      <c r="G377">
        <v>967</v>
      </c>
      <c r="H377">
        <v>813</v>
      </c>
      <c r="I377">
        <v>1780</v>
      </c>
      <c r="J377">
        <v>77186</v>
      </c>
      <c r="K377">
        <v>2.2560000000000002</v>
      </c>
      <c r="L377">
        <v>2.306</v>
      </c>
      <c r="M377">
        <v>75035</v>
      </c>
      <c r="N377">
        <v>2.3199999999999998</v>
      </c>
      <c r="O377">
        <v>2.3719999999999999</v>
      </c>
    </row>
    <row r="378" spans="1:15" hidden="1" x14ac:dyDescent="0.3">
      <c r="A378" t="s">
        <v>312</v>
      </c>
      <c r="B378" t="s">
        <v>311</v>
      </c>
      <c r="C378" t="s">
        <v>310</v>
      </c>
      <c r="D378">
        <v>658</v>
      </c>
      <c r="E378">
        <v>1193</v>
      </c>
      <c r="F378">
        <v>1851</v>
      </c>
      <c r="G378">
        <v>631</v>
      </c>
      <c r="H378">
        <v>327</v>
      </c>
      <c r="I378">
        <v>958</v>
      </c>
      <c r="J378">
        <v>80911</v>
      </c>
      <c r="K378">
        <v>2.2879999999999998</v>
      </c>
      <c r="L378">
        <v>1.1839999999999999</v>
      </c>
      <c r="M378">
        <v>78966</v>
      </c>
      <c r="N378">
        <v>2.3439999999999999</v>
      </c>
      <c r="O378">
        <v>1.2130000000000001</v>
      </c>
    </row>
    <row r="379" spans="1:15" hidden="1" x14ac:dyDescent="0.3">
      <c r="A379" t="s">
        <v>364</v>
      </c>
      <c r="B379" t="s">
        <v>311</v>
      </c>
      <c r="C379" t="s">
        <v>310</v>
      </c>
      <c r="D379">
        <v>1381</v>
      </c>
      <c r="E379">
        <v>546</v>
      </c>
      <c r="F379">
        <v>1927</v>
      </c>
      <c r="G379">
        <v>1141</v>
      </c>
      <c r="H379">
        <v>1121</v>
      </c>
      <c r="I379">
        <v>2262</v>
      </c>
      <c r="J379">
        <v>76473</v>
      </c>
      <c r="K379">
        <v>2.52</v>
      </c>
      <c r="L379">
        <v>2.9580000000000002</v>
      </c>
      <c r="M379">
        <v>74335</v>
      </c>
      <c r="N379">
        <v>2.5920000000000001</v>
      </c>
      <c r="O379">
        <v>3.0430000000000001</v>
      </c>
    </row>
    <row r="380" spans="1:15" hidden="1" x14ac:dyDescent="0.3">
      <c r="A380" t="s">
        <v>213</v>
      </c>
      <c r="B380" t="s">
        <v>311</v>
      </c>
      <c r="C380" t="s">
        <v>310</v>
      </c>
      <c r="D380">
        <v>851</v>
      </c>
      <c r="E380">
        <v>1470</v>
      </c>
      <c r="F380">
        <v>2321</v>
      </c>
      <c r="G380">
        <v>780</v>
      </c>
      <c r="H380">
        <v>506</v>
      </c>
      <c r="I380">
        <v>1286</v>
      </c>
      <c r="J380">
        <v>79854</v>
      </c>
      <c r="K380">
        <v>2.907</v>
      </c>
      <c r="L380">
        <v>1.6099999999999999</v>
      </c>
      <c r="M380">
        <v>77953</v>
      </c>
      <c r="N380">
        <v>2.9769999999999999</v>
      </c>
      <c r="O380">
        <v>1.65</v>
      </c>
    </row>
    <row r="381" spans="1:15" hidden="1" x14ac:dyDescent="0.3">
      <c r="A381" t="s">
        <v>318</v>
      </c>
      <c r="B381" t="s">
        <v>311</v>
      </c>
      <c r="C381" t="s">
        <v>310</v>
      </c>
      <c r="D381">
        <v>272</v>
      </c>
      <c r="E381">
        <v>405</v>
      </c>
      <c r="F381">
        <v>677</v>
      </c>
      <c r="G381">
        <v>260</v>
      </c>
      <c r="H381">
        <v>158</v>
      </c>
      <c r="I381">
        <v>418</v>
      </c>
      <c r="J381">
        <v>81723</v>
      </c>
      <c r="K381">
        <v>0.82799999999999996</v>
      </c>
      <c r="L381">
        <v>0.51100000000000001</v>
      </c>
      <c r="M381">
        <v>79892</v>
      </c>
      <c r="N381">
        <v>0.84699999999999998</v>
      </c>
      <c r="O381">
        <v>0.52300000000000002</v>
      </c>
    </row>
    <row r="382" spans="1:15" hidden="1" x14ac:dyDescent="0.3">
      <c r="A382" t="s">
        <v>325</v>
      </c>
      <c r="B382" t="s">
        <v>311</v>
      </c>
      <c r="C382" t="s">
        <v>310</v>
      </c>
      <c r="D382"/>
      <c r="E382"/>
      <c r="F382">
        <v>1240</v>
      </c>
      <c r="G382"/>
      <c r="H382"/>
      <c r="I382"/>
      <c r="J382">
        <v>83624</v>
      </c>
      <c r="K382">
        <v>1.4830000000000001</v>
      </c>
      <c r="M382">
        <v>81779</v>
      </c>
      <c r="N382">
        <v>1.516</v>
      </c>
    </row>
    <row r="383" spans="1:15" hidden="1" x14ac:dyDescent="0.3">
      <c r="A383" t="s">
        <v>320</v>
      </c>
      <c r="B383" t="s">
        <v>311</v>
      </c>
      <c r="C383" t="s">
        <v>310</v>
      </c>
      <c r="D383"/>
      <c r="E383"/>
      <c r="F383">
        <v>1287</v>
      </c>
      <c r="G383"/>
      <c r="H383"/>
      <c r="I383"/>
      <c r="J383">
        <v>82591</v>
      </c>
      <c r="K383">
        <v>1.5580000000000001</v>
      </c>
      <c r="M383">
        <v>80932</v>
      </c>
      <c r="N383">
        <v>1.5899999999999999</v>
      </c>
    </row>
    <row r="384" spans="1:15" hidden="1" x14ac:dyDescent="0.3">
      <c r="A384" t="s">
        <v>326</v>
      </c>
      <c r="B384" t="s">
        <v>311</v>
      </c>
      <c r="D384">
        <v>229</v>
      </c>
      <c r="E384">
        <v>1062</v>
      </c>
      <c r="F384">
        <v>1291</v>
      </c>
      <c r="G384">
        <v>626</v>
      </c>
      <c r="H384">
        <v>164</v>
      </c>
      <c r="I384">
        <v>790</v>
      </c>
      <c r="J384">
        <v>86258</v>
      </c>
      <c r="K384">
        <v>1.4969999999999999</v>
      </c>
      <c r="L384">
        <v>0.91600000000000004</v>
      </c>
      <c r="M384">
        <v>81029</v>
      </c>
      <c r="N384">
        <v>1.593</v>
      </c>
      <c r="O384">
        <v>0.97499999999999998</v>
      </c>
    </row>
    <row r="385" spans="1:15" hidden="1" x14ac:dyDescent="0.3">
      <c r="A385" t="s">
        <v>326</v>
      </c>
      <c r="B385" t="s">
        <v>311</v>
      </c>
      <c r="D385">
        <v>229</v>
      </c>
      <c r="E385">
        <v>1062</v>
      </c>
      <c r="F385">
        <v>1291</v>
      </c>
      <c r="G385">
        <v>626</v>
      </c>
      <c r="H385">
        <v>164</v>
      </c>
      <c r="I385">
        <v>790</v>
      </c>
      <c r="J385">
        <v>84929</v>
      </c>
      <c r="K385">
        <v>1.52</v>
      </c>
      <c r="L385">
        <v>0.93</v>
      </c>
      <c r="M385">
        <v>81029</v>
      </c>
      <c r="N385">
        <v>1.593</v>
      </c>
      <c r="O385">
        <v>0.97499999999999998</v>
      </c>
    </row>
    <row r="386" spans="1:15" hidden="1" x14ac:dyDescent="0.3">
      <c r="A386" t="s">
        <v>328</v>
      </c>
      <c r="B386" t="s">
        <v>228</v>
      </c>
      <c r="D386">
        <v>70</v>
      </c>
      <c r="E386">
        <v>543</v>
      </c>
      <c r="F386">
        <v>613</v>
      </c>
      <c r="G386">
        <v>151</v>
      </c>
      <c r="H386">
        <v>71</v>
      </c>
      <c r="I386">
        <v>224</v>
      </c>
      <c r="J386">
        <v>49697</v>
      </c>
      <c r="K386">
        <v>1.2330000000000001</v>
      </c>
      <c r="L386">
        <v>0.45100000000000001</v>
      </c>
      <c r="M386">
        <v>42831.175905558739</v>
      </c>
      <c r="N386">
        <v>1.431</v>
      </c>
      <c r="O386">
        <v>0.52300000000000002</v>
      </c>
    </row>
    <row r="387" spans="1:15" hidden="1" x14ac:dyDescent="0.3">
      <c r="A387" t="s">
        <v>328</v>
      </c>
      <c r="B387" t="s">
        <v>224</v>
      </c>
      <c r="D387">
        <v>86</v>
      </c>
      <c r="E387">
        <v>628</v>
      </c>
      <c r="F387">
        <v>714</v>
      </c>
      <c r="G387">
        <v>149</v>
      </c>
      <c r="H387">
        <v>65</v>
      </c>
      <c r="I387">
        <v>227</v>
      </c>
      <c r="J387">
        <v>58435</v>
      </c>
      <c r="K387">
        <v>1.222</v>
      </c>
      <c r="L387">
        <v>0.38800000000000001</v>
      </c>
      <c r="M387">
        <v>54997.612762941659</v>
      </c>
      <c r="N387">
        <v>1.298</v>
      </c>
      <c r="O387">
        <v>0.41299999999999998</v>
      </c>
    </row>
    <row r="388" spans="1:15" hidden="1" x14ac:dyDescent="0.3">
      <c r="A388" t="s">
        <v>328</v>
      </c>
      <c r="B388" t="s">
        <v>255</v>
      </c>
      <c r="D388">
        <v>52</v>
      </c>
      <c r="E388">
        <v>415</v>
      </c>
      <c r="F388">
        <v>467</v>
      </c>
      <c r="G388">
        <v>114</v>
      </c>
      <c r="H388">
        <v>20</v>
      </c>
      <c r="I388">
        <v>138</v>
      </c>
      <c r="J388">
        <v>53502</v>
      </c>
      <c r="K388">
        <v>0.873</v>
      </c>
      <c r="L388">
        <v>0.25800000000000001</v>
      </c>
      <c r="M388">
        <v>50562.133092692835</v>
      </c>
      <c r="N388">
        <v>0.92400000000000004</v>
      </c>
      <c r="O388">
        <v>0.27300000000000002</v>
      </c>
    </row>
    <row r="389" spans="1:15" hidden="1" x14ac:dyDescent="0.3">
      <c r="A389" t="s">
        <v>328</v>
      </c>
      <c r="B389" t="s">
        <v>300</v>
      </c>
      <c r="D389">
        <v>20</v>
      </c>
      <c r="E389">
        <v>162</v>
      </c>
      <c r="F389">
        <v>182</v>
      </c>
      <c r="G389">
        <v>42</v>
      </c>
      <c r="H389">
        <v>30</v>
      </c>
      <c r="I389">
        <v>72</v>
      </c>
      <c r="J389">
        <v>11667</v>
      </c>
      <c r="K389">
        <v>1.56</v>
      </c>
      <c r="L389">
        <v>0.61699999999999999</v>
      </c>
      <c r="M389">
        <v>10763.196157324961</v>
      </c>
      <c r="N389">
        <v>1.6909999999999998</v>
      </c>
      <c r="O389">
        <v>0.66900000000000004</v>
      </c>
    </row>
    <row r="390" spans="1:15" hidden="1" x14ac:dyDescent="0.3">
      <c r="A390" t="s">
        <v>328</v>
      </c>
      <c r="B390" t="s">
        <v>273</v>
      </c>
      <c r="D390">
        <v>93</v>
      </c>
      <c r="E390">
        <v>1632</v>
      </c>
      <c r="F390">
        <v>1725</v>
      </c>
      <c r="G390">
        <v>156</v>
      </c>
      <c r="H390">
        <v>111</v>
      </c>
      <c r="I390">
        <v>270</v>
      </c>
      <c r="J390">
        <v>124812</v>
      </c>
      <c r="K390">
        <v>1.3820000000000001</v>
      </c>
      <c r="L390">
        <v>0.216</v>
      </c>
      <c r="M390">
        <v>113906.20821736612</v>
      </c>
      <c r="N390">
        <v>1.514</v>
      </c>
      <c r="O390">
        <v>0.23699999999999999</v>
      </c>
    </row>
    <row r="391" spans="1:15" hidden="1" x14ac:dyDescent="0.3">
      <c r="A391" t="s">
        <v>328</v>
      </c>
      <c r="B391" t="s">
        <v>296</v>
      </c>
      <c r="D391">
        <v>290</v>
      </c>
      <c r="E391">
        <v>789</v>
      </c>
      <c r="F391">
        <v>1079</v>
      </c>
      <c r="G391">
        <v>514</v>
      </c>
      <c r="H391">
        <v>148</v>
      </c>
      <c r="I391">
        <v>700</v>
      </c>
      <c r="J391">
        <v>91736</v>
      </c>
      <c r="K391">
        <v>1.1759999999999999</v>
      </c>
      <c r="L391">
        <v>0.76300000000000001</v>
      </c>
      <c r="M391">
        <v>87749.395499301856</v>
      </c>
      <c r="N391">
        <v>1.23</v>
      </c>
      <c r="O391">
        <v>0.79800000000000004</v>
      </c>
    </row>
    <row r="392" spans="1:15" hidden="1" x14ac:dyDescent="0.3">
      <c r="A392" t="s">
        <v>328</v>
      </c>
      <c r="B392" t="s">
        <v>283</v>
      </c>
      <c r="D392">
        <v>5</v>
      </c>
      <c r="E392">
        <v>100</v>
      </c>
      <c r="F392">
        <v>105</v>
      </c>
      <c r="G392">
        <v>-14</v>
      </c>
      <c r="H392">
        <v>18</v>
      </c>
      <c r="I392">
        <v>5</v>
      </c>
      <c r="J392">
        <v>15254</v>
      </c>
      <c r="K392">
        <v>0.68799999999999994</v>
      </c>
      <c r="L392">
        <v>3.3000000000000002E-2</v>
      </c>
      <c r="M392">
        <v>12887.857898960023</v>
      </c>
      <c r="N392">
        <v>0.81499999999999995</v>
      </c>
      <c r="O392">
        <v>3.9E-2</v>
      </c>
    </row>
    <row r="393" spans="1:15" hidden="1" x14ac:dyDescent="0.3">
      <c r="A393" t="s">
        <v>328</v>
      </c>
      <c r="B393" t="s">
        <v>234</v>
      </c>
      <c r="D393">
        <v>203</v>
      </c>
      <c r="E393">
        <v>2451</v>
      </c>
      <c r="F393">
        <v>2654</v>
      </c>
      <c r="G393">
        <v>222</v>
      </c>
      <c r="H393">
        <v>216</v>
      </c>
      <c r="I393">
        <v>471</v>
      </c>
      <c r="J393">
        <v>266309</v>
      </c>
      <c r="K393">
        <v>0.997</v>
      </c>
      <c r="L393">
        <v>0.17699999999999999</v>
      </c>
      <c r="M393">
        <v>244791.4683634642</v>
      </c>
      <c r="N393">
        <v>1.0840000000000001</v>
      </c>
      <c r="O393">
        <v>0.192</v>
      </c>
    </row>
    <row r="394" spans="1:15" hidden="1" x14ac:dyDescent="0.3">
      <c r="A394" t="s">
        <v>328</v>
      </c>
      <c r="B394" t="s">
        <v>279</v>
      </c>
      <c r="D394">
        <v>59</v>
      </c>
      <c r="E394">
        <v>318</v>
      </c>
      <c r="F394">
        <v>377</v>
      </c>
      <c r="G394">
        <v>103</v>
      </c>
      <c r="H394">
        <v>66</v>
      </c>
      <c r="I394">
        <v>172</v>
      </c>
      <c r="J394">
        <v>44858</v>
      </c>
      <c r="K394">
        <v>0.84</v>
      </c>
      <c r="L394">
        <v>0.38300000000000001</v>
      </c>
      <c r="M394">
        <v>42739.113676722816</v>
      </c>
      <c r="N394">
        <v>0.88200000000000001</v>
      </c>
      <c r="O394">
        <v>0.40200000000000002</v>
      </c>
    </row>
    <row r="395" spans="1:15" hidden="1" x14ac:dyDescent="0.3">
      <c r="A395" t="s">
        <v>328</v>
      </c>
      <c r="B395" t="s">
        <v>244</v>
      </c>
      <c r="D395">
        <v>178</v>
      </c>
      <c r="E395">
        <v>712</v>
      </c>
      <c r="F395">
        <v>890</v>
      </c>
      <c r="G395">
        <v>381</v>
      </c>
      <c r="H395">
        <v>114</v>
      </c>
      <c r="I395">
        <v>540</v>
      </c>
      <c r="J395">
        <v>76535</v>
      </c>
      <c r="K395">
        <v>1.163</v>
      </c>
      <c r="L395">
        <v>0.70599999999999996</v>
      </c>
      <c r="M395">
        <v>70971.815561576936</v>
      </c>
      <c r="N395">
        <v>1.254</v>
      </c>
      <c r="O395">
        <v>0.76100000000000001</v>
      </c>
    </row>
    <row r="396" spans="1:15" hidden="1" x14ac:dyDescent="0.3">
      <c r="A396" t="s">
        <v>328</v>
      </c>
      <c r="B396" t="s">
        <v>267</v>
      </c>
      <c r="D396">
        <v>328</v>
      </c>
      <c r="E396">
        <v>1667</v>
      </c>
      <c r="F396">
        <v>1995</v>
      </c>
      <c r="G396">
        <v>524</v>
      </c>
      <c r="H396">
        <v>251</v>
      </c>
      <c r="I396">
        <v>822</v>
      </c>
      <c r="J396">
        <v>183686</v>
      </c>
      <c r="K396">
        <v>1.0860000000000001</v>
      </c>
      <c r="L396">
        <v>0.44800000000000001</v>
      </c>
      <c r="M396">
        <v>171913.40662763728</v>
      </c>
      <c r="N396">
        <v>1.1599999999999999</v>
      </c>
      <c r="O396">
        <v>0.47799999999999998</v>
      </c>
    </row>
    <row r="397" spans="1:15" hidden="1" x14ac:dyDescent="0.3">
      <c r="A397" t="s">
        <v>328</v>
      </c>
      <c r="B397" t="s">
        <v>253</v>
      </c>
      <c r="D397">
        <v>113</v>
      </c>
      <c r="E397">
        <v>675</v>
      </c>
      <c r="F397">
        <v>788</v>
      </c>
      <c r="G397">
        <v>199</v>
      </c>
      <c r="H397">
        <v>81</v>
      </c>
      <c r="I397">
        <v>313</v>
      </c>
      <c r="J397">
        <v>48273</v>
      </c>
      <c r="K397">
        <v>1.6320000000000001</v>
      </c>
      <c r="L397">
        <v>0.64800000000000002</v>
      </c>
      <c r="M397">
        <v>46742.806549922221</v>
      </c>
      <c r="N397">
        <v>1.6859999999999999</v>
      </c>
      <c r="O397">
        <v>0.67</v>
      </c>
    </row>
    <row r="398" spans="1:15" hidden="1" x14ac:dyDescent="0.3">
      <c r="A398" t="s">
        <v>328</v>
      </c>
      <c r="B398" t="s">
        <v>259</v>
      </c>
      <c r="D398">
        <v>118</v>
      </c>
      <c r="E398">
        <v>530</v>
      </c>
      <c r="F398">
        <v>648</v>
      </c>
      <c r="G398">
        <v>244</v>
      </c>
      <c r="H398">
        <v>39</v>
      </c>
      <c r="I398">
        <v>294</v>
      </c>
      <c r="J398">
        <v>41063</v>
      </c>
      <c r="K398">
        <v>1.5779999999999998</v>
      </c>
      <c r="L398">
        <v>0.71599999999999997</v>
      </c>
      <c r="M398">
        <v>40540.754458151241</v>
      </c>
      <c r="N398">
        <v>1.5979999999999999</v>
      </c>
      <c r="O398">
        <v>0.72499999999999998</v>
      </c>
    </row>
    <row r="399" spans="1:15" hidden="1" x14ac:dyDescent="0.3">
      <c r="A399" t="s">
        <v>328</v>
      </c>
      <c r="B399" t="s">
        <v>298</v>
      </c>
      <c r="D399">
        <v>122</v>
      </c>
      <c r="E399">
        <v>586</v>
      </c>
      <c r="F399">
        <v>708</v>
      </c>
      <c r="G399">
        <v>184</v>
      </c>
      <c r="H399">
        <v>95</v>
      </c>
      <c r="I399">
        <v>327</v>
      </c>
      <c r="J399">
        <v>60064</v>
      </c>
      <c r="K399">
        <v>1.179</v>
      </c>
      <c r="L399">
        <v>0.54400000000000004</v>
      </c>
      <c r="M399">
        <v>56084.6598177981</v>
      </c>
      <c r="N399">
        <v>1.262</v>
      </c>
      <c r="O399">
        <v>0.58299999999999996</v>
      </c>
    </row>
    <row r="400" spans="1:15" hidden="1" x14ac:dyDescent="0.3">
      <c r="A400" t="s">
        <v>328</v>
      </c>
      <c r="B400" t="s">
        <v>281</v>
      </c>
      <c r="D400">
        <v>48</v>
      </c>
      <c r="E400">
        <v>488</v>
      </c>
      <c r="F400">
        <v>536</v>
      </c>
      <c r="G400">
        <v>85</v>
      </c>
      <c r="H400">
        <v>37</v>
      </c>
      <c r="I400">
        <v>124</v>
      </c>
      <c r="J400">
        <v>47471</v>
      </c>
      <c r="K400">
        <v>1.129</v>
      </c>
      <c r="L400">
        <v>0.26100000000000001</v>
      </c>
      <c r="M400">
        <v>44291.343786430371</v>
      </c>
      <c r="N400">
        <v>1.21</v>
      </c>
      <c r="O400">
        <v>0.28000000000000003</v>
      </c>
    </row>
    <row r="401" spans="1:15" hidden="1" x14ac:dyDescent="0.3">
      <c r="A401" t="s">
        <v>328</v>
      </c>
      <c r="B401" t="s">
        <v>240</v>
      </c>
      <c r="D401">
        <v>29</v>
      </c>
      <c r="E401">
        <v>331</v>
      </c>
      <c r="F401">
        <v>360</v>
      </c>
      <c r="G401">
        <v>32</v>
      </c>
      <c r="H401">
        <v>16</v>
      </c>
      <c r="I401">
        <v>53</v>
      </c>
      <c r="J401">
        <v>25295</v>
      </c>
      <c r="K401">
        <v>1.423</v>
      </c>
      <c r="L401">
        <v>0.21</v>
      </c>
      <c r="M401">
        <v>24437.594766831102</v>
      </c>
      <c r="N401">
        <v>1.4729999999999999</v>
      </c>
      <c r="O401">
        <v>0.217</v>
      </c>
    </row>
    <row r="402" spans="1:15" hidden="1" x14ac:dyDescent="0.3">
      <c r="A402" t="s">
        <v>328</v>
      </c>
      <c r="B402" t="s">
        <v>289</v>
      </c>
      <c r="D402">
        <v>183</v>
      </c>
      <c r="E402">
        <v>1674</v>
      </c>
      <c r="F402">
        <v>1857</v>
      </c>
      <c r="G402">
        <v>441</v>
      </c>
      <c r="H402">
        <v>99</v>
      </c>
      <c r="I402">
        <v>629</v>
      </c>
      <c r="J402">
        <v>161228</v>
      </c>
      <c r="K402">
        <v>1.1519999999999999</v>
      </c>
      <c r="L402">
        <v>0.39</v>
      </c>
      <c r="M402">
        <v>153004.37421296784</v>
      </c>
      <c r="N402">
        <v>1.214</v>
      </c>
      <c r="O402">
        <v>0.41099999999999998</v>
      </c>
    </row>
    <row r="403" spans="1:15" hidden="1" x14ac:dyDescent="0.3">
      <c r="A403" t="s">
        <v>328</v>
      </c>
      <c r="B403" t="s">
        <v>307</v>
      </c>
      <c r="D403">
        <v>86</v>
      </c>
      <c r="E403">
        <v>477</v>
      </c>
      <c r="F403">
        <v>563</v>
      </c>
      <c r="G403">
        <v>172</v>
      </c>
      <c r="H403">
        <v>50</v>
      </c>
      <c r="I403">
        <v>232</v>
      </c>
      <c r="J403">
        <v>43214</v>
      </c>
      <c r="K403">
        <v>1.3029999999999999</v>
      </c>
      <c r="L403">
        <v>0.53700000000000003</v>
      </c>
      <c r="M403">
        <v>41103.45535551112</v>
      </c>
      <c r="N403">
        <v>1.37</v>
      </c>
      <c r="O403">
        <v>0.56399999999999995</v>
      </c>
    </row>
    <row r="404" spans="1:15" hidden="1" x14ac:dyDescent="0.3">
      <c r="A404" t="s">
        <v>328</v>
      </c>
      <c r="B404" t="s">
        <v>294</v>
      </c>
      <c r="D404">
        <v>58</v>
      </c>
      <c r="E404">
        <v>528</v>
      </c>
      <c r="F404">
        <v>586</v>
      </c>
      <c r="G404">
        <v>118</v>
      </c>
      <c r="H404">
        <v>29</v>
      </c>
      <c r="I404">
        <v>167</v>
      </c>
      <c r="J404">
        <v>76762</v>
      </c>
      <c r="K404">
        <v>0.76300000000000001</v>
      </c>
      <c r="L404">
        <v>0.218</v>
      </c>
      <c r="M404">
        <v>71441.31977787464</v>
      </c>
      <c r="N404">
        <v>0.82</v>
      </c>
      <c r="O404">
        <v>0.23400000000000001</v>
      </c>
    </row>
    <row r="405" spans="1:15" hidden="1" x14ac:dyDescent="0.3">
      <c r="A405" t="s">
        <v>328</v>
      </c>
      <c r="B405" t="s">
        <v>302</v>
      </c>
      <c r="D405">
        <v>77</v>
      </c>
      <c r="E405">
        <v>523</v>
      </c>
      <c r="F405">
        <v>600</v>
      </c>
      <c r="G405">
        <v>147</v>
      </c>
      <c r="H405">
        <v>47</v>
      </c>
      <c r="I405">
        <v>209</v>
      </c>
      <c r="J405">
        <v>56953</v>
      </c>
      <c r="K405">
        <v>1.054</v>
      </c>
      <c r="L405">
        <v>0.36699999999999999</v>
      </c>
      <c r="M405">
        <v>53129.170261244602</v>
      </c>
      <c r="N405">
        <v>1.129</v>
      </c>
      <c r="O405">
        <v>0.39300000000000002</v>
      </c>
    </row>
    <row r="406" spans="1:15" hidden="1" x14ac:dyDescent="0.3">
      <c r="A406" t="s">
        <v>328</v>
      </c>
      <c r="B406" t="s">
        <v>292</v>
      </c>
      <c r="D406">
        <v>16</v>
      </c>
      <c r="E406">
        <v>165</v>
      </c>
      <c r="F406">
        <v>181</v>
      </c>
      <c r="G406">
        <v>42</v>
      </c>
      <c r="H406">
        <v>8</v>
      </c>
      <c r="I406">
        <v>50</v>
      </c>
      <c r="J406">
        <v>11833</v>
      </c>
      <c r="K406">
        <v>1.53</v>
      </c>
      <c r="L406">
        <v>0.42299999999999999</v>
      </c>
      <c r="M406">
        <v>10886.945853525613</v>
      </c>
      <c r="N406">
        <v>1.663</v>
      </c>
      <c r="O406">
        <v>0.45900000000000002</v>
      </c>
    </row>
    <row r="407" spans="1:15" hidden="1" x14ac:dyDescent="0.3">
      <c r="A407" t="s">
        <v>328</v>
      </c>
      <c r="B407" t="s">
        <v>220</v>
      </c>
      <c r="D407">
        <v>84</v>
      </c>
      <c r="E407">
        <v>891</v>
      </c>
      <c r="F407">
        <v>975</v>
      </c>
      <c r="G407">
        <v>147</v>
      </c>
      <c r="H407">
        <v>94</v>
      </c>
      <c r="I407">
        <v>246</v>
      </c>
      <c r="J407">
        <v>123367</v>
      </c>
      <c r="K407">
        <v>0.79</v>
      </c>
      <c r="L407">
        <v>0.19900000000000001</v>
      </c>
      <c r="M407">
        <v>117418.94062026255</v>
      </c>
      <c r="N407">
        <v>0.83</v>
      </c>
      <c r="O407">
        <v>0.21</v>
      </c>
    </row>
    <row r="408" spans="1:15" hidden="1" x14ac:dyDescent="0.3">
      <c r="A408" t="s">
        <v>328</v>
      </c>
      <c r="B408" t="s">
        <v>270</v>
      </c>
      <c r="D408">
        <v>509</v>
      </c>
      <c r="E408">
        <v>4589</v>
      </c>
      <c r="F408">
        <v>5098</v>
      </c>
      <c r="G408">
        <v>898</v>
      </c>
      <c r="H408">
        <v>281</v>
      </c>
      <c r="I408">
        <v>1326</v>
      </c>
      <c r="J408">
        <v>327869</v>
      </c>
      <c r="K408">
        <v>1.5550000000000002</v>
      </c>
      <c r="L408">
        <v>0.40400000000000003</v>
      </c>
      <c r="M408">
        <v>298250.61170251353</v>
      </c>
      <c r="N408">
        <v>1.7090000000000001</v>
      </c>
      <c r="O408">
        <v>0.44500000000000001</v>
      </c>
    </row>
    <row r="409" spans="1:15" hidden="1" x14ac:dyDescent="0.3">
      <c r="A409" t="s">
        <v>328</v>
      </c>
      <c r="B409" t="s">
        <v>249</v>
      </c>
      <c r="D409">
        <v>166</v>
      </c>
      <c r="E409">
        <v>747</v>
      </c>
      <c r="F409">
        <v>913</v>
      </c>
      <c r="G409">
        <v>323</v>
      </c>
      <c r="H409">
        <v>68</v>
      </c>
      <c r="I409">
        <v>421</v>
      </c>
      <c r="J409">
        <v>60045</v>
      </c>
      <c r="K409">
        <v>1.5209999999999999</v>
      </c>
      <c r="L409">
        <v>0.70099999999999996</v>
      </c>
      <c r="M409">
        <v>56161.646355943558</v>
      </c>
      <c r="N409">
        <v>1.6259999999999999</v>
      </c>
      <c r="O409">
        <v>0.75</v>
      </c>
    </row>
    <row r="410" spans="1:15" hidden="1" x14ac:dyDescent="0.3">
      <c r="A410" t="s">
        <v>328</v>
      </c>
      <c r="B410" t="s">
        <v>277</v>
      </c>
      <c r="D410">
        <v>131</v>
      </c>
      <c r="E410">
        <v>309</v>
      </c>
      <c r="F410">
        <v>440</v>
      </c>
      <c r="G410">
        <v>261</v>
      </c>
      <c r="H410">
        <v>46</v>
      </c>
      <c r="I410">
        <v>316</v>
      </c>
      <c r="J410">
        <v>39926</v>
      </c>
      <c r="K410">
        <v>1.1020000000000001</v>
      </c>
      <c r="L410">
        <v>0.79100000000000004</v>
      </c>
      <c r="M410">
        <v>37614.524402442781</v>
      </c>
      <c r="N410">
        <v>1.17</v>
      </c>
      <c r="O410">
        <v>0.84</v>
      </c>
    </row>
    <row r="411" spans="1:15" hidden="1" x14ac:dyDescent="0.3">
      <c r="A411" t="s">
        <v>328</v>
      </c>
      <c r="B411" t="s">
        <v>287</v>
      </c>
      <c r="D411">
        <v>183</v>
      </c>
      <c r="E411">
        <v>765</v>
      </c>
      <c r="F411">
        <v>948</v>
      </c>
      <c r="G411">
        <v>263</v>
      </c>
      <c r="H411">
        <v>154</v>
      </c>
      <c r="I411">
        <v>456</v>
      </c>
      <c r="J411">
        <v>70256</v>
      </c>
      <c r="K411">
        <v>1.349</v>
      </c>
      <c r="L411">
        <v>0.64900000000000002</v>
      </c>
      <c r="M411">
        <v>65107.059422716513</v>
      </c>
      <c r="N411">
        <v>1.456</v>
      </c>
      <c r="O411">
        <v>0.7</v>
      </c>
    </row>
    <row r="412" spans="1:15" hidden="1" x14ac:dyDescent="0.3">
      <c r="A412" t="s">
        <v>328</v>
      </c>
      <c r="B412" t="s">
        <v>263</v>
      </c>
      <c r="D412">
        <v>158</v>
      </c>
      <c r="E412">
        <v>861</v>
      </c>
      <c r="F412">
        <v>1019</v>
      </c>
      <c r="G412">
        <v>315</v>
      </c>
      <c r="H412">
        <v>93</v>
      </c>
      <c r="I412">
        <v>465</v>
      </c>
      <c r="J412">
        <v>76942</v>
      </c>
      <c r="K412">
        <v>1.3240000000000001</v>
      </c>
      <c r="L412">
        <v>0.60399999999999998</v>
      </c>
      <c r="M412">
        <v>73237.002643969041</v>
      </c>
      <c r="N412">
        <v>1.391</v>
      </c>
      <c r="O412">
        <v>0.63500000000000001</v>
      </c>
    </row>
    <row r="413" spans="1:15" hidden="1" x14ac:dyDescent="0.3">
      <c r="A413" t="s">
        <v>328</v>
      </c>
      <c r="B413" t="s">
        <v>247</v>
      </c>
      <c r="D413">
        <v>92</v>
      </c>
      <c r="E413">
        <v>1702</v>
      </c>
      <c r="F413">
        <v>1794</v>
      </c>
      <c r="G413">
        <v>176</v>
      </c>
      <c r="H413">
        <v>80</v>
      </c>
      <c r="I413">
        <v>264</v>
      </c>
      <c r="J413">
        <v>76780</v>
      </c>
      <c r="K413">
        <v>2.3370000000000002</v>
      </c>
      <c r="L413">
        <v>0.34399999999999997</v>
      </c>
      <c r="M413">
        <v>71097.765743088923</v>
      </c>
      <c r="N413">
        <v>2.5230000000000001</v>
      </c>
      <c r="O413">
        <v>0.371</v>
      </c>
    </row>
    <row r="414" spans="1:15" hidden="1" x14ac:dyDescent="0.3">
      <c r="A414" t="s">
        <v>328</v>
      </c>
      <c r="B414" t="s">
        <v>304</v>
      </c>
      <c r="D414">
        <v>270</v>
      </c>
      <c r="E414">
        <v>1683</v>
      </c>
      <c r="F414">
        <v>1953</v>
      </c>
      <c r="G414">
        <v>579</v>
      </c>
      <c r="H414">
        <v>157</v>
      </c>
      <c r="I414">
        <v>846</v>
      </c>
      <c r="J414">
        <v>159662</v>
      </c>
      <c r="K414">
        <v>1.2230000000000001</v>
      </c>
      <c r="L414">
        <v>0.53</v>
      </c>
      <c r="M414">
        <v>150643.15462185504</v>
      </c>
      <c r="N414">
        <v>1.296</v>
      </c>
      <c r="O414">
        <v>0.56200000000000006</v>
      </c>
    </row>
    <row r="415" spans="1:15" hidden="1" x14ac:dyDescent="0.3">
      <c r="A415" t="s">
        <v>328</v>
      </c>
      <c r="B415" t="s">
        <v>309</v>
      </c>
      <c r="D415">
        <v>104</v>
      </c>
      <c r="E415">
        <v>678</v>
      </c>
      <c r="F415">
        <v>782</v>
      </c>
      <c r="G415">
        <v>218</v>
      </c>
      <c r="H415">
        <v>95</v>
      </c>
      <c r="I415">
        <v>330</v>
      </c>
      <c r="J415">
        <v>46198</v>
      </c>
      <c r="K415">
        <v>1.6930000000000001</v>
      </c>
      <c r="L415">
        <v>0.71399999999999997</v>
      </c>
      <c r="M415">
        <v>43050.124248335145</v>
      </c>
      <c r="N415">
        <v>1.8159999999999998</v>
      </c>
      <c r="O415">
        <v>0.76700000000000002</v>
      </c>
    </row>
    <row r="416" spans="1:15" hidden="1" x14ac:dyDescent="0.3">
      <c r="A416" t="s">
        <v>328</v>
      </c>
      <c r="B416" t="s">
        <v>215</v>
      </c>
      <c r="D416">
        <v>106</v>
      </c>
      <c r="E416">
        <v>1193</v>
      </c>
      <c r="F416">
        <v>1299</v>
      </c>
      <c r="G416">
        <v>216</v>
      </c>
      <c r="H416">
        <v>95</v>
      </c>
      <c r="I416">
        <v>320</v>
      </c>
      <c r="J416">
        <v>125828</v>
      </c>
      <c r="K416">
        <v>1.032</v>
      </c>
      <c r="L416">
        <v>0.254</v>
      </c>
      <c r="M416">
        <v>112386.7935874821</v>
      </c>
      <c r="N416">
        <v>1.1559999999999999</v>
      </c>
      <c r="O416">
        <v>0.28499999999999998</v>
      </c>
    </row>
    <row r="417" spans="1:15" hidden="1" x14ac:dyDescent="0.3">
      <c r="A417" t="s">
        <v>328</v>
      </c>
      <c r="B417" t="s">
        <v>311</v>
      </c>
      <c r="D417">
        <v>182</v>
      </c>
      <c r="E417">
        <v>988</v>
      </c>
      <c r="F417">
        <v>1170</v>
      </c>
      <c r="G417">
        <v>468</v>
      </c>
      <c r="H417">
        <v>133</v>
      </c>
      <c r="I417">
        <v>607</v>
      </c>
      <c r="J417">
        <v>85453</v>
      </c>
      <c r="K417">
        <v>1.369</v>
      </c>
      <c r="L417">
        <v>0.71</v>
      </c>
      <c r="M417">
        <v>81644.803218683475</v>
      </c>
      <c r="N417">
        <v>1.4330000000000001</v>
      </c>
      <c r="O417">
        <v>0.74299999999999999</v>
      </c>
    </row>
    <row r="418" spans="1:15" x14ac:dyDescent="0.3">
      <c r="A418" t="s">
        <v>412</v>
      </c>
      <c r="B418" t="s">
        <v>224</v>
      </c>
      <c r="D418">
        <v>60</v>
      </c>
      <c r="E418">
        <v>332</v>
      </c>
      <c r="F418">
        <v>392</v>
      </c>
      <c r="G418"/>
      <c r="H418"/>
      <c r="I418">
        <v>182</v>
      </c>
      <c r="J418">
        <v>58769</v>
      </c>
      <c r="K418">
        <v>0.66700000000000004</v>
      </c>
      <c r="L418">
        <v>0.31</v>
      </c>
      <c r="M418">
        <v>55268</v>
      </c>
      <c r="N418">
        <v>0.70899999999999996</v>
      </c>
      <c r="O418">
        <v>0.32900000000000001</v>
      </c>
    </row>
    <row r="419" spans="1:15" x14ac:dyDescent="0.3">
      <c r="A419" t="s">
        <v>412</v>
      </c>
      <c r="B419" t="s">
        <v>228</v>
      </c>
      <c r="D419">
        <v>77</v>
      </c>
      <c r="E419">
        <v>311</v>
      </c>
      <c r="F419">
        <v>388</v>
      </c>
      <c r="G419"/>
      <c r="H419"/>
      <c r="I419">
        <v>256</v>
      </c>
      <c r="J419">
        <v>49917</v>
      </c>
      <c r="K419">
        <v>0.77700000000000002</v>
      </c>
      <c r="L419">
        <v>0.51300000000000001</v>
      </c>
      <c r="M419">
        <v>42778</v>
      </c>
      <c r="N419">
        <v>0.90700000000000003</v>
      </c>
      <c r="O419">
        <v>0.59799999999999998</v>
      </c>
    </row>
    <row r="420" spans="1:15" x14ac:dyDescent="0.3">
      <c r="A420" t="s">
        <v>412</v>
      </c>
      <c r="B420" t="s">
        <v>220</v>
      </c>
      <c r="D420">
        <v>65</v>
      </c>
      <c r="E420">
        <v>500</v>
      </c>
      <c r="F420">
        <v>565</v>
      </c>
      <c r="G420"/>
      <c r="H420"/>
      <c r="I420">
        <v>186</v>
      </c>
      <c r="J420">
        <v>124154</v>
      </c>
      <c r="K420">
        <v>0.45500000000000002</v>
      </c>
      <c r="L420">
        <v>0.15</v>
      </c>
      <c r="M420">
        <v>118212</v>
      </c>
      <c r="N420">
        <v>0.47799999999999998</v>
      </c>
      <c r="O420">
        <v>0.157</v>
      </c>
    </row>
    <row r="421" spans="1:15" x14ac:dyDescent="0.3">
      <c r="A421" t="s">
        <v>412</v>
      </c>
      <c r="B421" t="s">
        <v>292</v>
      </c>
      <c r="D421">
        <v>21</v>
      </c>
      <c r="E421">
        <v>128</v>
      </c>
      <c r="F421">
        <v>149</v>
      </c>
      <c r="G421"/>
      <c r="H421"/>
      <c r="I421">
        <v>72</v>
      </c>
      <c r="J421">
        <v>11896</v>
      </c>
      <c r="K421">
        <v>1.2530000000000001</v>
      </c>
      <c r="L421">
        <v>0.60499999999999998</v>
      </c>
      <c r="M421">
        <v>10973</v>
      </c>
      <c r="N421">
        <v>1.3580000000000001</v>
      </c>
      <c r="O421">
        <v>0.65600000000000003</v>
      </c>
    </row>
    <row r="422" spans="1:15" x14ac:dyDescent="0.3">
      <c r="A422" t="s">
        <v>412</v>
      </c>
      <c r="B422" t="s">
        <v>294</v>
      </c>
      <c r="D422">
        <v>41</v>
      </c>
      <c r="E422">
        <v>442</v>
      </c>
      <c r="F422">
        <v>483</v>
      </c>
      <c r="G422"/>
      <c r="H422"/>
      <c r="I422">
        <v>128</v>
      </c>
      <c r="J422">
        <v>77337</v>
      </c>
      <c r="K422">
        <v>0.625</v>
      </c>
      <c r="L422">
        <v>0.16600000000000001</v>
      </c>
      <c r="M422">
        <v>72120</v>
      </c>
      <c r="N422">
        <v>0.67</v>
      </c>
      <c r="O422">
        <v>0.17699999999999999</v>
      </c>
    </row>
    <row r="423" spans="1:15" x14ac:dyDescent="0.3">
      <c r="A423" t="s">
        <v>412</v>
      </c>
      <c r="B423" t="s">
        <v>302</v>
      </c>
      <c r="D423">
        <v>68</v>
      </c>
      <c r="E423">
        <v>372</v>
      </c>
      <c r="F423">
        <v>440</v>
      </c>
      <c r="G423"/>
      <c r="H423"/>
      <c r="I423">
        <v>191</v>
      </c>
      <c r="J423">
        <v>57312</v>
      </c>
      <c r="K423">
        <v>0.76800000000000002</v>
      </c>
      <c r="L423">
        <v>0.33300000000000002</v>
      </c>
      <c r="M423">
        <v>53403</v>
      </c>
      <c r="N423">
        <v>0.82399999999999995</v>
      </c>
      <c r="O423">
        <v>0.35799999999999998</v>
      </c>
    </row>
    <row r="424" spans="1:15" x14ac:dyDescent="0.3">
      <c r="A424" t="s">
        <v>412</v>
      </c>
      <c r="B424" t="s">
        <v>234</v>
      </c>
      <c r="D424">
        <v>187</v>
      </c>
      <c r="E424">
        <v>1050</v>
      </c>
      <c r="F424">
        <v>1237</v>
      </c>
      <c r="G424"/>
      <c r="H424"/>
      <c r="I424">
        <v>473</v>
      </c>
      <c r="J424">
        <v>269306</v>
      </c>
      <c r="K424">
        <v>0.45900000000000002</v>
      </c>
      <c r="L424">
        <v>0.17599999999999999</v>
      </c>
      <c r="M424">
        <v>247435</v>
      </c>
      <c r="N424">
        <v>0.5</v>
      </c>
      <c r="O424">
        <v>0.191</v>
      </c>
    </row>
    <row r="425" spans="1:15" x14ac:dyDescent="0.3">
      <c r="A425" t="s">
        <v>412</v>
      </c>
      <c r="B425" t="s">
        <v>244</v>
      </c>
      <c r="D425">
        <v>223</v>
      </c>
      <c r="E425">
        <v>465</v>
      </c>
      <c r="F425">
        <v>688</v>
      </c>
      <c r="G425"/>
      <c r="H425"/>
      <c r="I425">
        <v>780</v>
      </c>
      <c r="J425">
        <v>76696</v>
      </c>
      <c r="K425">
        <v>0.89700000000000002</v>
      </c>
      <c r="L425">
        <v>1.0169999999999999</v>
      </c>
      <c r="M425">
        <v>71326</v>
      </c>
      <c r="N425">
        <v>0.96499999999999997</v>
      </c>
      <c r="O425">
        <v>1.0940000000000001</v>
      </c>
    </row>
    <row r="426" spans="1:15" x14ac:dyDescent="0.3">
      <c r="A426" t="s">
        <v>412</v>
      </c>
      <c r="B426" t="s">
        <v>253</v>
      </c>
      <c r="D426">
        <v>106</v>
      </c>
      <c r="E426">
        <v>263</v>
      </c>
      <c r="F426">
        <v>369</v>
      </c>
      <c r="G426"/>
      <c r="H426"/>
      <c r="I426">
        <v>350</v>
      </c>
      <c r="J426">
        <v>48397</v>
      </c>
      <c r="K426">
        <v>0.76200000000000001</v>
      </c>
      <c r="L426">
        <v>0.72299999999999998</v>
      </c>
      <c r="M426">
        <v>46931</v>
      </c>
      <c r="N426">
        <v>0.78600000000000003</v>
      </c>
      <c r="O426">
        <v>0.746</v>
      </c>
    </row>
    <row r="427" spans="1:15" x14ac:dyDescent="0.3">
      <c r="A427" t="s">
        <v>412</v>
      </c>
      <c r="B427" t="s">
        <v>267</v>
      </c>
      <c r="D427">
        <v>301</v>
      </c>
      <c r="E427">
        <v>914</v>
      </c>
      <c r="F427">
        <v>1215</v>
      </c>
      <c r="G427"/>
      <c r="H427"/>
      <c r="I427">
        <v>1025</v>
      </c>
      <c r="J427">
        <v>184628</v>
      </c>
      <c r="K427">
        <v>0.65800000000000003</v>
      </c>
      <c r="L427">
        <v>0.55500000000000005</v>
      </c>
      <c r="M427">
        <v>173024</v>
      </c>
      <c r="N427">
        <v>0.70199999999999996</v>
      </c>
      <c r="O427">
        <v>0.59199999999999997</v>
      </c>
    </row>
    <row r="428" spans="1:15" x14ac:dyDescent="0.3">
      <c r="A428" t="s">
        <v>412</v>
      </c>
      <c r="B428" t="s">
        <v>279</v>
      </c>
      <c r="D428">
        <v>65</v>
      </c>
      <c r="E428">
        <v>209</v>
      </c>
      <c r="F428">
        <v>274</v>
      </c>
      <c r="G428"/>
      <c r="H428"/>
      <c r="I428">
        <v>176</v>
      </c>
      <c r="J428">
        <v>45527</v>
      </c>
      <c r="K428">
        <v>0.60199999999999998</v>
      </c>
      <c r="L428">
        <v>0.38700000000000001</v>
      </c>
      <c r="M428">
        <v>43412</v>
      </c>
      <c r="N428">
        <v>0.63100000000000001</v>
      </c>
      <c r="O428">
        <v>0.40500000000000003</v>
      </c>
    </row>
    <row r="429" spans="1:15" x14ac:dyDescent="0.3">
      <c r="A429" t="s">
        <v>412</v>
      </c>
      <c r="B429" t="s">
        <v>255</v>
      </c>
      <c r="D429">
        <v>56</v>
      </c>
      <c r="E429">
        <v>314</v>
      </c>
      <c r="F429">
        <v>370</v>
      </c>
      <c r="G429"/>
      <c r="H429"/>
      <c r="I429">
        <v>139</v>
      </c>
      <c r="J429">
        <v>54314</v>
      </c>
      <c r="K429">
        <v>0.68100000000000005</v>
      </c>
      <c r="L429">
        <v>0.25600000000000001</v>
      </c>
      <c r="M429">
        <v>51575</v>
      </c>
      <c r="N429">
        <v>0.71699999999999997</v>
      </c>
      <c r="O429">
        <v>0.27</v>
      </c>
    </row>
    <row r="430" spans="1:15" x14ac:dyDescent="0.3">
      <c r="A430" t="s">
        <v>412</v>
      </c>
      <c r="B430" t="s">
        <v>273</v>
      </c>
      <c r="D430">
        <v>42</v>
      </c>
      <c r="E430">
        <v>1074</v>
      </c>
      <c r="F430">
        <v>1116</v>
      </c>
      <c r="G430"/>
      <c r="H430"/>
      <c r="I430">
        <v>91</v>
      </c>
      <c r="J430">
        <v>125736</v>
      </c>
      <c r="K430">
        <v>0.88800000000000001</v>
      </c>
      <c r="L430">
        <v>7.1999999999999995E-2</v>
      </c>
      <c r="M430">
        <v>114817</v>
      </c>
      <c r="N430">
        <v>0.97199999999999998</v>
      </c>
      <c r="O430">
        <v>7.9000000000000001E-2</v>
      </c>
    </row>
    <row r="431" spans="1:15" x14ac:dyDescent="0.3">
      <c r="A431" t="s">
        <v>412</v>
      </c>
      <c r="B431" t="s">
        <v>283</v>
      </c>
      <c r="D431">
        <v>3</v>
      </c>
      <c r="E431">
        <v>28</v>
      </c>
      <c r="F431">
        <v>31</v>
      </c>
      <c r="G431"/>
      <c r="H431"/>
      <c r="I431">
        <v>9</v>
      </c>
      <c r="J431">
        <v>15353</v>
      </c>
      <c r="K431">
        <v>0.20200000000000001</v>
      </c>
      <c r="L431">
        <v>5.8999999999999997E-2</v>
      </c>
      <c r="M431">
        <v>12926</v>
      </c>
      <c r="N431">
        <v>0.24</v>
      </c>
      <c r="O431">
        <v>7.0000000000000007E-2</v>
      </c>
    </row>
    <row r="432" spans="1:15" x14ac:dyDescent="0.3">
      <c r="A432" t="s">
        <v>412</v>
      </c>
      <c r="B432" t="s">
        <v>296</v>
      </c>
      <c r="D432">
        <v>226</v>
      </c>
      <c r="E432">
        <v>501</v>
      </c>
      <c r="F432">
        <v>727</v>
      </c>
      <c r="G432"/>
      <c r="H432"/>
      <c r="I432">
        <v>703</v>
      </c>
      <c r="J432">
        <v>91995</v>
      </c>
      <c r="K432">
        <v>0.79</v>
      </c>
      <c r="L432">
        <v>0.76400000000000001</v>
      </c>
      <c r="M432">
        <v>88551</v>
      </c>
      <c r="N432">
        <v>0.82099999999999995</v>
      </c>
      <c r="O432">
        <v>0.79400000000000004</v>
      </c>
    </row>
    <row r="433" spans="1:15" x14ac:dyDescent="0.3">
      <c r="A433" t="s">
        <v>412</v>
      </c>
      <c r="B433" t="s">
        <v>300</v>
      </c>
      <c r="D433">
        <v>13</v>
      </c>
      <c r="E433">
        <v>66</v>
      </c>
      <c r="F433">
        <v>79</v>
      </c>
      <c r="G433"/>
      <c r="H433"/>
      <c r="I433">
        <v>56</v>
      </c>
      <c r="J433">
        <v>11702</v>
      </c>
      <c r="K433">
        <v>0.67500000000000004</v>
      </c>
      <c r="L433">
        <v>0.47899999999999998</v>
      </c>
      <c r="M433">
        <v>10820</v>
      </c>
      <c r="N433">
        <v>0.73</v>
      </c>
      <c r="O433">
        <v>0.51800000000000002</v>
      </c>
    </row>
    <row r="434" spans="1:15" x14ac:dyDescent="0.3">
      <c r="A434" t="s">
        <v>412</v>
      </c>
      <c r="B434" t="s">
        <v>240</v>
      </c>
      <c r="D434">
        <v>37</v>
      </c>
      <c r="E434">
        <v>159</v>
      </c>
      <c r="F434">
        <v>196</v>
      </c>
      <c r="G434"/>
      <c r="H434"/>
      <c r="I434">
        <v>98</v>
      </c>
      <c r="J434">
        <v>25328</v>
      </c>
      <c r="K434">
        <v>0.77400000000000002</v>
      </c>
      <c r="L434">
        <v>0.38700000000000001</v>
      </c>
      <c r="M434">
        <v>24474</v>
      </c>
      <c r="N434">
        <v>0.80100000000000005</v>
      </c>
      <c r="O434">
        <v>0.4</v>
      </c>
    </row>
    <row r="435" spans="1:15" x14ac:dyDescent="0.3">
      <c r="A435" t="s">
        <v>412</v>
      </c>
      <c r="B435" t="s">
        <v>259</v>
      </c>
      <c r="D435">
        <v>68</v>
      </c>
      <c r="E435">
        <v>303</v>
      </c>
      <c r="F435">
        <v>371</v>
      </c>
      <c r="G435"/>
      <c r="H435"/>
      <c r="I435">
        <v>203</v>
      </c>
      <c r="J435">
        <v>41304</v>
      </c>
      <c r="K435">
        <v>0.89800000000000002</v>
      </c>
      <c r="L435">
        <v>0.49099999999999999</v>
      </c>
      <c r="M435">
        <v>40781</v>
      </c>
      <c r="N435">
        <v>0.91</v>
      </c>
      <c r="O435">
        <v>0.498</v>
      </c>
    </row>
    <row r="436" spans="1:15" x14ac:dyDescent="0.3">
      <c r="A436" t="s">
        <v>412</v>
      </c>
      <c r="B436" t="s">
        <v>281</v>
      </c>
      <c r="D436">
        <v>22</v>
      </c>
      <c r="E436">
        <v>269</v>
      </c>
      <c r="F436">
        <v>291</v>
      </c>
      <c r="G436"/>
      <c r="H436"/>
      <c r="I436">
        <v>61</v>
      </c>
      <c r="J436">
        <v>47804</v>
      </c>
      <c r="K436">
        <v>0.60899999999999999</v>
      </c>
      <c r="L436">
        <v>0.128</v>
      </c>
      <c r="M436">
        <v>44699</v>
      </c>
      <c r="N436">
        <v>0.65100000000000002</v>
      </c>
      <c r="O436">
        <v>0.13600000000000001</v>
      </c>
    </row>
    <row r="437" spans="1:15" x14ac:dyDescent="0.3">
      <c r="A437" t="s">
        <v>412</v>
      </c>
      <c r="B437" t="s">
        <v>289</v>
      </c>
      <c r="D437">
        <v>236</v>
      </c>
      <c r="E437">
        <v>905</v>
      </c>
      <c r="F437">
        <v>1141</v>
      </c>
      <c r="G437"/>
      <c r="H437"/>
      <c r="I437">
        <v>818</v>
      </c>
      <c r="J437">
        <v>161718</v>
      </c>
      <c r="K437">
        <v>0.70599999999999996</v>
      </c>
      <c r="L437">
        <v>0.50600000000000001</v>
      </c>
      <c r="M437">
        <v>153883</v>
      </c>
      <c r="N437">
        <v>0.74099999999999999</v>
      </c>
      <c r="O437">
        <v>0.53200000000000003</v>
      </c>
    </row>
    <row r="438" spans="1:15" x14ac:dyDescent="0.3">
      <c r="A438" t="s">
        <v>412</v>
      </c>
      <c r="B438" t="s">
        <v>298</v>
      </c>
      <c r="D438">
        <v>128</v>
      </c>
      <c r="E438">
        <v>463</v>
      </c>
      <c r="F438">
        <v>591</v>
      </c>
      <c r="G438"/>
      <c r="H438"/>
      <c r="I438">
        <v>361</v>
      </c>
      <c r="J438">
        <v>60195</v>
      </c>
      <c r="K438">
        <v>0.98199999999999998</v>
      </c>
      <c r="L438">
        <v>0.6</v>
      </c>
      <c r="M438">
        <v>56421</v>
      </c>
      <c r="N438">
        <v>1.0469999999999999</v>
      </c>
      <c r="O438">
        <v>0.64</v>
      </c>
    </row>
    <row r="439" spans="1:15" x14ac:dyDescent="0.3">
      <c r="A439" t="s">
        <v>412</v>
      </c>
      <c r="B439" t="s">
        <v>307</v>
      </c>
      <c r="D439">
        <v>41</v>
      </c>
      <c r="E439">
        <v>207</v>
      </c>
      <c r="F439">
        <v>248</v>
      </c>
      <c r="G439"/>
      <c r="H439"/>
      <c r="I439">
        <v>126</v>
      </c>
      <c r="J439">
        <v>43489</v>
      </c>
      <c r="K439">
        <v>0.56999999999999995</v>
      </c>
      <c r="L439">
        <v>0.28999999999999998</v>
      </c>
      <c r="M439">
        <v>41302</v>
      </c>
      <c r="N439">
        <v>0.6</v>
      </c>
      <c r="O439">
        <v>0.30499999999999999</v>
      </c>
    </row>
    <row r="440" spans="1:15" x14ac:dyDescent="0.3">
      <c r="A440" t="s">
        <v>412</v>
      </c>
      <c r="B440" t="s">
        <v>215</v>
      </c>
      <c r="D440">
        <v>32</v>
      </c>
      <c r="E440">
        <v>561</v>
      </c>
      <c r="F440">
        <v>593</v>
      </c>
      <c r="G440"/>
      <c r="H440"/>
      <c r="I440">
        <v>89</v>
      </c>
      <c r="J440">
        <v>126846</v>
      </c>
      <c r="K440">
        <v>0.46700000000000003</v>
      </c>
      <c r="L440">
        <v>7.0000000000000007E-2</v>
      </c>
      <c r="M440">
        <v>113057</v>
      </c>
      <c r="N440">
        <v>0.52500000000000002</v>
      </c>
      <c r="O440">
        <v>7.9000000000000001E-2</v>
      </c>
    </row>
    <row r="441" spans="1:15" x14ac:dyDescent="0.3">
      <c r="A441" t="s">
        <v>412</v>
      </c>
      <c r="B441" t="s">
        <v>247</v>
      </c>
      <c r="D441">
        <v>72</v>
      </c>
      <c r="E441">
        <v>698</v>
      </c>
      <c r="F441">
        <v>770</v>
      </c>
      <c r="G441"/>
      <c r="H441"/>
      <c r="I441">
        <v>179</v>
      </c>
      <c r="J441">
        <v>77323</v>
      </c>
      <c r="K441">
        <v>0.996</v>
      </c>
      <c r="L441">
        <v>0.23100000000000001</v>
      </c>
      <c r="M441">
        <v>71645</v>
      </c>
      <c r="N441">
        <v>1.075</v>
      </c>
      <c r="O441">
        <v>0.25</v>
      </c>
    </row>
    <row r="442" spans="1:15" x14ac:dyDescent="0.3">
      <c r="A442" t="s">
        <v>412</v>
      </c>
      <c r="B442" t="s">
        <v>249</v>
      </c>
      <c r="D442">
        <v>118</v>
      </c>
      <c r="E442">
        <v>593</v>
      </c>
      <c r="F442">
        <v>711</v>
      </c>
      <c r="G442"/>
      <c r="H442"/>
      <c r="I442">
        <v>313</v>
      </c>
      <c r="J442">
        <v>60223</v>
      </c>
      <c r="K442">
        <v>1.181</v>
      </c>
      <c r="L442">
        <v>0.52</v>
      </c>
      <c r="M442">
        <v>56480</v>
      </c>
      <c r="N442">
        <v>1.2589999999999999</v>
      </c>
      <c r="O442">
        <v>0.55400000000000005</v>
      </c>
    </row>
    <row r="443" spans="1:15" x14ac:dyDescent="0.3">
      <c r="A443" t="s">
        <v>412</v>
      </c>
      <c r="B443" t="s">
        <v>263</v>
      </c>
      <c r="D443">
        <v>90</v>
      </c>
      <c r="E443">
        <v>358</v>
      </c>
      <c r="F443">
        <v>448</v>
      </c>
      <c r="G443"/>
      <c r="H443"/>
      <c r="I443">
        <v>288</v>
      </c>
      <c r="J443">
        <v>77222</v>
      </c>
      <c r="K443">
        <v>0.57999999999999996</v>
      </c>
      <c r="L443">
        <v>0.373</v>
      </c>
      <c r="M443">
        <v>73471</v>
      </c>
      <c r="N443">
        <v>0.61</v>
      </c>
      <c r="O443">
        <v>0.39200000000000002</v>
      </c>
    </row>
    <row r="444" spans="1:15" x14ac:dyDescent="0.3">
      <c r="A444" t="s">
        <v>412</v>
      </c>
      <c r="B444" t="s">
        <v>270</v>
      </c>
      <c r="D444">
        <v>416</v>
      </c>
      <c r="E444">
        <v>2912</v>
      </c>
      <c r="F444">
        <v>3328</v>
      </c>
      <c r="G444"/>
      <c r="H444"/>
      <c r="I444">
        <v>1203</v>
      </c>
      <c r="J444">
        <v>329581</v>
      </c>
      <c r="K444">
        <v>1.01</v>
      </c>
      <c r="L444">
        <v>0.36499999999999999</v>
      </c>
      <c r="M444">
        <v>300114</v>
      </c>
      <c r="N444">
        <v>1.109</v>
      </c>
      <c r="O444">
        <v>0.40100000000000002</v>
      </c>
    </row>
    <row r="445" spans="1:15" x14ac:dyDescent="0.3">
      <c r="A445" t="s">
        <v>412</v>
      </c>
      <c r="B445" t="s">
        <v>277</v>
      </c>
      <c r="D445">
        <v>56</v>
      </c>
      <c r="E445">
        <v>154</v>
      </c>
      <c r="F445">
        <v>210</v>
      </c>
      <c r="G445"/>
      <c r="H445"/>
      <c r="I445">
        <v>173</v>
      </c>
      <c r="J445">
        <v>39788</v>
      </c>
      <c r="K445">
        <v>0.52800000000000002</v>
      </c>
      <c r="L445">
        <v>0.435</v>
      </c>
      <c r="M445">
        <v>37703</v>
      </c>
      <c r="N445">
        <v>0.55700000000000005</v>
      </c>
      <c r="O445">
        <v>0.45900000000000002</v>
      </c>
    </row>
    <row r="446" spans="1:15" x14ac:dyDescent="0.3">
      <c r="A446" t="s">
        <v>412</v>
      </c>
      <c r="B446" t="s">
        <v>287</v>
      </c>
      <c r="D446">
        <v>122</v>
      </c>
      <c r="E446">
        <v>677</v>
      </c>
      <c r="F446">
        <v>799</v>
      </c>
      <c r="G446"/>
      <c r="H446"/>
      <c r="I446">
        <v>325</v>
      </c>
      <c r="J446">
        <v>70686</v>
      </c>
      <c r="K446">
        <v>1.1299999999999999</v>
      </c>
      <c r="L446">
        <v>0.46</v>
      </c>
      <c r="M446">
        <v>65535</v>
      </c>
      <c r="N446">
        <v>1.2190000000000001</v>
      </c>
      <c r="O446">
        <v>0.496</v>
      </c>
    </row>
    <row r="447" spans="1:15" x14ac:dyDescent="0.3">
      <c r="A447" t="s">
        <v>412</v>
      </c>
      <c r="B447" t="s">
        <v>304</v>
      </c>
      <c r="D447">
        <v>300</v>
      </c>
      <c r="E447">
        <v>953</v>
      </c>
      <c r="F447">
        <v>1253</v>
      </c>
      <c r="G447"/>
      <c r="H447"/>
      <c r="I447">
        <v>1052</v>
      </c>
      <c r="J447">
        <v>160843</v>
      </c>
      <c r="K447">
        <v>0.77900000000000003</v>
      </c>
      <c r="L447">
        <v>0.65400000000000003</v>
      </c>
      <c r="M447">
        <v>152030</v>
      </c>
      <c r="N447">
        <v>0.82399999999999995</v>
      </c>
      <c r="O447">
        <v>0.69199999999999995</v>
      </c>
    </row>
    <row r="448" spans="1:15" x14ac:dyDescent="0.3">
      <c r="A448" t="s">
        <v>412</v>
      </c>
      <c r="B448" t="s">
        <v>309</v>
      </c>
      <c r="D448">
        <v>73</v>
      </c>
      <c r="E448">
        <v>262</v>
      </c>
      <c r="F448">
        <v>335</v>
      </c>
      <c r="G448"/>
      <c r="H448"/>
      <c r="I448">
        <v>237</v>
      </c>
      <c r="J448">
        <v>46216</v>
      </c>
      <c r="K448">
        <v>0.72499999999999998</v>
      </c>
      <c r="L448">
        <v>0.51300000000000001</v>
      </c>
      <c r="M448">
        <v>43256</v>
      </c>
      <c r="N448">
        <v>0.77400000000000002</v>
      </c>
      <c r="O448">
        <v>0.54800000000000004</v>
      </c>
    </row>
    <row r="449" spans="1:15" x14ac:dyDescent="0.3">
      <c r="A449" t="s">
        <v>412</v>
      </c>
      <c r="B449" t="s">
        <v>311</v>
      </c>
      <c r="D449">
        <v>116</v>
      </c>
      <c r="E449">
        <v>499</v>
      </c>
      <c r="F449">
        <v>615</v>
      </c>
      <c r="G449"/>
      <c r="H449"/>
      <c r="I449">
        <v>397</v>
      </c>
      <c r="J449">
        <v>86258</v>
      </c>
      <c r="K449">
        <v>0.71299999999999997</v>
      </c>
      <c r="L449">
        <v>0.46</v>
      </c>
      <c r="M449">
        <v>82377</v>
      </c>
      <c r="N449">
        <v>0.747</v>
      </c>
      <c r="O449">
        <v>0.48199999999999998</v>
      </c>
    </row>
  </sheetData>
  <pageMargins left="0.7" right="0.7" top="0.75" bottom="0.75" header="0.3" footer="0.3"/>
  <pageSetup paperSize="9" orientation="portrait" r:id="rId1"/>
  <tableParts count="1">
    <tablePart r:id="rId2"/>
  </tableParts>
</worksheet>
</file>

<file path=xl/worksheets/sheet1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Sheet29">
    <tabColor theme="7" tint="-0.249977111117893"/>
    <pageSetUpPr fitToPage="1"/>
  </sheetPr>
  <dimension ref="A1:K48"/>
  <sheetViews>
    <sheetView showGridLines="0" zoomScaleNormal="100" workbookViewId="0">
      <pane ySplit="2" topLeftCell="A3" activePane="bottomLeft" state="frozen"/>
      <selection pane="bottomLeft"/>
    </sheetView>
  </sheetViews>
  <sheetFormatPr defaultRowHeight="14.4" x14ac:dyDescent="0.3"/>
  <cols>
    <col min="1" max="1" width="18.44140625" customWidth="1"/>
    <col min="2" max="2" width="26.44140625" customWidth="1"/>
    <col min="3" max="3" width="15.5546875" customWidth="1"/>
    <col min="4" max="4" width="11.5546875" customWidth="1"/>
    <col min="5" max="5" width="8.33203125" customWidth="1"/>
    <col min="6" max="6" width="10.109375" customWidth="1"/>
    <col min="7" max="7" width="11" customWidth="1"/>
    <col min="8" max="8" width="13.6640625" customWidth="1"/>
  </cols>
  <sheetData>
    <row r="1" spans="1:11" ht="36" customHeight="1" x14ac:dyDescent="0.3">
      <c r="A1" s="513" t="s">
        <v>915</v>
      </c>
    </row>
    <row r="2" spans="1:11" x14ac:dyDescent="0.3">
      <c r="A2" s="498" t="s">
        <v>202</v>
      </c>
    </row>
    <row r="3" spans="1:11" x14ac:dyDescent="0.3">
      <c r="A3" s="25"/>
    </row>
    <row r="4" spans="1:11" ht="15.75" customHeight="1" x14ac:dyDescent="0.3">
      <c r="A4" s="438" t="s">
        <v>1093</v>
      </c>
      <c r="B4" s="499"/>
      <c r="C4" s="499"/>
      <c r="D4" s="499"/>
      <c r="E4" s="499"/>
      <c r="F4" s="499"/>
      <c r="G4" s="499"/>
      <c r="H4" s="499"/>
      <c r="I4" s="499"/>
      <c r="J4" s="499"/>
      <c r="K4" s="499"/>
    </row>
    <row r="5" spans="1:11" ht="15.6" x14ac:dyDescent="0.3">
      <c r="A5" t="s">
        <v>203</v>
      </c>
      <c r="B5" t="s">
        <v>163</v>
      </c>
      <c r="C5" s="499"/>
      <c r="D5" s="499"/>
      <c r="E5" s="499"/>
      <c r="F5" s="499"/>
      <c r="G5" s="499"/>
      <c r="H5" s="499"/>
      <c r="I5" s="499"/>
      <c r="J5" s="499"/>
      <c r="K5" s="499"/>
    </row>
    <row r="6" spans="1:11" ht="15.6" x14ac:dyDescent="0.3">
      <c r="A6" t="s">
        <v>204</v>
      </c>
      <c r="B6" t="s">
        <v>205</v>
      </c>
      <c r="C6" s="499"/>
      <c r="D6" s="499"/>
      <c r="E6" s="499"/>
      <c r="F6" s="499"/>
      <c r="G6" s="499"/>
      <c r="H6" s="499"/>
      <c r="I6" s="499"/>
      <c r="J6" s="499"/>
      <c r="K6" s="499"/>
    </row>
    <row r="7" spans="1:11" ht="15.6" x14ac:dyDescent="0.3">
      <c r="A7" t="s">
        <v>206</v>
      </c>
      <c r="B7" t="s">
        <v>917</v>
      </c>
      <c r="C7" s="499"/>
      <c r="D7" s="499"/>
      <c r="E7" s="499"/>
      <c r="F7" s="499"/>
      <c r="G7" s="499"/>
      <c r="H7" s="499"/>
      <c r="I7" s="499"/>
      <c r="J7" s="499"/>
      <c r="K7" s="499"/>
    </row>
    <row r="9" spans="1:11" x14ac:dyDescent="0.3">
      <c r="A9" s="312" t="s">
        <v>208</v>
      </c>
      <c r="B9" s="312" t="str">
        <f>HFSVLAPivot!$C$1</f>
        <v>2025-26</v>
      </c>
    </row>
    <row r="10" spans="1:11" ht="53.4" x14ac:dyDescent="0.3">
      <c r="A10" s="78" t="s">
        <v>209</v>
      </c>
      <c r="B10" s="78" t="s">
        <v>34</v>
      </c>
      <c r="C10" s="226" t="s">
        <v>1094</v>
      </c>
      <c r="D10" s="226" t="s">
        <v>1095</v>
      </c>
      <c r="E10" s="413" t="s">
        <v>936</v>
      </c>
      <c r="F10" s="226" t="s">
        <v>1096</v>
      </c>
      <c r="G10" s="226" t="s">
        <v>1097</v>
      </c>
      <c r="H10" s="413" t="s">
        <v>922</v>
      </c>
    </row>
    <row r="11" spans="1:11" ht="19.5" customHeight="1" x14ac:dyDescent="0.3">
      <c r="A11" t="s">
        <v>214</v>
      </c>
      <c r="B11" s="45" t="s">
        <v>215</v>
      </c>
      <c r="C11" s="794">
        <f>GETPIVOTDATA("Sum of HFSV - alarms installed",HFSVLAPivot!$B$3,"Council",B11)</f>
        <v>32</v>
      </c>
      <c r="D11" s="794">
        <f>GETPIVOTDATA("Sum of HFSV - advice only",HFSVLAPivot!$B$3,"Council",B11)</f>
        <v>561</v>
      </c>
      <c r="E11" s="795">
        <f>GETPIVOTDATA("Sum of Total HFSV",HFSVLAPivot!$B$3,"Council",B11)</f>
        <v>593</v>
      </c>
      <c r="F11" s="794">
        <f>GETPIVOTDATA("Sum of TotalNewAlarms",HFSVLAPivot!$B$3,"Council",B11)</f>
        <v>0</v>
      </c>
      <c r="G11" s="794">
        <f>GETPIVOTDATA("Sum of TotalReplacedAlarms",HFSVLAPivot!$B$3,"Council",B11)</f>
        <v>0</v>
      </c>
      <c r="H11" s="796">
        <f>GETPIVOTDATA("Sum of TotalAlarms",HFSVLAPivot!$B$3,"Council",B11)</f>
        <v>89</v>
      </c>
    </row>
    <row r="12" spans="1:11" x14ac:dyDescent="0.3">
      <c r="A12" t="s">
        <v>219</v>
      </c>
      <c r="B12" s="48" t="s">
        <v>220</v>
      </c>
      <c r="C12" s="794">
        <f>GETPIVOTDATA("Sum of HFSV - alarms installed",HFSVLAPivot!$B$3,"Council",B12)</f>
        <v>65</v>
      </c>
      <c r="D12" s="794">
        <f>GETPIVOTDATA("Sum of HFSV - advice only",HFSVLAPivot!$B$3,"Council",B12)</f>
        <v>500</v>
      </c>
      <c r="E12" s="985">
        <f>GETPIVOTDATA("Sum of Total HFSV",HFSVLAPivot!$B$3,"Council",B12)</f>
        <v>565</v>
      </c>
      <c r="F12" s="794">
        <f>GETPIVOTDATA("Sum of TotalNewAlarms",HFSVLAPivot!$B$3,"Council",B12)</f>
        <v>0</v>
      </c>
      <c r="G12" s="794">
        <f>GETPIVOTDATA("Sum of TotalReplacedAlarms",HFSVLAPivot!$B$3,"Council",B12)</f>
        <v>0</v>
      </c>
      <c r="H12" s="986">
        <f>GETPIVOTDATA("Sum of TotalAlarms",HFSVLAPivot!$B$3,"Council",B12)</f>
        <v>186</v>
      </c>
    </row>
    <row r="13" spans="1:11" x14ac:dyDescent="0.3">
      <c r="A13" t="s">
        <v>223</v>
      </c>
      <c r="B13" s="48" t="s">
        <v>224</v>
      </c>
      <c r="C13" s="794">
        <f>GETPIVOTDATA("Sum of HFSV - alarms installed",HFSVLAPivot!$B$3,"Council",B13)</f>
        <v>60</v>
      </c>
      <c r="D13" s="794">
        <f>GETPIVOTDATA("Sum of HFSV - advice only",HFSVLAPivot!$B$3,"Council",B13)</f>
        <v>332</v>
      </c>
      <c r="E13" s="985">
        <f>GETPIVOTDATA("Sum of Total HFSV",HFSVLAPivot!$B$3,"Council",B13)</f>
        <v>392</v>
      </c>
      <c r="F13" s="794">
        <f>GETPIVOTDATA("Sum of TotalNewAlarms",HFSVLAPivot!$B$3,"Council",B13)</f>
        <v>0</v>
      </c>
      <c r="G13" s="794">
        <f>GETPIVOTDATA("Sum of TotalReplacedAlarms",HFSVLAPivot!$B$3,"Council",B13)</f>
        <v>0</v>
      </c>
      <c r="H13" s="986">
        <f>GETPIVOTDATA("Sum of TotalAlarms",HFSVLAPivot!$B$3,"Council",B13)</f>
        <v>182</v>
      </c>
    </row>
    <row r="14" spans="1:11" x14ac:dyDescent="0.3">
      <c r="A14" t="s">
        <v>227</v>
      </c>
      <c r="B14" s="48" t="s">
        <v>228</v>
      </c>
      <c r="C14" s="794">
        <f>GETPIVOTDATA("Sum of HFSV - alarms installed",HFSVLAPivot!$B$3,"Council",B14)</f>
        <v>77</v>
      </c>
      <c r="D14" s="794">
        <f>GETPIVOTDATA("Sum of HFSV - advice only",HFSVLAPivot!$B$3,"Council",B14)</f>
        <v>311</v>
      </c>
      <c r="E14" s="985">
        <f>GETPIVOTDATA("Sum of Total HFSV",HFSVLAPivot!$B$3,"Council",B14)</f>
        <v>388</v>
      </c>
      <c r="F14" s="794">
        <f>GETPIVOTDATA("Sum of TotalNewAlarms",HFSVLAPivot!$B$3,"Council",B14)</f>
        <v>0</v>
      </c>
      <c r="G14" s="794">
        <f>GETPIVOTDATA("Sum of TotalReplacedAlarms",HFSVLAPivot!$B$3,"Council",B14)</f>
        <v>0</v>
      </c>
      <c r="H14" s="986">
        <f>GETPIVOTDATA("Sum of TotalAlarms",HFSVLAPivot!$B$3,"Council",B14)</f>
        <v>256</v>
      </c>
    </row>
    <row r="15" spans="1:11" x14ac:dyDescent="0.3">
      <c r="A15" t="s">
        <v>233</v>
      </c>
      <c r="B15" s="48" t="s">
        <v>234</v>
      </c>
      <c r="C15" s="794">
        <f>GETPIVOTDATA("Sum of HFSV - alarms installed",HFSVLAPivot!$B$3,"Council",B15)</f>
        <v>187</v>
      </c>
      <c r="D15" s="794">
        <f>GETPIVOTDATA("Sum of HFSV - advice only",HFSVLAPivot!$B$3,"Council",B15)</f>
        <v>1050</v>
      </c>
      <c r="E15" s="985">
        <f>GETPIVOTDATA("Sum of Total HFSV",HFSVLAPivot!$B$3,"Council",B15)</f>
        <v>1237</v>
      </c>
      <c r="F15" s="794">
        <f>GETPIVOTDATA("Sum of TotalNewAlarms",HFSVLAPivot!$B$3,"Council",B15)</f>
        <v>0</v>
      </c>
      <c r="G15" s="794">
        <f>GETPIVOTDATA("Sum of TotalReplacedAlarms",HFSVLAPivot!$B$3,"Council",B15)</f>
        <v>0</v>
      </c>
      <c r="H15" s="986">
        <f>GETPIVOTDATA("Sum of TotalAlarms",HFSVLAPivot!$B$3,"Council",B15)</f>
        <v>473</v>
      </c>
    </row>
    <row r="16" spans="1:11" x14ac:dyDescent="0.3">
      <c r="A16" t="s">
        <v>239</v>
      </c>
      <c r="B16" s="48" t="s">
        <v>240</v>
      </c>
      <c r="C16" s="794">
        <f>GETPIVOTDATA("Sum of HFSV - alarms installed",HFSVLAPivot!$B$3,"Council",B16)</f>
        <v>37</v>
      </c>
      <c r="D16" s="794">
        <f>GETPIVOTDATA("Sum of HFSV - advice only",HFSVLAPivot!$B$3,"Council",B16)</f>
        <v>159</v>
      </c>
      <c r="E16" s="985">
        <f>GETPIVOTDATA("Sum of Total HFSV",HFSVLAPivot!$B$3,"Council",B16)</f>
        <v>196</v>
      </c>
      <c r="F16" s="794">
        <f>GETPIVOTDATA("Sum of TotalNewAlarms",HFSVLAPivot!$B$3,"Council",B16)</f>
        <v>0</v>
      </c>
      <c r="G16" s="794">
        <f>GETPIVOTDATA("Sum of TotalReplacedAlarms",HFSVLAPivot!$B$3,"Council",B16)</f>
        <v>0</v>
      </c>
      <c r="H16" s="986">
        <f>GETPIVOTDATA("Sum of TotalAlarms",HFSVLAPivot!$B$3,"Council",B16)</f>
        <v>98</v>
      </c>
    </row>
    <row r="17" spans="1:8" x14ac:dyDescent="0.3">
      <c r="A17" t="s">
        <v>243</v>
      </c>
      <c r="B17" s="48" t="s">
        <v>244</v>
      </c>
      <c r="C17" s="794">
        <f>GETPIVOTDATA("Sum of HFSV - alarms installed",HFSVLAPivot!$B$3,"Council",B17)</f>
        <v>223</v>
      </c>
      <c r="D17" s="794">
        <f>GETPIVOTDATA("Sum of HFSV - advice only",HFSVLAPivot!$B$3,"Council",B17)</f>
        <v>465</v>
      </c>
      <c r="E17" s="985">
        <f>GETPIVOTDATA("Sum of Total HFSV",HFSVLAPivot!$B$3,"Council",B17)</f>
        <v>688</v>
      </c>
      <c r="F17" s="794">
        <f>GETPIVOTDATA("Sum of TotalNewAlarms",HFSVLAPivot!$B$3,"Council",B17)</f>
        <v>0</v>
      </c>
      <c r="G17" s="794">
        <f>GETPIVOTDATA("Sum of TotalReplacedAlarms",HFSVLAPivot!$B$3,"Council",B17)</f>
        <v>0</v>
      </c>
      <c r="H17" s="986">
        <f>GETPIVOTDATA("Sum of TotalAlarms",HFSVLAPivot!$B$3,"Council",B17)</f>
        <v>780</v>
      </c>
    </row>
    <row r="18" spans="1:8" x14ac:dyDescent="0.3">
      <c r="A18" t="s">
        <v>246</v>
      </c>
      <c r="B18" s="48" t="s">
        <v>247</v>
      </c>
      <c r="C18" s="794">
        <f>GETPIVOTDATA("Sum of HFSV - alarms installed",HFSVLAPivot!$B$3,"Council",B18)</f>
        <v>72</v>
      </c>
      <c r="D18" s="794">
        <f>GETPIVOTDATA("Sum of HFSV - advice only",HFSVLAPivot!$B$3,"Council",B18)</f>
        <v>698</v>
      </c>
      <c r="E18" s="985">
        <f>GETPIVOTDATA("Sum of Total HFSV",HFSVLAPivot!$B$3,"Council",B18)</f>
        <v>770</v>
      </c>
      <c r="F18" s="794">
        <f>GETPIVOTDATA("Sum of TotalNewAlarms",HFSVLAPivot!$B$3,"Council",B18)</f>
        <v>0</v>
      </c>
      <c r="G18" s="794">
        <f>GETPIVOTDATA("Sum of TotalReplacedAlarms",HFSVLAPivot!$B$3,"Council",B18)</f>
        <v>0</v>
      </c>
      <c r="H18" s="986">
        <f>GETPIVOTDATA("Sum of TotalAlarms",HFSVLAPivot!$B$3,"Council",B18)</f>
        <v>179</v>
      </c>
    </row>
    <row r="19" spans="1:8" x14ac:dyDescent="0.3">
      <c r="A19" t="s">
        <v>248</v>
      </c>
      <c r="B19" s="48" t="s">
        <v>249</v>
      </c>
      <c r="C19" s="794">
        <f>GETPIVOTDATA("Sum of HFSV - alarms installed",HFSVLAPivot!$B$3,"Council",B19)</f>
        <v>118</v>
      </c>
      <c r="D19" s="794">
        <f>GETPIVOTDATA("Sum of HFSV - advice only",HFSVLAPivot!$B$3,"Council",B19)</f>
        <v>593</v>
      </c>
      <c r="E19" s="985">
        <f>GETPIVOTDATA("Sum of Total HFSV",HFSVLAPivot!$B$3,"Council",B19)</f>
        <v>711</v>
      </c>
      <c r="F19" s="794">
        <f>GETPIVOTDATA("Sum of TotalNewAlarms",HFSVLAPivot!$B$3,"Council",B19)</f>
        <v>0</v>
      </c>
      <c r="G19" s="794">
        <f>GETPIVOTDATA("Sum of TotalReplacedAlarms",HFSVLAPivot!$B$3,"Council",B19)</f>
        <v>0</v>
      </c>
      <c r="H19" s="986">
        <f>GETPIVOTDATA("Sum of TotalAlarms",HFSVLAPivot!$B$3,"Council",B19)</f>
        <v>313</v>
      </c>
    </row>
    <row r="20" spans="1:8" x14ac:dyDescent="0.3">
      <c r="A20" t="s">
        <v>252</v>
      </c>
      <c r="B20" s="48" t="s">
        <v>253</v>
      </c>
      <c r="C20" s="794">
        <f>GETPIVOTDATA("Sum of HFSV - alarms installed",HFSVLAPivot!$B$3,"Council",B20)</f>
        <v>106</v>
      </c>
      <c r="D20" s="794">
        <f>GETPIVOTDATA("Sum of HFSV - advice only",HFSVLAPivot!$B$3,"Council",B20)</f>
        <v>263</v>
      </c>
      <c r="E20" s="985">
        <f>GETPIVOTDATA("Sum of Total HFSV",HFSVLAPivot!$B$3,"Council",B20)</f>
        <v>369</v>
      </c>
      <c r="F20" s="794">
        <f>GETPIVOTDATA("Sum of TotalNewAlarms",HFSVLAPivot!$B$3,"Council",B20)</f>
        <v>0</v>
      </c>
      <c r="G20" s="794">
        <f>GETPIVOTDATA("Sum of TotalReplacedAlarms",HFSVLAPivot!$B$3,"Council",B20)</f>
        <v>0</v>
      </c>
      <c r="H20" s="986">
        <f>GETPIVOTDATA("Sum of TotalAlarms",HFSVLAPivot!$B$3,"Council",B20)</f>
        <v>350</v>
      </c>
    </row>
    <row r="21" spans="1:8" x14ac:dyDescent="0.3">
      <c r="A21" t="s">
        <v>254</v>
      </c>
      <c r="B21" s="48" t="s">
        <v>255</v>
      </c>
      <c r="C21" s="794">
        <f>GETPIVOTDATA("Sum of HFSV - alarms installed",HFSVLAPivot!$B$3,"Council",B21)</f>
        <v>56</v>
      </c>
      <c r="D21" s="794">
        <f>GETPIVOTDATA("Sum of HFSV - advice only",HFSVLAPivot!$B$3,"Council",B21)</f>
        <v>314</v>
      </c>
      <c r="E21" s="985">
        <f>GETPIVOTDATA("Sum of Total HFSV",HFSVLAPivot!$B$3,"Council",B21)</f>
        <v>370</v>
      </c>
      <c r="F21" s="794">
        <f>GETPIVOTDATA("Sum of TotalNewAlarms",HFSVLAPivot!$B$3,"Council",B21)</f>
        <v>0</v>
      </c>
      <c r="G21" s="794">
        <f>GETPIVOTDATA("Sum of TotalReplacedAlarms",HFSVLAPivot!$B$3,"Council",B21)</f>
        <v>0</v>
      </c>
      <c r="H21" s="986">
        <f>GETPIVOTDATA("Sum of TotalAlarms",HFSVLAPivot!$B$3,"Council",B21)</f>
        <v>139</v>
      </c>
    </row>
    <row r="22" spans="1:8" x14ac:dyDescent="0.3">
      <c r="A22" t="s">
        <v>258</v>
      </c>
      <c r="B22" s="48" t="s">
        <v>259</v>
      </c>
      <c r="C22" s="794">
        <f>GETPIVOTDATA("Sum of HFSV - alarms installed",HFSVLAPivot!$B$3,"Council",B22)</f>
        <v>68</v>
      </c>
      <c r="D22" s="794">
        <f>GETPIVOTDATA("Sum of HFSV - advice only",HFSVLAPivot!$B$3,"Council",B22)</f>
        <v>303</v>
      </c>
      <c r="E22" s="985">
        <f>GETPIVOTDATA("Sum of Total HFSV",HFSVLAPivot!$B$3,"Council",B22)</f>
        <v>371</v>
      </c>
      <c r="F22" s="794">
        <f>GETPIVOTDATA("Sum of TotalNewAlarms",HFSVLAPivot!$B$3,"Council",B22)</f>
        <v>0</v>
      </c>
      <c r="G22" s="794">
        <f>GETPIVOTDATA("Sum of TotalReplacedAlarms",HFSVLAPivot!$B$3,"Council",B22)</f>
        <v>0</v>
      </c>
      <c r="H22" s="986">
        <f>GETPIVOTDATA("Sum of TotalAlarms",HFSVLAPivot!$B$3,"Council",B22)</f>
        <v>203</v>
      </c>
    </row>
    <row r="23" spans="1:8" x14ac:dyDescent="0.3">
      <c r="A23" t="s">
        <v>262</v>
      </c>
      <c r="B23" s="48" t="s">
        <v>263</v>
      </c>
      <c r="C23" s="794">
        <f>GETPIVOTDATA("Sum of HFSV - alarms installed",HFSVLAPivot!$B$3,"Council",B23)</f>
        <v>90</v>
      </c>
      <c r="D23" s="794">
        <f>GETPIVOTDATA("Sum of HFSV - advice only",HFSVLAPivot!$B$3,"Council",B23)</f>
        <v>358</v>
      </c>
      <c r="E23" s="985">
        <f>GETPIVOTDATA("Sum of Total HFSV",HFSVLAPivot!$B$3,"Council",B23)</f>
        <v>448</v>
      </c>
      <c r="F23" s="794">
        <f>GETPIVOTDATA("Sum of TotalNewAlarms",HFSVLAPivot!$B$3,"Council",B23)</f>
        <v>0</v>
      </c>
      <c r="G23" s="794">
        <f>GETPIVOTDATA("Sum of TotalReplacedAlarms",HFSVLAPivot!$B$3,"Council",B23)</f>
        <v>0</v>
      </c>
      <c r="H23" s="986">
        <f>GETPIVOTDATA("Sum of TotalAlarms",HFSVLAPivot!$B$3,"Council",B23)</f>
        <v>288</v>
      </c>
    </row>
    <row r="24" spans="1:8" x14ac:dyDescent="0.3">
      <c r="A24" t="s">
        <v>1092</v>
      </c>
      <c r="B24" s="48" t="s">
        <v>267</v>
      </c>
      <c r="C24" s="794">
        <f>GETPIVOTDATA("Sum of HFSV - alarms installed",HFSVLAPivot!$B$3,"Council",B24)</f>
        <v>301</v>
      </c>
      <c r="D24" s="794">
        <f>GETPIVOTDATA("Sum of HFSV - advice only",HFSVLAPivot!$B$3,"Council",B24)</f>
        <v>914</v>
      </c>
      <c r="E24" s="985">
        <f>GETPIVOTDATA("Sum of Total HFSV",HFSVLAPivot!$B$3,"Council",B24)</f>
        <v>1215</v>
      </c>
      <c r="F24" s="794">
        <f>GETPIVOTDATA("Sum of TotalNewAlarms",HFSVLAPivot!$B$3,"Council",B24)</f>
        <v>0</v>
      </c>
      <c r="G24" s="794">
        <f>GETPIVOTDATA("Sum of TotalReplacedAlarms",HFSVLAPivot!$B$3,"Council",B24)</f>
        <v>0</v>
      </c>
      <c r="H24" s="986">
        <f>GETPIVOTDATA("Sum of TotalAlarms",HFSVLAPivot!$B$3,"Council",B24)</f>
        <v>1025</v>
      </c>
    </row>
    <row r="25" spans="1:8" x14ac:dyDescent="0.3">
      <c r="A25" t="s">
        <v>269</v>
      </c>
      <c r="B25" s="48" t="s">
        <v>270</v>
      </c>
      <c r="C25" s="794">
        <f>GETPIVOTDATA("Sum of HFSV - alarms installed",HFSVLAPivot!$B$3,"Council",B25)</f>
        <v>416</v>
      </c>
      <c r="D25" s="794">
        <f>GETPIVOTDATA("Sum of HFSV - advice only",HFSVLAPivot!$B$3,"Council",B25)</f>
        <v>2912</v>
      </c>
      <c r="E25" s="985">
        <f>GETPIVOTDATA("Sum of Total HFSV",HFSVLAPivot!$B$3,"Council",B25)</f>
        <v>3328</v>
      </c>
      <c r="F25" s="794">
        <f>GETPIVOTDATA("Sum of TotalNewAlarms",HFSVLAPivot!$B$3,"Council",B25)</f>
        <v>0</v>
      </c>
      <c r="G25" s="794">
        <f>GETPIVOTDATA("Sum of TotalReplacedAlarms",HFSVLAPivot!$B$3,"Council",B25)</f>
        <v>0</v>
      </c>
      <c r="H25" s="986">
        <f>GETPIVOTDATA("Sum of TotalAlarms",HFSVLAPivot!$B$3,"Council",B25)</f>
        <v>1203</v>
      </c>
    </row>
    <row r="26" spans="1:8" x14ac:dyDescent="0.3">
      <c r="A26" t="s">
        <v>272</v>
      </c>
      <c r="B26" s="48" t="s">
        <v>273</v>
      </c>
      <c r="C26" s="794">
        <f>GETPIVOTDATA("Sum of HFSV - alarms installed",HFSVLAPivot!$B$3,"Council",B26)</f>
        <v>42</v>
      </c>
      <c r="D26" s="794">
        <f>GETPIVOTDATA("Sum of HFSV - advice only",HFSVLAPivot!$B$3,"Council",B26)</f>
        <v>1074</v>
      </c>
      <c r="E26" s="985">
        <f>GETPIVOTDATA("Sum of Total HFSV",HFSVLAPivot!$B$3,"Council",B26)</f>
        <v>1116</v>
      </c>
      <c r="F26" s="794">
        <f>GETPIVOTDATA("Sum of TotalNewAlarms",HFSVLAPivot!$B$3,"Council",B26)</f>
        <v>0</v>
      </c>
      <c r="G26" s="794">
        <f>GETPIVOTDATA("Sum of TotalReplacedAlarms",HFSVLAPivot!$B$3,"Council",B26)</f>
        <v>0</v>
      </c>
      <c r="H26" s="986">
        <f>GETPIVOTDATA("Sum of TotalAlarms",HFSVLAPivot!$B$3,"Council",B26)</f>
        <v>91</v>
      </c>
    </row>
    <row r="27" spans="1:8" x14ac:dyDescent="0.3">
      <c r="A27" t="s">
        <v>276</v>
      </c>
      <c r="B27" s="48" t="s">
        <v>277</v>
      </c>
      <c r="C27" s="794">
        <f>GETPIVOTDATA("Sum of HFSV - alarms installed",HFSVLAPivot!$B$3,"Council",B27)</f>
        <v>56</v>
      </c>
      <c r="D27" s="794">
        <f>GETPIVOTDATA("Sum of HFSV - advice only",HFSVLAPivot!$B$3,"Council",B27)</f>
        <v>154</v>
      </c>
      <c r="E27" s="985">
        <f>GETPIVOTDATA("Sum of Total HFSV",HFSVLAPivot!$B$3,"Council",B27)</f>
        <v>210</v>
      </c>
      <c r="F27" s="794">
        <f>GETPIVOTDATA("Sum of TotalNewAlarms",HFSVLAPivot!$B$3,"Council",B27)</f>
        <v>0</v>
      </c>
      <c r="G27" s="794">
        <f>GETPIVOTDATA("Sum of TotalReplacedAlarms",HFSVLAPivot!$B$3,"Council",B27)</f>
        <v>0</v>
      </c>
      <c r="H27" s="986">
        <f>GETPIVOTDATA("Sum of TotalAlarms",HFSVLAPivot!$B$3,"Council",B27)</f>
        <v>173</v>
      </c>
    </row>
    <row r="28" spans="1:8" x14ac:dyDescent="0.3">
      <c r="A28" t="s">
        <v>278</v>
      </c>
      <c r="B28" s="48" t="s">
        <v>279</v>
      </c>
      <c r="C28" s="794">
        <f>GETPIVOTDATA("Sum of HFSV - alarms installed",HFSVLAPivot!$B$3,"Council",B28)</f>
        <v>65</v>
      </c>
      <c r="D28" s="794">
        <f>GETPIVOTDATA("Sum of HFSV - advice only",HFSVLAPivot!$B$3,"Council",B28)</f>
        <v>209</v>
      </c>
      <c r="E28" s="985">
        <f>GETPIVOTDATA("Sum of Total HFSV",HFSVLAPivot!$B$3,"Council",B28)</f>
        <v>274</v>
      </c>
      <c r="F28" s="794">
        <f>GETPIVOTDATA("Sum of TotalNewAlarms",HFSVLAPivot!$B$3,"Council",B28)</f>
        <v>0</v>
      </c>
      <c r="G28" s="794">
        <f>GETPIVOTDATA("Sum of TotalReplacedAlarms",HFSVLAPivot!$B$3,"Council",B28)</f>
        <v>0</v>
      </c>
      <c r="H28" s="986">
        <f>GETPIVOTDATA("Sum of TotalAlarms",HFSVLAPivot!$B$3,"Council",B28)</f>
        <v>176</v>
      </c>
    </row>
    <row r="29" spans="1:8" x14ac:dyDescent="0.3">
      <c r="A29" t="s">
        <v>280</v>
      </c>
      <c r="B29" s="48" t="s">
        <v>281</v>
      </c>
      <c r="C29" s="794">
        <f>GETPIVOTDATA("Sum of HFSV - alarms installed",HFSVLAPivot!$B$3,"Council",B29)</f>
        <v>22</v>
      </c>
      <c r="D29" s="794">
        <f>GETPIVOTDATA("Sum of HFSV - advice only",HFSVLAPivot!$B$3,"Council",B29)</f>
        <v>269</v>
      </c>
      <c r="E29" s="985">
        <f>GETPIVOTDATA("Sum of Total HFSV",HFSVLAPivot!$B$3,"Council",B29)</f>
        <v>291</v>
      </c>
      <c r="F29" s="794">
        <f>GETPIVOTDATA("Sum of TotalNewAlarms",HFSVLAPivot!$B$3,"Council",B29)</f>
        <v>0</v>
      </c>
      <c r="G29" s="794">
        <f>GETPIVOTDATA("Sum of TotalReplacedAlarms",HFSVLAPivot!$B$3,"Council",B29)</f>
        <v>0</v>
      </c>
      <c r="H29" s="986">
        <f>GETPIVOTDATA("Sum of TotalAlarms",HFSVLAPivot!$B$3,"Council",B29)</f>
        <v>61</v>
      </c>
    </row>
    <row r="30" spans="1:8" x14ac:dyDescent="0.3">
      <c r="A30" t="s">
        <v>282</v>
      </c>
      <c r="B30" s="48" t="s">
        <v>283</v>
      </c>
      <c r="C30" s="794">
        <f>GETPIVOTDATA("Sum of HFSV - alarms installed",HFSVLAPivot!$B$3,"Council",B30)</f>
        <v>3</v>
      </c>
      <c r="D30" s="794">
        <f>GETPIVOTDATA("Sum of HFSV - advice only",HFSVLAPivot!$B$3,"Council",B30)</f>
        <v>28</v>
      </c>
      <c r="E30" s="985">
        <f>GETPIVOTDATA("Sum of Total HFSV",HFSVLAPivot!$B$3,"Council",B30)</f>
        <v>31</v>
      </c>
      <c r="F30" s="794">
        <f>GETPIVOTDATA("Sum of TotalNewAlarms",HFSVLAPivot!$B$3,"Council",B30)</f>
        <v>0</v>
      </c>
      <c r="G30" s="794">
        <f>GETPIVOTDATA("Sum of TotalReplacedAlarms",HFSVLAPivot!$B$3,"Council",B30)</f>
        <v>0</v>
      </c>
      <c r="H30" s="986">
        <f>GETPIVOTDATA("Sum of TotalAlarms",HFSVLAPivot!$B$3,"Council",B30)</f>
        <v>9</v>
      </c>
    </row>
    <row r="31" spans="1:8" x14ac:dyDescent="0.3">
      <c r="A31" t="s">
        <v>286</v>
      </c>
      <c r="B31" s="48" t="s">
        <v>287</v>
      </c>
      <c r="C31" s="794">
        <f>GETPIVOTDATA("Sum of HFSV - alarms installed",HFSVLAPivot!$B$3,"Council",B31)</f>
        <v>122</v>
      </c>
      <c r="D31" s="794">
        <f>GETPIVOTDATA("Sum of HFSV - advice only",HFSVLAPivot!$B$3,"Council",B31)</f>
        <v>677</v>
      </c>
      <c r="E31" s="985">
        <f>GETPIVOTDATA("Sum of Total HFSV",HFSVLAPivot!$B$3,"Council",B31)</f>
        <v>799</v>
      </c>
      <c r="F31" s="794">
        <f>GETPIVOTDATA("Sum of TotalNewAlarms",HFSVLAPivot!$B$3,"Council",B31)</f>
        <v>0</v>
      </c>
      <c r="G31" s="794">
        <f>GETPIVOTDATA("Sum of TotalReplacedAlarms",HFSVLAPivot!$B$3,"Council",B31)</f>
        <v>0</v>
      </c>
      <c r="H31" s="986">
        <f>GETPIVOTDATA("Sum of TotalAlarms",HFSVLAPivot!$B$3,"Council",B31)</f>
        <v>325</v>
      </c>
    </row>
    <row r="32" spans="1:8" x14ac:dyDescent="0.3">
      <c r="A32" t="s">
        <v>288</v>
      </c>
      <c r="B32" s="48" t="s">
        <v>289</v>
      </c>
      <c r="C32" s="794">
        <f>GETPIVOTDATA("Sum of HFSV - alarms installed",HFSVLAPivot!$B$3,"Council",B32)</f>
        <v>236</v>
      </c>
      <c r="D32" s="794">
        <f>GETPIVOTDATA("Sum of HFSV - advice only",HFSVLAPivot!$B$3,"Council",B32)</f>
        <v>905</v>
      </c>
      <c r="E32" s="985">
        <f>GETPIVOTDATA("Sum of Total HFSV",HFSVLAPivot!$B$3,"Council",B32)</f>
        <v>1141</v>
      </c>
      <c r="F32" s="794">
        <f>GETPIVOTDATA("Sum of TotalNewAlarms",HFSVLAPivot!$B$3,"Council",B32)</f>
        <v>0</v>
      </c>
      <c r="G32" s="794">
        <f>GETPIVOTDATA("Sum of TotalReplacedAlarms",HFSVLAPivot!$B$3,"Council",B32)</f>
        <v>0</v>
      </c>
      <c r="H32" s="986">
        <f>GETPIVOTDATA("Sum of TotalAlarms",HFSVLAPivot!$B$3,"Council",B32)</f>
        <v>818</v>
      </c>
    </row>
    <row r="33" spans="1:9" x14ac:dyDescent="0.3">
      <c r="A33" t="s">
        <v>291</v>
      </c>
      <c r="B33" s="48" t="s">
        <v>292</v>
      </c>
      <c r="C33" s="794">
        <f>GETPIVOTDATA("Sum of HFSV - alarms installed",HFSVLAPivot!$B$3,"Council",B33)</f>
        <v>21</v>
      </c>
      <c r="D33" s="794">
        <f>GETPIVOTDATA("Sum of HFSV - advice only",HFSVLAPivot!$B$3,"Council",B33)</f>
        <v>128</v>
      </c>
      <c r="E33" s="985">
        <f>GETPIVOTDATA("Sum of Total HFSV",HFSVLAPivot!$B$3,"Council",B33)</f>
        <v>149</v>
      </c>
      <c r="F33" s="794">
        <f>GETPIVOTDATA("Sum of TotalNewAlarms",HFSVLAPivot!$B$3,"Council",B33)</f>
        <v>0</v>
      </c>
      <c r="G33" s="794">
        <f>GETPIVOTDATA("Sum of TotalReplacedAlarms",HFSVLAPivot!$B$3,"Council",B33)</f>
        <v>0</v>
      </c>
      <c r="H33" s="986">
        <f>GETPIVOTDATA("Sum of TotalAlarms",HFSVLAPivot!$B$3,"Council",B33)</f>
        <v>72</v>
      </c>
    </row>
    <row r="34" spans="1:9" x14ac:dyDescent="0.3">
      <c r="A34" t="s">
        <v>293</v>
      </c>
      <c r="B34" s="48" t="s">
        <v>294</v>
      </c>
      <c r="C34" s="794">
        <f>GETPIVOTDATA("Sum of HFSV - alarms installed",HFSVLAPivot!$B$3,"Council",B34)</f>
        <v>41</v>
      </c>
      <c r="D34" s="794">
        <f>GETPIVOTDATA("Sum of HFSV - advice only",HFSVLAPivot!$B$3,"Council",B34)</f>
        <v>442</v>
      </c>
      <c r="E34" s="985">
        <f>GETPIVOTDATA("Sum of Total HFSV",HFSVLAPivot!$B$3,"Council",B34)</f>
        <v>483</v>
      </c>
      <c r="F34" s="794">
        <f>GETPIVOTDATA("Sum of TotalNewAlarms",HFSVLAPivot!$B$3,"Council",B34)</f>
        <v>0</v>
      </c>
      <c r="G34" s="794">
        <f>GETPIVOTDATA("Sum of TotalReplacedAlarms",HFSVLAPivot!$B$3,"Council",B34)</f>
        <v>0</v>
      </c>
      <c r="H34" s="986">
        <f>GETPIVOTDATA("Sum of TotalAlarms",HFSVLAPivot!$B$3,"Council",B34)</f>
        <v>128</v>
      </c>
    </row>
    <row r="35" spans="1:9" x14ac:dyDescent="0.3">
      <c r="A35" t="s">
        <v>295</v>
      </c>
      <c r="B35" s="48" t="s">
        <v>296</v>
      </c>
      <c r="C35" s="794">
        <f>GETPIVOTDATA("Sum of HFSV - alarms installed",HFSVLAPivot!$B$3,"Council",B35)</f>
        <v>226</v>
      </c>
      <c r="D35" s="794">
        <f>GETPIVOTDATA("Sum of HFSV - advice only",HFSVLAPivot!$B$3,"Council",B35)</f>
        <v>501</v>
      </c>
      <c r="E35" s="985">
        <f>GETPIVOTDATA("Sum of Total HFSV",HFSVLAPivot!$B$3,"Council",B35)</f>
        <v>727</v>
      </c>
      <c r="F35" s="794">
        <f>GETPIVOTDATA("Sum of TotalNewAlarms",HFSVLAPivot!$B$3,"Council",B35)</f>
        <v>0</v>
      </c>
      <c r="G35" s="794">
        <f>GETPIVOTDATA("Sum of TotalReplacedAlarms",HFSVLAPivot!$B$3,"Council",B35)</f>
        <v>0</v>
      </c>
      <c r="H35" s="986">
        <f>GETPIVOTDATA("Sum of TotalAlarms",HFSVLAPivot!$B$3,"Council",B35)</f>
        <v>703</v>
      </c>
    </row>
    <row r="36" spans="1:9" x14ac:dyDescent="0.3">
      <c r="A36" t="s">
        <v>297</v>
      </c>
      <c r="B36" s="48" t="s">
        <v>298</v>
      </c>
      <c r="C36" s="794">
        <f>GETPIVOTDATA("Sum of HFSV - alarms installed",HFSVLAPivot!$B$3,"Council",B36)</f>
        <v>128</v>
      </c>
      <c r="D36" s="794">
        <f>GETPIVOTDATA("Sum of HFSV - advice only",HFSVLAPivot!$B$3,"Council",B36)</f>
        <v>463</v>
      </c>
      <c r="E36" s="985">
        <f>GETPIVOTDATA("Sum of Total HFSV",HFSVLAPivot!$B$3,"Council",B36)</f>
        <v>591</v>
      </c>
      <c r="F36" s="794">
        <f>GETPIVOTDATA("Sum of TotalNewAlarms",HFSVLAPivot!$B$3,"Council",B36)</f>
        <v>0</v>
      </c>
      <c r="G36" s="794">
        <f>GETPIVOTDATA("Sum of TotalReplacedAlarms",HFSVLAPivot!$B$3,"Council",B36)</f>
        <v>0</v>
      </c>
      <c r="H36" s="986">
        <f>GETPIVOTDATA("Sum of TotalAlarms",HFSVLAPivot!$B$3,"Council",B36)</f>
        <v>361</v>
      </c>
    </row>
    <row r="37" spans="1:9" x14ac:dyDescent="0.3">
      <c r="A37" t="s">
        <v>299</v>
      </c>
      <c r="B37" s="48" t="s">
        <v>300</v>
      </c>
      <c r="C37" s="794">
        <f>GETPIVOTDATA("Sum of HFSV - alarms installed",HFSVLAPivot!$B$3,"Council",B37)</f>
        <v>13</v>
      </c>
      <c r="D37" s="794">
        <f>GETPIVOTDATA("Sum of HFSV - advice only",HFSVLAPivot!$B$3,"Council",B37)</f>
        <v>66</v>
      </c>
      <c r="E37" s="985">
        <f>GETPIVOTDATA("Sum of Total HFSV",HFSVLAPivot!$B$3,"Council",B37)</f>
        <v>79</v>
      </c>
      <c r="F37" s="794">
        <f>GETPIVOTDATA("Sum of TotalNewAlarms",HFSVLAPivot!$B$3,"Council",B37)</f>
        <v>0</v>
      </c>
      <c r="G37" s="794">
        <f>GETPIVOTDATA("Sum of TotalReplacedAlarms",HFSVLAPivot!$B$3,"Council",B37)</f>
        <v>0</v>
      </c>
      <c r="H37" s="986">
        <f>GETPIVOTDATA("Sum of TotalAlarms",HFSVLAPivot!$B$3,"Council",B37)</f>
        <v>56</v>
      </c>
    </row>
    <row r="38" spans="1:9" x14ac:dyDescent="0.3">
      <c r="A38" t="s">
        <v>301</v>
      </c>
      <c r="B38" s="48" t="s">
        <v>302</v>
      </c>
      <c r="C38" s="794">
        <f>GETPIVOTDATA("Sum of HFSV - alarms installed",HFSVLAPivot!$B$3,"Council",B38)</f>
        <v>68</v>
      </c>
      <c r="D38" s="794">
        <f>GETPIVOTDATA("Sum of HFSV - advice only",HFSVLAPivot!$B$3,"Council",B38)</f>
        <v>372</v>
      </c>
      <c r="E38" s="985">
        <f>GETPIVOTDATA("Sum of Total HFSV",HFSVLAPivot!$B$3,"Council",B38)</f>
        <v>440</v>
      </c>
      <c r="F38" s="794">
        <f>GETPIVOTDATA("Sum of TotalNewAlarms",HFSVLAPivot!$B$3,"Council",B38)</f>
        <v>0</v>
      </c>
      <c r="G38" s="794">
        <f>GETPIVOTDATA("Sum of TotalReplacedAlarms",HFSVLAPivot!$B$3,"Council",B38)</f>
        <v>0</v>
      </c>
      <c r="H38" s="986">
        <f>GETPIVOTDATA("Sum of TotalAlarms",HFSVLAPivot!$B$3,"Council",B38)</f>
        <v>191</v>
      </c>
    </row>
    <row r="39" spans="1:9" x14ac:dyDescent="0.3">
      <c r="A39" t="s">
        <v>303</v>
      </c>
      <c r="B39" s="48" t="s">
        <v>304</v>
      </c>
      <c r="C39" s="794">
        <f>GETPIVOTDATA("Sum of HFSV - alarms installed",HFSVLAPivot!$B$3,"Council",B39)</f>
        <v>300</v>
      </c>
      <c r="D39" s="794">
        <f>GETPIVOTDATA("Sum of HFSV - advice only",HFSVLAPivot!$B$3,"Council",B39)</f>
        <v>953</v>
      </c>
      <c r="E39" s="985">
        <f>GETPIVOTDATA("Sum of Total HFSV",HFSVLAPivot!$B$3,"Council",B39)</f>
        <v>1253</v>
      </c>
      <c r="F39" s="794">
        <f>GETPIVOTDATA("Sum of TotalNewAlarms",HFSVLAPivot!$B$3,"Council",B39)</f>
        <v>0</v>
      </c>
      <c r="G39" s="794">
        <f>GETPIVOTDATA("Sum of TotalReplacedAlarms",HFSVLAPivot!$B$3,"Council",B39)</f>
        <v>0</v>
      </c>
      <c r="H39" s="986">
        <f>GETPIVOTDATA("Sum of TotalAlarms",HFSVLAPivot!$B$3,"Council",B39)</f>
        <v>1052</v>
      </c>
    </row>
    <row r="40" spans="1:9" x14ac:dyDescent="0.3">
      <c r="A40" t="s">
        <v>306</v>
      </c>
      <c r="B40" s="48" t="s">
        <v>307</v>
      </c>
      <c r="C40" s="794">
        <f>GETPIVOTDATA("Sum of HFSV - alarms installed",HFSVLAPivot!$B$3,"Council",B40)</f>
        <v>41</v>
      </c>
      <c r="D40" s="794">
        <f>GETPIVOTDATA("Sum of HFSV - advice only",HFSVLAPivot!$B$3,"Council",B40)</f>
        <v>207</v>
      </c>
      <c r="E40" s="985">
        <f>GETPIVOTDATA("Sum of Total HFSV",HFSVLAPivot!$B$3,"Council",B40)</f>
        <v>248</v>
      </c>
      <c r="F40" s="794">
        <f>GETPIVOTDATA("Sum of TotalNewAlarms",HFSVLAPivot!$B$3,"Council",B40)</f>
        <v>0</v>
      </c>
      <c r="G40" s="794">
        <f>GETPIVOTDATA("Sum of TotalReplacedAlarms",HFSVLAPivot!$B$3,"Council",B40)</f>
        <v>0</v>
      </c>
      <c r="H40" s="986">
        <f>GETPIVOTDATA("Sum of TotalAlarms",HFSVLAPivot!$B$3,"Council",B40)</f>
        <v>126</v>
      </c>
    </row>
    <row r="41" spans="1:9" x14ac:dyDescent="0.3">
      <c r="A41" t="s">
        <v>308</v>
      </c>
      <c r="B41" s="48" t="s">
        <v>309</v>
      </c>
      <c r="C41" s="794">
        <f>GETPIVOTDATA("Sum of HFSV - alarms installed",HFSVLAPivot!$B$3,"Council",B41)</f>
        <v>73</v>
      </c>
      <c r="D41" s="794">
        <f>GETPIVOTDATA("Sum of HFSV - advice only",HFSVLAPivot!$B$3,"Council",B41)</f>
        <v>262</v>
      </c>
      <c r="E41" s="985">
        <f>GETPIVOTDATA("Sum of Total HFSV",HFSVLAPivot!$B$3,"Council",B41)</f>
        <v>335</v>
      </c>
      <c r="F41" s="794">
        <f>GETPIVOTDATA("Sum of TotalNewAlarms",HFSVLAPivot!$B$3,"Council",B41)</f>
        <v>0</v>
      </c>
      <c r="G41" s="794">
        <f>GETPIVOTDATA("Sum of TotalReplacedAlarms",HFSVLAPivot!$B$3,"Council",B41)</f>
        <v>0</v>
      </c>
      <c r="H41" s="986">
        <f>GETPIVOTDATA("Sum of TotalAlarms",HFSVLAPivot!$B$3,"Council",B41)</f>
        <v>237</v>
      </c>
    </row>
    <row r="42" spans="1:9" x14ac:dyDescent="0.3">
      <c r="A42" t="s">
        <v>310</v>
      </c>
      <c r="B42" s="48" t="s">
        <v>311</v>
      </c>
      <c r="C42" s="794">
        <f>GETPIVOTDATA("Sum of HFSV - alarms installed",HFSVLAPivot!$B$3,"Council",B42)</f>
        <v>116</v>
      </c>
      <c r="D42" s="794">
        <f>GETPIVOTDATA("Sum of HFSV - advice only",HFSVLAPivot!$B$3,"Council",B42)</f>
        <v>499</v>
      </c>
      <c r="E42" s="987">
        <f>GETPIVOTDATA("Sum of Total HFSV",HFSVLAPivot!$B$3,"Council",B42)</f>
        <v>615</v>
      </c>
      <c r="F42" s="794">
        <f>GETPIVOTDATA("Sum of TotalNewAlarms",HFSVLAPivot!$B$3,"Council",B42)</f>
        <v>0</v>
      </c>
      <c r="G42" s="794">
        <f>GETPIVOTDATA("Sum of TotalReplacedAlarms",HFSVLAPivot!$B$3,"Council",B42)</f>
        <v>0</v>
      </c>
      <c r="H42" s="988">
        <f>GETPIVOTDATA("Sum of TotalAlarms",HFSVLAPivot!$B$3,"Council",B42)</f>
        <v>397</v>
      </c>
    </row>
    <row r="43" spans="1:9" ht="18.75" customHeight="1" thickBot="1" x14ac:dyDescent="0.35">
      <c r="A43" s="33"/>
      <c r="B43" s="33" t="s">
        <v>348</v>
      </c>
      <c r="C43" s="998">
        <f>SUM(C11:C42)</f>
        <v>3481</v>
      </c>
      <c r="D43" s="998">
        <f>SUM(D11:D42)</f>
        <v>16942</v>
      </c>
      <c r="E43" s="999">
        <f t="shared" ref="E43:H43" si="0">SUM(E11:E42)</f>
        <v>20423</v>
      </c>
      <c r="F43" s="998">
        <f t="shared" si="0"/>
        <v>0</v>
      </c>
      <c r="G43" s="998">
        <f t="shared" si="0"/>
        <v>0</v>
      </c>
      <c r="H43" s="999">
        <f t="shared" si="0"/>
        <v>10740</v>
      </c>
    </row>
    <row r="44" spans="1:9" x14ac:dyDescent="0.3">
      <c r="B44" s="12"/>
      <c r="C44" s="47"/>
      <c r="D44" s="47"/>
      <c r="E44" s="62"/>
    </row>
    <row r="45" spans="1:9" x14ac:dyDescent="0.3">
      <c r="A45" s="312" t="s">
        <v>329</v>
      </c>
    </row>
    <row r="46" spans="1:9" ht="44.1" customHeight="1" x14ac:dyDescent="0.3">
      <c r="A46" s="1029" t="s">
        <v>1098</v>
      </c>
      <c r="B46" s="1029"/>
      <c r="C46" s="1029"/>
      <c r="D46" s="1029"/>
      <c r="E46" s="1029"/>
      <c r="F46" s="1029"/>
      <c r="G46" s="1029"/>
      <c r="H46" s="1029"/>
      <c r="I46" s="1029"/>
    </row>
    <row r="47" spans="1:9" s="459" customFormat="1" ht="46.5" customHeight="1" x14ac:dyDescent="0.3">
      <c r="A47" s="1029" t="s">
        <v>925</v>
      </c>
      <c r="B47" s="1029"/>
      <c r="C47" s="1029"/>
      <c r="D47" s="1029"/>
      <c r="E47" s="1029"/>
      <c r="F47" s="1029"/>
      <c r="G47" s="1029"/>
      <c r="H47" s="1029"/>
      <c r="I47" s="1029"/>
    </row>
    <row r="48" spans="1:9" ht="44.4" customHeight="1" x14ac:dyDescent="0.3">
      <c r="A48" s="1033" t="s">
        <v>926</v>
      </c>
      <c r="B48" s="1033"/>
      <c r="C48" s="1033"/>
      <c r="D48" s="1033"/>
      <c r="E48" s="1033"/>
      <c r="F48" s="1033"/>
      <c r="G48" s="1033"/>
    </row>
  </sheetData>
  <sheetProtection algorithmName="SHA-512" hashValue="GH2XckEOHuCXMZ/Znsk7VjPih1PzwX+v7dGWegIlpG7vAfcUlQUgGwe96tX44yyO0rf9TmOm7ib3JfffQ6eRQw==" saltValue="KNKvznTpUN+h6jGG9lSPaQ==" spinCount="100000" sheet="1" scenarios="1" formatCells="0" sort="0" autoFilter="0" pivotTables="0"/>
  <mergeCells count="3">
    <mergeCell ref="A46:I46"/>
    <mergeCell ref="A47:I47"/>
    <mergeCell ref="A48:G48"/>
  </mergeCells>
  <hyperlinks>
    <hyperlink ref="A2" location="'Table of Contents'!A1" display="Back to Table of Contents" xr:uid="{00000000-0004-0000-8F00-000000000000}"/>
  </hyperlinks>
  <pageMargins left="0.70866141732283472" right="0.70866141732283472" top="0.74803149606299213" bottom="0.74803149606299213" header="0.31496062992125984" footer="0.31496062992125984"/>
  <pageSetup paperSize="9" orientation="portrait" r:id="rId1"/>
  <drawing r:id="rId2"/>
  <extLst>
    <ext xmlns:x14="http://schemas.microsoft.com/office/spreadsheetml/2009/9/main" uri="{A8765BA9-456A-4dab-B4F3-ACF838C121DE}">
      <x14:slicerList>
        <x14:slicer r:id="rId3"/>
      </x14:slicerList>
    </ext>
  </extLst>
</worksheet>
</file>

<file path=xl/worksheets/sheet1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Sheet30">
    <tabColor theme="7" tint="-0.249977111117893"/>
  </sheetPr>
  <dimension ref="A1:I48"/>
  <sheetViews>
    <sheetView showGridLines="0" zoomScaleNormal="100" workbookViewId="0">
      <pane ySplit="2" topLeftCell="A3" activePane="bottomLeft" state="frozen"/>
      <selection pane="bottomLeft"/>
    </sheetView>
  </sheetViews>
  <sheetFormatPr defaultRowHeight="14.4" x14ac:dyDescent="0.3"/>
  <cols>
    <col min="1" max="1" width="17.33203125" customWidth="1"/>
    <col min="2" max="2" width="22.5546875" bestFit="1" customWidth="1"/>
    <col min="3" max="6" width="14.109375" customWidth="1"/>
  </cols>
  <sheetData>
    <row r="1" spans="1:6" ht="29.4" customHeight="1" x14ac:dyDescent="0.3">
      <c r="A1" s="513" t="s">
        <v>915</v>
      </c>
    </row>
    <row r="2" spans="1:6" x14ac:dyDescent="0.3">
      <c r="A2" s="498" t="s">
        <v>202</v>
      </c>
    </row>
    <row r="4" spans="1:6" ht="15.6" x14ac:dyDescent="0.3">
      <c r="A4" s="438" t="s">
        <v>1099</v>
      </c>
      <c r="B4" s="499"/>
    </row>
    <row r="5" spans="1:6" x14ac:dyDescent="0.3">
      <c r="A5" t="s">
        <v>203</v>
      </c>
      <c r="B5" t="s">
        <v>164</v>
      </c>
    </row>
    <row r="6" spans="1:6" x14ac:dyDescent="0.3">
      <c r="A6" t="s">
        <v>204</v>
      </c>
      <c r="B6" t="s">
        <v>205</v>
      </c>
    </row>
    <row r="7" spans="1:6" x14ac:dyDescent="0.3">
      <c r="A7" t="s">
        <v>206</v>
      </c>
      <c r="B7" t="s">
        <v>917</v>
      </c>
    </row>
    <row r="9" spans="1:6" x14ac:dyDescent="0.3">
      <c r="A9" s="312" t="s">
        <v>208</v>
      </c>
      <c r="B9" s="312" t="str">
        <f>'HFSVs LA'!B9</f>
        <v>2025-26</v>
      </c>
    </row>
    <row r="10" spans="1:6" ht="15" customHeight="1" x14ac:dyDescent="0.3">
      <c r="B10" s="15"/>
      <c r="C10" s="300"/>
      <c r="D10" s="320" t="s">
        <v>94</v>
      </c>
      <c r="E10" s="1080" t="s">
        <v>1100</v>
      </c>
      <c r="F10" s="1080"/>
    </row>
    <row r="11" spans="1:6" ht="53.4" x14ac:dyDescent="0.3">
      <c r="A11" s="78" t="s">
        <v>209</v>
      </c>
      <c r="B11" s="78" t="s">
        <v>34</v>
      </c>
      <c r="C11" s="226" t="s">
        <v>930</v>
      </c>
      <c r="D11" s="226" t="s">
        <v>1101</v>
      </c>
      <c r="E11" s="530" t="s">
        <v>930</v>
      </c>
      <c r="F11" s="531" t="s">
        <v>929</v>
      </c>
    </row>
    <row r="12" spans="1:6" ht="20.25" customHeight="1" x14ac:dyDescent="0.3">
      <c r="A12" t="s">
        <v>214</v>
      </c>
      <c r="B12" s="48" t="s">
        <v>215</v>
      </c>
      <c r="C12" s="756">
        <f>IF(OR($B$9 = "2021-22", $B$9 = "2022-23"), "-", 'HFSVs LA'!C11/'HFSVs LA'!E11*100)</f>
        <v>5.3962900505902187</v>
      </c>
      <c r="D12" s="756">
        <f>IF(OR($B$9 = "2021-22", $B$9 = "2022-23"), "-", 'HFSVs LA'!D11/'HFSVs LA'!E11*100)</f>
        <v>94.603709949409776</v>
      </c>
      <c r="E12" s="723">
        <f>IFERROR(IF(OR($B$9 = "2021-22", $B$9 = "2022-23"), "-",'HFSVs LA'!H11/'HFSVs LA'!C11), "-")</f>
        <v>2.78125</v>
      </c>
      <c r="F12" s="724">
        <f>IF(OR($B$9 = "2021-22", $B$9 = "2022-23"), "-", 'HFSVs LA'!H11/'HFSVs LA'!E11)</f>
        <v>0.15008431703204048</v>
      </c>
    </row>
    <row r="13" spans="1:6" x14ac:dyDescent="0.3">
      <c r="A13" t="s">
        <v>219</v>
      </c>
      <c r="B13" s="48" t="s">
        <v>220</v>
      </c>
      <c r="C13" s="756">
        <f>IF(OR($B$9 = "2021-22", $B$9 = "2022-23"), "-", 'HFSVs LA'!C12/'HFSVs LA'!E12*100)</f>
        <v>11.504424778761061</v>
      </c>
      <c r="D13" s="756">
        <f>IF(OR($B$9 = "2021-22", $B$9 = "2022-23"), "-", 'HFSVs LA'!D12/'HFSVs LA'!E12*100)</f>
        <v>88.495575221238937</v>
      </c>
      <c r="E13" s="723">
        <f>IFERROR(IF(OR($B$9 = "2021-22", $B$9 = "2022-23"), "-",'HFSVs LA'!H12/'HFSVs LA'!C12), "-")</f>
        <v>2.8615384615384616</v>
      </c>
      <c r="F13" s="724">
        <f>IF(OR($B$9 = "2021-22", $B$9 = "2022-23"), "-", 'HFSVs LA'!H12/'HFSVs LA'!E12)</f>
        <v>0.32920353982300887</v>
      </c>
    </row>
    <row r="14" spans="1:6" x14ac:dyDescent="0.3">
      <c r="A14" t="s">
        <v>223</v>
      </c>
      <c r="B14" s="48" t="s">
        <v>224</v>
      </c>
      <c r="C14" s="756">
        <f>IF(OR($B$9 = "2021-22", $B$9 = "2022-23"), "-", 'HFSVs LA'!C13/'HFSVs LA'!E13*100)</f>
        <v>15.306122448979592</v>
      </c>
      <c r="D14" s="756">
        <f>IF(OR($B$9 = "2021-22", $B$9 = "2022-23"), "-", 'HFSVs LA'!D13/'HFSVs LA'!E13*100)</f>
        <v>84.693877551020407</v>
      </c>
      <c r="E14" s="723">
        <f>IFERROR(IF(OR($B$9 = "2021-22", $B$9 = "2022-23"), "-",'HFSVs LA'!H13/'HFSVs LA'!C13), "-")</f>
        <v>3.0333333333333332</v>
      </c>
      <c r="F14" s="724">
        <f>IF(OR($B$9 = "2021-22", $B$9 = "2022-23"), "-", 'HFSVs LA'!H13/'HFSVs LA'!E13)</f>
        <v>0.4642857142857143</v>
      </c>
    </row>
    <row r="15" spans="1:6" x14ac:dyDescent="0.3">
      <c r="A15" t="s">
        <v>227</v>
      </c>
      <c r="B15" s="48" t="s">
        <v>228</v>
      </c>
      <c r="C15" s="756">
        <f>IF(OR($B$9 = "2021-22", $B$9 = "2022-23"), "-", 'HFSVs LA'!C14/'HFSVs LA'!E14*100)</f>
        <v>19.845360824742269</v>
      </c>
      <c r="D15" s="756">
        <f>IF(OR($B$9 = "2021-22", $B$9 = "2022-23"), "-", 'HFSVs LA'!D14/'HFSVs LA'!E14*100)</f>
        <v>80.154639175257742</v>
      </c>
      <c r="E15" s="723">
        <f>IFERROR(IF(OR($B$9 = "2021-22", $B$9 = "2022-23"), "-",'HFSVs LA'!H14/'HFSVs LA'!C14), "-")</f>
        <v>3.3246753246753249</v>
      </c>
      <c r="F15" s="724">
        <f>IF(OR($B$9 = "2021-22", $B$9 = "2022-23"), "-", 'HFSVs LA'!H14/'HFSVs LA'!E14)</f>
        <v>0.65979381443298968</v>
      </c>
    </row>
    <row r="16" spans="1:6" x14ac:dyDescent="0.3">
      <c r="A16" t="s">
        <v>233</v>
      </c>
      <c r="B16" s="48" t="s">
        <v>234</v>
      </c>
      <c r="C16" s="756">
        <f>IF(OR($B$9 = "2021-22", $B$9 = "2022-23"), "-", 'HFSVs LA'!C15/'HFSVs LA'!E15*100)</f>
        <v>15.117219078415523</v>
      </c>
      <c r="D16" s="756">
        <f>IF(OR($B$9 = "2021-22", $B$9 = "2022-23"), "-", 'HFSVs LA'!D15/'HFSVs LA'!E15*100)</f>
        <v>84.882780921584484</v>
      </c>
      <c r="E16" s="723">
        <f>IFERROR(IF(OR($B$9 = "2021-22", $B$9 = "2022-23"), "-",'HFSVs LA'!H15/'HFSVs LA'!C15), "-")</f>
        <v>2.5294117647058822</v>
      </c>
      <c r="F16" s="724">
        <f>IF(OR($B$9 = "2021-22", $B$9 = "2022-23"), "-", 'HFSVs LA'!H15/'HFSVs LA'!E15)</f>
        <v>0.38237671786580435</v>
      </c>
    </row>
    <row r="17" spans="1:6" x14ac:dyDescent="0.3">
      <c r="A17" t="s">
        <v>239</v>
      </c>
      <c r="B17" s="48" t="s">
        <v>240</v>
      </c>
      <c r="C17" s="756">
        <f>IF(OR($B$9 = "2021-22", $B$9 = "2022-23"), "-", 'HFSVs LA'!C16/'HFSVs LA'!E16*100)</f>
        <v>18.877551020408163</v>
      </c>
      <c r="D17" s="756">
        <f>IF(OR($B$9 = "2021-22", $B$9 = "2022-23"), "-", 'HFSVs LA'!D16/'HFSVs LA'!E16*100)</f>
        <v>81.122448979591837</v>
      </c>
      <c r="E17" s="723">
        <f>IFERROR(IF(OR($B$9 = "2021-22", $B$9 = "2022-23"), "-",'HFSVs LA'!H16/'HFSVs LA'!C16), "-")</f>
        <v>2.6486486486486487</v>
      </c>
      <c r="F17" s="724">
        <f>IF(OR($B$9 = "2021-22", $B$9 = "2022-23"), "-", 'HFSVs LA'!H16/'HFSVs LA'!E16)</f>
        <v>0.5</v>
      </c>
    </row>
    <row r="18" spans="1:6" x14ac:dyDescent="0.3">
      <c r="A18" t="s">
        <v>243</v>
      </c>
      <c r="B18" s="48" t="s">
        <v>244</v>
      </c>
      <c r="C18" s="756">
        <f>IF(OR($B$9 = "2021-22", $B$9 = "2022-23"), "-", 'HFSVs LA'!C17/'HFSVs LA'!E17*100)</f>
        <v>32.412790697674424</v>
      </c>
      <c r="D18" s="756">
        <f>IF(OR($B$9 = "2021-22", $B$9 = "2022-23"), "-", 'HFSVs LA'!D17/'HFSVs LA'!E17*100)</f>
        <v>67.587209302325576</v>
      </c>
      <c r="E18" s="723">
        <f>IFERROR(IF(OR($B$9 = "2021-22", $B$9 = "2022-23"), "-",'HFSVs LA'!H17/'HFSVs LA'!C17), "-")</f>
        <v>3.4977578475336322</v>
      </c>
      <c r="F18" s="724">
        <f>IF(OR($B$9 = "2021-22", $B$9 = "2022-23"), "-", 'HFSVs LA'!H17/'HFSVs LA'!E17)</f>
        <v>1.1337209302325582</v>
      </c>
    </row>
    <row r="19" spans="1:6" x14ac:dyDescent="0.3">
      <c r="A19" t="s">
        <v>246</v>
      </c>
      <c r="B19" s="48" t="s">
        <v>247</v>
      </c>
      <c r="C19" s="756">
        <f>IF(OR($B$9 = "2021-22", $B$9 = "2022-23"), "-", 'HFSVs LA'!C18/'HFSVs LA'!E18*100)</f>
        <v>9.3506493506493502</v>
      </c>
      <c r="D19" s="756">
        <f>IF(OR($B$9 = "2021-22", $B$9 = "2022-23"), "-", 'HFSVs LA'!D18/'HFSVs LA'!E18*100)</f>
        <v>90.649350649350652</v>
      </c>
      <c r="E19" s="723">
        <f>IFERROR(IF(OR($B$9 = "2021-22", $B$9 = "2022-23"), "-",'HFSVs LA'!H18/'HFSVs LA'!C18), "-")</f>
        <v>2.4861111111111112</v>
      </c>
      <c r="F19" s="724">
        <f>IF(OR($B$9 = "2021-22", $B$9 = "2022-23"), "-", 'HFSVs LA'!H18/'HFSVs LA'!E18)</f>
        <v>0.23246753246753246</v>
      </c>
    </row>
    <row r="20" spans="1:6" x14ac:dyDescent="0.3">
      <c r="A20" t="s">
        <v>248</v>
      </c>
      <c r="B20" s="48" t="s">
        <v>249</v>
      </c>
      <c r="C20" s="756">
        <f>IF(OR($B$9 = "2021-22", $B$9 = "2022-23"), "-", 'HFSVs LA'!C19/'HFSVs LA'!E19*100)</f>
        <v>16.596343178621659</v>
      </c>
      <c r="D20" s="756">
        <f>IF(OR($B$9 = "2021-22", $B$9 = "2022-23"), "-", 'HFSVs LA'!D19/'HFSVs LA'!E19*100)</f>
        <v>83.403656821378334</v>
      </c>
      <c r="E20" s="723">
        <f>IFERROR(IF(OR($B$9 = "2021-22", $B$9 = "2022-23"), "-",'HFSVs LA'!H19/'HFSVs LA'!C19), "-")</f>
        <v>2.652542372881356</v>
      </c>
      <c r="F20" s="724">
        <f>IF(OR($B$9 = "2021-22", $B$9 = "2022-23"), "-", 'HFSVs LA'!H19/'HFSVs LA'!E19)</f>
        <v>0.44022503516174405</v>
      </c>
    </row>
    <row r="21" spans="1:6" x14ac:dyDescent="0.3">
      <c r="A21" t="s">
        <v>252</v>
      </c>
      <c r="B21" s="48" t="s">
        <v>253</v>
      </c>
      <c r="C21" s="756">
        <f>IF(OR($B$9 = "2021-22", $B$9 = "2022-23"), "-", 'HFSVs LA'!C20/'HFSVs LA'!E20*100)</f>
        <v>28.726287262872631</v>
      </c>
      <c r="D21" s="756">
        <f>IF(OR($B$9 = "2021-22", $B$9 = "2022-23"), "-", 'HFSVs LA'!D20/'HFSVs LA'!E20*100)</f>
        <v>71.273712737127369</v>
      </c>
      <c r="E21" s="723">
        <f>IFERROR(IF(OR($B$9 = "2021-22", $B$9 = "2022-23"), "-",'HFSVs LA'!H20/'HFSVs LA'!C20), "-")</f>
        <v>3.3018867924528301</v>
      </c>
      <c r="F21" s="724">
        <f>IF(OR($B$9 = "2021-22", $B$9 = "2022-23"), "-", 'HFSVs LA'!H20/'HFSVs LA'!E20)</f>
        <v>0.948509485094851</v>
      </c>
    </row>
    <row r="22" spans="1:6" x14ac:dyDescent="0.3">
      <c r="A22" t="s">
        <v>254</v>
      </c>
      <c r="B22" s="48" t="s">
        <v>255</v>
      </c>
      <c r="C22" s="756">
        <f>IF(OR($B$9 = "2021-22", $B$9 = "2022-23"), "-", 'HFSVs LA'!C21/'HFSVs LA'!E21*100)</f>
        <v>15.135135135135137</v>
      </c>
      <c r="D22" s="756">
        <f>IF(OR($B$9 = "2021-22", $B$9 = "2022-23"), "-", 'HFSVs LA'!D21/'HFSVs LA'!E21*100)</f>
        <v>84.86486486486487</v>
      </c>
      <c r="E22" s="723">
        <f>IFERROR(IF(OR($B$9 = "2021-22", $B$9 = "2022-23"), "-",'HFSVs LA'!H21/'HFSVs LA'!C21), "-")</f>
        <v>2.4821428571428572</v>
      </c>
      <c r="F22" s="724">
        <f>IF(OR($B$9 = "2021-22", $B$9 = "2022-23"), "-", 'HFSVs LA'!H21/'HFSVs LA'!E21)</f>
        <v>0.37567567567567567</v>
      </c>
    </row>
    <row r="23" spans="1:6" x14ac:dyDescent="0.3">
      <c r="A23" t="s">
        <v>258</v>
      </c>
      <c r="B23" s="48" t="s">
        <v>259</v>
      </c>
      <c r="C23" s="756">
        <f>IF(OR($B$9 = "2021-22", $B$9 = "2022-23"), "-", 'HFSVs LA'!C22/'HFSVs LA'!E22*100)</f>
        <v>18.328840970350406</v>
      </c>
      <c r="D23" s="756">
        <f>IF(OR($B$9 = "2021-22", $B$9 = "2022-23"), "-", 'HFSVs LA'!D22/'HFSVs LA'!E22*100)</f>
        <v>81.671159029649601</v>
      </c>
      <c r="E23" s="723">
        <f>IFERROR(IF(OR($B$9 = "2021-22", $B$9 = "2022-23"), "-",'HFSVs LA'!H22/'HFSVs LA'!C22), "-")</f>
        <v>2.9852941176470589</v>
      </c>
      <c r="F23" s="724">
        <f>IF(OR($B$9 = "2021-22", $B$9 = "2022-23"), "-", 'HFSVs LA'!H22/'HFSVs LA'!E22)</f>
        <v>0.54716981132075471</v>
      </c>
    </row>
    <row r="24" spans="1:6" x14ac:dyDescent="0.3">
      <c r="A24" t="s">
        <v>262</v>
      </c>
      <c r="B24" s="48" t="s">
        <v>263</v>
      </c>
      <c r="C24" s="756">
        <f>IF(OR($B$9 = "2021-22", $B$9 = "2022-23"), "-", 'HFSVs LA'!C23/'HFSVs LA'!E23*100)</f>
        <v>20.089285714285715</v>
      </c>
      <c r="D24" s="756">
        <f>IF(OR($B$9 = "2021-22", $B$9 = "2022-23"), "-", 'HFSVs LA'!D23/'HFSVs LA'!E23*100)</f>
        <v>79.910714285714292</v>
      </c>
      <c r="E24" s="723">
        <f>IFERROR(IF(OR($B$9 = "2021-22", $B$9 = "2022-23"), "-",'HFSVs LA'!H23/'HFSVs LA'!C23), "-")</f>
        <v>3.2</v>
      </c>
      <c r="F24" s="724">
        <f>IF(OR($B$9 = "2021-22", $B$9 = "2022-23"), "-", 'HFSVs LA'!H23/'HFSVs LA'!E23)</f>
        <v>0.6428571428571429</v>
      </c>
    </row>
    <row r="25" spans="1:6" x14ac:dyDescent="0.3">
      <c r="A25" t="s">
        <v>1092</v>
      </c>
      <c r="B25" s="48" t="s">
        <v>267</v>
      </c>
      <c r="C25" s="756">
        <f>IF(OR($B$9 = "2021-22", $B$9 = "2022-23"), "-", 'HFSVs LA'!C24/'HFSVs LA'!E24*100)</f>
        <v>24.773662551440328</v>
      </c>
      <c r="D25" s="756">
        <f>IF(OR($B$9 = "2021-22", $B$9 = "2022-23"), "-", 'HFSVs LA'!D24/'HFSVs LA'!E24*100)</f>
        <v>75.226337448559661</v>
      </c>
      <c r="E25" s="723">
        <f>IFERROR(IF(OR($B$9 = "2021-22", $B$9 = "2022-23"), "-",'HFSVs LA'!H24/'HFSVs LA'!C24), "-")</f>
        <v>3.4053156146179404</v>
      </c>
      <c r="F25" s="724">
        <f>IF(OR($B$9 = "2021-22", $B$9 = "2022-23"), "-", 'HFSVs LA'!H24/'HFSVs LA'!E24)</f>
        <v>0.84362139917695478</v>
      </c>
    </row>
    <row r="26" spans="1:6" x14ac:dyDescent="0.3">
      <c r="A26" t="s">
        <v>269</v>
      </c>
      <c r="B26" s="48" t="s">
        <v>270</v>
      </c>
      <c r="C26" s="756">
        <f>IF(OR($B$9 = "2021-22", $B$9 = "2022-23"), "-", 'HFSVs LA'!C25/'HFSVs LA'!E25*100)</f>
        <v>12.5</v>
      </c>
      <c r="D26" s="756">
        <f>IF(OR($B$9 = "2021-22", $B$9 = "2022-23"), "-", 'HFSVs LA'!D25/'HFSVs LA'!E25*100)</f>
        <v>87.5</v>
      </c>
      <c r="E26" s="723">
        <f>IFERROR(IF(OR($B$9 = "2021-22", $B$9 = "2022-23"), "-",'HFSVs LA'!H25/'HFSVs LA'!C25), "-")</f>
        <v>2.8918269230769229</v>
      </c>
      <c r="F26" s="724">
        <f>IF(OR($B$9 = "2021-22", $B$9 = "2022-23"), "-", 'HFSVs LA'!H25/'HFSVs LA'!E25)</f>
        <v>0.36147836538461536</v>
      </c>
    </row>
    <row r="27" spans="1:6" x14ac:dyDescent="0.3">
      <c r="A27" t="s">
        <v>272</v>
      </c>
      <c r="B27" s="48" t="s">
        <v>273</v>
      </c>
      <c r="C27" s="756">
        <f>IF(OR($B$9 = "2021-22", $B$9 = "2022-23"), "-", 'HFSVs LA'!C26/'HFSVs LA'!E26*100)</f>
        <v>3.763440860215054</v>
      </c>
      <c r="D27" s="756">
        <f>IF(OR($B$9 = "2021-22", $B$9 = "2022-23"), "-", 'HFSVs LA'!D26/'HFSVs LA'!E26*100)</f>
        <v>96.236559139784944</v>
      </c>
      <c r="E27" s="723">
        <f>IFERROR(IF(OR($B$9 = "2021-22", $B$9 = "2022-23"), "-",'HFSVs LA'!H26/'HFSVs LA'!C26), "-")</f>
        <v>2.1666666666666665</v>
      </c>
      <c r="F27" s="724">
        <f>IF(OR($B$9 = "2021-22", $B$9 = "2022-23"), "-", 'HFSVs LA'!H26/'HFSVs LA'!E26)</f>
        <v>8.1541218637992838E-2</v>
      </c>
    </row>
    <row r="28" spans="1:6" x14ac:dyDescent="0.3">
      <c r="A28" t="s">
        <v>276</v>
      </c>
      <c r="B28" s="48" t="s">
        <v>277</v>
      </c>
      <c r="C28" s="756">
        <f>IF(OR($B$9 = "2021-22", $B$9 = "2022-23"), "-", 'HFSVs LA'!C27/'HFSVs LA'!E27*100)</f>
        <v>26.666666666666668</v>
      </c>
      <c r="D28" s="756">
        <f>IF(OR($B$9 = "2021-22", $B$9 = "2022-23"), "-", 'HFSVs LA'!D27/'HFSVs LA'!E27*100)</f>
        <v>73.333333333333329</v>
      </c>
      <c r="E28" s="723">
        <f>IFERROR(IF(OR($B$9 = "2021-22", $B$9 = "2022-23"), "-",'HFSVs LA'!H27/'HFSVs LA'!C27), "-")</f>
        <v>3.0892857142857144</v>
      </c>
      <c r="F28" s="724">
        <f>IF(OR($B$9 = "2021-22", $B$9 = "2022-23"), "-", 'HFSVs LA'!H27/'HFSVs LA'!E27)</f>
        <v>0.82380952380952377</v>
      </c>
    </row>
    <row r="29" spans="1:6" x14ac:dyDescent="0.3">
      <c r="A29" t="s">
        <v>278</v>
      </c>
      <c r="B29" s="48" t="s">
        <v>279</v>
      </c>
      <c r="C29" s="756">
        <f>IF(OR($B$9 = "2021-22", $B$9 = "2022-23"), "-", 'HFSVs LA'!C28/'HFSVs LA'!E28*100)</f>
        <v>23.722627737226276</v>
      </c>
      <c r="D29" s="756">
        <f>IF(OR($B$9 = "2021-22", $B$9 = "2022-23"), "-", 'HFSVs LA'!D28/'HFSVs LA'!E28*100)</f>
        <v>76.277372262773724</v>
      </c>
      <c r="E29" s="723">
        <f>IFERROR(IF(OR($B$9 = "2021-22", $B$9 = "2022-23"), "-",'HFSVs LA'!H28/'HFSVs LA'!C28), "-")</f>
        <v>2.7076923076923078</v>
      </c>
      <c r="F29" s="724">
        <f>IF(OR($B$9 = "2021-22", $B$9 = "2022-23"), "-", 'HFSVs LA'!H28/'HFSVs LA'!E28)</f>
        <v>0.64233576642335766</v>
      </c>
    </row>
    <row r="30" spans="1:6" x14ac:dyDescent="0.3">
      <c r="A30" t="s">
        <v>280</v>
      </c>
      <c r="B30" s="48" t="s">
        <v>281</v>
      </c>
      <c r="C30" s="756">
        <f>IF(OR($B$9 = "2021-22", $B$9 = "2022-23"), "-", 'HFSVs LA'!C29/'HFSVs LA'!E29*100)</f>
        <v>7.5601374570446733</v>
      </c>
      <c r="D30" s="756">
        <f>IF(OR($B$9 = "2021-22", $B$9 = "2022-23"), "-", 'HFSVs LA'!D29/'HFSVs LA'!E29*100)</f>
        <v>92.439862542955325</v>
      </c>
      <c r="E30" s="723">
        <f>IFERROR(IF(OR($B$9 = "2021-22", $B$9 = "2022-23"), "-",'HFSVs LA'!H29/'HFSVs LA'!C29), "-")</f>
        <v>2.7727272727272729</v>
      </c>
      <c r="F30" s="724">
        <f>IF(OR($B$9 = "2021-22", $B$9 = "2022-23"), "-", 'HFSVs LA'!H29/'HFSVs LA'!E29)</f>
        <v>0.20962199312714777</v>
      </c>
    </row>
    <row r="31" spans="1:6" x14ac:dyDescent="0.3">
      <c r="A31" t="s">
        <v>282</v>
      </c>
      <c r="B31" s="48" t="s">
        <v>283</v>
      </c>
      <c r="C31" s="756">
        <f>IF(OR($B$9 = "2021-22", $B$9 = "2022-23"), "-", 'HFSVs LA'!C30/'HFSVs LA'!E30*100)</f>
        <v>9.67741935483871</v>
      </c>
      <c r="D31" s="756">
        <f>IF(OR($B$9 = "2021-22", $B$9 = "2022-23"), "-", 'HFSVs LA'!D30/'HFSVs LA'!E30*100)</f>
        <v>90.322580645161281</v>
      </c>
      <c r="E31" s="723">
        <f>IFERROR(IF(OR($B$9 = "2021-22", $B$9 = "2022-23"), "-",'HFSVs LA'!H30/'HFSVs LA'!C30), "-")</f>
        <v>3</v>
      </c>
      <c r="F31" s="724">
        <f>IF(OR($B$9 = "2021-22", $B$9 = "2022-23"), "-", 'HFSVs LA'!H30/'HFSVs LA'!E30)</f>
        <v>0.29032258064516131</v>
      </c>
    </row>
    <row r="32" spans="1:6" x14ac:dyDescent="0.3">
      <c r="A32" t="s">
        <v>286</v>
      </c>
      <c r="B32" s="48" t="s">
        <v>287</v>
      </c>
      <c r="C32" s="756">
        <f>IF(OR($B$9 = "2021-22", $B$9 = "2022-23"), "-", 'HFSVs LA'!C31/'HFSVs LA'!E31*100)</f>
        <v>15.269086357947433</v>
      </c>
      <c r="D32" s="756">
        <f>IF(OR($B$9 = "2021-22", $B$9 = "2022-23"), "-", 'HFSVs LA'!D31/'HFSVs LA'!E31*100)</f>
        <v>84.73091364205257</v>
      </c>
      <c r="E32" s="723">
        <f>IFERROR(IF(OR($B$9 = "2021-22", $B$9 = "2022-23"), "-",'HFSVs LA'!H31/'HFSVs LA'!C31), "-")</f>
        <v>2.6639344262295084</v>
      </c>
      <c r="F32" s="724">
        <f>IF(OR($B$9 = "2021-22", $B$9 = "2022-23"), "-", 'HFSVs LA'!H31/'HFSVs LA'!E31)</f>
        <v>0.40675844806007511</v>
      </c>
    </row>
    <row r="33" spans="1:9" x14ac:dyDescent="0.3">
      <c r="A33" t="s">
        <v>288</v>
      </c>
      <c r="B33" s="48" t="s">
        <v>289</v>
      </c>
      <c r="C33" s="756">
        <f>IF(OR($B$9 = "2021-22", $B$9 = "2022-23"), "-", 'HFSVs LA'!C32/'HFSVs LA'!E32*100)</f>
        <v>20.683610867659947</v>
      </c>
      <c r="D33" s="756">
        <f>IF(OR($B$9 = "2021-22", $B$9 = "2022-23"), "-", 'HFSVs LA'!D32/'HFSVs LA'!E32*100)</f>
        <v>79.316389132340049</v>
      </c>
      <c r="E33" s="723">
        <f>IFERROR(IF(OR($B$9 = "2021-22", $B$9 = "2022-23"), "-",'HFSVs LA'!H32/'HFSVs LA'!C32), "-")</f>
        <v>3.4661016949152543</v>
      </c>
      <c r="F33" s="724">
        <f>IF(OR($B$9 = "2021-22", $B$9 = "2022-23"), "-", 'HFSVs LA'!H32/'HFSVs LA'!E32)</f>
        <v>0.71691498685363719</v>
      </c>
    </row>
    <row r="34" spans="1:9" x14ac:dyDescent="0.3">
      <c r="A34" t="s">
        <v>291</v>
      </c>
      <c r="B34" s="48" t="s">
        <v>292</v>
      </c>
      <c r="C34" s="756">
        <f>IF(OR($B$9 = "2021-22", $B$9 = "2022-23"), "-", 'HFSVs LA'!C33/'HFSVs LA'!E33*100)</f>
        <v>14.093959731543624</v>
      </c>
      <c r="D34" s="756">
        <f>IF(OR($B$9 = "2021-22", $B$9 = "2022-23"), "-", 'HFSVs LA'!D33/'HFSVs LA'!E33*100)</f>
        <v>85.90604026845638</v>
      </c>
      <c r="E34" s="723">
        <f>IFERROR(IF(OR($B$9 = "2021-22", $B$9 = "2022-23"), "-",'HFSVs LA'!H33/'HFSVs LA'!C33), "-")</f>
        <v>3.4285714285714284</v>
      </c>
      <c r="F34" s="724">
        <f>IF(OR($B$9 = "2021-22", $B$9 = "2022-23"), "-", 'HFSVs LA'!H33/'HFSVs LA'!E33)</f>
        <v>0.48322147651006714</v>
      </c>
    </row>
    <row r="35" spans="1:9" x14ac:dyDescent="0.3">
      <c r="A35" t="s">
        <v>293</v>
      </c>
      <c r="B35" s="48" t="s">
        <v>294</v>
      </c>
      <c r="C35" s="756">
        <f>IF(OR($B$9 = "2021-22", $B$9 = "2022-23"), "-", 'HFSVs LA'!C34/'HFSVs LA'!E34*100)</f>
        <v>8.4886128364389233</v>
      </c>
      <c r="D35" s="756">
        <f>IF(OR($B$9 = "2021-22", $B$9 = "2022-23"), "-", 'HFSVs LA'!D34/'HFSVs LA'!E34*100)</f>
        <v>91.511387163561082</v>
      </c>
      <c r="E35" s="723">
        <f>IFERROR(IF(OR($B$9 = "2021-22", $B$9 = "2022-23"), "-",'HFSVs LA'!H34/'HFSVs LA'!C34), "-")</f>
        <v>3.1219512195121952</v>
      </c>
      <c r="F35" s="724">
        <f>IF(OR($B$9 = "2021-22", $B$9 = "2022-23"), "-", 'HFSVs LA'!H34/'HFSVs LA'!E34)</f>
        <v>0.26501035196687373</v>
      </c>
    </row>
    <row r="36" spans="1:9" x14ac:dyDescent="0.3">
      <c r="A36" t="s">
        <v>295</v>
      </c>
      <c r="B36" s="48" t="s">
        <v>296</v>
      </c>
      <c r="C36" s="756">
        <f>IF(OR($B$9 = "2021-22", $B$9 = "2022-23"), "-", 'HFSVs LA'!C35/'HFSVs LA'!E35*100)</f>
        <v>31.086657496561209</v>
      </c>
      <c r="D36" s="756">
        <f>IF(OR($B$9 = "2021-22", $B$9 = "2022-23"), "-", 'HFSVs LA'!D35/'HFSVs LA'!E35*100)</f>
        <v>68.913342503438784</v>
      </c>
      <c r="E36" s="723">
        <f>IFERROR(IF(OR($B$9 = "2021-22", $B$9 = "2022-23"), "-",'HFSVs LA'!H35/'HFSVs LA'!C35), "-")</f>
        <v>3.1106194690265485</v>
      </c>
      <c r="F36" s="724">
        <f>IF(OR($B$9 = "2021-22", $B$9 = "2022-23"), "-", 'HFSVs LA'!H35/'HFSVs LA'!E35)</f>
        <v>0.96698762035763408</v>
      </c>
    </row>
    <row r="37" spans="1:9" x14ac:dyDescent="0.3">
      <c r="A37" t="s">
        <v>297</v>
      </c>
      <c r="B37" s="48" t="s">
        <v>298</v>
      </c>
      <c r="C37" s="756">
        <f>IF(OR($B$9 = "2021-22", $B$9 = "2022-23"), "-", 'HFSVs LA'!C36/'HFSVs LA'!E36*100)</f>
        <v>21.658206429780034</v>
      </c>
      <c r="D37" s="756">
        <f>IF(OR($B$9 = "2021-22", $B$9 = "2022-23"), "-", 'HFSVs LA'!D36/'HFSVs LA'!E36*100)</f>
        <v>78.341793570219963</v>
      </c>
      <c r="E37" s="723">
        <f>IFERROR(IF(OR($B$9 = "2021-22", $B$9 = "2022-23"), "-",'HFSVs LA'!H36/'HFSVs LA'!C36), "-")</f>
        <v>2.8203125</v>
      </c>
      <c r="F37" s="724">
        <f>IF(OR($B$9 = "2021-22", $B$9 = "2022-23"), "-", 'HFSVs LA'!H36/'HFSVs LA'!E36)</f>
        <v>0.61082910321489003</v>
      </c>
    </row>
    <row r="38" spans="1:9" x14ac:dyDescent="0.3">
      <c r="A38" t="s">
        <v>299</v>
      </c>
      <c r="B38" s="48" t="s">
        <v>300</v>
      </c>
      <c r="C38" s="756">
        <f>IF(OR($B$9 = "2021-22", $B$9 = "2022-23"), "-", 'HFSVs LA'!C37/'HFSVs LA'!E37*100)</f>
        <v>16.455696202531644</v>
      </c>
      <c r="D38" s="756">
        <f>IF(OR($B$9 = "2021-22", $B$9 = "2022-23"), "-", 'HFSVs LA'!D37/'HFSVs LA'!E37*100)</f>
        <v>83.544303797468359</v>
      </c>
      <c r="E38" s="723">
        <f>IFERROR(IF(OR($B$9 = "2021-22", $B$9 = "2022-23"), "-",'HFSVs LA'!H37/'HFSVs LA'!C37), "-")</f>
        <v>4.3076923076923075</v>
      </c>
      <c r="F38" s="724">
        <f>IF(OR($B$9 = "2021-22", $B$9 = "2022-23"), "-", 'HFSVs LA'!H37/'HFSVs LA'!E37)</f>
        <v>0.70886075949367089</v>
      </c>
    </row>
    <row r="39" spans="1:9" x14ac:dyDescent="0.3">
      <c r="A39" t="s">
        <v>301</v>
      </c>
      <c r="B39" s="48" t="s">
        <v>302</v>
      </c>
      <c r="C39" s="756">
        <f>IF(OR($B$9 = "2021-22", $B$9 = "2022-23"), "-", 'HFSVs LA'!C38/'HFSVs LA'!E38*100)</f>
        <v>15.454545454545453</v>
      </c>
      <c r="D39" s="756">
        <f>IF(OR($B$9 = "2021-22", $B$9 = "2022-23"), "-", 'HFSVs LA'!D38/'HFSVs LA'!E38*100)</f>
        <v>84.545454545454547</v>
      </c>
      <c r="E39" s="723">
        <f>IFERROR(IF(OR($B$9 = "2021-22", $B$9 = "2022-23"), "-",'HFSVs LA'!H38/'HFSVs LA'!C38), "-")</f>
        <v>2.8088235294117645</v>
      </c>
      <c r="F39" s="724">
        <f>IF(OR($B$9 = "2021-22", $B$9 = "2022-23"), "-", 'HFSVs LA'!H38/'HFSVs LA'!E38)</f>
        <v>0.43409090909090908</v>
      </c>
    </row>
    <row r="40" spans="1:9" x14ac:dyDescent="0.3">
      <c r="A40" t="s">
        <v>303</v>
      </c>
      <c r="B40" s="48" t="s">
        <v>304</v>
      </c>
      <c r="C40" s="756">
        <f>IF(OR($B$9 = "2021-22", $B$9 = "2022-23"), "-", 'HFSVs LA'!C39/'HFSVs LA'!E39*100)</f>
        <v>23.942537909018355</v>
      </c>
      <c r="D40" s="756">
        <f>IF(OR($B$9 = "2021-22", $B$9 = "2022-23"), "-", 'HFSVs LA'!D39/'HFSVs LA'!E39*100)</f>
        <v>76.057462090981645</v>
      </c>
      <c r="E40" s="723">
        <f>IFERROR(IF(OR($B$9 = "2021-22", $B$9 = "2022-23"), "-",'HFSVs LA'!H39/'HFSVs LA'!C39), "-")</f>
        <v>3.5066666666666668</v>
      </c>
      <c r="F40" s="724">
        <f>IF(OR($B$9 = "2021-22", $B$9 = "2022-23"), "-", 'HFSVs LA'!H39/'HFSVs LA'!E39)</f>
        <v>0.83958499600957703</v>
      </c>
    </row>
    <row r="41" spans="1:9" x14ac:dyDescent="0.3">
      <c r="A41" t="s">
        <v>306</v>
      </c>
      <c r="B41" s="48" t="s">
        <v>307</v>
      </c>
      <c r="C41" s="756">
        <f>IF(OR($B$9 = "2021-22", $B$9 = "2022-23"), "-", 'HFSVs LA'!C40/'HFSVs LA'!E40*100)</f>
        <v>16.532258064516128</v>
      </c>
      <c r="D41" s="756">
        <f>IF(OR($B$9 = "2021-22", $B$9 = "2022-23"), "-", 'HFSVs LA'!D40/'HFSVs LA'!E40*100)</f>
        <v>83.467741935483872</v>
      </c>
      <c r="E41" s="723">
        <f>IFERROR(IF(OR($B$9 = "2021-22", $B$9 = "2022-23"), "-",'HFSVs LA'!H40/'HFSVs LA'!C40), "-")</f>
        <v>3.0731707317073171</v>
      </c>
      <c r="F41" s="724">
        <f>IF(OR($B$9 = "2021-22", $B$9 = "2022-23"), "-", 'HFSVs LA'!H40/'HFSVs LA'!E40)</f>
        <v>0.50806451612903225</v>
      </c>
    </row>
    <row r="42" spans="1:9" x14ac:dyDescent="0.3">
      <c r="A42" t="s">
        <v>308</v>
      </c>
      <c r="B42" s="48" t="s">
        <v>309</v>
      </c>
      <c r="C42" s="756">
        <f>IF(OR($B$9 = "2021-22", $B$9 = "2022-23"), "-", 'HFSVs LA'!C41/'HFSVs LA'!E41*100)</f>
        <v>21.791044776119403</v>
      </c>
      <c r="D42" s="756">
        <f>IF(OR($B$9 = "2021-22", $B$9 = "2022-23"), "-", 'HFSVs LA'!D41/'HFSVs LA'!E41*100)</f>
        <v>78.208955223880594</v>
      </c>
      <c r="E42" s="723">
        <f>IFERROR(IF(OR($B$9 = "2021-22", $B$9 = "2022-23"), "-",'HFSVs LA'!H41/'HFSVs LA'!C41), "-")</f>
        <v>3.2465753424657535</v>
      </c>
      <c r="F42" s="724">
        <f>IF(OR($B$9 = "2021-22", $B$9 = "2022-23"), "-", 'HFSVs LA'!H41/'HFSVs LA'!E41)</f>
        <v>0.70746268656716416</v>
      </c>
    </row>
    <row r="43" spans="1:9" x14ac:dyDescent="0.3">
      <c r="A43" t="s">
        <v>310</v>
      </c>
      <c r="B43" s="48" t="s">
        <v>311</v>
      </c>
      <c r="C43" s="756">
        <f>IF(OR($B$9 = "2021-22", $B$9 = "2022-23"), "-", 'HFSVs LA'!C42/'HFSVs LA'!E42*100)</f>
        <v>18.86178861788618</v>
      </c>
      <c r="D43" s="756">
        <f>IF(OR($B$9 = "2021-22", $B$9 = "2022-23"), "-", 'HFSVs LA'!D42/'HFSVs LA'!E42*100)</f>
        <v>81.138211382113823</v>
      </c>
      <c r="E43" s="725">
        <f>IFERROR(IF(OR($B$9 = "2021-22", $B$9 = "2022-23"), "-",'HFSVs LA'!H42/'HFSVs LA'!C42), "-")</f>
        <v>3.4224137931034484</v>
      </c>
      <c r="F43" s="724">
        <f>IF(OR($B$9 = "2021-22", $B$9 = "2022-23"), "-", 'HFSVs LA'!H42/'HFSVs LA'!E42)</f>
        <v>0.64552845528455283</v>
      </c>
    </row>
    <row r="44" spans="1:9" ht="20.25" customHeight="1" thickBot="1" x14ac:dyDescent="0.35">
      <c r="A44" s="33"/>
      <c r="B44" s="33" t="s">
        <v>348</v>
      </c>
      <c r="C44" s="895">
        <f>IF(OR($B$9 = "2021-22", $B$9 = "2022-23"), "-", 'HFSVs LA'!C43/'HFSVs LA'!E43*100)</f>
        <v>17.044508642217107</v>
      </c>
      <c r="D44" s="896">
        <f>IF(OR($B$9 = "2021-22", $B$9 = "2022-23"), "-", 100-C44)</f>
        <v>82.95549135778289</v>
      </c>
      <c r="E44" s="897">
        <f>IFERROR(IF(OR($B$9 = "2021-22", $B$9 = "2022-23"), "-",'HFSVs LA'!H43/'HFSVs LA'!C43), "-")</f>
        <v>3.0853203102556734</v>
      </c>
      <c r="F44" s="898">
        <f>IF(OR($B$9 = "2021-22", $B$9 = "2022-23"), "-", 'HFSVs LA'!H43/'HFSVs LA'!E43)</f>
        <v>0.52587768692160797</v>
      </c>
    </row>
    <row r="45" spans="1:9" x14ac:dyDescent="0.3">
      <c r="B45" s="12"/>
      <c r="C45" s="276"/>
      <c r="D45" s="276"/>
      <c r="E45" s="229"/>
      <c r="F45" s="15"/>
    </row>
    <row r="46" spans="1:9" x14ac:dyDescent="0.3">
      <c r="A46" s="312" t="s">
        <v>329</v>
      </c>
      <c r="B46" s="336"/>
    </row>
    <row r="47" spans="1:9" ht="45" customHeight="1" x14ac:dyDescent="0.3">
      <c r="A47" s="1029" t="s">
        <v>1098</v>
      </c>
      <c r="B47" s="1029"/>
      <c r="C47" s="1029"/>
      <c r="D47" s="1029"/>
      <c r="E47" s="1029"/>
      <c r="F47" s="1029"/>
      <c r="G47" s="1029"/>
      <c r="H47" s="1029"/>
      <c r="I47" s="1029"/>
    </row>
    <row r="48" spans="1:9" ht="45.6" customHeight="1" x14ac:dyDescent="0.3">
      <c r="A48" s="1029" t="s">
        <v>925</v>
      </c>
      <c r="B48" s="1029"/>
      <c r="C48" s="1029"/>
      <c r="D48" s="1029"/>
      <c r="E48" s="1029"/>
      <c r="F48" s="1029"/>
      <c r="G48" s="1029"/>
      <c r="H48" s="1029"/>
      <c r="I48" s="1029"/>
    </row>
  </sheetData>
  <sheetProtection algorithmName="SHA-512" hashValue="MiKwdb+fDarjU/Ir8rO9m/QeQo4hn74HYSXMSMRZ9+7mGggif90rX6VUXpshhSQfwTAT9qy0Hscgr7AGi67biA==" saltValue="FS2qB+bEP/SBkY+MMNXCaQ==" spinCount="100000" sheet="1" scenarios="1" formatCells="0" sort="0" autoFilter="0" pivotTables="0"/>
  <mergeCells count="3">
    <mergeCell ref="E10:F10"/>
    <mergeCell ref="A47:I47"/>
    <mergeCell ref="A48:I48"/>
  </mergeCells>
  <hyperlinks>
    <hyperlink ref="A2" location="'Table of Contents'!A1" display="Back to Table of Contents" xr:uid="{00000000-0004-0000-9100-000000000000}"/>
  </hyperlinks>
  <pageMargins left="0.7" right="0.7" top="0.75" bottom="0.75" header="0.3" footer="0.3"/>
  <pageSetup paperSize="9" orientation="portrait" r:id="rId1"/>
  <drawing r:id="rId2"/>
  <extLst>
    <ext xmlns:x14="http://schemas.microsoft.com/office/spreadsheetml/2009/9/main" uri="{A8765BA9-456A-4dab-B4F3-ACF838C121DE}">
      <x14:slicerList>
        <x14:slicer r:id="rId3"/>
      </x14:slicerList>
    </ext>
  </extLst>
</worksheet>
</file>

<file path=xl/worksheets/sheet1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Sheet31">
    <tabColor theme="7" tint="-0.249977111117893"/>
    <pageSetUpPr fitToPage="1"/>
  </sheetPr>
  <dimension ref="A1:K50"/>
  <sheetViews>
    <sheetView showGridLines="0" zoomScaleNormal="100" workbookViewId="0">
      <pane ySplit="2" topLeftCell="A3" activePane="bottomLeft" state="frozen"/>
      <selection pane="bottomLeft"/>
    </sheetView>
  </sheetViews>
  <sheetFormatPr defaultRowHeight="14.4" x14ac:dyDescent="0.3"/>
  <cols>
    <col min="1" max="1" width="19.5546875" customWidth="1"/>
    <col min="2" max="2" width="22.33203125" customWidth="1"/>
    <col min="3" max="3" width="13" customWidth="1"/>
    <col min="4" max="6" width="11" customWidth="1"/>
    <col min="7" max="7" width="14.109375" customWidth="1"/>
  </cols>
  <sheetData>
    <row r="1" spans="1:7" ht="35.1" customHeight="1" x14ac:dyDescent="0.3">
      <c r="A1" s="513" t="s">
        <v>915</v>
      </c>
    </row>
    <row r="2" spans="1:7" x14ac:dyDescent="0.3">
      <c r="A2" s="498" t="s">
        <v>202</v>
      </c>
    </row>
    <row r="3" spans="1:7" x14ac:dyDescent="0.3">
      <c r="A3" s="25"/>
    </row>
    <row r="4" spans="1:7" ht="15.6" x14ac:dyDescent="0.3">
      <c r="A4" s="438" t="s">
        <v>1102</v>
      </c>
      <c r="B4" s="499"/>
    </row>
    <row r="5" spans="1:7" x14ac:dyDescent="0.3">
      <c r="A5" t="s">
        <v>203</v>
      </c>
      <c r="B5" t="s">
        <v>166</v>
      </c>
    </row>
    <row r="6" spans="1:7" x14ac:dyDescent="0.3">
      <c r="A6" t="s">
        <v>204</v>
      </c>
      <c r="B6" t="s">
        <v>205</v>
      </c>
    </row>
    <row r="7" spans="1:7" x14ac:dyDescent="0.3">
      <c r="A7" t="s">
        <v>206</v>
      </c>
      <c r="B7" t="s">
        <v>917</v>
      </c>
    </row>
    <row r="9" spans="1:7" x14ac:dyDescent="0.3">
      <c r="A9" s="312" t="s">
        <v>208</v>
      </c>
      <c r="B9" s="312" t="str">
        <f>'HFSVs LA'!$B$9</f>
        <v>2025-26</v>
      </c>
    </row>
    <row r="10" spans="1:7" x14ac:dyDescent="0.3">
      <c r="B10" s="15"/>
      <c r="C10" s="227"/>
      <c r="D10" s="227"/>
      <c r="E10" s="228" t="s">
        <v>1103</v>
      </c>
      <c r="F10" s="228"/>
      <c r="G10" s="535" t="s">
        <v>346</v>
      </c>
    </row>
    <row r="11" spans="1:7" ht="40.200000000000003" x14ac:dyDescent="0.3">
      <c r="A11" s="78" t="s">
        <v>209</v>
      </c>
      <c r="B11" s="36" t="s">
        <v>34</v>
      </c>
      <c r="C11" s="216" t="s">
        <v>1104</v>
      </c>
      <c r="D11" s="170" t="s">
        <v>920</v>
      </c>
      <c r="E11" s="529" t="s">
        <v>1105</v>
      </c>
      <c r="F11" s="537" t="s">
        <v>1106</v>
      </c>
      <c r="G11" s="536" t="s">
        <v>913</v>
      </c>
    </row>
    <row r="12" spans="1:7" ht="21" customHeight="1" x14ac:dyDescent="0.3">
      <c r="A12" t="s">
        <v>214</v>
      </c>
      <c r="B12" s="45" t="s">
        <v>215</v>
      </c>
      <c r="C12" s="757">
        <f>IF(OR($B$9 = "2021-22", $B$9 = "2022-23"), "-", GETPIVOTDATA("Sum of HFSV - alarms installed",HFSVLAPivot!$B$3,"Council",B12)/GETPIVOTDATA("Sum of Households",HFSVLAPivot!$B$3,"Council",B12)*100)</f>
        <v>2.8304306677162844E-2</v>
      </c>
      <c r="D12" s="757">
        <f>IF(OR($B$9 = "2021-22", $B$9 = "2022-23"), "-", GETPIVOTDATA("Sum of HFSV - advice only",HFSVLAPivot!$B$3,"Council",B12)/GETPIVOTDATA("Sum of Households",HFSVLAPivot!$B$3,"Council",B12)*100)</f>
        <v>0.49620987643401121</v>
      </c>
      <c r="E12" s="758">
        <f>IF(OR($B$9 = "2021-22", $B$9 = "2022-23"), "-", GETPIVOTDATA("Sum of Total HFSV",HFSVLAPivot!$B$3,"Council",B12)/GETPIVOTDATA("Sum of Households",HFSVLAPivot!$B$3,"Council",B12)*100)</f>
        <v>0.52451418311117404</v>
      </c>
      <c r="F12" s="758">
        <f>IF(OR($B$9 = "2021-22", $B$9 = "2022-23"), "-", GETPIVOTDATA("Sum of TotalAlarms",HFSVLAPivot!$B$3,"Council",B12)/GETPIVOTDATA("Sum of Households",HFSVLAPivot!$B$3,"Council",B12)*100)</f>
        <v>7.8721352945859163E-2</v>
      </c>
      <c r="G12" s="599">
        <f>GETPIVOTDATA("Sum of Households",HFSVLAPivot!$B$3,"Council",B12)</f>
        <v>113057</v>
      </c>
    </row>
    <row r="13" spans="1:7" x14ac:dyDescent="0.3">
      <c r="A13" t="s">
        <v>219</v>
      </c>
      <c r="B13" s="48" t="s">
        <v>220</v>
      </c>
      <c r="C13" s="759">
        <f>IF(OR($B$9 = "2021-22", $B$9 = "2022-23"), "-", GETPIVOTDATA("Sum of HFSV - alarms installed",HFSVLAPivot!$B$3,"Council",B13)/GETPIVOTDATA("Sum of Households",HFSVLAPivot!$B$3,"Council",B13)*100)</f>
        <v>5.4985957432409562E-2</v>
      </c>
      <c r="D13" s="759">
        <f>IF(OR($B$9 = "2021-22", $B$9 = "2022-23"), "-", GETPIVOTDATA("Sum of HFSV - advice only",HFSVLAPivot!$B$3,"Council",B13)/GETPIVOTDATA("Sum of Households",HFSVLAPivot!$B$3,"Council",B13)*100)</f>
        <v>0.4229689033262275</v>
      </c>
      <c r="E13" s="760">
        <f>IF(OR($B$9 = "2021-22", $B$9 = "2022-23"), "-", GETPIVOTDATA("Sum of Total HFSV",HFSVLAPivot!$B$3,"Council",B13)/GETPIVOTDATA("Sum of Households",HFSVLAPivot!$B$3,"Council",B13)*100)</f>
        <v>0.47795486075863697</v>
      </c>
      <c r="F13" s="760">
        <f>IF(OR($B$9 = "2021-22", $B$9 = "2022-23"), "-", GETPIVOTDATA("Sum of TotalAlarms",HFSVLAPivot!$B$3,"Council",B13)/GETPIVOTDATA("Sum of Households",HFSVLAPivot!$B$3,"Council",B13)*100)</f>
        <v>0.15734443203735662</v>
      </c>
      <c r="G13" s="938">
        <f>GETPIVOTDATA("Sum of Households",HFSVLAPivot!$B$3,"Council",B13)</f>
        <v>118212</v>
      </c>
    </row>
    <row r="14" spans="1:7" x14ac:dyDescent="0.3">
      <c r="A14" t="s">
        <v>223</v>
      </c>
      <c r="B14" s="48" t="s">
        <v>224</v>
      </c>
      <c r="C14" s="759">
        <f>IF(OR($B$9 = "2021-22", $B$9 = "2022-23"), "-", GETPIVOTDATA("Sum of HFSV - alarms installed",HFSVLAPivot!$B$3,"Council",B14)/GETPIVOTDATA("Sum of Households",HFSVLAPivot!$B$3,"Council",B14)*100)</f>
        <v>0.10856191647969891</v>
      </c>
      <c r="D14" s="759">
        <f>IF(OR($B$9 = "2021-22", $B$9 = "2022-23"), "-", GETPIVOTDATA("Sum of HFSV - advice only",HFSVLAPivot!$B$3,"Council",B14)/GETPIVOTDATA("Sum of Households",HFSVLAPivot!$B$3,"Council",B14)*100)</f>
        <v>0.60070927118766737</v>
      </c>
      <c r="E14" s="760">
        <f>IF(OR($B$9 = "2021-22", $B$9 = "2022-23"), "-", GETPIVOTDATA("Sum of Total HFSV",HFSVLAPivot!$B$3,"Council",B14)/GETPIVOTDATA("Sum of Households",HFSVLAPivot!$B$3,"Council",B14)*100)</f>
        <v>0.7092711876673663</v>
      </c>
      <c r="F14" s="760">
        <f>IF(OR($B$9 = "2021-22", $B$9 = "2022-23"), "-", GETPIVOTDATA("Sum of TotalAlarms",HFSVLAPivot!$B$3,"Council",B14)/GETPIVOTDATA("Sum of Households",HFSVLAPivot!$B$3,"Council",B14)*100)</f>
        <v>0.32930447998842005</v>
      </c>
      <c r="G14" s="938">
        <f>GETPIVOTDATA("Sum of Households",HFSVLAPivot!$B$3,"Council",B14)</f>
        <v>55268</v>
      </c>
    </row>
    <row r="15" spans="1:7" x14ac:dyDescent="0.3">
      <c r="A15" t="s">
        <v>227</v>
      </c>
      <c r="B15" s="48" t="s">
        <v>228</v>
      </c>
      <c r="C15" s="759">
        <f>IF(OR($B$9 = "2021-22", $B$9 = "2022-23"), "-", GETPIVOTDATA("Sum of HFSV - alarms installed",HFSVLAPivot!$B$3,"Council",B15)/GETPIVOTDATA("Sum of Households",HFSVLAPivot!$B$3,"Council",B15)*100)</f>
        <v>0.17999906493992238</v>
      </c>
      <c r="D15" s="759">
        <f>IF(OR($B$9 = "2021-22", $B$9 = "2022-23"), "-", GETPIVOTDATA("Sum of HFSV - advice only",HFSVLAPivot!$B$3,"Council",B15)/GETPIVOTDATA("Sum of Households",HFSVLAPivot!$B$3,"Council",B15)*100)</f>
        <v>0.72700921034176447</v>
      </c>
      <c r="E15" s="760">
        <f>IF(OR($B$9 = "2021-22", $B$9 = "2022-23"), "-", GETPIVOTDATA("Sum of Total HFSV",HFSVLAPivot!$B$3,"Council",B15)/GETPIVOTDATA("Sum of Households",HFSVLAPivot!$B$3,"Council",B15)*100)</f>
        <v>0.90700827528168682</v>
      </c>
      <c r="F15" s="760">
        <f>IF(OR($B$9 = "2021-22", $B$9 = "2022-23"), "-", GETPIVOTDATA("Sum of TotalAlarms",HFSVLAPivot!$B$3,"Council",B15)/GETPIVOTDATA("Sum of Households",HFSVLAPivot!$B$3,"Council",B15)*100)</f>
        <v>0.59843844967039128</v>
      </c>
      <c r="G15" s="938">
        <f>GETPIVOTDATA("Sum of Households",HFSVLAPivot!$B$3,"Council",B15)</f>
        <v>42778</v>
      </c>
    </row>
    <row r="16" spans="1:7" x14ac:dyDescent="0.3">
      <c r="A16" t="s">
        <v>233</v>
      </c>
      <c r="B16" s="48" t="s">
        <v>234</v>
      </c>
      <c r="C16" s="759">
        <f>IF(OR($B$9 = "2021-22", $B$9 = "2022-23"), "-", GETPIVOTDATA("Sum of HFSV - alarms installed",HFSVLAPivot!$B$3,"Council",B16)/GETPIVOTDATA("Sum of Households",HFSVLAPivot!$B$3,"Council",B16)*100)</f>
        <v>7.5575403641360353E-2</v>
      </c>
      <c r="D16" s="759">
        <f>IF(OR($B$9 = "2021-22", $B$9 = "2022-23"), "-", GETPIVOTDATA("Sum of HFSV - advice only",HFSVLAPivot!$B$3,"Council",B16)/GETPIVOTDATA("Sum of Households",HFSVLAPivot!$B$3,"Council",B16)*100)</f>
        <v>0.42435387071352071</v>
      </c>
      <c r="E16" s="760">
        <f>IF(OR($B$9 = "2021-22", $B$9 = "2022-23"), "-", GETPIVOTDATA("Sum of Total HFSV",HFSVLAPivot!$B$3,"Council",B16)/GETPIVOTDATA("Sum of Households",HFSVLAPivot!$B$3,"Council",B16)*100)</f>
        <v>0.4999292743548811</v>
      </c>
      <c r="F16" s="760">
        <f>IF(OR($B$9 = "2021-22", $B$9 = "2022-23"), "-", GETPIVOTDATA("Sum of TotalAlarms",HFSVLAPivot!$B$3,"Council",B16)/GETPIVOTDATA("Sum of Households",HFSVLAPivot!$B$3,"Council",B16)*100)</f>
        <v>0.19116131509285267</v>
      </c>
      <c r="G16" s="938">
        <f>GETPIVOTDATA("Sum of Households",HFSVLAPivot!$B$3,"Council",B16)</f>
        <v>247435</v>
      </c>
    </row>
    <row r="17" spans="1:7" x14ac:dyDescent="0.3">
      <c r="A17" t="s">
        <v>239</v>
      </c>
      <c r="B17" s="48" t="s">
        <v>240</v>
      </c>
      <c r="C17" s="759">
        <f>IF(OR($B$9 = "2021-22", $B$9 = "2022-23"), "-", GETPIVOTDATA("Sum of HFSV - alarms installed",HFSVLAPivot!$B$3,"Council",B17)/GETPIVOTDATA("Sum of Households",HFSVLAPivot!$B$3,"Council",B17)*100)</f>
        <v>0.15118084497834436</v>
      </c>
      <c r="D17" s="759">
        <f>IF(OR($B$9 = "2021-22", $B$9 = "2022-23"), "-", GETPIVOTDATA("Sum of HFSV - advice only",HFSVLAPivot!$B$3,"Council",B17)/GETPIVOTDATA("Sum of Households",HFSVLAPivot!$B$3,"Council",B17)*100)</f>
        <v>0.64966903652856089</v>
      </c>
      <c r="E17" s="760">
        <f>IF(OR($B$9 = "2021-22", $B$9 = "2022-23"), "-", GETPIVOTDATA("Sum of Total HFSV",HFSVLAPivot!$B$3,"Council",B17)/GETPIVOTDATA("Sum of Households",HFSVLAPivot!$B$3,"Council",B17)*100)</f>
        <v>0.80084988150690528</v>
      </c>
      <c r="F17" s="760">
        <f>IF(OR($B$9 = "2021-22", $B$9 = "2022-23"), "-", GETPIVOTDATA("Sum of TotalAlarms",HFSVLAPivot!$B$3,"Council",B17)/GETPIVOTDATA("Sum of Households",HFSVLAPivot!$B$3,"Council",B17)*100)</f>
        <v>0.40042494075345264</v>
      </c>
      <c r="G17" s="938">
        <f>GETPIVOTDATA("Sum of Households",HFSVLAPivot!$B$3,"Council",B17)</f>
        <v>24474</v>
      </c>
    </row>
    <row r="18" spans="1:7" x14ac:dyDescent="0.3">
      <c r="A18" t="s">
        <v>243</v>
      </c>
      <c r="B18" s="48" t="s">
        <v>244</v>
      </c>
      <c r="C18" s="759">
        <f>IF(OR($B$9 = "2021-22", $B$9 = "2022-23"), "-", GETPIVOTDATA("Sum of HFSV - alarms installed",HFSVLAPivot!$B$3,"Council",B18)/GETPIVOTDATA("Sum of Households",HFSVLAPivot!$B$3,"Council",B18)*100)</f>
        <v>0.31264896391217789</v>
      </c>
      <c r="D18" s="759">
        <f>IF(OR($B$9 = "2021-22", $B$9 = "2022-23"), "-", GETPIVOTDATA("Sum of HFSV - advice only",HFSVLAPivot!$B$3,"Council",B18)/GETPIVOTDATA("Sum of Households",HFSVLAPivot!$B$3,"Council",B18)*100)</f>
        <v>0.65193618035498979</v>
      </c>
      <c r="E18" s="760">
        <f>IF(OR($B$9 = "2021-22", $B$9 = "2022-23"), "-", GETPIVOTDATA("Sum of Total HFSV",HFSVLAPivot!$B$3,"Council",B18)/GETPIVOTDATA("Sum of Households",HFSVLAPivot!$B$3,"Council",B18)*100)</f>
        <v>0.96458514426716757</v>
      </c>
      <c r="F18" s="760">
        <f>IF(OR($B$9 = "2021-22", $B$9 = "2022-23"), "-", GETPIVOTDATA("Sum of TotalAlarms",HFSVLAPivot!$B$3,"Council",B18)/GETPIVOTDATA("Sum of Households",HFSVLAPivot!$B$3,"Council",B18)*100)</f>
        <v>1.0935703670470798</v>
      </c>
      <c r="G18" s="938">
        <f>GETPIVOTDATA("Sum of Households",HFSVLAPivot!$B$3,"Council",B18)</f>
        <v>71326</v>
      </c>
    </row>
    <row r="19" spans="1:7" x14ac:dyDescent="0.3">
      <c r="A19" t="s">
        <v>246</v>
      </c>
      <c r="B19" s="48" t="s">
        <v>247</v>
      </c>
      <c r="C19" s="759">
        <f>IF(OR($B$9 = "2021-22", $B$9 = "2022-23"), "-", GETPIVOTDATA("Sum of HFSV - alarms installed",HFSVLAPivot!$B$3,"Council",B19)/GETPIVOTDATA("Sum of Households",HFSVLAPivot!$B$3,"Council",B19)*100)</f>
        <v>0.10049549863912345</v>
      </c>
      <c r="D19" s="759">
        <f>IF(OR($B$9 = "2021-22", $B$9 = "2022-23"), "-", GETPIVOTDATA("Sum of HFSV - advice only",HFSVLAPivot!$B$3,"Council",B19)/GETPIVOTDATA("Sum of Households",HFSVLAPivot!$B$3,"Council",B19)*100)</f>
        <v>0.97424802847372449</v>
      </c>
      <c r="E19" s="760">
        <f>IF(OR($B$9 = "2021-22", $B$9 = "2022-23"), "-", GETPIVOTDATA("Sum of Total HFSV",HFSVLAPivot!$B$3,"Council",B19)/GETPIVOTDATA("Sum of Households",HFSVLAPivot!$B$3,"Council",B19)*100)</f>
        <v>1.074743527112848</v>
      </c>
      <c r="F19" s="760">
        <f>IF(OR($B$9 = "2021-22", $B$9 = "2022-23"), "-", GETPIVOTDATA("Sum of TotalAlarms",HFSVLAPivot!$B$3,"Council",B19)/GETPIVOTDATA("Sum of Households",HFSVLAPivot!$B$3,"Council",B19)*100)</f>
        <v>0.24984297578337636</v>
      </c>
      <c r="G19" s="938">
        <f>GETPIVOTDATA("Sum of Households",HFSVLAPivot!$B$3,"Council",B19)</f>
        <v>71645</v>
      </c>
    </row>
    <row r="20" spans="1:7" x14ac:dyDescent="0.3">
      <c r="A20" t="s">
        <v>248</v>
      </c>
      <c r="B20" s="48" t="s">
        <v>249</v>
      </c>
      <c r="C20" s="759">
        <f>IF(OR($B$9 = "2021-22", $B$9 = "2022-23"), "-", GETPIVOTDATA("Sum of HFSV - alarms installed",HFSVLAPivot!$B$3,"Council",B20)/GETPIVOTDATA("Sum of Households",HFSVLAPivot!$B$3,"Council",B20)*100)</f>
        <v>0.20892351274787538</v>
      </c>
      <c r="D20" s="759">
        <f>IF(OR($B$9 = "2021-22", $B$9 = "2022-23"), "-", GETPIVOTDATA("Sum of HFSV - advice only",HFSVLAPivot!$B$3,"Council",B20)/GETPIVOTDATA("Sum of Households",HFSVLAPivot!$B$3,"Council",B20)*100)</f>
        <v>1.0499291784702551</v>
      </c>
      <c r="E20" s="760">
        <f>IF(OR($B$9 = "2021-22", $B$9 = "2022-23"), "-", GETPIVOTDATA("Sum of Total HFSV",HFSVLAPivot!$B$3,"Council",B20)/GETPIVOTDATA("Sum of Households",HFSVLAPivot!$B$3,"Council",B20)*100)</f>
        <v>1.2588526912181304</v>
      </c>
      <c r="F20" s="760">
        <f>IF(OR($B$9 = "2021-22", $B$9 = "2022-23"), "-", GETPIVOTDATA("Sum of TotalAlarms",HFSVLAPivot!$B$3,"Council",B20)/GETPIVOTDATA("Sum of Households",HFSVLAPivot!$B$3,"Council",B20)*100)</f>
        <v>0.55417847025495748</v>
      </c>
      <c r="G20" s="938">
        <f>GETPIVOTDATA("Sum of Households",HFSVLAPivot!$B$3,"Council",B20)</f>
        <v>56480</v>
      </c>
    </row>
    <row r="21" spans="1:7" x14ac:dyDescent="0.3">
      <c r="A21" t="s">
        <v>252</v>
      </c>
      <c r="B21" s="48" t="s">
        <v>253</v>
      </c>
      <c r="C21" s="759">
        <f>IF(OR($B$9 = "2021-22", $B$9 = "2022-23"), "-", GETPIVOTDATA("Sum of HFSV - alarms installed",HFSVLAPivot!$B$3,"Council",B21)/GETPIVOTDATA("Sum of Households",HFSVLAPivot!$B$3,"Council",B21)*100)</f>
        <v>0.225863501736592</v>
      </c>
      <c r="D21" s="759">
        <f>IF(OR($B$9 = "2021-22", $B$9 = "2022-23"), "-", GETPIVOTDATA("Sum of HFSV - advice only",HFSVLAPivot!$B$3,"Council",B21)/GETPIVOTDATA("Sum of Households",HFSVLAPivot!$B$3,"Council",B21)*100)</f>
        <v>0.56039717883701601</v>
      </c>
      <c r="E21" s="760">
        <f>IF(OR($B$9 = "2021-22", $B$9 = "2022-23"), "-", GETPIVOTDATA("Sum of Total HFSV",HFSVLAPivot!$B$3,"Council",B21)/GETPIVOTDATA("Sum of Households",HFSVLAPivot!$B$3,"Council",B21)*100)</f>
        <v>0.7862606805736081</v>
      </c>
      <c r="F21" s="760">
        <f>IF(OR($B$9 = "2021-22", $B$9 = "2022-23"), "-", GETPIVOTDATA("Sum of TotalAlarms",HFSVLAPivot!$B$3,"Council",B21)/GETPIVOTDATA("Sum of Households",HFSVLAPivot!$B$3,"Council",B21)*100)</f>
        <v>0.74577571328120007</v>
      </c>
      <c r="G21" s="938">
        <f>GETPIVOTDATA("Sum of Households",HFSVLAPivot!$B$3,"Council",B21)</f>
        <v>46931</v>
      </c>
    </row>
    <row r="22" spans="1:7" x14ac:dyDescent="0.3">
      <c r="A22" t="s">
        <v>254</v>
      </c>
      <c r="B22" s="48" t="s">
        <v>255</v>
      </c>
      <c r="C22" s="759">
        <f>IF(OR($B$9 = "2021-22", $B$9 = "2022-23"), "-", GETPIVOTDATA("Sum of HFSV - alarms installed",HFSVLAPivot!$B$3,"Council",B22)/GETPIVOTDATA("Sum of Households",HFSVLAPivot!$B$3,"Council",B22)*100)</f>
        <v>0.10857973824527387</v>
      </c>
      <c r="D22" s="759">
        <f>IF(OR($B$9 = "2021-22", $B$9 = "2022-23"), "-", GETPIVOTDATA("Sum of HFSV - advice only",HFSVLAPivot!$B$3,"Council",B22)/GETPIVOTDATA("Sum of Households",HFSVLAPivot!$B$3,"Council",B22)*100)</f>
        <v>0.60882210373242851</v>
      </c>
      <c r="E22" s="760">
        <f>IF(OR($B$9 = "2021-22", $B$9 = "2022-23"), "-", GETPIVOTDATA("Sum of Total HFSV",HFSVLAPivot!$B$3,"Council",B22)/GETPIVOTDATA("Sum of Households",HFSVLAPivot!$B$3,"Council",B22)*100)</f>
        <v>0.7174018419777024</v>
      </c>
      <c r="F22" s="760">
        <f>IF(OR($B$9 = "2021-22", $B$9 = "2022-23"), "-", GETPIVOTDATA("Sum of TotalAlarms",HFSVLAPivot!$B$3,"Council",B22)/GETPIVOTDATA("Sum of Households",HFSVLAPivot!$B$3,"Council",B22)*100)</f>
        <v>0.26951042171594763</v>
      </c>
      <c r="G22" s="938">
        <f>GETPIVOTDATA("Sum of Households",HFSVLAPivot!$B$3,"Council",B22)</f>
        <v>51575</v>
      </c>
    </row>
    <row r="23" spans="1:7" x14ac:dyDescent="0.3">
      <c r="A23" t="s">
        <v>258</v>
      </c>
      <c r="B23" s="48" t="s">
        <v>259</v>
      </c>
      <c r="C23" s="759">
        <f>IF(OR($B$9 = "2021-22", $B$9 = "2022-23"), "-", GETPIVOTDATA("Sum of HFSV - alarms installed",HFSVLAPivot!$B$3,"Council",B23)/GETPIVOTDATA("Sum of Households",HFSVLAPivot!$B$3,"Council",B23)*100)</f>
        <v>0.16674431720654226</v>
      </c>
      <c r="D23" s="759">
        <f>IF(OR($B$9 = "2021-22", $B$9 = "2022-23"), "-", GETPIVOTDATA("Sum of HFSV - advice only",HFSVLAPivot!$B$3,"Council",B23)/GETPIVOTDATA("Sum of Households",HFSVLAPivot!$B$3,"Council",B23)*100)</f>
        <v>0.74299306049385749</v>
      </c>
      <c r="E23" s="760">
        <f>IF(OR($B$9 = "2021-22", $B$9 = "2022-23"), "-", GETPIVOTDATA("Sum of Total HFSV",HFSVLAPivot!$B$3,"Council",B23)/GETPIVOTDATA("Sum of Households",HFSVLAPivot!$B$3,"Council",B23)*100)</f>
        <v>0.90973737770039964</v>
      </c>
      <c r="F23" s="760">
        <f>IF(OR($B$9 = "2021-22", $B$9 = "2022-23"), "-", GETPIVOTDATA("Sum of TotalAlarms",HFSVLAPivot!$B$3,"Council",B23)/GETPIVOTDATA("Sum of Households",HFSVLAPivot!$B$3,"Council",B23)*100)</f>
        <v>0.49778082930776585</v>
      </c>
      <c r="G23" s="938">
        <f>GETPIVOTDATA("Sum of Households",HFSVLAPivot!$B$3,"Council",B23)</f>
        <v>40781</v>
      </c>
    </row>
    <row r="24" spans="1:7" x14ac:dyDescent="0.3">
      <c r="A24" t="s">
        <v>262</v>
      </c>
      <c r="B24" s="48" t="s">
        <v>263</v>
      </c>
      <c r="C24" s="759">
        <f>IF(OR($B$9 = "2021-22", $B$9 = "2022-23"), "-", GETPIVOTDATA("Sum of HFSV - alarms installed",HFSVLAPivot!$B$3,"Council",B24)/GETPIVOTDATA("Sum of Households",HFSVLAPivot!$B$3,"Council",B24)*100)</f>
        <v>0.12249731186454521</v>
      </c>
      <c r="D24" s="759">
        <f>IF(OR($B$9 = "2021-22", $B$9 = "2022-23"), "-", GETPIVOTDATA("Sum of HFSV - advice only",HFSVLAPivot!$B$3,"Council",B24)/GETPIVOTDATA("Sum of Households",HFSVLAPivot!$B$3,"Council",B24)*100)</f>
        <v>0.48726708497230203</v>
      </c>
      <c r="E24" s="760">
        <f>IF(OR($B$9 = "2021-22", $B$9 = "2022-23"), "-", GETPIVOTDATA("Sum of Total HFSV",HFSVLAPivot!$B$3,"Council",B24)/GETPIVOTDATA("Sum of Households",HFSVLAPivot!$B$3,"Council",B24)*100)</f>
        <v>0.60976439683684724</v>
      </c>
      <c r="F24" s="760">
        <f>IF(OR($B$9 = "2021-22", $B$9 = "2022-23"), "-", GETPIVOTDATA("Sum of TotalAlarms",HFSVLAPivot!$B$3,"Council",B24)/GETPIVOTDATA("Sum of Households",HFSVLAPivot!$B$3,"Council",B24)*100)</f>
        <v>0.39199139796654464</v>
      </c>
      <c r="G24" s="938">
        <f>GETPIVOTDATA("Sum of Households",HFSVLAPivot!$B$3,"Council",B24)</f>
        <v>73471</v>
      </c>
    </row>
    <row r="25" spans="1:7" x14ac:dyDescent="0.3">
      <c r="A25" t="s">
        <v>1092</v>
      </c>
      <c r="B25" s="48" t="s">
        <v>267</v>
      </c>
      <c r="C25" s="759">
        <f>IF(OR($B$9 = "2021-22", $B$9 = "2022-23"), "-", GETPIVOTDATA("Sum of HFSV - alarms installed",HFSVLAPivot!$B$3,"Council",B25)/GETPIVOTDATA("Sum of Households",HFSVLAPivot!$B$3,"Council",B25)*100)</f>
        <v>0.17396430552986869</v>
      </c>
      <c r="D25" s="759">
        <f>IF(OR($B$9 = "2021-22", $B$9 = "2022-23"), "-", GETPIVOTDATA("Sum of HFSV - advice only",HFSVLAPivot!$B$3,"Council",B25)/GETPIVOTDATA("Sum of Households",HFSVLAPivot!$B$3,"Council",B25)*100)</f>
        <v>0.52825041612724244</v>
      </c>
      <c r="E25" s="760">
        <f>IF(OR($B$9 = "2021-22", $B$9 = "2022-23"), "-", GETPIVOTDATA("Sum of Total HFSV",HFSVLAPivot!$B$3,"Council",B25)/GETPIVOTDATA("Sum of Households",HFSVLAPivot!$B$3,"Council",B25)*100)</f>
        <v>0.70221472165711107</v>
      </c>
      <c r="F25" s="760">
        <f>IF(OR($B$9 = "2021-22", $B$9 = "2022-23"), "-", GETPIVOTDATA("Sum of TotalAlarms",HFSVLAPivot!$B$3,"Council",B25)/GETPIVOTDATA("Sum of Households",HFSVLAPivot!$B$3,"Council",B25)*100)</f>
        <v>0.59240336600702792</v>
      </c>
      <c r="G25" s="938">
        <f>GETPIVOTDATA("Sum of Households",HFSVLAPivot!$B$3,"Council",B25)</f>
        <v>173024</v>
      </c>
    </row>
    <row r="26" spans="1:7" x14ac:dyDescent="0.3">
      <c r="A26" t="s">
        <v>269</v>
      </c>
      <c r="B26" s="48" t="s">
        <v>270</v>
      </c>
      <c r="C26" s="759">
        <f>IF(OR($B$9 = "2021-22", $B$9 = "2022-23"), "-", GETPIVOTDATA("Sum of HFSV - alarms installed",HFSVLAPivot!$B$3,"Council",B26)/GETPIVOTDATA("Sum of Households",HFSVLAPivot!$B$3,"Council",B26)*100)</f>
        <v>0.13861399334919397</v>
      </c>
      <c r="D26" s="759">
        <f>IF(OR($B$9 = "2021-22", $B$9 = "2022-23"), "-", GETPIVOTDATA("Sum of HFSV - advice only",HFSVLAPivot!$B$3,"Council",B26)/GETPIVOTDATA("Sum of Households",HFSVLAPivot!$B$3,"Council",B26)*100)</f>
        <v>0.97029795344435787</v>
      </c>
      <c r="E26" s="760">
        <f>IF(OR($B$9 = "2021-22", $B$9 = "2022-23"), "-", GETPIVOTDATA("Sum of Total HFSV",HFSVLAPivot!$B$3,"Council",B26)/GETPIVOTDATA("Sum of Households",HFSVLAPivot!$B$3,"Council",B26)*100)</f>
        <v>1.1089119467935518</v>
      </c>
      <c r="F26" s="760">
        <f>IF(OR($B$9 = "2021-22", $B$9 = "2022-23"), "-", GETPIVOTDATA("Sum of TotalAlarms",HFSVLAPivot!$B$3,"Council",B26)/GETPIVOTDATA("Sum of Households",HFSVLAPivot!$B$3,"Council",B26)*100)</f>
        <v>0.40084767788240466</v>
      </c>
      <c r="G26" s="938">
        <f>GETPIVOTDATA("Sum of Households",HFSVLAPivot!$B$3,"Council",B26)</f>
        <v>300114</v>
      </c>
    </row>
    <row r="27" spans="1:7" x14ac:dyDescent="0.3">
      <c r="A27" t="s">
        <v>272</v>
      </c>
      <c r="B27" s="48" t="s">
        <v>273</v>
      </c>
      <c r="C27" s="759">
        <f>IF(OR($B$9 = "2021-22", $B$9 = "2022-23"), "-", GETPIVOTDATA("Sum of HFSV - alarms installed",HFSVLAPivot!$B$3,"Council",B27)/GETPIVOTDATA("Sum of Households",HFSVLAPivot!$B$3,"Council",B27)*100)</f>
        <v>3.6579948962261688E-2</v>
      </c>
      <c r="D27" s="759">
        <f>IF(OR($B$9 = "2021-22", $B$9 = "2022-23"), "-", GETPIVOTDATA("Sum of HFSV - advice only",HFSVLAPivot!$B$3,"Council",B27)/GETPIVOTDATA("Sum of Households",HFSVLAPivot!$B$3,"Council",B27)*100)</f>
        <v>0.93540155203497743</v>
      </c>
      <c r="E27" s="760">
        <f>IF(OR($B$9 = "2021-22", $B$9 = "2022-23"), "-", GETPIVOTDATA("Sum of Total HFSV",HFSVLAPivot!$B$3,"Council",B27)/GETPIVOTDATA("Sum of Households",HFSVLAPivot!$B$3,"Council",B27)*100)</f>
        <v>0.97198150099723901</v>
      </c>
      <c r="F27" s="760">
        <f>IF(OR($B$9 = "2021-22", $B$9 = "2022-23"), "-", GETPIVOTDATA("Sum of TotalAlarms",HFSVLAPivot!$B$3,"Council",B27)/GETPIVOTDATA("Sum of Households",HFSVLAPivot!$B$3,"Council",B27)*100)</f>
        <v>7.9256556084900315E-2</v>
      </c>
      <c r="G27" s="938">
        <f>GETPIVOTDATA("Sum of Households",HFSVLAPivot!$B$3,"Council",B27)</f>
        <v>114817</v>
      </c>
    </row>
    <row r="28" spans="1:7" x14ac:dyDescent="0.3">
      <c r="A28" t="s">
        <v>276</v>
      </c>
      <c r="B28" s="48" t="s">
        <v>277</v>
      </c>
      <c r="C28" s="759">
        <f>IF(OR($B$9 = "2021-22", $B$9 = "2022-23"), "-", GETPIVOTDATA("Sum of HFSV - alarms installed",HFSVLAPivot!$B$3,"Council",B28)/GETPIVOTDATA("Sum of Households",HFSVLAPivot!$B$3,"Council",B28)*100)</f>
        <v>0.14852929475108081</v>
      </c>
      <c r="D28" s="759">
        <f>IF(OR($B$9 = "2021-22", $B$9 = "2022-23"), "-", GETPIVOTDATA("Sum of HFSV - advice only",HFSVLAPivot!$B$3,"Council",B28)/GETPIVOTDATA("Sum of Households",HFSVLAPivot!$B$3,"Council",B28)*100)</f>
        <v>0.40845556056547228</v>
      </c>
      <c r="E28" s="760">
        <f>IF(OR($B$9 = "2021-22", $B$9 = "2022-23"), "-", GETPIVOTDATA("Sum of Total HFSV",HFSVLAPivot!$B$3,"Council",B28)/GETPIVOTDATA("Sum of Households",HFSVLAPivot!$B$3,"Council",B28)*100)</f>
        <v>0.55698485531655306</v>
      </c>
      <c r="F28" s="760">
        <f>IF(OR($B$9 = "2021-22", $B$9 = "2022-23"), "-", GETPIVOTDATA("Sum of TotalAlarms",HFSVLAPivot!$B$3,"Council",B28)/GETPIVOTDATA("Sum of Households",HFSVLAPivot!$B$3,"Council",B28)*100)</f>
        <v>0.45884942842744608</v>
      </c>
      <c r="G28" s="938">
        <f>GETPIVOTDATA("Sum of Households",HFSVLAPivot!$B$3,"Council",B28)</f>
        <v>37703</v>
      </c>
    </row>
    <row r="29" spans="1:7" x14ac:dyDescent="0.3">
      <c r="A29" t="s">
        <v>278</v>
      </c>
      <c r="B29" s="48" t="s">
        <v>279</v>
      </c>
      <c r="C29" s="759">
        <f>IF(OR($B$9 = "2021-22", $B$9 = "2022-23"), "-", GETPIVOTDATA("Sum of HFSV - alarms installed",HFSVLAPivot!$B$3,"Council",B29)/GETPIVOTDATA("Sum of Households",HFSVLAPivot!$B$3,"Council",B29)*100)</f>
        <v>0.14972818575509075</v>
      </c>
      <c r="D29" s="759">
        <f>IF(OR($B$9 = "2021-22", $B$9 = "2022-23"), "-", GETPIVOTDATA("Sum of HFSV - advice only",HFSVLAPivot!$B$3,"Council",B29)/GETPIVOTDATA("Sum of Households",HFSVLAPivot!$B$3,"Council",B29)*100)</f>
        <v>0.48143370496636873</v>
      </c>
      <c r="E29" s="760">
        <f>IF(OR($B$9 = "2021-22", $B$9 = "2022-23"), "-", GETPIVOTDATA("Sum of Total HFSV",HFSVLAPivot!$B$3,"Council",B29)/GETPIVOTDATA("Sum of Households",HFSVLAPivot!$B$3,"Council",B29)*100)</f>
        <v>0.63116189072145945</v>
      </c>
      <c r="F29" s="760">
        <f>IF(OR($B$9 = "2021-22", $B$9 = "2022-23"), "-", GETPIVOTDATA("Sum of TotalAlarms",HFSVLAPivot!$B$3,"Council",B29)/GETPIVOTDATA("Sum of Households",HFSVLAPivot!$B$3,"Council",B29)*100)</f>
        <v>0.40541785681378417</v>
      </c>
      <c r="G29" s="938">
        <f>GETPIVOTDATA("Sum of Households",HFSVLAPivot!$B$3,"Council",B29)</f>
        <v>43412</v>
      </c>
    </row>
    <row r="30" spans="1:7" x14ac:dyDescent="0.3">
      <c r="A30" t="s">
        <v>280</v>
      </c>
      <c r="B30" s="48" t="s">
        <v>281</v>
      </c>
      <c r="C30" s="759">
        <f>IF(OR($B$9 = "2021-22", $B$9 = "2022-23"), "-", GETPIVOTDATA("Sum of HFSV - alarms installed",HFSVLAPivot!$B$3,"Council",B30)/GETPIVOTDATA("Sum of Households",HFSVLAPivot!$B$3,"Council",B30)*100)</f>
        <v>4.9218103313273233E-2</v>
      </c>
      <c r="D30" s="759">
        <f>IF(OR($B$9 = "2021-22", $B$9 = "2022-23"), "-", GETPIVOTDATA("Sum of HFSV - advice only",HFSVLAPivot!$B$3,"Council",B30)/GETPIVOTDATA("Sum of Households",HFSVLAPivot!$B$3,"Council",B30)*100)</f>
        <v>0.6018031723304772</v>
      </c>
      <c r="E30" s="760">
        <f>IF(OR($B$9 = "2021-22", $B$9 = "2022-23"), "-", GETPIVOTDATA("Sum of Total HFSV",HFSVLAPivot!$B$3,"Council",B30)/GETPIVOTDATA("Sum of Households",HFSVLAPivot!$B$3,"Council",B30)*100)</f>
        <v>0.65102127564375045</v>
      </c>
      <c r="F30" s="760">
        <f>IF(OR($B$9 = "2021-22", $B$9 = "2022-23"), "-", GETPIVOTDATA("Sum of TotalAlarms",HFSVLAPivot!$B$3,"Council",B30)/GETPIVOTDATA("Sum of Households",HFSVLAPivot!$B$3,"Council",B30)*100)</f>
        <v>0.13646837736862122</v>
      </c>
      <c r="G30" s="938">
        <f>GETPIVOTDATA("Sum of Households",HFSVLAPivot!$B$3,"Council",B30)</f>
        <v>44699</v>
      </c>
    </row>
    <row r="31" spans="1:7" x14ac:dyDescent="0.3">
      <c r="A31" t="s">
        <v>282</v>
      </c>
      <c r="B31" s="48" t="s">
        <v>283</v>
      </c>
      <c r="C31" s="759">
        <f>IF(OR($B$9 = "2021-22", $B$9 = "2022-23"), "-", GETPIVOTDATA("Sum of HFSV - alarms installed",HFSVLAPivot!$B$3,"Council",B31)/GETPIVOTDATA("Sum of Households",HFSVLAPivot!$B$3,"Council",B31)*100)</f>
        <v>2.3209036051369335E-2</v>
      </c>
      <c r="D31" s="759">
        <f>IF(OR($B$9 = "2021-22", $B$9 = "2022-23"), "-", GETPIVOTDATA("Sum of HFSV - advice only",HFSVLAPivot!$B$3,"Council",B31)/GETPIVOTDATA("Sum of Households",HFSVLAPivot!$B$3,"Council",B31)*100)</f>
        <v>0.21661766981278044</v>
      </c>
      <c r="E31" s="760">
        <f>IF(OR($B$9 = "2021-22", $B$9 = "2022-23"), "-", GETPIVOTDATA("Sum of Total HFSV",HFSVLAPivot!$B$3,"Council",B31)/GETPIVOTDATA("Sum of Households",HFSVLAPivot!$B$3,"Council",B31)*100)</f>
        <v>0.23982670586414978</v>
      </c>
      <c r="F31" s="760">
        <f>IF(OR($B$9 = "2021-22", $B$9 = "2022-23"), "-", GETPIVOTDATA("Sum of TotalAlarms",HFSVLAPivot!$B$3,"Council",B31)/GETPIVOTDATA("Sum of Households",HFSVLAPivot!$B$3,"Council",B31)*100)</f>
        <v>6.9627108154107997E-2</v>
      </c>
      <c r="G31" s="938">
        <f>GETPIVOTDATA("Sum of Households",HFSVLAPivot!$B$3,"Council",B31)</f>
        <v>12926</v>
      </c>
    </row>
    <row r="32" spans="1:7" x14ac:dyDescent="0.3">
      <c r="A32" t="s">
        <v>286</v>
      </c>
      <c r="B32" s="48" t="s">
        <v>287</v>
      </c>
      <c r="C32" s="759">
        <f>IF(OR($B$9 = "2021-22", $B$9 = "2022-23"), "-", GETPIVOTDATA("Sum of HFSV - alarms installed",HFSVLAPivot!$B$3,"Council",B32)/GETPIVOTDATA("Sum of Households",HFSVLAPivot!$B$3,"Council",B32)*100)</f>
        <v>0.18616006713969635</v>
      </c>
      <c r="D32" s="759">
        <f>IF(OR($B$9 = "2021-22", $B$9 = "2022-23"), "-", GETPIVOTDATA("Sum of HFSV - advice only",HFSVLAPivot!$B$3,"Council",B32)/GETPIVOTDATA("Sum of Households",HFSVLAPivot!$B$3,"Council",B32)*100)</f>
        <v>1.0330357824063476</v>
      </c>
      <c r="E32" s="760">
        <f>IF(OR($B$9 = "2021-22", $B$9 = "2022-23"), "-", GETPIVOTDATA("Sum of Total HFSV",HFSVLAPivot!$B$3,"Council",B32)/GETPIVOTDATA("Sum of Households",HFSVLAPivot!$B$3,"Council",B32)*100)</f>
        <v>1.2191958495460442</v>
      </c>
      <c r="F32" s="760">
        <f>IF(OR($B$9 = "2021-22", $B$9 = "2022-23"), "-", GETPIVOTDATA("Sum of TotalAlarms",HFSVLAPivot!$B$3,"Council",B32)/GETPIVOTDATA("Sum of Households",HFSVLAPivot!$B$3,"Council",B32)*100)</f>
        <v>0.49591821164263367</v>
      </c>
      <c r="G32" s="938">
        <f>GETPIVOTDATA("Sum of Households",HFSVLAPivot!$B$3,"Council",B32)</f>
        <v>65535</v>
      </c>
    </row>
    <row r="33" spans="1:11" x14ac:dyDescent="0.3">
      <c r="A33" t="s">
        <v>288</v>
      </c>
      <c r="B33" s="48" t="s">
        <v>289</v>
      </c>
      <c r="C33" s="759">
        <f>IF(OR($B$9 = "2021-22", $B$9 = "2022-23"), "-", GETPIVOTDATA("Sum of HFSV - alarms installed",HFSVLAPivot!$B$3,"Council",B33)/GETPIVOTDATA("Sum of Households",HFSVLAPivot!$B$3,"Council",B33)*100)</f>
        <v>0.15336326949695547</v>
      </c>
      <c r="D33" s="759">
        <f>IF(OR($B$9 = "2021-22", $B$9 = "2022-23"), "-", GETPIVOTDATA("Sum of HFSV - advice only",HFSVLAPivot!$B$3,"Council",B33)/GETPIVOTDATA("Sum of Households",HFSVLAPivot!$B$3,"Council",B33)*100)</f>
        <v>0.58810914785908774</v>
      </c>
      <c r="E33" s="760">
        <f>IF(OR($B$9 = "2021-22", $B$9 = "2022-23"), "-", GETPIVOTDATA("Sum of Total HFSV",HFSVLAPivot!$B$3,"Council",B33)/GETPIVOTDATA("Sum of Households",HFSVLAPivot!$B$3,"Council",B33)*100)</f>
        <v>0.7414724173560433</v>
      </c>
      <c r="F33" s="760">
        <f>IF(OR($B$9 = "2021-22", $B$9 = "2022-23"), "-", GETPIVOTDATA("Sum of TotalAlarms",HFSVLAPivot!$B$3,"Council",B33)/GETPIVOTDATA("Sum of Households",HFSVLAPivot!$B$3,"Council",B33)*100)</f>
        <v>0.53157268834114224</v>
      </c>
      <c r="G33" s="938">
        <f>GETPIVOTDATA("Sum of Households",HFSVLAPivot!$B$3,"Council",B33)</f>
        <v>153883</v>
      </c>
    </row>
    <row r="34" spans="1:11" x14ac:dyDescent="0.3">
      <c r="A34" t="s">
        <v>291</v>
      </c>
      <c r="B34" s="48" t="s">
        <v>292</v>
      </c>
      <c r="C34" s="759">
        <f>IF(OR($B$9 = "2021-22", $B$9 = "2022-23"), "-", GETPIVOTDATA("Sum of HFSV - alarms installed",HFSVLAPivot!$B$3,"Council",B34)/GETPIVOTDATA("Sum of Households",HFSVLAPivot!$B$3,"Council",B34)*100)</f>
        <v>0.19137883896837693</v>
      </c>
      <c r="D34" s="759">
        <f>IF(OR($B$9 = "2021-22", $B$9 = "2022-23"), "-", GETPIVOTDATA("Sum of HFSV - advice only",HFSVLAPivot!$B$3,"Council",B34)/GETPIVOTDATA("Sum of Households",HFSVLAPivot!$B$3,"Council",B34)*100)</f>
        <v>1.1664995899024879</v>
      </c>
      <c r="E34" s="760">
        <f>IF(OR($B$9 = "2021-22", $B$9 = "2022-23"), "-", GETPIVOTDATA("Sum of Total HFSV",HFSVLAPivot!$B$3,"Council",B34)/GETPIVOTDATA("Sum of Households",HFSVLAPivot!$B$3,"Council",B34)*100)</f>
        <v>1.357878428870865</v>
      </c>
      <c r="F34" s="760">
        <f>IF(OR($B$9 = "2021-22", $B$9 = "2022-23"), "-", GETPIVOTDATA("Sum of TotalAlarms",HFSVLAPivot!$B$3,"Council",B34)/GETPIVOTDATA("Sum of Households",HFSVLAPivot!$B$3,"Council",B34)*100)</f>
        <v>0.65615601932014944</v>
      </c>
      <c r="G34" s="938">
        <f>GETPIVOTDATA("Sum of Households",HFSVLAPivot!$B$3,"Council",B34)</f>
        <v>10973</v>
      </c>
    </row>
    <row r="35" spans="1:11" x14ac:dyDescent="0.3">
      <c r="A35" t="s">
        <v>293</v>
      </c>
      <c r="B35" s="48" t="s">
        <v>294</v>
      </c>
      <c r="C35" s="759">
        <f>IF(OR($B$9 = "2021-22", $B$9 = "2022-23"), "-", GETPIVOTDATA("Sum of HFSV - alarms installed",HFSVLAPivot!$B$3,"Council",B35)/GETPIVOTDATA("Sum of Households",HFSVLAPivot!$B$3,"Council",B35)*100)</f>
        <v>5.6849694952856349E-2</v>
      </c>
      <c r="D35" s="759">
        <f>IF(OR($B$9 = "2021-22", $B$9 = "2022-23"), "-", GETPIVOTDATA("Sum of HFSV - advice only",HFSVLAPivot!$B$3,"Council",B35)/GETPIVOTDATA("Sum of Households",HFSVLAPivot!$B$3,"Council",B35)*100)</f>
        <v>0.61286744315030506</v>
      </c>
      <c r="E35" s="760">
        <f>IF(OR($B$9 = "2021-22", $B$9 = "2022-23"), "-", GETPIVOTDATA("Sum of Total HFSV",HFSVLAPivot!$B$3,"Council",B35)/GETPIVOTDATA("Sum of Households",HFSVLAPivot!$B$3,"Council",B35)*100)</f>
        <v>0.66971713810316147</v>
      </c>
      <c r="F35" s="760">
        <f>IF(OR($B$9 = "2021-22", $B$9 = "2022-23"), "-", GETPIVOTDATA("Sum of TotalAlarms",HFSVLAPivot!$B$3,"Council",B35)/GETPIVOTDATA("Sum of Households",HFSVLAPivot!$B$3,"Council",B35)*100)</f>
        <v>0.17748197448696615</v>
      </c>
      <c r="G35" s="938">
        <f>GETPIVOTDATA("Sum of Households",HFSVLAPivot!$B$3,"Council",B35)</f>
        <v>72120</v>
      </c>
    </row>
    <row r="36" spans="1:11" x14ac:dyDescent="0.3">
      <c r="A36" t="s">
        <v>295</v>
      </c>
      <c r="B36" s="48" t="s">
        <v>296</v>
      </c>
      <c r="C36" s="759">
        <f>IF(OR($B$9 = "2021-22", $B$9 = "2022-23"), "-", GETPIVOTDATA("Sum of HFSV - alarms installed",HFSVLAPivot!$B$3,"Council",B36)/GETPIVOTDATA("Sum of Households",HFSVLAPivot!$B$3,"Council",B36)*100)</f>
        <v>0.25522015561653738</v>
      </c>
      <c r="D36" s="759">
        <f>IF(OR($B$9 = "2021-22", $B$9 = "2022-23"), "-", GETPIVOTDATA("Sum of HFSV - advice only",HFSVLAPivot!$B$3,"Council",B36)/GETPIVOTDATA("Sum of Households",HFSVLAPivot!$B$3,"Council",B36)*100)</f>
        <v>0.56577565470745672</v>
      </c>
      <c r="E36" s="760">
        <f>IF(OR($B$9 = "2021-22", $B$9 = "2022-23"), "-", GETPIVOTDATA("Sum of Total HFSV",HFSVLAPivot!$B$3,"Council",B36)/GETPIVOTDATA("Sum of Households",HFSVLAPivot!$B$3,"Council",B36)*100)</f>
        <v>0.82099581032399405</v>
      </c>
      <c r="F36" s="760">
        <f>IF(OR($B$9 = "2021-22", $B$9 = "2022-23"), "-", GETPIVOTDATA("Sum of TotalAlarms",HFSVLAPivot!$B$3,"Council",B36)/GETPIVOTDATA("Sum of Households",HFSVLAPivot!$B$3,"Council",B36)*100)</f>
        <v>0.79389278494878657</v>
      </c>
      <c r="G36" s="938">
        <f>GETPIVOTDATA("Sum of Households",HFSVLAPivot!$B$3,"Council",B36)</f>
        <v>88551</v>
      </c>
    </row>
    <row r="37" spans="1:11" x14ac:dyDescent="0.3">
      <c r="A37" t="s">
        <v>297</v>
      </c>
      <c r="B37" s="48" t="s">
        <v>298</v>
      </c>
      <c r="C37" s="759">
        <f>IF(OR($B$9 = "2021-22", $B$9 = "2022-23"), "-", GETPIVOTDATA("Sum of HFSV - alarms installed",HFSVLAPivot!$B$3,"Council",B37)/GETPIVOTDATA("Sum of Households",HFSVLAPivot!$B$3,"Council",B37)*100)</f>
        <v>0.22686588327041352</v>
      </c>
      <c r="D37" s="759">
        <f>IF(OR($B$9 = "2021-22", $B$9 = "2022-23"), "-", GETPIVOTDATA("Sum of HFSV - advice only",HFSVLAPivot!$B$3,"Council",B37)/GETPIVOTDATA("Sum of Households",HFSVLAPivot!$B$3,"Council",B37)*100)</f>
        <v>0.8206164371421989</v>
      </c>
      <c r="E37" s="760">
        <f>IF(OR($B$9 = "2021-22", $B$9 = "2022-23"), "-", GETPIVOTDATA("Sum of Total HFSV",HFSVLAPivot!$B$3,"Council",B37)/GETPIVOTDATA("Sum of Households",HFSVLAPivot!$B$3,"Council",B37)*100)</f>
        <v>1.0474823204126122</v>
      </c>
      <c r="F37" s="760">
        <f>IF(OR($B$9 = "2021-22", $B$9 = "2022-23"), "-", GETPIVOTDATA("Sum of TotalAlarms",HFSVLAPivot!$B$3,"Council",B37)/GETPIVOTDATA("Sum of Households",HFSVLAPivot!$B$3,"Council",B37)*100)</f>
        <v>0.63983268641108815</v>
      </c>
      <c r="G37" s="938">
        <f>GETPIVOTDATA("Sum of Households",HFSVLAPivot!$B$3,"Council",B37)</f>
        <v>56421</v>
      </c>
    </row>
    <row r="38" spans="1:11" x14ac:dyDescent="0.3">
      <c r="A38" t="s">
        <v>299</v>
      </c>
      <c r="B38" s="48" t="s">
        <v>300</v>
      </c>
      <c r="C38" s="759">
        <f>IF(OR($B$9 = "2021-22", $B$9 = "2022-23"), "-", GETPIVOTDATA("Sum of HFSV - alarms installed",HFSVLAPivot!$B$3,"Council",B38)/GETPIVOTDATA("Sum of Households",HFSVLAPivot!$B$3,"Council",B38)*100)</f>
        <v>0.12014787430683919</v>
      </c>
      <c r="D38" s="759">
        <f>IF(OR($B$9 = "2021-22", $B$9 = "2022-23"), "-", GETPIVOTDATA("Sum of HFSV - advice only",HFSVLAPivot!$B$3,"Council",B38)/GETPIVOTDATA("Sum of Households",HFSVLAPivot!$B$3,"Council",B38)*100)</f>
        <v>0.60998151571164505</v>
      </c>
      <c r="E38" s="760">
        <f>IF(OR($B$9 = "2021-22", $B$9 = "2022-23"), "-", GETPIVOTDATA("Sum of Total HFSV",HFSVLAPivot!$B$3,"Council",B38)/GETPIVOTDATA("Sum of Households",HFSVLAPivot!$B$3,"Council",B38)*100)</f>
        <v>0.73012939001848431</v>
      </c>
      <c r="F38" s="760">
        <f>IF(OR($B$9 = "2021-22", $B$9 = "2022-23"), "-", GETPIVOTDATA("Sum of TotalAlarms",HFSVLAPivot!$B$3,"Council",B38)/GETPIVOTDATA("Sum of Households",HFSVLAPivot!$B$3,"Council",B38)*100)</f>
        <v>0.51756007393715342</v>
      </c>
      <c r="G38" s="938">
        <f>GETPIVOTDATA("Sum of Households",HFSVLAPivot!$B$3,"Council",B38)</f>
        <v>10820</v>
      </c>
    </row>
    <row r="39" spans="1:11" x14ac:dyDescent="0.3">
      <c r="A39" t="s">
        <v>301</v>
      </c>
      <c r="B39" s="48" t="s">
        <v>302</v>
      </c>
      <c r="C39" s="759">
        <f>IF(OR($B$9 = "2021-22", $B$9 = "2022-23"), "-", GETPIVOTDATA("Sum of HFSV - alarms installed",HFSVLAPivot!$B$3,"Council",B39)/GETPIVOTDATA("Sum of Households",HFSVLAPivot!$B$3,"Council",B39)*100)</f>
        <v>0.12733367039304908</v>
      </c>
      <c r="D39" s="759">
        <f>IF(OR($B$9 = "2021-22", $B$9 = "2022-23"), "-", GETPIVOTDATA("Sum of HFSV - advice only",HFSVLAPivot!$B$3,"Council",B39)/GETPIVOTDATA("Sum of Households",HFSVLAPivot!$B$3,"Council",B39)*100)</f>
        <v>0.69659007920903326</v>
      </c>
      <c r="E39" s="760">
        <f>IF(OR($B$9 = "2021-22", $B$9 = "2022-23"), "-", GETPIVOTDATA("Sum of Total HFSV",HFSVLAPivot!$B$3,"Council",B39)/GETPIVOTDATA("Sum of Households",HFSVLAPivot!$B$3,"Council",B39)*100)</f>
        <v>0.82392374960208237</v>
      </c>
      <c r="F39" s="760">
        <f>IF(OR($B$9 = "2021-22", $B$9 = "2022-23"), "-", GETPIVOTDATA("Sum of TotalAlarms",HFSVLAPivot!$B$3,"Council",B39)/GETPIVOTDATA("Sum of Households",HFSVLAPivot!$B$3,"Council",B39)*100)</f>
        <v>0.35765780948635845</v>
      </c>
      <c r="G39" s="938">
        <f>GETPIVOTDATA("Sum of Households",HFSVLAPivot!$B$3,"Council",B39)</f>
        <v>53403</v>
      </c>
    </row>
    <row r="40" spans="1:11" x14ac:dyDescent="0.3">
      <c r="A40" t="s">
        <v>303</v>
      </c>
      <c r="B40" s="48" t="s">
        <v>304</v>
      </c>
      <c r="C40" s="759">
        <f>IF(OR($B$9 = "2021-22", $B$9 = "2022-23"), "-", GETPIVOTDATA("Sum of HFSV - alarms installed",HFSVLAPivot!$B$3,"Council",B40)/GETPIVOTDATA("Sum of Households",HFSVLAPivot!$B$3,"Council",B40)*100)</f>
        <v>0.19732947444583304</v>
      </c>
      <c r="D40" s="759">
        <f>IF(OR($B$9 = "2021-22", $B$9 = "2022-23"), "-", GETPIVOTDATA("Sum of HFSV - advice only",HFSVLAPivot!$B$3,"Council",B40)/GETPIVOTDATA("Sum of Households",HFSVLAPivot!$B$3,"Council",B40)*100)</f>
        <v>0.62684996382292968</v>
      </c>
      <c r="E40" s="760">
        <f>IF(OR($B$9 = "2021-22", $B$9 = "2022-23"), "-", GETPIVOTDATA("Sum of Total HFSV",HFSVLAPivot!$B$3,"Council",B40)/GETPIVOTDATA("Sum of Households",HFSVLAPivot!$B$3,"Council",B40)*100)</f>
        <v>0.82417943826876261</v>
      </c>
      <c r="F40" s="760">
        <f>IF(OR($B$9 = "2021-22", $B$9 = "2022-23"), "-", GETPIVOTDATA("Sum of TotalAlarms",HFSVLAPivot!$B$3,"Council",B40)/GETPIVOTDATA("Sum of Households",HFSVLAPivot!$B$3,"Council",B40)*100)</f>
        <v>0.6919686903900546</v>
      </c>
      <c r="G40" s="938">
        <f>GETPIVOTDATA("Sum of Households",HFSVLAPivot!$B$3,"Council",B40)</f>
        <v>152030</v>
      </c>
    </row>
    <row r="41" spans="1:11" x14ac:dyDescent="0.3">
      <c r="A41" t="s">
        <v>306</v>
      </c>
      <c r="B41" s="48" t="s">
        <v>307</v>
      </c>
      <c r="C41" s="759">
        <f>IF(OR($B$9 = "2021-22", $B$9 = "2022-23"), "-", GETPIVOTDATA("Sum of HFSV - alarms installed",HFSVLAPivot!$B$3,"Council",B41)/GETPIVOTDATA("Sum of Households",HFSVLAPivot!$B$3,"Council",B41)*100)</f>
        <v>9.9268800542346616E-2</v>
      </c>
      <c r="D41" s="759">
        <f>IF(OR($B$9 = "2021-22", $B$9 = "2022-23"), "-", GETPIVOTDATA("Sum of HFSV - advice only",HFSVLAPivot!$B$3,"Council",B41)/GETPIVOTDATA("Sum of Households",HFSVLAPivot!$B$3,"Council",B41)*100)</f>
        <v>0.50118638322599385</v>
      </c>
      <c r="E41" s="760">
        <f>IF(OR($B$9 = "2021-22", $B$9 = "2022-23"), "-", GETPIVOTDATA("Sum of Total HFSV",HFSVLAPivot!$B$3,"Council",B41)/GETPIVOTDATA("Sum of Households",HFSVLAPivot!$B$3,"Council",B41)*100)</f>
        <v>0.60045518376834051</v>
      </c>
      <c r="F41" s="760">
        <f>IF(OR($B$9 = "2021-22", $B$9 = "2022-23"), "-", GETPIVOTDATA("Sum of TotalAlarms",HFSVLAPivot!$B$3,"Council",B41)/GETPIVOTDATA("Sum of Households",HFSVLAPivot!$B$3,"Council",B41)*100)</f>
        <v>0.30506997239843109</v>
      </c>
      <c r="G41" s="938">
        <f>GETPIVOTDATA("Sum of Households",HFSVLAPivot!$B$3,"Council",B41)</f>
        <v>41302</v>
      </c>
    </row>
    <row r="42" spans="1:11" x14ac:dyDescent="0.3">
      <c r="A42" t="s">
        <v>308</v>
      </c>
      <c r="B42" s="48" t="s">
        <v>309</v>
      </c>
      <c r="C42" s="759">
        <f>IF(OR($B$9 = "2021-22", $B$9 = "2022-23"), "-", GETPIVOTDATA("Sum of HFSV - alarms installed",HFSVLAPivot!$B$3,"Council",B42)/GETPIVOTDATA("Sum of Households",HFSVLAPivot!$B$3,"Council",B42)*100)</f>
        <v>0.16876271499907528</v>
      </c>
      <c r="D42" s="759">
        <f>IF(OR($B$9 = "2021-22", $B$9 = "2022-23"), "-", GETPIVOTDATA("Sum of HFSV - advice only",HFSVLAPivot!$B$3,"Council",B42)/GETPIVOTDATA("Sum of Households",HFSVLAPivot!$B$3,"Council",B42)*100)</f>
        <v>0.60569631958572223</v>
      </c>
      <c r="E42" s="760">
        <f>IF(OR($B$9 = "2021-22", $B$9 = "2022-23"), "-", GETPIVOTDATA("Sum of Total HFSV",HFSVLAPivot!$B$3,"Council",B42)/GETPIVOTDATA("Sum of Households",HFSVLAPivot!$B$3,"Council",B42)*100)</f>
        <v>0.77445903458479748</v>
      </c>
      <c r="F42" s="760">
        <f>IF(OR($B$9 = "2021-22", $B$9 = "2022-23"), "-", GETPIVOTDATA("Sum of TotalAlarms",HFSVLAPivot!$B$3,"Council",B42)/GETPIVOTDATA("Sum of Households",HFSVLAPivot!$B$3,"Council",B42)*100)</f>
        <v>0.54790086924357317</v>
      </c>
      <c r="G42" s="938">
        <f>GETPIVOTDATA("Sum of Households",HFSVLAPivot!$B$3,"Council",B42)</f>
        <v>43256</v>
      </c>
    </row>
    <row r="43" spans="1:11" x14ac:dyDescent="0.3">
      <c r="A43" t="s">
        <v>310</v>
      </c>
      <c r="B43" s="48" t="s">
        <v>311</v>
      </c>
      <c r="C43" s="759">
        <f>IF(OR($B$9 = "2021-22", $B$9 = "2022-23"), "-", GETPIVOTDATA("Sum of HFSV - alarms installed",HFSVLAPivot!$B$3,"Council",B43)/GETPIVOTDATA("Sum of Households",HFSVLAPivot!$B$3,"Council",B43)*100)</f>
        <v>0.14081600446726633</v>
      </c>
      <c r="D43" s="759">
        <f>IF(OR($B$9 = "2021-22", $B$9 = "2022-23"), "-", GETPIVOTDATA("Sum of HFSV - advice only",HFSVLAPivot!$B$3,"Council",B43)/GETPIVOTDATA("Sum of Households",HFSVLAPivot!$B$3,"Council",B43)*100)</f>
        <v>0.6057516054238441</v>
      </c>
      <c r="E43" s="760">
        <f>IF(OR($B$9 = "2021-22", $B$9 = "2022-23"), "-", GETPIVOTDATA("Sum of Total HFSV",HFSVLAPivot!$B$3,"Council",B43)/GETPIVOTDATA("Sum of Households",HFSVLAPivot!$B$3,"Council",B43)*100)</f>
        <v>0.74656760989111037</v>
      </c>
      <c r="F43" s="760">
        <f>IF(OR($B$9 = "2021-22", $B$9 = "2022-23"), "-", GETPIVOTDATA("Sum of TotalAlarms",HFSVLAPivot!$B$3,"Council",B43)/GETPIVOTDATA("Sum of Households",HFSVLAPivot!$B$3,"Council",B43)*100)</f>
        <v>0.48193063597848917</v>
      </c>
      <c r="G43" s="938">
        <f>GETPIVOTDATA("Sum of Households",HFSVLAPivot!$B$3,"Council",B43)</f>
        <v>82377</v>
      </c>
    </row>
    <row r="44" spans="1:11" ht="19.5" customHeight="1" thickBot="1" x14ac:dyDescent="0.35">
      <c r="A44" s="33"/>
      <c r="B44" s="33" t="s">
        <v>348</v>
      </c>
      <c r="C44" s="867">
        <f>IF(OR($B$9 = "2021-22", $B$9 = "2022-23"), "-", GETPIVOTDATA("Sum of HFSV - alarms installed",HFSVLAPivot!$B$3)/GETPIVOTDATA("Sum of Households",HFSVLAPivot!$B$3)*100)</f>
        <v>0.13540537397128286</v>
      </c>
      <c r="D44" s="867">
        <f>IF(OR($B$9 = "2021-22", $B$9 = "2022-23"), "-", GETPIVOTDATA("Sum of HFSV - advice only",HFSVLAPivot!$B$3)/GETPIVOTDATA("Sum of Households",HFSVLAPivot!$B$3)*100)</f>
        <v>0.65901690486109576</v>
      </c>
      <c r="E44" s="868">
        <f>IF(OR($B$9 = "2021-22", $B$9 = "2022-23"), "-", GETPIVOTDATA("Sum of Total HFSV",HFSVLAPivot!$B$3)/GETPIVOTDATA("Sum of Households",HFSVLAPivot!$B$3)*100)</f>
        <v>0.79442227883237859</v>
      </c>
      <c r="F44" s="868">
        <f>IF(OR($B$9 = "2021-22", $B$9 = "2022-23"), "-", GETPIVOTDATA("Sum of TotalAlarms",HFSVLAPivot!$B$3)/GETPIVOTDATA("Sum of Households",HFSVLAPivot!$B$3)*100)</f>
        <v>0.41776895043136397</v>
      </c>
      <c r="G44" s="866">
        <f>SUM(G12:G43)</f>
        <v>2570799</v>
      </c>
    </row>
    <row r="45" spans="1:11" x14ac:dyDescent="0.3">
      <c r="B45" s="12"/>
      <c r="C45" s="229"/>
      <c r="D45" s="229"/>
      <c r="E45" s="230"/>
      <c r="F45" s="230"/>
      <c r="G45" s="62"/>
    </row>
    <row r="46" spans="1:11" x14ac:dyDescent="0.3">
      <c r="A46" s="336" t="s">
        <v>329</v>
      </c>
      <c r="B46" s="338"/>
      <c r="C46" s="338"/>
      <c r="D46" s="338"/>
      <c r="E46" s="338"/>
      <c r="F46" s="338"/>
    </row>
    <row r="47" spans="1:11" x14ac:dyDescent="0.3">
      <c r="A47" s="515" t="s">
        <v>939</v>
      </c>
      <c r="B47" s="418"/>
      <c r="C47" s="418"/>
      <c r="D47" s="418"/>
      <c r="E47" s="418"/>
      <c r="F47" s="418"/>
      <c r="G47" s="418"/>
      <c r="H47" s="370"/>
      <c r="I47" s="380"/>
      <c r="J47" s="380"/>
      <c r="K47" s="380"/>
    </row>
    <row r="48" spans="1:11" x14ac:dyDescent="0.3">
      <c r="A48" s="498" t="s">
        <v>940</v>
      </c>
      <c r="B48" s="364"/>
      <c r="C48" s="557"/>
      <c r="D48" s="557"/>
      <c r="E48" s="557"/>
      <c r="F48" s="557"/>
      <c r="G48" s="365"/>
      <c r="H48" s="370"/>
    </row>
    <row r="49" spans="1:9" ht="45.6" customHeight="1" x14ac:dyDescent="0.3">
      <c r="A49" s="1029" t="s">
        <v>1107</v>
      </c>
      <c r="B49" s="1029"/>
      <c r="C49" s="1029"/>
      <c r="D49" s="1029"/>
      <c r="E49" s="1029"/>
      <c r="F49" s="1029"/>
      <c r="G49" s="1029"/>
      <c r="H49" s="1029"/>
      <c r="I49" s="1029"/>
    </row>
    <row r="50" spans="1:9" ht="48.6" customHeight="1" x14ac:dyDescent="0.3">
      <c r="A50" s="1029" t="s">
        <v>925</v>
      </c>
      <c r="B50" s="1029"/>
      <c r="C50" s="1029"/>
      <c r="D50" s="1029"/>
      <c r="E50" s="1029"/>
      <c r="F50" s="1029"/>
      <c r="G50" s="1029"/>
      <c r="H50" s="1029"/>
      <c r="I50" s="1029"/>
    </row>
  </sheetData>
  <sheetProtection algorithmName="SHA-512" hashValue="aZgp31li+4akdDB3BsXTlrv+zNVOmdiazaAiVPCezWth70q1aTUjhnhTVCWWK42hcYpIpxtVKt90lQAZqtdw9Q==" saltValue="u0sPXHX9ZArd03f6vPpoVA==" spinCount="100000" sheet="1" scenarios="1" formatCells="0" sort="0" autoFilter="0" pivotTables="0"/>
  <mergeCells count="2">
    <mergeCell ref="A49:I49"/>
    <mergeCell ref="A50:I50"/>
  </mergeCells>
  <hyperlinks>
    <hyperlink ref="A2" location="'Table of Contents'!A1" display="Back to Table of Contents" xr:uid="{00000000-0004-0000-9200-000000000000}"/>
    <hyperlink ref="A47:G47" r:id="rId1" display="https://www.nrscotland.gov.uk/statistics-and-data/statistics/statistics-by-theme/households/household-estimates/2016/list-of-tables" xr:uid="{00000000-0004-0000-9200-000001000000}"/>
    <hyperlink ref="A48" r:id="rId2" xr:uid="{00000000-0004-0000-9200-000002000000}"/>
  </hyperlinks>
  <pageMargins left="0.70866141732283472" right="0.70866141732283472" top="0.74803149606299213" bottom="0.74803149606299213" header="0.31496062992125984" footer="0.31496062992125984"/>
  <pageSetup paperSize="9" orientation="portrait" r:id="rId3"/>
  <drawing r:id="rId4"/>
  <extLst>
    <ext xmlns:x14="http://schemas.microsoft.com/office/spreadsheetml/2009/9/main" uri="{A8765BA9-456A-4dab-B4F3-ACF838C121DE}">
      <x14:slicerList>
        <x14:slicer r:id="rId5"/>
      </x14:slicerList>
    </ext>
  </extLst>
</worksheet>
</file>

<file path=xl/worksheets/sheet1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tabColor theme="7" tint="-0.249977111117893"/>
    <pageSetUpPr fitToPage="1"/>
  </sheetPr>
  <dimension ref="A1:H6"/>
  <sheetViews>
    <sheetView showGridLines="0" zoomScale="115" zoomScaleNormal="115" workbookViewId="0">
      <pane ySplit="2" topLeftCell="A3" activePane="bottomLeft" state="frozen"/>
      <selection pane="bottomLeft"/>
    </sheetView>
  </sheetViews>
  <sheetFormatPr defaultRowHeight="14.4" x14ac:dyDescent="0.3"/>
  <sheetData>
    <row r="1" spans="1:8" ht="15.6" x14ac:dyDescent="0.3">
      <c r="A1" s="513" t="s">
        <v>1108</v>
      </c>
      <c r="B1" s="513"/>
      <c r="C1" s="513"/>
    </row>
    <row r="2" spans="1:8" ht="15.6" x14ac:dyDescent="0.3">
      <c r="A2" s="498" t="s">
        <v>202</v>
      </c>
      <c r="B2" s="440"/>
      <c r="C2" s="440"/>
    </row>
    <row r="4" spans="1:8" ht="15.6" x14ac:dyDescent="0.3">
      <c r="A4" s="1031" t="s">
        <v>1109</v>
      </c>
      <c r="B4" s="1031"/>
      <c r="C4" s="1031"/>
      <c r="D4" s="1031"/>
      <c r="E4" s="1031"/>
      <c r="F4" s="1031"/>
      <c r="G4" s="1031"/>
      <c r="H4" s="1031"/>
    </row>
    <row r="5" spans="1:8" x14ac:dyDescent="0.3">
      <c r="A5" s="560" t="s">
        <v>454</v>
      </c>
    </row>
    <row r="6" spans="1:8" x14ac:dyDescent="0.3">
      <c r="A6" s="560" t="s">
        <v>168</v>
      </c>
    </row>
  </sheetData>
  <sheetProtection algorithmName="SHA-512" hashValue="IMo59uo26TFJnMoLuvNFLkin80CT11xRn8Uux9hubn+Va2uVne8EBYuppTCu33C7IgRR3u6ZZ71lvGBYzN2GQA==" saltValue="pwGSkiGmF+qN61mqnPUUog==" spinCount="100000" sheet="1" scenarios="1" formatCells="0" sort="0" autoFilter="0" pivotTables="0"/>
  <mergeCells count="1">
    <mergeCell ref="A4:H4"/>
  </mergeCells>
  <hyperlinks>
    <hyperlink ref="A2" location="'Table of Contents'!A1" display="Back to Table of Contents" xr:uid="{00000000-0004-0000-9300-000000000000}"/>
  </hyperlinks>
  <pageMargins left="0.70866141732283472" right="0.70866141732283472" top="0.74803149606299213" bottom="0.74803149606299213" header="0.31496062992125984" footer="0.31496062992125984"/>
  <pageSetup paperSize="9" orientation="landscape" r:id="rId1"/>
  <drawing r:id="rId2"/>
</worksheet>
</file>

<file path=xl/worksheets/sheet1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tabColor theme="7" tint="-0.249977111117893"/>
  </sheetPr>
  <dimension ref="A1:H6"/>
  <sheetViews>
    <sheetView showGridLines="0" zoomScale="115" zoomScaleNormal="115" workbookViewId="0">
      <pane ySplit="2" topLeftCell="A3" activePane="bottomLeft" state="frozen"/>
      <selection pane="bottomLeft"/>
    </sheetView>
  </sheetViews>
  <sheetFormatPr defaultRowHeight="14.4" x14ac:dyDescent="0.3"/>
  <sheetData>
    <row r="1" spans="1:8" ht="15.6" x14ac:dyDescent="0.3">
      <c r="A1" s="513" t="s">
        <v>1108</v>
      </c>
      <c r="B1" s="513"/>
      <c r="C1" s="513"/>
    </row>
    <row r="2" spans="1:8" ht="15.6" x14ac:dyDescent="0.3">
      <c r="A2" s="498" t="s">
        <v>202</v>
      </c>
      <c r="B2" s="440"/>
      <c r="C2" s="440"/>
    </row>
    <row r="4" spans="1:8" ht="15.6" x14ac:dyDescent="0.3">
      <c r="A4" s="1031" t="s">
        <v>142</v>
      </c>
      <c r="B4" s="1031"/>
      <c r="C4" s="1031"/>
      <c r="D4" s="1031"/>
      <c r="E4" s="1031"/>
      <c r="F4" s="1031"/>
      <c r="G4" s="1031"/>
      <c r="H4" s="1031"/>
    </row>
    <row r="5" spans="1:8" x14ac:dyDescent="0.3">
      <c r="A5" s="560" t="s">
        <v>454</v>
      </c>
    </row>
    <row r="6" spans="1:8" x14ac:dyDescent="0.3">
      <c r="A6" s="560" t="s">
        <v>169</v>
      </c>
    </row>
  </sheetData>
  <sheetProtection algorithmName="SHA-512" hashValue="qolxdt5TKIaszJb0y0RqL3/r3BdarmztMfime1dz6EKIBUpcDxtpDAKAvN3wPpYXCl/qJJL3zBGR1KTs+MD+rg==" saltValue="FAo9kCQGXAdknD5k3JXZxw==" spinCount="100000" sheet="1" scenarios="1" formatCells="0" sort="0" autoFilter="0" pivotTables="0"/>
  <mergeCells count="1">
    <mergeCell ref="A4:H4"/>
  </mergeCells>
  <hyperlinks>
    <hyperlink ref="A2" location="'Table of Contents'!A1" display="Back to Table of Contents" xr:uid="{00000000-0004-0000-9400-000000000000}"/>
  </hyperlinks>
  <pageMargins left="0.7" right="0.7" top="0.75" bottom="0.75" header="0.3" footer="0.3"/>
  <drawing r:id="rId1"/>
</worksheet>
</file>

<file path=xl/worksheets/sheet1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tabColor theme="7" tint="-0.249977111117893"/>
  </sheetPr>
  <dimension ref="A1:H6"/>
  <sheetViews>
    <sheetView showGridLines="0" workbookViewId="0">
      <pane ySplit="2" topLeftCell="A3" activePane="bottomLeft" state="frozen"/>
      <selection pane="bottomLeft"/>
    </sheetView>
  </sheetViews>
  <sheetFormatPr defaultRowHeight="14.4" x14ac:dyDescent="0.3"/>
  <sheetData>
    <row r="1" spans="1:8" ht="15.6" x14ac:dyDescent="0.3">
      <c r="A1" s="513" t="s">
        <v>1108</v>
      </c>
      <c r="B1" s="513"/>
      <c r="C1" s="513"/>
    </row>
    <row r="2" spans="1:8" ht="15.6" x14ac:dyDescent="0.3">
      <c r="A2" s="498" t="s">
        <v>202</v>
      </c>
      <c r="B2" s="440"/>
      <c r="C2" s="440"/>
    </row>
    <row r="4" spans="1:8" ht="15.6" x14ac:dyDescent="0.3">
      <c r="A4" s="1031" t="s">
        <v>1110</v>
      </c>
      <c r="B4" s="1031"/>
      <c r="C4" s="1031"/>
      <c r="D4" s="1031"/>
      <c r="E4" s="1031"/>
      <c r="F4" s="1031"/>
      <c r="G4" s="1031"/>
      <c r="H4" s="1031"/>
    </row>
    <row r="5" spans="1:8" x14ac:dyDescent="0.3">
      <c r="A5" s="560" t="s">
        <v>454</v>
      </c>
    </row>
    <row r="6" spans="1:8" x14ac:dyDescent="0.3">
      <c r="A6" s="560" t="s">
        <v>170</v>
      </c>
    </row>
  </sheetData>
  <sheetProtection algorithmName="SHA-512" hashValue="Ej60oZvC/ThzbfU4cqZLqUlV3NwbDzmu5vc17QeHdtmMRzFWoN9j2M2buzURQcFDa9ImOLDLIuFX5dqNI0n4aA==" saltValue="421OpY2G7YJvA2dYCzEx+A==" spinCount="100000" sheet="1" scenarios="1" formatCells="0" sort="0" autoFilter="0" pivotTables="0"/>
  <mergeCells count="1">
    <mergeCell ref="A4:H4"/>
  </mergeCells>
  <hyperlinks>
    <hyperlink ref="A2" location="'Table of Contents'!A1" display="Back to Table of Contents" xr:uid="{00000000-0004-0000-9500-000000000000}"/>
  </hyperlinks>
  <pageMargins left="0.7" right="0.7" top="0.75" bottom="0.75" header="0.3" footer="0.3"/>
</worksheet>
</file>

<file path=xl/worksheets/sheet1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tabColor theme="7" tint="-0.249977111117893"/>
  </sheetPr>
  <dimension ref="A1:H6"/>
  <sheetViews>
    <sheetView showGridLines="0" zoomScaleNormal="100" workbookViewId="0">
      <pane ySplit="2" topLeftCell="A3" activePane="bottomLeft" state="frozen"/>
      <selection pane="bottomLeft"/>
    </sheetView>
  </sheetViews>
  <sheetFormatPr defaultColWidth="9.109375" defaultRowHeight="14.4" x14ac:dyDescent="0.3"/>
  <sheetData>
    <row r="1" spans="1:8" ht="15.6" x14ac:dyDescent="0.3">
      <c r="A1" s="513" t="s">
        <v>1108</v>
      </c>
      <c r="B1" s="513"/>
      <c r="C1" s="513"/>
    </row>
    <row r="2" spans="1:8" ht="15.6" x14ac:dyDescent="0.3">
      <c r="A2" s="590" t="s">
        <v>202</v>
      </c>
      <c r="B2" s="440"/>
      <c r="C2" s="440"/>
    </row>
    <row r="4" spans="1:8" ht="15.6" x14ac:dyDescent="0.3">
      <c r="A4" s="1041" t="s">
        <v>1111</v>
      </c>
      <c r="B4" s="1041"/>
      <c r="C4" s="1041"/>
      <c r="D4" s="1041"/>
      <c r="E4" s="1041"/>
      <c r="F4" s="1041"/>
      <c r="G4" s="1041"/>
      <c r="H4" s="1041"/>
    </row>
    <row r="5" spans="1:8" x14ac:dyDescent="0.3">
      <c r="A5" s="560" t="s">
        <v>454</v>
      </c>
    </row>
    <row r="6" spans="1:8" x14ac:dyDescent="0.3">
      <c r="A6" s="560" t="s">
        <v>171</v>
      </c>
    </row>
  </sheetData>
  <sheetProtection algorithmName="SHA-512" hashValue="abg2NT1ikYl7QYcaQ8SdVqro0n2b5ObM9dhVzpTbqvVEdlZJy3OIv6AsIrtGMFvYIRPG9nn6+fV3ae1z8pGK3A==" saltValue="4ttOA5dBPuNRnm0L47AkSA==" spinCount="100000" sheet="1" scenarios="1" formatCells="0" sort="0" autoFilter="0" pivotTables="0"/>
  <mergeCells count="1">
    <mergeCell ref="A4:H4"/>
  </mergeCells>
  <hyperlinks>
    <hyperlink ref="A2" location="'Table of Contents'!A1" display="Back to Table of Contents" xr:uid="{00000000-0004-0000-9600-000000000000}"/>
  </hyperlinks>
  <pageMargins left="0.7" right="0.7" top="0.75" bottom="0.75" header="0.3" footer="0.3"/>
  <pageSetup paperSize="9" orientation="portrait" r:id="rId1"/>
  <drawing r:id="rId2"/>
</worksheet>
</file>

<file path=xl/worksheets/sheet1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tabColor theme="7" tint="-0.249977111117893"/>
  </sheetPr>
  <dimension ref="A1:H7"/>
  <sheetViews>
    <sheetView showGridLines="0" workbookViewId="0"/>
  </sheetViews>
  <sheetFormatPr defaultColWidth="9.109375" defaultRowHeight="14.4" x14ac:dyDescent="0.3"/>
  <sheetData>
    <row r="1" spans="1:8" ht="15.6" x14ac:dyDescent="0.3">
      <c r="A1" s="513" t="s">
        <v>1108</v>
      </c>
      <c r="B1" s="513"/>
      <c r="C1" s="513"/>
    </row>
    <row r="2" spans="1:8" ht="15.6" x14ac:dyDescent="0.3">
      <c r="A2" s="590" t="s">
        <v>202</v>
      </c>
      <c r="B2" s="440"/>
      <c r="C2" s="440"/>
    </row>
    <row r="4" spans="1:8" ht="15.75" customHeight="1" x14ac:dyDescent="0.3">
      <c r="A4" s="438" t="s">
        <v>1112</v>
      </c>
      <c r="B4" s="438"/>
      <c r="C4" s="438"/>
      <c r="D4" s="438"/>
      <c r="E4" s="438"/>
      <c r="F4" s="438"/>
      <c r="G4" s="438"/>
      <c r="H4" s="438"/>
    </row>
    <row r="5" spans="1:8" x14ac:dyDescent="0.3">
      <c r="A5" s="560" t="s">
        <v>454</v>
      </c>
    </row>
    <row r="6" spans="1:8" x14ac:dyDescent="0.3">
      <c r="A6" s="560" t="s">
        <v>172</v>
      </c>
    </row>
    <row r="7" spans="1:8" x14ac:dyDescent="0.3">
      <c r="A7" s="560"/>
    </row>
  </sheetData>
  <sheetProtection algorithmName="SHA-512" hashValue="Ijxw9uwIixV1vPzrKk71fXzVIVYMgHcki8VHbm5lluDE1wfe29b58blBk4ddahp4+H+7IQzaMJn5YSNDoAPxew==" saltValue="S5nHqLVlKFzZ4PcDzweUYw==" spinCount="100000" sheet="1" scenarios="1" formatCells="0" sort="0" autoFilter="0" pivotTables="0"/>
  <hyperlinks>
    <hyperlink ref="A2" location="'Table of Contents'!A1" display="Back to Table of Contents" xr:uid="{00000000-0004-0000-9700-000000000000}"/>
  </hyperlinks>
  <pageMargins left="0.7" right="0.7" top="0.75" bottom="0.75" header="0.3" footer="0.3"/>
  <drawing r:id="rId1"/>
</worksheet>
</file>

<file path=xl/worksheets/sheet1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tabColor theme="7" tint="-0.249977111117893"/>
  </sheetPr>
  <dimension ref="A1:H6"/>
  <sheetViews>
    <sheetView showGridLines="0" workbookViewId="0"/>
  </sheetViews>
  <sheetFormatPr defaultColWidth="9.109375" defaultRowHeight="14.4" x14ac:dyDescent="0.3"/>
  <sheetData>
    <row r="1" spans="1:8" ht="15.6" x14ac:dyDescent="0.3">
      <c r="A1" s="513" t="s">
        <v>1108</v>
      </c>
      <c r="B1" s="513"/>
      <c r="C1" s="513"/>
    </row>
    <row r="2" spans="1:8" ht="15.6" x14ac:dyDescent="0.3">
      <c r="A2" s="590" t="s">
        <v>202</v>
      </c>
      <c r="B2" s="440"/>
      <c r="C2" s="440"/>
    </row>
    <row r="4" spans="1:8" ht="15.6" x14ac:dyDescent="0.3">
      <c r="A4" s="438" t="s">
        <v>1038</v>
      </c>
      <c r="B4" s="438"/>
      <c r="C4" s="438"/>
      <c r="D4" s="438"/>
      <c r="E4" s="438"/>
      <c r="F4" s="438"/>
      <c r="G4" s="438"/>
      <c r="H4" s="438"/>
    </row>
    <row r="5" spans="1:8" x14ac:dyDescent="0.3">
      <c r="A5" s="560" t="s">
        <v>454</v>
      </c>
    </row>
    <row r="6" spans="1:8" x14ac:dyDescent="0.3">
      <c r="A6" s="560" t="s">
        <v>173</v>
      </c>
    </row>
  </sheetData>
  <sheetProtection algorithmName="SHA-512" hashValue="HbF6woSLWH4FqM82ZLl4wUaKIMeugufhQ7iREcnkySX7I1XBXyu3na4T/elbUgDY0uSxSaIgcRw39C0X83LIFA==" saltValue="zKTBDJmpWDn2k0HD0+DrQA==" spinCount="100000" sheet="1" scenarios="1" formatCells="0" sort="0" autoFilter="0" pivotTables="0"/>
  <hyperlinks>
    <hyperlink ref="A2" location="'Table of Contents'!A1" display="Back to Table of Contents" xr:uid="{00000000-0004-0000-9800-000000000000}"/>
  </hyperlinks>
  <pageMargins left="0.7" right="0.7" top="0.75" bottom="0.75" header="0.3" footer="0.3"/>
  <drawing r:id="rId1"/>
</worksheet>
</file>

<file path=xl/worksheets/sheet1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tabColor theme="7" tint="-0.249977111117893"/>
  </sheetPr>
  <dimension ref="A1:H6"/>
  <sheetViews>
    <sheetView showGridLines="0" workbookViewId="0"/>
  </sheetViews>
  <sheetFormatPr defaultColWidth="9.109375" defaultRowHeight="14.4" x14ac:dyDescent="0.3"/>
  <sheetData>
    <row r="1" spans="1:8" ht="15.6" x14ac:dyDescent="0.3">
      <c r="A1" s="513" t="s">
        <v>1108</v>
      </c>
      <c r="B1" s="513"/>
      <c r="C1" s="513"/>
    </row>
    <row r="2" spans="1:8" ht="15.6" x14ac:dyDescent="0.3">
      <c r="A2" s="590" t="s">
        <v>202</v>
      </c>
      <c r="B2" s="440"/>
      <c r="C2" s="440"/>
    </row>
    <row r="4" spans="1:8" ht="15.75" customHeight="1" x14ac:dyDescent="0.3">
      <c r="A4" s="438" t="s">
        <v>1038</v>
      </c>
      <c r="B4" s="438"/>
      <c r="C4" s="438"/>
      <c r="D4" s="438"/>
      <c r="E4" s="438"/>
      <c r="F4" s="438"/>
      <c r="G4" s="438"/>
      <c r="H4" s="438"/>
    </row>
    <row r="5" spans="1:8" x14ac:dyDescent="0.3">
      <c r="A5" s="560" t="s">
        <v>454</v>
      </c>
    </row>
    <row r="6" spans="1:8" x14ac:dyDescent="0.3">
      <c r="A6" s="560" t="s">
        <v>174</v>
      </c>
    </row>
  </sheetData>
  <sheetProtection algorithmName="SHA-512" hashValue="n8S3r2CZkzJjgHDb3TtUGOYjHkLNICCEdrVVKzfdfosKOJfnQw2lKIaEhQrzK5ZIlcXJ92mkKS9mx2n6hr9kqw==" saltValue="QQFIpgk7q4m67nnuUhyXoQ==" spinCount="100000" sheet="1" scenarios="1" formatCells="0" sort="0" autoFilter="0" pivotTables="0"/>
  <hyperlinks>
    <hyperlink ref="A2" location="'Table of Contents'!A1" display="Back to Table of Contents" xr:uid="{00000000-0004-0000-9900-000000000000}"/>
  </hyperlinks>
  <pageMargins left="0.7" right="0.7" top="0.75" bottom="0.75" header="0.3" footer="0.3"/>
  <drawing r:id="rId1"/>
</worksheet>
</file>

<file path=xl/worksheets/sheet1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tabColor theme="7" tint="-0.249977111117893"/>
  </sheetPr>
  <dimension ref="A1:H6"/>
  <sheetViews>
    <sheetView showGridLines="0" zoomScale="85" zoomScaleNormal="85" workbookViewId="0"/>
  </sheetViews>
  <sheetFormatPr defaultColWidth="9.109375" defaultRowHeight="14.4" x14ac:dyDescent="0.3"/>
  <sheetData>
    <row r="1" spans="1:8" ht="15.6" x14ac:dyDescent="0.3">
      <c r="A1" s="513" t="s">
        <v>1108</v>
      </c>
      <c r="B1" s="513"/>
      <c r="C1" s="513"/>
    </row>
    <row r="2" spans="1:8" ht="15.6" x14ac:dyDescent="0.3">
      <c r="A2" s="590" t="s">
        <v>202</v>
      </c>
      <c r="B2" s="440"/>
      <c r="C2" s="440"/>
    </row>
    <row r="4" spans="1:8" ht="15.75" customHeight="1" x14ac:dyDescent="0.3">
      <c r="A4" s="438" t="s">
        <v>1049</v>
      </c>
      <c r="B4" s="438"/>
      <c r="C4" s="438"/>
      <c r="D4" s="438"/>
      <c r="E4" s="438"/>
      <c r="F4" s="438"/>
      <c r="G4" s="438"/>
      <c r="H4" s="438"/>
    </row>
    <row r="5" spans="1:8" x14ac:dyDescent="0.3">
      <c r="A5" s="560" t="s">
        <v>454</v>
      </c>
    </row>
    <row r="6" spans="1:8" x14ac:dyDescent="0.3">
      <c r="A6" s="560" t="s">
        <v>176</v>
      </c>
    </row>
  </sheetData>
  <sheetProtection algorithmName="SHA-512" hashValue="h3NFqDO/my6OHZ9xhqmZPEA0dDpJiqsibMh65S5rgTb4l8IylO4stF5nf9Y5FXnR8SudBrm6rDE6obPF6h6Ogg==" saltValue="RSe9OjnYDZOxBvLEtb2xuQ==" spinCount="100000" sheet="1" scenarios="1" formatCells="0" sort="0" autoFilter="0" pivotTables="0"/>
  <hyperlinks>
    <hyperlink ref="A2" location="'Table of Contents'!A1" display="Back to Table of Contents" xr:uid="{00000000-0004-0000-9A00-000000000000}"/>
  </hyperlinks>
  <pageMargins left="0.7" right="0.7" top="0.75" bottom="0.75" header="0.3" footer="0.3"/>
  <drawing r:id="rId1"/>
</worksheet>
</file>

<file path=xl/worksheets/sheet1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tabColor theme="7" tint="-0.249977111117893"/>
  </sheetPr>
  <dimension ref="A1:H6"/>
  <sheetViews>
    <sheetView showGridLines="0" zoomScaleNormal="100" workbookViewId="0">
      <pane ySplit="2" topLeftCell="A3" activePane="bottomLeft" state="frozen"/>
      <selection pane="bottomLeft"/>
    </sheetView>
  </sheetViews>
  <sheetFormatPr defaultRowHeight="14.4" x14ac:dyDescent="0.3"/>
  <sheetData>
    <row r="1" spans="1:8" ht="15.6" x14ac:dyDescent="0.3">
      <c r="A1" s="513" t="s">
        <v>1108</v>
      </c>
      <c r="B1" s="513"/>
      <c r="C1" s="513"/>
    </row>
    <row r="2" spans="1:8" ht="15.6" x14ac:dyDescent="0.3">
      <c r="A2" s="498" t="s">
        <v>202</v>
      </c>
      <c r="B2" s="440"/>
      <c r="C2" s="440"/>
    </row>
    <row r="4" spans="1:8" ht="15.6" x14ac:dyDescent="0.3">
      <c r="A4" s="1031" t="s">
        <v>1113</v>
      </c>
      <c r="B4" s="1031"/>
      <c r="C4" s="1031"/>
      <c r="D4" s="1031"/>
      <c r="E4" s="1031"/>
      <c r="F4" s="1031"/>
      <c r="G4" s="1031"/>
      <c r="H4" s="1031"/>
    </row>
    <row r="5" spans="1:8" x14ac:dyDescent="0.3">
      <c r="A5" s="560" t="s">
        <v>454</v>
      </c>
    </row>
    <row r="6" spans="1:8" x14ac:dyDescent="0.3">
      <c r="A6" s="560" t="s">
        <v>177</v>
      </c>
    </row>
  </sheetData>
  <sheetProtection algorithmName="SHA-512" hashValue="6RPY9OAqOwrJZwmTUDOa9Nl/ifdxJXqOCSfp6h4rsuIZ6jZ8s2shJywUJKRtsKCqFn2wHrP+9JOD+4NQVkfLjg==" saltValue="rvYJnelMAFLFbkk4XlQ8hg==" spinCount="100000" sheet="1" scenarios="1" formatCells="0" sort="0" autoFilter="0" pivotTables="0"/>
  <mergeCells count="1">
    <mergeCell ref="A4:H4"/>
  </mergeCells>
  <hyperlinks>
    <hyperlink ref="A2" location="'Table of Contents'!A1" display="Back to Table of Contents" xr:uid="{00000000-0004-0000-9B00-000000000000}"/>
  </hyperlinks>
  <pageMargins left="0.7" right="0.7" top="0.75" bottom="0.75" header="0.3" footer="0.3"/>
  <drawing r:id="rId1"/>
</worksheet>
</file>

<file path=xl/worksheets/sheet1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tabColor theme="7" tint="-0.249977111117893"/>
  </sheetPr>
  <dimension ref="A1:H32"/>
  <sheetViews>
    <sheetView showGridLines="0" zoomScale="85" zoomScaleNormal="85" workbookViewId="0">
      <pane ySplit="2" topLeftCell="A3" activePane="bottomLeft" state="frozen"/>
      <selection pane="bottomLeft"/>
    </sheetView>
  </sheetViews>
  <sheetFormatPr defaultRowHeight="14.4" x14ac:dyDescent="0.3"/>
  <sheetData>
    <row r="1" spans="1:8" ht="15.6" x14ac:dyDescent="0.3">
      <c r="A1" s="513" t="s">
        <v>1108</v>
      </c>
      <c r="B1" s="513"/>
      <c r="C1" s="513"/>
    </row>
    <row r="2" spans="1:8" ht="15.6" x14ac:dyDescent="0.3">
      <c r="A2" s="498" t="s">
        <v>202</v>
      </c>
      <c r="B2" s="440"/>
      <c r="C2" s="440"/>
    </row>
    <row r="4" spans="1:8" ht="15.6" x14ac:dyDescent="0.3">
      <c r="A4" s="1031" t="s">
        <v>1114</v>
      </c>
      <c r="B4" s="1031"/>
      <c r="C4" s="1031"/>
      <c r="D4" s="1031"/>
      <c r="E4" s="1031"/>
      <c r="F4" s="1031"/>
      <c r="G4" s="1031"/>
      <c r="H4" s="1031"/>
    </row>
    <row r="5" spans="1:8" x14ac:dyDescent="0.3">
      <c r="A5" s="560" t="s">
        <v>454</v>
      </c>
    </row>
    <row r="6" spans="1:8" x14ac:dyDescent="0.3">
      <c r="A6" s="560" t="s">
        <v>178</v>
      </c>
    </row>
    <row r="32" spans="1:1" x14ac:dyDescent="0.3">
      <c r="A32" s="312"/>
    </row>
  </sheetData>
  <sheetProtection algorithmName="SHA-512" hashValue="vP1745KVj3T1mLXRxAhVKj4HO2t8CC2JDkIiGBOUedXmNb1YYyrq+DOiu60vkN7jeIalNfi7Dl0EHibS9WTG+A==" saltValue="36NtHxqdMSEyPTVdAqrT8g==" spinCount="100000" sheet="1" scenarios="1" formatCells="0" sort="0" autoFilter="0" pivotTables="0"/>
  <mergeCells count="1">
    <mergeCell ref="A4:H4"/>
  </mergeCells>
  <hyperlinks>
    <hyperlink ref="A2" location="'Table of Contents'!A1" display="Back to Table of Contents" xr:uid="{00000000-0004-0000-9C00-000000000000}"/>
  </hyperlinks>
  <pageMargins left="0.7" right="0.7" top="0.75" bottom="0.75" header="0.3" footer="0.3"/>
  <pageSetup paperSize="9" orientation="portrait" r:id="rId1"/>
  <drawing r:id="rId2"/>
</worksheet>
</file>

<file path=xl/worksheets/sheet1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tabColor theme="7" tint="-0.249977111117893"/>
  </sheetPr>
  <dimension ref="A1:H6"/>
  <sheetViews>
    <sheetView showGridLines="0" zoomScale="85" zoomScaleNormal="85" workbookViewId="0">
      <pane ySplit="2" topLeftCell="A3" activePane="bottomLeft" state="frozen"/>
      <selection pane="bottomLeft"/>
    </sheetView>
  </sheetViews>
  <sheetFormatPr defaultRowHeight="14.4" x14ac:dyDescent="0.3"/>
  <sheetData>
    <row r="1" spans="1:8" ht="15.6" x14ac:dyDescent="0.3">
      <c r="A1" s="513" t="s">
        <v>1108</v>
      </c>
      <c r="B1" s="513"/>
      <c r="C1" s="513"/>
    </row>
    <row r="2" spans="1:8" ht="15.6" x14ac:dyDescent="0.3">
      <c r="A2" s="498" t="s">
        <v>202</v>
      </c>
      <c r="B2" s="440"/>
      <c r="C2" s="440"/>
    </row>
    <row r="4" spans="1:8" ht="15.75" customHeight="1" x14ac:dyDescent="0.3">
      <c r="A4" s="514" t="s">
        <v>1115</v>
      </c>
      <c r="B4" s="514"/>
      <c r="C4" s="514"/>
      <c r="D4" s="514"/>
      <c r="E4" s="514"/>
      <c r="F4" s="514"/>
      <c r="G4" s="514"/>
      <c r="H4" s="514"/>
    </row>
    <row r="5" spans="1:8" x14ac:dyDescent="0.3">
      <c r="A5" s="560" t="s">
        <v>454</v>
      </c>
    </row>
    <row r="6" spans="1:8" x14ac:dyDescent="0.3">
      <c r="A6" s="560" t="s">
        <v>179</v>
      </c>
    </row>
  </sheetData>
  <sheetProtection algorithmName="SHA-512" hashValue="uB/rszEGdPhlYJQu+ygR1gNA9/b69DtZEu6jtIqjTJK1CGN6+SHL/8HAYlMWWX0sRMH6ICxfmTio7AKExG3cPg==" saltValue="fuEhlFn8Ox4UnD8f4VCEVQ==" spinCount="100000" sheet="1" scenarios="1" formatCells="0" sort="0" autoFilter="0" pivotTables="0"/>
  <hyperlinks>
    <hyperlink ref="A2" location="'Table of Contents'!A1" display="Back to Table of Contents" xr:uid="{00000000-0004-0000-9D00-000000000000}"/>
  </hyperlinks>
  <pageMargins left="0.7" right="0.7" top="0.75" bottom="0.75" header="0.3" footer="0.3"/>
  <drawing r:id="rId1"/>
</worksheet>
</file>

<file path=xl/worksheets/sheet1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tabColor theme="7" tint="-0.249977111117893"/>
  </sheetPr>
  <dimension ref="A1:H6"/>
  <sheetViews>
    <sheetView showGridLines="0" zoomScale="85" zoomScaleNormal="85" workbookViewId="0">
      <pane ySplit="2" topLeftCell="A3" activePane="bottomLeft" state="frozen"/>
      <selection pane="bottomLeft"/>
    </sheetView>
  </sheetViews>
  <sheetFormatPr defaultRowHeight="14.4" x14ac:dyDescent="0.3"/>
  <sheetData>
    <row r="1" spans="1:8" ht="15.6" x14ac:dyDescent="0.3">
      <c r="A1" s="513" t="s">
        <v>1108</v>
      </c>
      <c r="B1" s="513"/>
      <c r="C1" s="513"/>
    </row>
    <row r="2" spans="1:8" ht="15.6" x14ac:dyDescent="0.3">
      <c r="A2" s="498" t="s">
        <v>202</v>
      </c>
      <c r="B2" s="440"/>
      <c r="C2" s="440"/>
    </row>
    <row r="4" spans="1:8" ht="15.75" customHeight="1" x14ac:dyDescent="0.3">
      <c r="A4" s="514" t="s">
        <v>1116</v>
      </c>
      <c r="B4" s="514"/>
      <c r="C4" s="514"/>
      <c r="D4" s="514"/>
      <c r="E4" s="514"/>
      <c r="F4" s="514"/>
      <c r="G4" s="514"/>
      <c r="H4" s="514"/>
    </row>
    <row r="5" spans="1:8" x14ac:dyDescent="0.3">
      <c r="A5" s="560" t="s">
        <v>454</v>
      </c>
    </row>
    <row r="6" spans="1:8" x14ac:dyDescent="0.3">
      <c r="A6" s="560" t="s">
        <v>180</v>
      </c>
    </row>
  </sheetData>
  <sheetProtection algorithmName="SHA-512" hashValue="b+zQzZ4RgtJYQ2+SoeCRETPcoYgHsKA2rizSGTZAVLUDrKaL0rL3Bac59FJY+dF7J6HdTHq8F1ZEYwLNpXd+9A==" saltValue="SvdEh86hcqxXCy6gJaEiKA==" spinCount="100000" sheet="1" scenarios="1" formatCells="0" sort="0" autoFilter="0" pivotTables="0"/>
  <hyperlinks>
    <hyperlink ref="A2" location="'Table of Contents'!A1" display="Back to Table of Contents" xr:uid="{00000000-0004-0000-9E00-000000000000}"/>
  </hyperlinks>
  <pageMargins left="0.7" right="0.7" top="0.75" bottom="0.75" header="0.3" footer="0.3"/>
  <drawing r:id="rId1"/>
</worksheet>
</file>

<file path=xl/worksheets/sheet16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tabColor theme="7" tint="-0.249977111117893"/>
  </sheetPr>
  <dimension ref="A1:H6"/>
  <sheetViews>
    <sheetView showGridLines="0" workbookViewId="0">
      <pane ySplit="2" topLeftCell="A3" activePane="bottomLeft" state="frozen"/>
      <selection pane="bottomLeft"/>
    </sheetView>
  </sheetViews>
  <sheetFormatPr defaultRowHeight="14.4" x14ac:dyDescent="0.3"/>
  <sheetData>
    <row r="1" spans="1:8" ht="15.6" x14ac:dyDescent="0.3">
      <c r="A1" s="513" t="s">
        <v>1108</v>
      </c>
      <c r="B1" s="513"/>
      <c r="C1" s="513"/>
    </row>
    <row r="2" spans="1:8" ht="15.6" x14ac:dyDescent="0.3">
      <c r="A2" s="498" t="s">
        <v>202</v>
      </c>
      <c r="B2" s="440"/>
      <c r="C2" s="440"/>
    </row>
    <row r="4" spans="1:8" ht="15.75" customHeight="1" x14ac:dyDescent="0.3">
      <c r="A4" s="514" t="s">
        <v>1117</v>
      </c>
      <c r="B4" s="514"/>
      <c r="C4" s="514"/>
      <c r="D4" s="514"/>
      <c r="E4" s="514"/>
      <c r="F4" s="514"/>
      <c r="G4" s="514"/>
      <c r="H4" s="514"/>
    </row>
    <row r="5" spans="1:8" x14ac:dyDescent="0.3">
      <c r="A5" s="560" t="s">
        <v>454</v>
      </c>
    </row>
    <row r="6" spans="1:8" x14ac:dyDescent="0.3">
      <c r="A6" s="560" t="s">
        <v>181</v>
      </c>
    </row>
  </sheetData>
  <sheetProtection algorithmName="SHA-512" hashValue="2ZTy7v/KJOhkdpPjVXF0gbdiYgUvfCb4sNzeFfuzN4ZbZNdIyPotPnLZp7BHDs7vOScx3X+zJw/ua7by22cROg==" saltValue="tAgOiDxQ7h+BKPfWJA2vAw==" spinCount="100000" sheet="1" scenarios="1" formatCells="0" sort="0" autoFilter="0" pivotTables="0"/>
  <hyperlinks>
    <hyperlink ref="A2" location="'Table of Contents'!A1" display="Back to Table of Contents" xr:uid="{00000000-0004-0000-9F00-000000000000}"/>
  </hyperlinks>
  <pageMargins left="0.7" right="0.7" top="0.75" bottom="0.75" header="0.3" footer="0.3"/>
  <drawing r:id="rId1"/>
</worksheet>
</file>

<file path=xl/worksheets/sheet16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Sheet32">
    <tabColor theme="3" tint="0.39997558519241921"/>
    <pageSetUpPr fitToPage="1"/>
  </sheetPr>
  <dimension ref="A1:M55"/>
  <sheetViews>
    <sheetView showGridLines="0" workbookViewId="0">
      <pane ySplit="2" topLeftCell="A3" activePane="bottomLeft" state="frozen"/>
      <selection pane="bottomLeft"/>
    </sheetView>
  </sheetViews>
  <sheetFormatPr defaultRowHeight="14.4" x14ac:dyDescent="0.3"/>
  <cols>
    <col min="1" max="1" width="19" customWidth="1"/>
    <col min="2" max="2" width="6.5546875" bestFit="1" customWidth="1"/>
    <col min="3" max="3" width="19.44140625" bestFit="1" customWidth="1"/>
    <col min="4" max="4" width="9.33203125" bestFit="1" customWidth="1"/>
    <col min="5" max="5" width="12.5546875" bestFit="1" customWidth="1"/>
    <col min="6" max="6" width="28.109375" customWidth="1"/>
    <col min="7" max="7" width="10.5546875" customWidth="1"/>
    <col min="8" max="8" width="8.44140625" customWidth="1"/>
  </cols>
  <sheetData>
    <row r="1" spans="1:11" ht="15.6" x14ac:dyDescent="0.3">
      <c r="A1" s="513" t="s">
        <v>1118</v>
      </c>
    </row>
    <row r="2" spans="1:11" x14ac:dyDescent="0.3">
      <c r="A2" s="498" t="s">
        <v>202</v>
      </c>
    </row>
    <row r="3" spans="1:11" x14ac:dyDescent="0.3">
      <c r="A3" s="25"/>
    </row>
    <row r="4" spans="1:11" ht="15.6" x14ac:dyDescent="0.3">
      <c r="A4" s="1072" t="s">
        <v>1119</v>
      </c>
      <c r="B4" s="1072"/>
      <c r="C4" s="1072"/>
      <c r="D4" s="1072"/>
      <c r="E4" s="1072"/>
      <c r="F4" s="1072"/>
      <c r="G4" s="1072"/>
      <c r="H4" s="1072"/>
      <c r="I4" s="1072"/>
      <c r="J4" s="1072"/>
      <c r="K4" s="1072"/>
    </row>
    <row r="5" spans="1:11" ht="15.6" x14ac:dyDescent="0.3">
      <c r="A5" t="s">
        <v>203</v>
      </c>
      <c r="B5" t="s">
        <v>184</v>
      </c>
      <c r="C5" s="499"/>
      <c r="D5" s="499"/>
      <c r="E5" s="499"/>
      <c r="F5" s="499"/>
      <c r="G5" s="499"/>
      <c r="H5" s="499"/>
      <c r="I5" s="499"/>
      <c r="J5" s="499"/>
      <c r="K5" s="499"/>
    </row>
    <row r="6" spans="1:11" ht="15.75" customHeight="1" x14ac:dyDescent="0.3">
      <c r="A6" t="s">
        <v>204</v>
      </c>
      <c r="B6" t="s">
        <v>205</v>
      </c>
      <c r="C6" s="499"/>
      <c r="D6" s="499"/>
      <c r="E6" s="499"/>
      <c r="F6" s="499"/>
      <c r="G6" s="499"/>
      <c r="H6" s="499"/>
      <c r="I6" s="499"/>
      <c r="J6" s="499"/>
      <c r="K6" s="499"/>
    </row>
    <row r="7" spans="1:11" ht="15.6" x14ac:dyDescent="0.3">
      <c r="A7" t="s">
        <v>206</v>
      </c>
      <c r="B7" t="s">
        <v>207</v>
      </c>
      <c r="C7" s="499"/>
      <c r="D7" s="499"/>
      <c r="E7" s="499"/>
      <c r="F7" s="499"/>
      <c r="G7" s="499"/>
      <c r="H7" s="499"/>
      <c r="I7" s="499"/>
      <c r="J7" s="499"/>
      <c r="K7" s="499"/>
    </row>
    <row r="8" spans="1:11" ht="15.6" x14ac:dyDescent="0.3">
      <c r="C8" s="499"/>
      <c r="D8" s="499"/>
      <c r="E8" s="499"/>
      <c r="F8" s="499"/>
      <c r="G8" s="499"/>
      <c r="H8" s="499"/>
      <c r="I8" s="499"/>
      <c r="J8" s="499"/>
      <c r="K8" s="499"/>
    </row>
    <row r="9" spans="1:11" ht="30.75" customHeight="1" x14ac:dyDescent="0.3">
      <c r="A9" s="662" t="s">
        <v>208</v>
      </c>
      <c r="B9" s="869" t="s">
        <v>185</v>
      </c>
      <c r="C9" s="870" t="s">
        <v>1120</v>
      </c>
      <c r="D9" s="870" t="s">
        <v>1121</v>
      </c>
      <c r="E9" s="870" t="s">
        <v>1122</v>
      </c>
      <c r="F9" s="870" t="s">
        <v>1123</v>
      </c>
      <c r="G9" s="870" t="s">
        <v>340</v>
      </c>
      <c r="H9" s="499"/>
      <c r="I9" s="499"/>
      <c r="J9" s="499"/>
      <c r="K9" s="499"/>
    </row>
    <row r="10" spans="1:11" ht="15.6" x14ac:dyDescent="0.3">
      <c r="A10" s="784" t="s">
        <v>365</v>
      </c>
      <c r="B10" s="601">
        <f>GETPIVOTDATA("Sum of Audits",WorkflowsPivot!$B$4,"Year",A10)</f>
        <v>8206</v>
      </c>
      <c r="C10" s="601"/>
      <c r="D10" s="601">
        <f>GETPIVOTDATA("Sum of Site Visits",WorkflowsPivot!$B$4,"Year",A10)</f>
        <v>1648</v>
      </c>
      <c r="E10" s="601">
        <f>GETPIVOTDATA("Sum of Consultations",WorkflowsPivot!$B$4,"Year",A10)</f>
        <v>2038</v>
      </c>
      <c r="F10" s="785"/>
      <c r="G10" s="786">
        <f>SUM(B10:F10)</f>
        <v>11892</v>
      </c>
      <c r="H10" s="499"/>
      <c r="I10" s="499"/>
      <c r="J10" s="499"/>
      <c r="K10" s="499"/>
    </row>
    <row r="11" spans="1:11" ht="15.6" x14ac:dyDescent="0.3">
      <c r="A11" s="312" t="s">
        <v>366</v>
      </c>
      <c r="B11" s="601">
        <f>GETPIVOTDATA("Sum of Audits",WorkflowsPivot!$B$4,"Year",A11)</f>
        <v>9834</v>
      </c>
      <c r="C11" s="601"/>
      <c r="D11" s="601">
        <f>GETPIVOTDATA("Sum of Site Visits",WorkflowsPivot!$B$4,"Year",A11)</f>
        <v>2373</v>
      </c>
      <c r="E11" s="601">
        <f>GETPIVOTDATA("Sum of Consultations",WorkflowsPivot!$B$4,"Year",A11)</f>
        <v>3501</v>
      </c>
      <c r="F11" s="785"/>
      <c r="G11" s="786">
        <f t="shared" ref="G11:G18" si="0">SUM(B11:F11)</f>
        <v>15708</v>
      </c>
      <c r="H11" s="499"/>
      <c r="I11" s="499"/>
      <c r="J11" s="499"/>
      <c r="K11" s="499"/>
    </row>
    <row r="12" spans="1:11" ht="15.6" x14ac:dyDescent="0.3">
      <c r="A12" s="312" t="s">
        <v>341</v>
      </c>
      <c r="B12" s="601">
        <f>GETPIVOTDATA("Sum of Audits",WorkflowsPivot!$B$4,"Year",A12)</f>
        <v>8939</v>
      </c>
      <c r="C12" s="601"/>
      <c r="D12" s="601">
        <f>GETPIVOTDATA("Sum of Site Visits",WorkflowsPivot!$B$4,"Year",A12)</f>
        <v>1461</v>
      </c>
      <c r="E12" s="601">
        <f>GETPIVOTDATA("Sum of Consultations",WorkflowsPivot!$B$4,"Year",A12)</f>
        <v>2582</v>
      </c>
      <c r="F12" s="785"/>
      <c r="G12" s="786">
        <f t="shared" si="0"/>
        <v>12982</v>
      </c>
      <c r="H12" s="499"/>
      <c r="I12" s="499"/>
      <c r="J12" s="499"/>
      <c r="K12" s="499"/>
    </row>
    <row r="13" spans="1:11" ht="15.6" x14ac:dyDescent="0.3">
      <c r="A13" s="312" t="s">
        <v>342</v>
      </c>
      <c r="B13" s="601">
        <f>GETPIVOTDATA("Sum of Audits",WorkflowsPivot!$B$4,"Year",A13)</f>
        <v>7635</v>
      </c>
      <c r="C13" s="601"/>
      <c r="D13" s="601">
        <f>GETPIVOTDATA("Sum of Site Visits",WorkflowsPivot!$B$4,"Year",A13)</f>
        <v>2592</v>
      </c>
      <c r="E13" s="601">
        <f>GETPIVOTDATA("Sum of Consultations",WorkflowsPivot!$B$4,"Year",A13)</f>
        <v>3241</v>
      </c>
      <c r="F13" s="785"/>
      <c r="G13" s="786">
        <f t="shared" si="0"/>
        <v>13468</v>
      </c>
      <c r="H13" s="499"/>
      <c r="I13" s="499"/>
      <c r="J13" s="499"/>
      <c r="K13" s="499"/>
    </row>
    <row r="14" spans="1:11" ht="15.6" x14ac:dyDescent="0.3">
      <c r="A14" s="312" t="s">
        <v>213</v>
      </c>
      <c r="B14" s="601">
        <f>GETPIVOTDATA("Sum of Audits",WorkflowsPivot!$B$4,"Year",A14)</f>
        <v>7872</v>
      </c>
      <c r="C14" s="601"/>
      <c r="D14" s="601">
        <f>GETPIVOTDATA("Sum of Site Visits",WorkflowsPivot!$B$4,"Year",A14)</f>
        <v>1973</v>
      </c>
      <c r="E14" s="601">
        <f>GETPIVOTDATA("Sum of Consultations",WorkflowsPivot!$B$4,"Year",A14)</f>
        <v>2746</v>
      </c>
      <c r="F14" s="787"/>
      <c r="G14" s="786">
        <f t="shared" si="0"/>
        <v>12591</v>
      </c>
      <c r="H14" s="499"/>
      <c r="I14" s="499"/>
      <c r="J14" s="499"/>
      <c r="K14" s="499"/>
    </row>
    <row r="15" spans="1:11" ht="15.6" x14ac:dyDescent="0.3">
      <c r="A15" s="312" t="s">
        <v>312</v>
      </c>
      <c r="B15" s="601">
        <f>GETPIVOTDATA("Sum of Audits",WorkflowsPivot!$B$4,"Year",A15)</f>
        <v>7261</v>
      </c>
      <c r="C15" s="601">
        <f>GETPIVOTDATA("Sum of Post Fire Short Audits",WorkflowsPivot!$B$4,"Year",A15)</f>
        <v>202</v>
      </c>
      <c r="D15" s="601">
        <f>GETPIVOTDATA("Sum of Site Visits",WorkflowsPivot!$B$4,"Year",A15)</f>
        <v>918</v>
      </c>
      <c r="E15" s="601">
        <f>GETPIVOTDATA("Sum of Consultations",WorkflowsPivot!$B$4,"Year",A15)</f>
        <v>2460</v>
      </c>
      <c r="F15" s="787">
        <f>GETPIVOTDATA("Count",WorkflowsPivot!$I$4,"Fiscal_Yr",A15)</f>
        <v>551</v>
      </c>
      <c r="G15" s="786">
        <f t="shared" si="0"/>
        <v>11392</v>
      </c>
      <c r="H15" s="499"/>
      <c r="I15" s="499"/>
      <c r="J15" s="499"/>
      <c r="K15" s="499"/>
    </row>
    <row r="16" spans="1:11" ht="15.6" x14ac:dyDescent="0.3">
      <c r="A16" s="312" t="s">
        <v>318</v>
      </c>
      <c r="B16" s="601">
        <f>GETPIVOTDATA("Sum of Audits",WorkflowsPivot!$B$4,"Year",A16)</f>
        <v>3319</v>
      </c>
      <c r="C16" s="601">
        <f>GETPIVOTDATA("Sum of Post Fire Short Audits",WorkflowsPivot!$B$4,"Year",A16)</f>
        <v>192</v>
      </c>
      <c r="D16" s="601">
        <f>GETPIVOTDATA("Sum of Site Visits",WorkflowsPivot!$B$4,"Year",A16)</f>
        <v>603</v>
      </c>
      <c r="E16" s="601">
        <f>GETPIVOTDATA("Sum of Consultations",WorkflowsPivot!$B$4,"Year",A16)</f>
        <v>2502</v>
      </c>
      <c r="F16" s="787">
        <f>GETPIVOTDATA("Count",WorkflowsPivot!$I$4,"Fiscal_Yr",A16)</f>
        <v>668</v>
      </c>
      <c r="G16" s="786">
        <f t="shared" si="0"/>
        <v>7284</v>
      </c>
      <c r="H16" s="499"/>
      <c r="I16" s="499"/>
      <c r="J16" s="499"/>
      <c r="K16" s="499"/>
    </row>
    <row r="17" spans="1:13" ht="15.6" x14ac:dyDescent="0.3">
      <c r="A17" s="312" t="s">
        <v>320</v>
      </c>
      <c r="B17" s="601">
        <f>GETPIVOTDATA("Sum of Audits",WorkflowsPivot!$B$4,"Year",A17)</f>
        <v>5688</v>
      </c>
      <c r="C17" s="601">
        <f>GETPIVOTDATA("Sum of Post Fire Short Audits",WorkflowsPivot!$B$4,"Year",A17)</f>
        <v>192</v>
      </c>
      <c r="D17" s="601">
        <f>GETPIVOTDATA("Sum of Site Visits",WorkflowsPivot!$B$4,"Year",A17)</f>
        <v>1158</v>
      </c>
      <c r="E17" s="601">
        <f>GETPIVOTDATA("Sum of Consultations",WorkflowsPivot!$B$4,"Year",A17)</f>
        <v>2106</v>
      </c>
      <c r="F17" s="787">
        <f>GETPIVOTDATA("Count",WorkflowsPivot!$I$4,"Fiscal_Yr",A17)</f>
        <v>722</v>
      </c>
      <c r="G17" s="786">
        <f t="shared" si="0"/>
        <v>9866</v>
      </c>
      <c r="H17" s="499"/>
      <c r="I17" s="499"/>
      <c r="J17" s="499"/>
      <c r="K17" s="499"/>
    </row>
    <row r="18" spans="1:13" ht="15.6" x14ac:dyDescent="0.3">
      <c r="A18" s="312" t="s">
        <v>325</v>
      </c>
      <c r="B18" s="601">
        <f>GETPIVOTDATA("Sum of Audits",WorkflowsPivot!$B$4,"Year",A18)</f>
        <v>6712</v>
      </c>
      <c r="C18" s="601">
        <f>GETPIVOTDATA("Sum of Post Fire Short Audits",WorkflowsPivot!$B$4,"Year",A18)</f>
        <v>203</v>
      </c>
      <c r="D18" s="601">
        <f>GETPIVOTDATA("Sum of Site Visits",WorkflowsPivot!$B$4,"Year",A18)</f>
        <v>1389</v>
      </c>
      <c r="E18" s="601">
        <f>GETPIVOTDATA("Sum of Consultations",WorkflowsPivot!$B$4,"Year",A18)</f>
        <v>1829</v>
      </c>
      <c r="F18" s="787">
        <f>GETPIVOTDATA("Count",WorkflowsPivot!$I$4,"Fiscal_Yr",A18)</f>
        <v>812</v>
      </c>
      <c r="G18" s="786">
        <f t="shared" si="0"/>
        <v>10945</v>
      </c>
      <c r="K18" s="499"/>
    </row>
    <row r="19" spans="1:13" ht="15.6" x14ac:dyDescent="0.3">
      <c r="A19" s="312" t="s">
        <v>326</v>
      </c>
      <c r="B19" s="601">
        <f>GETPIVOTDATA("Sum of Audits",WorkflowsPivot!$B$4,"Year",A19)</f>
        <v>7654</v>
      </c>
      <c r="C19" s="601">
        <f>GETPIVOTDATA("Sum of Post Fire Short Audits",WorkflowsPivot!$B$4,"Year",A19)</f>
        <v>208</v>
      </c>
      <c r="D19" s="601">
        <f>GETPIVOTDATA("Sum of Site Visits",WorkflowsPivot!$B$4,"Year",A19)</f>
        <v>1218</v>
      </c>
      <c r="E19" s="601">
        <f>GETPIVOTDATA("Sum of Consultations",WorkflowsPivot!$B$4,"Year",A19)</f>
        <v>3466</v>
      </c>
      <c r="F19" s="787">
        <f>GETPIVOTDATA("Count",WorkflowsPivot!$I$4,"Fiscal_Yr",A19)</f>
        <v>816</v>
      </c>
      <c r="G19" s="786">
        <f t="shared" ref="G19:G20" si="1">SUM(B19:F19)</f>
        <v>13362</v>
      </c>
      <c r="K19" s="499"/>
    </row>
    <row r="20" spans="1:13" ht="16.2" thickBot="1" x14ac:dyDescent="0.35">
      <c r="A20" s="524" t="s">
        <v>328</v>
      </c>
      <c r="B20" s="606">
        <f>GETPIVOTDATA("Sum of Audits",WorkflowsPivot!$B$4,"Year",A20)</f>
        <v>8768</v>
      </c>
      <c r="C20" s="606">
        <f>GETPIVOTDATA("Sum of Post Fire Short Audits",WorkflowsPivot!$B$4,"Year",A20)</f>
        <v>162</v>
      </c>
      <c r="D20" s="606">
        <f>GETPIVOTDATA("Sum of Site Visits",WorkflowsPivot!$B$4,"Year",A20)</f>
        <v>1601</v>
      </c>
      <c r="E20" s="606">
        <f>GETPIVOTDATA("Sum of Consultations",WorkflowsPivot!$B$4,"Year",A20)</f>
        <v>2890</v>
      </c>
      <c r="F20" s="871">
        <f>GETPIVOTDATA("Count",WorkflowsPivot!$I$4,"Fiscal_Yr",A20)</f>
        <v>770</v>
      </c>
      <c r="G20" s="788">
        <f t="shared" si="1"/>
        <v>14191</v>
      </c>
      <c r="K20" s="499"/>
    </row>
    <row r="21" spans="1:13" ht="16.2" thickBot="1" x14ac:dyDescent="0.35">
      <c r="A21" s="524" t="s">
        <v>412</v>
      </c>
      <c r="B21" s="606">
        <f>GETPIVOTDATA("Sum of Audits",WorkflowsPivot!$B$4,"Year",A21)</f>
        <v>8464</v>
      </c>
      <c r="C21" s="606">
        <f>GETPIVOTDATA("Sum of Post Fire Short Audits",WorkflowsPivot!$B$4,"Year",A21)</f>
        <v>145</v>
      </c>
      <c r="D21" s="606">
        <f>GETPIVOTDATA("Sum of Site Visits",WorkflowsPivot!$B$4,"Year",A21)</f>
        <v>1609</v>
      </c>
      <c r="E21" s="606">
        <f>GETPIVOTDATA("Sum of Consultations",WorkflowsPivot!$B$4,"Year",A21)</f>
        <v>2016</v>
      </c>
      <c r="F21" s="871">
        <f>GETPIVOTDATA("Count",WorkflowsPivot!$I$4,"Fiscal_Yr",A21)</f>
        <v>727</v>
      </c>
      <c r="G21" s="788">
        <f t="shared" ref="G21" si="2">SUM(B21:F21)</f>
        <v>12961</v>
      </c>
      <c r="K21" s="499"/>
    </row>
    <row r="22" spans="1:13" x14ac:dyDescent="0.3">
      <c r="A22" s="334" t="s">
        <v>329</v>
      </c>
      <c r="B22" s="25"/>
      <c r="C22" s="25"/>
      <c r="D22" s="25"/>
      <c r="E22" s="25"/>
      <c r="G22" s="557"/>
      <c r="H22" s="557"/>
      <c r="I22" s="557"/>
      <c r="K22" s="15"/>
      <c r="L22" s="235"/>
      <c r="M22" s="235"/>
    </row>
    <row r="23" spans="1:13" ht="30.9" customHeight="1" x14ac:dyDescent="0.3">
      <c r="A23" s="1064" t="s">
        <v>1124</v>
      </c>
      <c r="B23" s="1064"/>
      <c r="C23" s="1064"/>
      <c r="D23" s="1064"/>
      <c r="E23" s="1064"/>
      <c r="F23" s="1064"/>
      <c r="G23" s="1064"/>
      <c r="H23" s="1064"/>
      <c r="I23" s="557"/>
      <c r="J23" s="557"/>
    </row>
    <row r="24" spans="1:13" ht="30.6" customHeight="1" x14ac:dyDescent="0.3">
      <c r="A24" s="1064" t="s">
        <v>1125</v>
      </c>
      <c r="B24" s="1064"/>
      <c r="C24" s="1064"/>
      <c r="D24" s="1064"/>
      <c r="E24" s="1064"/>
      <c r="F24" s="1064"/>
      <c r="G24" s="1064"/>
      <c r="H24" s="1064"/>
      <c r="I24" s="558"/>
      <c r="J24" s="558"/>
    </row>
    <row r="25" spans="1:13" ht="30.6" customHeight="1" x14ac:dyDescent="0.3">
      <c r="A25" s="1033" t="s">
        <v>1126</v>
      </c>
      <c r="B25" s="1033"/>
      <c r="C25" s="1033"/>
      <c r="D25" s="1033"/>
      <c r="E25" s="1033"/>
      <c r="F25" s="1033"/>
      <c r="G25" s="1033"/>
      <c r="H25" s="1033"/>
      <c r="I25" s="558"/>
    </row>
    <row r="26" spans="1:13" ht="30.9" customHeight="1" x14ac:dyDescent="0.3">
      <c r="A26" s="1033" t="s">
        <v>1127</v>
      </c>
      <c r="B26" s="1033"/>
      <c r="C26" s="1033"/>
      <c r="D26" s="1033"/>
      <c r="E26" s="1033"/>
      <c r="F26" s="1033"/>
      <c r="G26" s="1033"/>
      <c r="H26" s="1033"/>
    </row>
    <row r="27" spans="1:13" ht="15.75" customHeight="1" x14ac:dyDescent="0.3"/>
    <row r="52" spans="1:8" ht="30" customHeight="1" x14ac:dyDescent="0.3"/>
    <row r="53" spans="1:8" x14ac:dyDescent="0.3">
      <c r="G53" s="557"/>
      <c r="H53" s="557"/>
    </row>
    <row r="55" spans="1:8" x14ac:dyDescent="0.3">
      <c r="A55" s="357"/>
      <c r="C55" s="364"/>
      <c r="D55" s="557"/>
      <c r="E55" s="557"/>
      <c r="F55" s="557"/>
    </row>
  </sheetData>
  <sheetProtection algorithmName="SHA-512" hashValue="K8JqQ8UiW7yPizSnQksrJk2T572//YgpK1BRtF/IlEWCO4FFUM0jclZI3y51s4k1P39GC/eRrlgOcyxHXIAbig==" saltValue="04g46MaRJBAqVcWxx6COMA==" spinCount="100000" sheet="1" formatCells="0" sort="0" autoFilter="0" pivotTables="0"/>
  <mergeCells count="5">
    <mergeCell ref="A23:H23"/>
    <mergeCell ref="A24:H24"/>
    <mergeCell ref="A25:H25"/>
    <mergeCell ref="A26:H26"/>
    <mergeCell ref="A4:K4"/>
  </mergeCells>
  <phoneticPr fontId="53" type="noConversion"/>
  <hyperlinks>
    <hyperlink ref="A2" location="'Table of Contents'!A1" display="Back to Table of Contents" xr:uid="{00000000-0004-0000-A000-000000000000}"/>
  </hyperlinks>
  <pageMargins left="0.70866141732283472" right="0.70866141732283472" top="0.74803149606299213" bottom="0.74803149606299213" header="0.31496062992125984" footer="0.31496062992125984"/>
  <pageSetup paperSize="9" scale="81" orientation="portrait" r:id="rId1"/>
</worksheet>
</file>

<file path=xl/worksheets/sheet17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87BDD3-432E-41AD-AF6D-8B20DF027600}">
  <sheetPr>
    <tabColor theme="3" tint="0.39997558519241921"/>
  </sheetPr>
  <dimension ref="B4:J17"/>
  <sheetViews>
    <sheetView workbookViewId="0">
      <selection activeCell="I6" sqref="I6"/>
    </sheetView>
  </sheetViews>
  <sheetFormatPr defaultRowHeight="14.4" x14ac:dyDescent="0.3"/>
  <cols>
    <col min="2" max="2" width="12.5546875" bestFit="1" customWidth="1"/>
    <col min="3" max="3" width="12.77734375" bestFit="1" customWidth="1"/>
    <col min="4" max="4" width="25.77734375" bestFit="1" customWidth="1"/>
    <col min="5" max="5" width="15.44140625" bestFit="1" customWidth="1"/>
    <col min="6" max="6" width="19.109375" bestFit="1" customWidth="1"/>
    <col min="9" max="10" width="12.5546875" bestFit="1" customWidth="1"/>
  </cols>
  <sheetData>
    <row r="4" spans="2:10" x14ac:dyDescent="0.3">
      <c r="B4" s="386" t="s">
        <v>350</v>
      </c>
      <c r="C4" t="s">
        <v>1128</v>
      </c>
      <c r="D4" t="s">
        <v>1129</v>
      </c>
      <c r="E4" t="s">
        <v>1130</v>
      </c>
      <c r="F4" t="s">
        <v>1131</v>
      </c>
      <c r="I4" s="386" t="s">
        <v>350</v>
      </c>
      <c r="J4" t="s">
        <v>1132</v>
      </c>
    </row>
    <row r="5" spans="2:10" x14ac:dyDescent="0.3">
      <c r="B5" s="387" t="s">
        <v>365</v>
      </c>
      <c r="C5">
        <v>8206</v>
      </c>
      <c r="E5">
        <v>1648</v>
      </c>
      <c r="F5">
        <v>2038</v>
      </c>
      <c r="I5" s="387" t="s">
        <v>312</v>
      </c>
      <c r="J5">
        <v>551</v>
      </c>
    </row>
    <row r="6" spans="2:10" x14ac:dyDescent="0.3">
      <c r="B6" s="387" t="s">
        <v>366</v>
      </c>
      <c r="C6">
        <v>9834</v>
      </c>
      <c r="E6">
        <v>2373</v>
      </c>
      <c r="F6">
        <v>3501</v>
      </c>
      <c r="I6" s="387" t="s">
        <v>318</v>
      </c>
      <c r="J6">
        <v>668</v>
      </c>
    </row>
    <row r="7" spans="2:10" x14ac:dyDescent="0.3">
      <c r="B7" s="387" t="s">
        <v>341</v>
      </c>
      <c r="C7">
        <v>8939</v>
      </c>
      <c r="E7">
        <v>1461</v>
      </c>
      <c r="F7">
        <v>2582</v>
      </c>
      <c r="I7" s="387" t="s">
        <v>320</v>
      </c>
      <c r="J7">
        <v>722</v>
      </c>
    </row>
    <row r="8" spans="2:10" x14ac:dyDescent="0.3">
      <c r="B8" s="387" t="s">
        <v>342</v>
      </c>
      <c r="C8">
        <v>7635</v>
      </c>
      <c r="E8">
        <v>2592</v>
      </c>
      <c r="F8">
        <v>3241</v>
      </c>
      <c r="I8" s="387" t="s">
        <v>325</v>
      </c>
      <c r="J8">
        <v>812</v>
      </c>
    </row>
    <row r="9" spans="2:10" x14ac:dyDescent="0.3">
      <c r="B9" s="387" t="s">
        <v>213</v>
      </c>
      <c r="C9">
        <v>7872</v>
      </c>
      <c r="E9">
        <v>1973</v>
      </c>
      <c r="F9">
        <v>2746</v>
      </c>
      <c r="I9" s="387" t="s">
        <v>326</v>
      </c>
      <c r="J9">
        <v>816</v>
      </c>
    </row>
    <row r="10" spans="2:10" x14ac:dyDescent="0.3">
      <c r="B10" s="387" t="s">
        <v>312</v>
      </c>
      <c r="C10">
        <v>7261</v>
      </c>
      <c r="D10">
        <v>202</v>
      </c>
      <c r="E10">
        <v>918</v>
      </c>
      <c r="F10">
        <v>2460</v>
      </c>
      <c r="I10" s="387" t="s">
        <v>328</v>
      </c>
      <c r="J10">
        <v>770</v>
      </c>
    </row>
    <row r="11" spans="2:10" x14ac:dyDescent="0.3">
      <c r="B11" s="387" t="s">
        <v>318</v>
      </c>
      <c r="C11">
        <v>3319</v>
      </c>
      <c r="D11">
        <v>192</v>
      </c>
      <c r="E11">
        <v>603</v>
      </c>
      <c r="F11">
        <v>2502</v>
      </c>
      <c r="I11" s="387" t="s">
        <v>412</v>
      </c>
      <c r="J11">
        <v>727</v>
      </c>
    </row>
    <row r="12" spans="2:10" x14ac:dyDescent="0.3">
      <c r="B12" s="387" t="s">
        <v>320</v>
      </c>
      <c r="C12">
        <v>5688</v>
      </c>
      <c r="D12">
        <v>192</v>
      </c>
      <c r="E12">
        <v>1158</v>
      </c>
      <c r="F12">
        <v>2106</v>
      </c>
      <c r="I12" s="387" t="s">
        <v>357</v>
      </c>
      <c r="J12">
        <v>5066</v>
      </c>
    </row>
    <row r="13" spans="2:10" x14ac:dyDescent="0.3">
      <c r="B13" s="387" t="s">
        <v>325</v>
      </c>
      <c r="C13">
        <v>6712</v>
      </c>
      <c r="D13">
        <v>203</v>
      </c>
      <c r="E13">
        <v>1389</v>
      </c>
      <c r="F13">
        <v>1829</v>
      </c>
    </row>
    <row r="14" spans="2:10" x14ac:dyDescent="0.3">
      <c r="B14" s="387" t="s">
        <v>326</v>
      </c>
      <c r="C14">
        <v>7654</v>
      </c>
      <c r="D14">
        <v>208</v>
      </c>
      <c r="E14">
        <v>1218</v>
      </c>
      <c r="F14">
        <v>3466</v>
      </c>
    </row>
    <row r="15" spans="2:10" x14ac:dyDescent="0.3">
      <c r="B15" s="387" t="s">
        <v>328</v>
      </c>
      <c r="C15">
        <v>8768</v>
      </c>
      <c r="D15">
        <v>162</v>
      </c>
      <c r="E15">
        <v>1601</v>
      </c>
      <c r="F15">
        <v>2890</v>
      </c>
    </row>
    <row r="16" spans="2:10" x14ac:dyDescent="0.3">
      <c r="B16" s="387" t="s">
        <v>412</v>
      </c>
      <c r="C16">
        <v>8464</v>
      </c>
      <c r="D16">
        <v>145</v>
      </c>
      <c r="E16">
        <v>1609</v>
      </c>
      <c r="F16">
        <v>2016</v>
      </c>
    </row>
    <row r="17" spans="2:6" x14ac:dyDescent="0.3">
      <c r="B17" s="387" t="s">
        <v>357</v>
      </c>
      <c r="C17">
        <v>90352</v>
      </c>
      <c r="D17">
        <v>1304</v>
      </c>
      <c r="E17">
        <v>18543</v>
      </c>
      <c r="F17">
        <v>31377</v>
      </c>
    </row>
  </sheetData>
  <pageMargins left="0.7" right="0.7" top="0.75" bottom="0.75" header="0.3" footer="0.3"/>
</worksheet>
</file>

<file path=xl/worksheets/sheet17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3E6192-9E92-4E0C-BD44-AB20E562CE77}">
  <sheetPr>
    <tabColor theme="3" tint="0.39997558519241921"/>
  </sheetPr>
  <dimension ref="A3:K15"/>
  <sheetViews>
    <sheetView workbookViewId="0">
      <selection activeCell="J6" sqref="J6"/>
    </sheetView>
  </sheetViews>
  <sheetFormatPr defaultRowHeight="14.4" x14ac:dyDescent="0.3"/>
  <cols>
    <col min="1" max="1" width="7.5546875" bestFit="1" customWidth="1"/>
    <col min="2" max="2" width="8.44140625" bestFit="1" customWidth="1"/>
    <col min="3" max="3" width="21.33203125" bestFit="1" customWidth="1"/>
    <col min="4" max="4" width="11.109375" bestFit="1" customWidth="1"/>
    <col min="5" max="5" width="14.6640625" bestFit="1" customWidth="1"/>
    <col min="10" max="10" width="10.33203125" bestFit="1" customWidth="1"/>
    <col min="11" max="11" width="8.33203125" bestFit="1" customWidth="1"/>
  </cols>
  <sheetData>
    <row r="3" spans="1:11" x14ac:dyDescent="0.3">
      <c r="A3" t="s">
        <v>208</v>
      </c>
      <c r="B3" t="s">
        <v>185</v>
      </c>
      <c r="C3" t="s">
        <v>1133</v>
      </c>
      <c r="D3" t="s">
        <v>1121</v>
      </c>
      <c r="E3" t="s">
        <v>1122</v>
      </c>
      <c r="J3" t="s">
        <v>376</v>
      </c>
      <c r="K3" t="s">
        <v>1134</v>
      </c>
    </row>
    <row r="4" spans="1:11" x14ac:dyDescent="0.3">
      <c r="A4" t="s">
        <v>365</v>
      </c>
      <c r="B4">
        <v>8206</v>
      </c>
      <c r="D4">
        <v>1648</v>
      </c>
      <c r="E4">
        <v>2038</v>
      </c>
      <c r="J4" t="s">
        <v>312</v>
      </c>
      <c r="K4">
        <v>551</v>
      </c>
    </row>
    <row r="5" spans="1:11" x14ac:dyDescent="0.3">
      <c r="A5" t="s">
        <v>366</v>
      </c>
      <c r="B5">
        <v>9834</v>
      </c>
      <c r="D5">
        <v>2373</v>
      </c>
      <c r="E5">
        <v>3501</v>
      </c>
      <c r="J5" t="s">
        <v>318</v>
      </c>
      <c r="K5">
        <v>668</v>
      </c>
    </row>
    <row r="6" spans="1:11" x14ac:dyDescent="0.3">
      <c r="A6" t="s">
        <v>341</v>
      </c>
      <c r="B6">
        <v>8939</v>
      </c>
      <c r="D6">
        <v>1461</v>
      </c>
      <c r="E6">
        <v>2582</v>
      </c>
      <c r="J6" t="s">
        <v>320</v>
      </c>
      <c r="K6">
        <v>722</v>
      </c>
    </row>
    <row r="7" spans="1:11" x14ac:dyDescent="0.3">
      <c r="A7" t="s">
        <v>342</v>
      </c>
      <c r="B7">
        <v>7635</v>
      </c>
      <c r="D7">
        <v>2592</v>
      </c>
      <c r="E7">
        <v>3241</v>
      </c>
      <c r="J7" t="s">
        <v>325</v>
      </c>
      <c r="K7">
        <v>812</v>
      </c>
    </row>
    <row r="8" spans="1:11" x14ac:dyDescent="0.3">
      <c r="A8" t="s">
        <v>213</v>
      </c>
      <c r="B8">
        <v>7872</v>
      </c>
      <c r="D8">
        <v>1973</v>
      </c>
      <c r="E8">
        <v>2746</v>
      </c>
      <c r="J8" t="s">
        <v>326</v>
      </c>
      <c r="K8">
        <v>816</v>
      </c>
    </row>
    <row r="9" spans="1:11" x14ac:dyDescent="0.3">
      <c r="A9" t="s">
        <v>312</v>
      </c>
      <c r="B9">
        <v>7261</v>
      </c>
      <c r="C9">
        <v>202</v>
      </c>
      <c r="D9">
        <v>918</v>
      </c>
      <c r="E9">
        <v>2460</v>
      </c>
      <c r="J9" t="s">
        <v>328</v>
      </c>
      <c r="K9">
        <v>770</v>
      </c>
    </row>
    <row r="10" spans="1:11" x14ac:dyDescent="0.3">
      <c r="A10" t="s">
        <v>318</v>
      </c>
      <c r="B10">
        <v>3319</v>
      </c>
      <c r="C10">
        <v>192</v>
      </c>
      <c r="D10">
        <v>603</v>
      </c>
      <c r="E10">
        <v>2502</v>
      </c>
      <c r="J10" t="s">
        <v>412</v>
      </c>
      <c r="K10">
        <v>727</v>
      </c>
    </row>
    <row r="11" spans="1:11" x14ac:dyDescent="0.3">
      <c r="A11" t="s">
        <v>320</v>
      </c>
      <c r="B11">
        <v>5688</v>
      </c>
      <c r="C11">
        <v>192</v>
      </c>
      <c r="D11">
        <v>1158</v>
      </c>
      <c r="E11">
        <v>2106</v>
      </c>
    </row>
    <row r="12" spans="1:11" x14ac:dyDescent="0.3">
      <c r="A12" t="s">
        <v>325</v>
      </c>
      <c r="B12">
        <v>6712</v>
      </c>
      <c r="C12">
        <v>203</v>
      </c>
      <c r="D12">
        <v>1389</v>
      </c>
      <c r="E12">
        <v>1829</v>
      </c>
    </row>
    <row r="13" spans="1:11" x14ac:dyDescent="0.3">
      <c r="A13" t="s">
        <v>326</v>
      </c>
      <c r="B13">
        <v>7654</v>
      </c>
      <c r="C13">
        <v>208</v>
      </c>
      <c r="D13">
        <v>1218</v>
      </c>
      <c r="E13">
        <v>3466</v>
      </c>
    </row>
    <row r="14" spans="1:11" x14ac:dyDescent="0.3">
      <c r="A14" t="s">
        <v>328</v>
      </c>
      <c r="B14">
        <v>8768</v>
      </c>
      <c r="C14">
        <v>162</v>
      </c>
      <c r="D14">
        <v>1601</v>
      </c>
      <c r="E14">
        <v>2890</v>
      </c>
    </row>
    <row r="15" spans="1:11" x14ac:dyDescent="0.3">
      <c r="A15" t="s">
        <v>412</v>
      </c>
      <c r="B15">
        <v>8464</v>
      </c>
      <c r="C15">
        <v>145</v>
      </c>
      <c r="D15">
        <v>1609</v>
      </c>
      <c r="E15">
        <v>2016</v>
      </c>
    </row>
  </sheetData>
  <pageMargins left="0.7" right="0.7" top="0.75" bottom="0.75" header="0.3" footer="0.3"/>
  <tableParts count="2">
    <tablePart r:id="rId1"/>
    <tablePart r:id="rId2"/>
  </tableParts>
</worksheet>
</file>

<file path=xl/worksheets/sheet17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FD35D0-5318-4840-B523-CD6F8AE0D322}">
  <sheetPr>
    <tabColor theme="3" tint="0.39997558519241921"/>
  </sheetPr>
  <dimension ref="B4:T20"/>
  <sheetViews>
    <sheetView topLeftCell="J1" workbookViewId="0">
      <selection activeCell="S24" sqref="S24"/>
    </sheetView>
  </sheetViews>
  <sheetFormatPr defaultRowHeight="14.4" x14ac:dyDescent="0.3"/>
  <cols>
    <col min="2" max="2" width="27.109375" bestFit="1" customWidth="1"/>
    <col min="3" max="19" width="14.21875" bestFit="1" customWidth="1"/>
    <col min="20" max="20" width="11.6640625" bestFit="1" customWidth="1"/>
  </cols>
  <sheetData>
    <row r="4" spans="2:20" x14ac:dyDescent="0.3">
      <c r="B4" s="386" t="s">
        <v>350</v>
      </c>
      <c r="C4" t="s">
        <v>1135</v>
      </c>
      <c r="D4" t="s">
        <v>1136</v>
      </c>
      <c r="E4" t="s">
        <v>1137</v>
      </c>
      <c r="F4" t="s">
        <v>1138</v>
      </c>
      <c r="G4" t="s">
        <v>1139</v>
      </c>
      <c r="H4" t="s">
        <v>1140</v>
      </c>
      <c r="I4" t="s">
        <v>1002</v>
      </c>
      <c r="J4" t="s">
        <v>886</v>
      </c>
      <c r="K4" t="s">
        <v>887</v>
      </c>
      <c r="L4" t="s">
        <v>888</v>
      </c>
      <c r="M4" t="s">
        <v>889</v>
      </c>
      <c r="N4" t="s">
        <v>890</v>
      </c>
      <c r="O4" t="s">
        <v>891</v>
      </c>
      <c r="P4" t="s">
        <v>892</v>
      </c>
      <c r="Q4" t="s">
        <v>893</v>
      </c>
      <c r="R4" t="s">
        <v>894</v>
      </c>
      <c r="S4" t="s">
        <v>895</v>
      </c>
      <c r="T4" t="s">
        <v>356</v>
      </c>
    </row>
    <row r="5" spans="2:20" x14ac:dyDescent="0.3">
      <c r="B5" s="387" t="s">
        <v>1141</v>
      </c>
      <c r="C5">
        <v>972</v>
      </c>
      <c r="D5">
        <v>1212</v>
      </c>
      <c r="E5">
        <v>1286</v>
      </c>
      <c r="F5">
        <v>1454</v>
      </c>
      <c r="G5">
        <v>0</v>
      </c>
      <c r="H5">
        <v>1506</v>
      </c>
      <c r="I5">
        <v>1760</v>
      </c>
      <c r="J5">
        <v>1719</v>
      </c>
      <c r="K5">
        <v>1653</v>
      </c>
      <c r="L5">
        <v>1775</v>
      </c>
      <c r="M5">
        <v>1486</v>
      </c>
      <c r="N5">
        <v>1341</v>
      </c>
      <c r="O5">
        <v>1409</v>
      </c>
      <c r="P5">
        <v>1606</v>
      </c>
      <c r="Q5">
        <v>1610</v>
      </c>
      <c r="R5">
        <v>1629</v>
      </c>
      <c r="S5">
        <v>1594</v>
      </c>
      <c r="T5">
        <v>14823</v>
      </c>
    </row>
    <row r="6" spans="2:20" x14ac:dyDescent="0.3">
      <c r="B6" s="387" t="s">
        <v>1142</v>
      </c>
      <c r="C6">
        <v>282</v>
      </c>
      <c r="D6">
        <v>304</v>
      </c>
      <c r="E6">
        <v>288</v>
      </c>
      <c r="F6">
        <v>408</v>
      </c>
      <c r="G6">
        <v>0</v>
      </c>
      <c r="H6">
        <v>412</v>
      </c>
      <c r="I6">
        <v>485</v>
      </c>
      <c r="J6">
        <v>329</v>
      </c>
      <c r="K6">
        <v>228</v>
      </c>
      <c r="L6">
        <v>267</v>
      </c>
      <c r="M6">
        <v>241</v>
      </c>
      <c r="N6">
        <v>86</v>
      </c>
      <c r="O6">
        <v>166</v>
      </c>
      <c r="P6">
        <v>172</v>
      </c>
      <c r="Q6">
        <v>222</v>
      </c>
      <c r="R6">
        <v>224</v>
      </c>
      <c r="S6">
        <v>188</v>
      </c>
      <c r="T6">
        <v>3244</v>
      </c>
    </row>
    <row r="7" spans="2:20" x14ac:dyDescent="0.3">
      <c r="B7" s="387" t="s">
        <v>1143</v>
      </c>
      <c r="C7">
        <v>48</v>
      </c>
      <c r="D7">
        <v>49</v>
      </c>
      <c r="E7">
        <v>49</v>
      </c>
      <c r="F7">
        <v>62</v>
      </c>
      <c r="G7">
        <v>0</v>
      </c>
      <c r="H7">
        <v>28</v>
      </c>
      <c r="I7">
        <v>36</v>
      </c>
      <c r="J7">
        <v>21</v>
      </c>
      <c r="K7">
        <v>37</v>
      </c>
      <c r="L7">
        <v>31</v>
      </c>
      <c r="M7">
        <v>25</v>
      </c>
      <c r="N7">
        <v>10</v>
      </c>
      <c r="O7">
        <v>10</v>
      </c>
      <c r="P7">
        <v>25</v>
      </c>
      <c r="Q7">
        <v>11</v>
      </c>
      <c r="R7">
        <v>21</v>
      </c>
      <c r="S7">
        <v>23</v>
      </c>
      <c r="T7">
        <v>386</v>
      </c>
    </row>
    <row r="8" spans="2:20" x14ac:dyDescent="0.3">
      <c r="B8" s="387" t="s">
        <v>1144</v>
      </c>
      <c r="C8">
        <v>0</v>
      </c>
      <c r="D8">
        <v>0</v>
      </c>
      <c r="E8">
        <v>0</v>
      </c>
      <c r="F8">
        <v>0</v>
      </c>
      <c r="G8">
        <v>0</v>
      </c>
      <c r="H8">
        <v>1947</v>
      </c>
      <c r="I8">
        <v>3062</v>
      </c>
      <c r="J8">
        <v>2650</v>
      </c>
      <c r="K8">
        <v>2077</v>
      </c>
      <c r="L8">
        <v>1862</v>
      </c>
      <c r="M8">
        <v>1951</v>
      </c>
      <c r="N8">
        <v>815</v>
      </c>
      <c r="O8">
        <v>1984</v>
      </c>
      <c r="P8">
        <v>1958</v>
      </c>
      <c r="Q8">
        <v>1827</v>
      </c>
      <c r="R8">
        <v>2400</v>
      </c>
      <c r="S8">
        <v>2624</v>
      </c>
      <c r="T8">
        <v>13549</v>
      </c>
    </row>
    <row r="9" spans="2:20" x14ac:dyDescent="0.3">
      <c r="B9" s="387" t="s">
        <v>1145</v>
      </c>
      <c r="C9">
        <v>136</v>
      </c>
      <c r="D9">
        <v>236</v>
      </c>
      <c r="E9">
        <v>197</v>
      </c>
      <c r="F9">
        <v>217</v>
      </c>
      <c r="G9">
        <v>0</v>
      </c>
      <c r="H9">
        <v>334</v>
      </c>
      <c r="I9">
        <v>451</v>
      </c>
      <c r="J9">
        <v>396</v>
      </c>
      <c r="K9">
        <v>367</v>
      </c>
      <c r="L9">
        <v>471</v>
      </c>
      <c r="M9">
        <v>298</v>
      </c>
      <c r="N9">
        <v>218</v>
      </c>
      <c r="O9">
        <v>238</v>
      </c>
      <c r="P9">
        <v>288</v>
      </c>
      <c r="Q9">
        <v>287</v>
      </c>
      <c r="R9">
        <v>320</v>
      </c>
      <c r="S9">
        <v>302</v>
      </c>
      <c r="T9">
        <v>3103</v>
      </c>
    </row>
    <row r="10" spans="2:20" x14ac:dyDescent="0.3">
      <c r="B10" s="387" t="s">
        <v>1146</v>
      </c>
      <c r="C10">
        <v>137</v>
      </c>
      <c r="D10">
        <v>126</v>
      </c>
      <c r="E10">
        <v>138</v>
      </c>
      <c r="F10">
        <v>296</v>
      </c>
      <c r="G10">
        <v>0</v>
      </c>
      <c r="H10">
        <v>138</v>
      </c>
      <c r="I10">
        <v>119</v>
      </c>
      <c r="J10">
        <v>128</v>
      </c>
      <c r="K10">
        <v>104</v>
      </c>
      <c r="L10">
        <v>88</v>
      </c>
      <c r="M10">
        <v>71</v>
      </c>
      <c r="N10">
        <v>39</v>
      </c>
      <c r="O10">
        <v>24</v>
      </c>
      <c r="P10">
        <v>60</v>
      </c>
      <c r="Q10">
        <v>51</v>
      </c>
      <c r="R10">
        <v>59</v>
      </c>
      <c r="S10">
        <v>89</v>
      </c>
      <c r="T10">
        <v>1345</v>
      </c>
    </row>
    <row r="11" spans="2:20" x14ac:dyDescent="0.3">
      <c r="B11" s="387" t="s">
        <v>1147</v>
      </c>
      <c r="C11">
        <v>1117</v>
      </c>
      <c r="D11">
        <v>1077</v>
      </c>
      <c r="E11">
        <v>1081</v>
      </c>
      <c r="F11">
        <v>1761</v>
      </c>
      <c r="G11">
        <v>0</v>
      </c>
      <c r="H11">
        <v>1109</v>
      </c>
      <c r="I11">
        <v>1263</v>
      </c>
      <c r="J11">
        <v>1138</v>
      </c>
      <c r="K11">
        <v>1167</v>
      </c>
      <c r="L11">
        <v>1030</v>
      </c>
      <c r="M11">
        <v>1081</v>
      </c>
      <c r="N11">
        <v>238</v>
      </c>
      <c r="O11">
        <v>656</v>
      </c>
      <c r="P11">
        <v>898</v>
      </c>
      <c r="Q11">
        <v>1110</v>
      </c>
      <c r="R11">
        <v>1000</v>
      </c>
      <c r="S11">
        <v>925</v>
      </c>
      <c r="T11">
        <v>11824</v>
      </c>
    </row>
    <row r="12" spans="2:20" x14ac:dyDescent="0.3">
      <c r="B12" s="387" t="s">
        <v>1148</v>
      </c>
      <c r="C12">
        <v>794</v>
      </c>
      <c r="D12">
        <v>1016</v>
      </c>
      <c r="E12">
        <v>1014</v>
      </c>
      <c r="F12">
        <v>670</v>
      </c>
      <c r="G12">
        <v>0</v>
      </c>
      <c r="H12">
        <v>596</v>
      </c>
      <c r="I12">
        <v>494</v>
      </c>
      <c r="J12">
        <v>482</v>
      </c>
      <c r="K12">
        <v>332</v>
      </c>
      <c r="L12">
        <v>374</v>
      </c>
      <c r="M12">
        <v>289</v>
      </c>
      <c r="N12">
        <v>73</v>
      </c>
      <c r="O12">
        <v>132</v>
      </c>
      <c r="P12">
        <v>195</v>
      </c>
      <c r="Q12">
        <v>205</v>
      </c>
      <c r="R12">
        <v>313</v>
      </c>
      <c r="S12">
        <v>326</v>
      </c>
      <c r="T12">
        <v>6061</v>
      </c>
    </row>
    <row r="13" spans="2:20" x14ac:dyDescent="0.3">
      <c r="B13" s="387" t="s">
        <v>1149</v>
      </c>
      <c r="C13">
        <v>311</v>
      </c>
      <c r="D13">
        <v>405</v>
      </c>
      <c r="E13">
        <v>483</v>
      </c>
      <c r="F13">
        <v>389</v>
      </c>
      <c r="G13">
        <v>0</v>
      </c>
      <c r="H13">
        <v>344</v>
      </c>
      <c r="I13">
        <v>379</v>
      </c>
      <c r="J13">
        <v>275</v>
      </c>
      <c r="K13">
        <v>220</v>
      </c>
      <c r="L13">
        <v>267</v>
      </c>
      <c r="M13">
        <v>285</v>
      </c>
      <c r="N13">
        <v>63</v>
      </c>
      <c r="O13">
        <v>110</v>
      </c>
      <c r="P13">
        <v>110</v>
      </c>
      <c r="Q13">
        <v>249</v>
      </c>
      <c r="R13">
        <v>212</v>
      </c>
      <c r="S13">
        <v>210</v>
      </c>
      <c r="T13">
        <v>3358</v>
      </c>
    </row>
    <row r="14" spans="2:20" x14ac:dyDescent="0.3">
      <c r="B14" s="387" t="s">
        <v>1150</v>
      </c>
      <c r="C14">
        <v>287</v>
      </c>
      <c r="D14">
        <v>328</v>
      </c>
      <c r="E14">
        <v>260</v>
      </c>
      <c r="F14">
        <v>399</v>
      </c>
      <c r="G14">
        <v>0</v>
      </c>
      <c r="H14">
        <v>356</v>
      </c>
      <c r="I14">
        <v>320</v>
      </c>
      <c r="J14">
        <v>235</v>
      </c>
      <c r="K14">
        <v>240</v>
      </c>
      <c r="L14">
        <v>283</v>
      </c>
      <c r="M14">
        <v>279</v>
      </c>
      <c r="N14">
        <v>66</v>
      </c>
      <c r="O14">
        <v>176</v>
      </c>
      <c r="P14">
        <v>168</v>
      </c>
      <c r="Q14">
        <v>172</v>
      </c>
      <c r="R14">
        <v>209</v>
      </c>
      <c r="S14">
        <v>159</v>
      </c>
      <c r="T14">
        <v>2987</v>
      </c>
    </row>
    <row r="15" spans="2:20" x14ac:dyDescent="0.3">
      <c r="B15" s="387" t="s">
        <v>1151</v>
      </c>
      <c r="C15">
        <v>284</v>
      </c>
      <c r="D15">
        <v>395</v>
      </c>
      <c r="E15">
        <v>430</v>
      </c>
      <c r="F15">
        <v>415</v>
      </c>
      <c r="G15">
        <v>0</v>
      </c>
      <c r="H15">
        <v>251</v>
      </c>
      <c r="I15">
        <v>351</v>
      </c>
      <c r="J15">
        <v>371</v>
      </c>
      <c r="K15">
        <v>408</v>
      </c>
      <c r="L15">
        <v>323</v>
      </c>
      <c r="M15">
        <v>470</v>
      </c>
      <c r="N15">
        <v>119</v>
      </c>
      <c r="O15">
        <v>290</v>
      </c>
      <c r="P15">
        <v>547</v>
      </c>
      <c r="Q15">
        <v>1256</v>
      </c>
      <c r="R15">
        <v>1572</v>
      </c>
      <c r="S15">
        <v>1244</v>
      </c>
      <c r="T15">
        <v>3698</v>
      </c>
    </row>
    <row r="16" spans="2:20" x14ac:dyDescent="0.3">
      <c r="B16" s="387" t="s">
        <v>1152</v>
      </c>
      <c r="C16">
        <v>154</v>
      </c>
      <c r="D16">
        <v>176</v>
      </c>
      <c r="E16">
        <v>342</v>
      </c>
      <c r="F16">
        <v>340</v>
      </c>
      <c r="G16">
        <v>0</v>
      </c>
      <c r="H16">
        <v>174</v>
      </c>
      <c r="I16">
        <v>198</v>
      </c>
      <c r="J16">
        <v>243</v>
      </c>
      <c r="K16">
        <v>113</v>
      </c>
      <c r="L16">
        <v>189</v>
      </c>
      <c r="M16">
        <v>117</v>
      </c>
      <c r="N16">
        <v>50</v>
      </c>
      <c r="O16">
        <v>100</v>
      </c>
      <c r="P16">
        <v>104</v>
      </c>
      <c r="Q16">
        <v>169</v>
      </c>
      <c r="R16">
        <v>129</v>
      </c>
      <c r="S16">
        <v>152</v>
      </c>
      <c r="T16">
        <v>2046</v>
      </c>
    </row>
    <row r="17" spans="2:20" x14ac:dyDescent="0.3">
      <c r="B17" s="387" t="s">
        <v>1153</v>
      </c>
      <c r="C17">
        <v>68</v>
      </c>
      <c r="D17">
        <v>74</v>
      </c>
      <c r="E17">
        <v>77</v>
      </c>
      <c r="F17">
        <v>58</v>
      </c>
      <c r="G17">
        <v>0</v>
      </c>
      <c r="H17">
        <v>68</v>
      </c>
      <c r="I17">
        <v>49</v>
      </c>
      <c r="J17">
        <v>66</v>
      </c>
      <c r="K17">
        <v>59</v>
      </c>
      <c r="L17">
        <v>60</v>
      </c>
      <c r="M17">
        <v>39</v>
      </c>
      <c r="N17">
        <v>6</v>
      </c>
      <c r="O17">
        <v>21</v>
      </c>
      <c r="P17">
        <v>20</v>
      </c>
      <c r="Q17">
        <v>25</v>
      </c>
      <c r="R17">
        <v>37</v>
      </c>
      <c r="S17">
        <v>36</v>
      </c>
      <c r="T17">
        <v>618</v>
      </c>
    </row>
    <row r="18" spans="2:20" x14ac:dyDescent="0.3">
      <c r="B18" s="387" t="s">
        <v>1154</v>
      </c>
      <c r="C18">
        <v>433</v>
      </c>
      <c r="D18">
        <v>264</v>
      </c>
      <c r="E18">
        <v>291</v>
      </c>
      <c r="F18">
        <v>231</v>
      </c>
      <c r="G18">
        <v>0</v>
      </c>
      <c r="H18">
        <v>260</v>
      </c>
      <c r="I18">
        <v>228</v>
      </c>
      <c r="J18">
        <v>363</v>
      </c>
      <c r="K18">
        <v>268</v>
      </c>
      <c r="L18">
        <v>470</v>
      </c>
      <c r="M18">
        <v>271</v>
      </c>
      <c r="N18">
        <v>69</v>
      </c>
      <c r="O18">
        <v>179</v>
      </c>
      <c r="P18">
        <v>219</v>
      </c>
      <c r="Q18">
        <v>159</v>
      </c>
      <c r="R18">
        <v>294</v>
      </c>
      <c r="S18">
        <v>312</v>
      </c>
      <c r="T18">
        <v>3079</v>
      </c>
    </row>
    <row r="19" spans="2:20" x14ac:dyDescent="0.3">
      <c r="B19" s="387" t="s">
        <v>1155</v>
      </c>
      <c r="C19">
        <v>1038</v>
      </c>
      <c r="D19">
        <v>1082</v>
      </c>
      <c r="E19">
        <v>1619</v>
      </c>
      <c r="F19">
        <v>1294</v>
      </c>
      <c r="G19">
        <v>0</v>
      </c>
      <c r="H19">
        <v>683</v>
      </c>
      <c r="I19">
        <v>639</v>
      </c>
      <c r="J19">
        <v>523</v>
      </c>
      <c r="K19">
        <v>362</v>
      </c>
      <c r="L19">
        <v>382</v>
      </c>
      <c r="M19">
        <v>358</v>
      </c>
      <c r="N19">
        <v>126</v>
      </c>
      <c r="O19">
        <v>193</v>
      </c>
      <c r="P19">
        <v>342</v>
      </c>
      <c r="Q19">
        <v>301</v>
      </c>
      <c r="R19">
        <v>349</v>
      </c>
      <c r="S19">
        <v>280</v>
      </c>
      <c r="T19">
        <v>7980</v>
      </c>
    </row>
    <row r="20" spans="2:20" x14ac:dyDescent="0.3">
      <c r="B20" s="387" t="s">
        <v>357</v>
      </c>
      <c r="C20">
        <v>6061</v>
      </c>
      <c r="D20">
        <v>6744</v>
      </c>
      <c r="E20">
        <v>7555</v>
      </c>
      <c r="F20">
        <v>7994</v>
      </c>
      <c r="G20">
        <v>0</v>
      </c>
      <c r="H20">
        <v>8206</v>
      </c>
      <c r="I20">
        <v>9834</v>
      </c>
      <c r="J20">
        <v>8939</v>
      </c>
      <c r="K20">
        <v>7635</v>
      </c>
      <c r="L20">
        <v>7872</v>
      </c>
      <c r="M20">
        <v>7261</v>
      </c>
      <c r="N20">
        <v>3319</v>
      </c>
      <c r="O20">
        <v>5688</v>
      </c>
      <c r="P20">
        <v>6712</v>
      </c>
      <c r="Q20">
        <v>7654</v>
      </c>
      <c r="R20">
        <v>8768</v>
      </c>
      <c r="S20">
        <v>8464</v>
      </c>
      <c r="T20">
        <v>78101</v>
      </c>
    </row>
  </sheetData>
  <pageMargins left="0.7" right="0.7" top="0.75" bottom="0.75" header="0.3" footer="0.3"/>
</worksheet>
</file>

<file path=xl/worksheets/sheet17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C1200B6-EF8B-4402-8C01-AB92CB00A45E}">
  <sheetPr>
    <tabColor theme="3" tint="0.39997558519241921"/>
  </sheetPr>
  <dimension ref="A1:T16"/>
  <sheetViews>
    <sheetView topLeftCell="D1" workbookViewId="0">
      <selection activeCell="P22" sqref="P22"/>
    </sheetView>
  </sheetViews>
  <sheetFormatPr defaultRowHeight="14.4" x14ac:dyDescent="0.3"/>
  <cols>
    <col min="1" max="1" width="7.21875" bestFit="1" customWidth="1"/>
    <col min="2" max="2" width="27.109375" bestFit="1" customWidth="1"/>
    <col min="3" max="3" width="7.44140625" bestFit="1" customWidth="1"/>
    <col min="4" max="20" width="9.88671875" bestFit="1" customWidth="1"/>
  </cols>
  <sheetData>
    <row r="1" spans="1:20" x14ac:dyDescent="0.3">
      <c r="A1" t="s">
        <v>1156</v>
      </c>
      <c r="B1" t="s">
        <v>1157</v>
      </c>
      <c r="C1" t="s">
        <v>340</v>
      </c>
      <c r="D1" t="s">
        <v>1158</v>
      </c>
      <c r="E1" t="s">
        <v>510</v>
      </c>
      <c r="F1" t="s">
        <v>362</v>
      </c>
      <c r="G1" t="s">
        <v>363</v>
      </c>
      <c r="H1" t="s">
        <v>364</v>
      </c>
      <c r="I1" t="s">
        <v>365</v>
      </c>
      <c r="J1" t="s">
        <v>366</v>
      </c>
      <c r="K1" t="s">
        <v>341</v>
      </c>
      <c r="L1" t="s">
        <v>342</v>
      </c>
      <c r="M1" t="s">
        <v>213</v>
      </c>
      <c r="N1" t="s">
        <v>312</v>
      </c>
      <c r="O1" t="s">
        <v>318</v>
      </c>
      <c r="P1" t="s">
        <v>320</v>
      </c>
      <c r="Q1" t="s">
        <v>325</v>
      </c>
      <c r="R1" t="s">
        <v>326</v>
      </c>
      <c r="S1" t="s">
        <v>328</v>
      </c>
      <c r="T1" t="s">
        <v>412</v>
      </c>
    </row>
    <row r="2" spans="1:20" x14ac:dyDescent="0.3">
      <c r="A2" t="s">
        <v>1159</v>
      </c>
      <c r="B2" t="s">
        <v>1152</v>
      </c>
      <c r="C2">
        <v>2046</v>
      </c>
      <c r="D2">
        <v>154</v>
      </c>
      <c r="E2">
        <v>176</v>
      </c>
      <c r="F2">
        <v>342</v>
      </c>
      <c r="G2">
        <v>340</v>
      </c>
      <c r="H2">
        <v>0</v>
      </c>
      <c r="I2">
        <v>174</v>
      </c>
      <c r="J2">
        <v>198</v>
      </c>
      <c r="K2">
        <v>243</v>
      </c>
      <c r="L2">
        <v>113</v>
      </c>
      <c r="M2">
        <v>189</v>
      </c>
      <c r="N2">
        <v>117</v>
      </c>
      <c r="O2">
        <v>50</v>
      </c>
      <c r="P2">
        <v>100</v>
      </c>
      <c r="Q2">
        <v>104</v>
      </c>
      <c r="R2">
        <v>169</v>
      </c>
      <c r="S2">
        <v>129</v>
      </c>
      <c r="T2">
        <v>152</v>
      </c>
    </row>
    <row r="3" spans="1:20" x14ac:dyDescent="0.3">
      <c r="A3" t="s">
        <v>1162</v>
      </c>
      <c r="B3" t="s">
        <v>1141</v>
      </c>
      <c r="C3">
        <v>14823</v>
      </c>
      <c r="D3">
        <v>972</v>
      </c>
      <c r="E3">
        <v>1212</v>
      </c>
      <c r="F3">
        <v>1286</v>
      </c>
      <c r="G3">
        <v>1454</v>
      </c>
      <c r="H3">
        <v>0</v>
      </c>
      <c r="I3">
        <v>1506</v>
      </c>
      <c r="J3">
        <v>1760</v>
      </c>
      <c r="K3">
        <v>1719</v>
      </c>
      <c r="L3">
        <v>1653</v>
      </c>
      <c r="M3">
        <v>1775</v>
      </c>
      <c r="N3">
        <v>1486</v>
      </c>
      <c r="O3">
        <v>1341</v>
      </c>
      <c r="P3">
        <v>1409</v>
      </c>
      <c r="Q3">
        <v>1606</v>
      </c>
      <c r="R3">
        <v>1610</v>
      </c>
      <c r="S3">
        <v>1629</v>
      </c>
      <c r="T3">
        <v>1594</v>
      </c>
    </row>
    <row r="4" spans="1:20" x14ac:dyDescent="0.3">
      <c r="A4" t="s">
        <v>1163</v>
      </c>
      <c r="B4" t="s">
        <v>1150</v>
      </c>
      <c r="C4">
        <v>2987</v>
      </c>
      <c r="D4">
        <v>287</v>
      </c>
      <c r="E4">
        <v>328</v>
      </c>
      <c r="F4">
        <v>260</v>
      </c>
      <c r="G4">
        <v>399</v>
      </c>
      <c r="H4">
        <v>0</v>
      </c>
      <c r="I4">
        <v>356</v>
      </c>
      <c r="J4">
        <v>320</v>
      </c>
      <c r="K4">
        <v>235</v>
      </c>
      <c r="L4">
        <v>240</v>
      </c>
      <c r="M4">
        <v>283</v>
      </c>
      <c r="N4">
        <v>279</v>
      </c>
      <c r="O4">
        <v>66</v>
      </c>
      <c r="P4">
        <v>176</v>
      </c>
      <c r="Q4">
        <v>168</v>
      </c>
      <c r="R4">
        <v>172</v>
      </c>
      <c r="S4">
        <v>209</v>
      </c>
      <c r="T4">
        <v>159</v>
      </c>
    </row>
    <row r="5" spans="1:20" x14ac:dyDescent="0.3">
      <c r="A5" t="s">
        <v>1164</v>
      </c>
      <c r="B5" t="s">
        <v>1153</v>
      </c>
      <c r="C5">
        <v>618</v>
      </c>
      <c r="D5">
        <v>68</v>
      </c>
      <c r="E5">
        <v>74</v>
      </c>
      <c r="F5">
        <v>77</v>
      </c>
      <c r="G5">
        <v>58</v>
      </c>
      <c r="H5">
        <v>0</v>
      </c>
      <c r="I5">
        <v>68</v>
      </c>
      <c r="J5">
        <v>49</v>
      </c>
      <c r="K5">
        <v>66</v>
      </c>
      <c r="L5">
        <v>59</v>
      </c>
      <c r="M5">
        <v>60</v>
      </c>
      <c r="N5">
        <v>39</v>
      </c>
      <c r="O5">
        <v>6</v>
      </c>
      <c r="P5">
        <v>21</v>
      </c>
      <c r="Q5">
        <v>20</v>
      </c>
      <c r="R5">
        <v>25</v>
      </c>
      <c r="S5">
        <v>37</v>
      </c>
      <c r="T5">
        <v>36</v>
      </c>
    </row>
    <row r="6" spans="1:20" x14ac:dyDescent="0.3">
      <c r="A6" t="s">
        <v>1165</v>
      </c>
      <c r="B6" t="s">
        <v>1155</v>
      </c>
      <c r="C6">
        <v>7980</v>
      </c>
      <c r="D6">
        <v>1038</v>
      </c>
      <c r="E6">
        <v>1082</v>
      </c>
      <c r="F6">
        <v>1619</v>
      </c>
      <c r="G6">
        <v>1294</v>
      </c>
      <c r="H6">
        <v>0</v>
      </c>
      <c r="I6">
        <v>683</v>
      </c>
      <c r="J6">
        <v>639</v>
      </c>
      <c r="K6">
        <v>523</v>
      </c>
      <c r="L6">
        <v>362</v>
      </c>
      <c r="M6">
        <v>382</v>
      </c>
      <c r="N6">
        <v>358</v>
      </c>
      <c r="O6">
        <v>126</v>
      </c>
      <c r="P6">
        <v>193</v>
      </c>
      <c r="Q6">
        <v>342</v>
      </c>
      <c r="R6">
        <v>301</v>
      </c>
      <c r="S6">
        <v>349</v>
      </c>
      <c r="T6">
        <v>280</v>
      </c>
    </row>
    <row r="7" spans="1:20" x14ac:dyDescent="0.3">
      <c r="A7" t="s">
        <v>1160</v>
      </c>
      <c r="B7" t="s">
        <v>1142</v>
      </c>
      <c r="C7">
        <v>3244</v>
      </c>
      <c r="D7">
        <v>282</v>
      </c>
      <c r="E7">
        <v>304</v>
      </c>
      <c r="F7">
        <v>288</v>
      </c>
      <c r="G7">
        <v>408</v>
      </c>
      <c r="H7">
        <v>0</v>
      </c>
      <c r="I7">
        <v>412</v>
      </c>
      <c r="J7">
        <v>485</v>
      </c>
      <c r="K7">
        <v>329</v>
      </c>
      <c r="L7">
        <v>228</v>
      </c>
      <c r="M7">
        <v>267</v>
      </c>
      <c r="N7">
        <v>241</v>
      </c>
      <c r="O7">
        <v>86</v>
      </c>
      <c r="P7">
        <v>166</v>
      </c>
      <c r="Q7">
        <v>172</v>
      </c>
      <c r="R7">
        <v>222</v>
      </c>
      <c r="S7">
        <v>224</v>
      </c>
      <c r="T7">
        <v>188</v>
      </c>
    </row>
    <row r="8" spans="1:20" x14ac:dyDescent="0.3">
      <c r="A8" t="s">
        <v>1161</v>
      </c>
      <c r="B8" t="s">
        <v>1147</v>
      </c>
      <c r="C8">
        <v>11824</v>
      </c>
      <c r="D8">
        <v>1117</v>
      </c>
      <c r="E8">
        <v>1077</v>
      </c>
      <c r="F8">
        <v>1081</v>
      </c>
      <c r="G8">
        <v>1761</v>
      </c>
      <c r="H8">
        <v>0</v>
      </c>
      <c r="I8">
        <v>1109</v>
      </c>
      <c r="J8">
        <v>1263</v>
      </c>
      <c r="K8">
        <v>1138</v>
      </c>
      <c r="L8">
        <v>1167</v>
      </c>
      <c r="M8">
        <v>1030</v>
      </c>
      <c r="N8">
        <v>1081</v>
      </c>
      <c r="O8">
        <v>238</v>
      </c>
      <c r="P8">
        <v>656</v>
      </c>
      <c r="Q8">
        <v>898</v>
      </c>
      <c r="R8">
        <v>1110</v>
      </c>
      <c r="S8">
        <v>1000</v>
      </c>
      <c r="T8">
        <v>925</v>
      </c>
    </row>
    <row r="9" spans="1:20" x14ac:dyDescent="0.3">
      <c r="A9" t="s">
        <v>1168</v>
      </c>
      <c r="B9" t="s">
        <v>1144</v>
      </c>
      <c r="C9">
        <v>13549</v>
      </c>
      <c r="D9">
        <v>0</v>
      </c>
      <c r="E9">
        <v>0</v>
      </c>
      <c r="F9">
        <v>0</v>
      </c>
      <c r="G9">
        <v>0</v>
      </c>
      <c r="H9">
        <v>0</v>
      </c>
      <c r="I9">
        <v>1947</v>
      </c>
      <c r="J9">
        <v>3062</v>
      </c>
      <c r="K9">
        <v>2650</v>
      </c>
      <c r="L9">
        <v>2077</v>
      </c>
      <c r="M9">
        <v>1862</v>
      </c>
      <c r="N9">
        <v>1951</v>
      </c>
      <c r="O9">
        <v>815</v>
      </c>
      <c r="P9">
        <v>1984</v>
      </c>
      <c r="Q9">
        <v>1958</v>
      </c>
      <c r="R9">
        <v>1827</v>
      </c>
      <c r="S9">
        <v>2400</v>
      </c>
      <c r="T9">
        <v>2624</v>
      </c>
    </row>
    <row r="10" spans="1:20" x14ac:dyDescent="0.3">
      <c r="A10" t="s">
        <v>1169</v>
      </c>
      <c r="B10" t="s">
        <v>1149</v>
      </c>
      <c r="C10">
        <v>3358</v>
      </c>
      <c r="D10">
        <v>311</v>
      </c>
      <c r="E10">
        <v>405</v>
      </c>
      <c r="F10">
        <v>483</v>
      </c>
      <c r="G10">
        <v>389</v>
      </c>
      <c r="H10">
        <v>0</v>
      </c>
      <c r="I10">
        <v>344</v>
      </c>
      <c r="J10">
        <v>379</v>
      </c>
      <c r="K10">
        <v>275</v>
      </c>
      <c r="L10">
        <v>220</v>
      </c>
      <c r="M10">
        <v>267</v>
      </c>
      <c r="N10">
        <v>285</v>
      </c>
      <c r="O10">
        <v>63</v>
      </c>
      <c r="P10">
        <v>110</v>
      </c>
      <c r="Q10">
        <v>110</v>
      </c>
      <c r="R10">
        <v>249</v>
      </c>
      <c r="S10">
        <v>212</v>
      </c>
      <c r="T10">
        <v>210</v>
      </c>
    </row>
    <row r="11" spans="1:20" x14ac:dyDescent="0.3">
      <c r="A11" t="s">
        <v>1170</v>
      </c>
      <c r="B11" t="s">
        <v>1151</v>
      </c>
      <c r="C11">
        <v>3698</v>
      </c>
      <c r="D11">
        <v>284</v>
      </c>
      <c r="E11">
        <v>395</v>
      </c>
      <c r="F11">
        <v>430</v>
      </c>
      <c r="G11">
        <v>415</v>
      </c>
      <c r="H11">
        <v>0</v>
      </c>
      <c r="I11">
        <v>251</v>
      </c>
      <c r="J11">
        <v>351</v>
      </c>
      <c r="K11">
        <v>371</v>
      </c>
      <c r="L11">
        <v>408</v>
      </c>
      <c r="M11">
        <v>323</v>
      </c>
      <c r="N11">
        <v>470</v>
      </c>
      <c r="O11">
        <v>119</v>
      </c>
      <c r="P11">
        <v>290</v>
      </c>
      <c r="Q11">
        <v>547</v>
      </c>
      <c r="R11">
        <v>1256</v>
      </c>
      <c r="S11">
        <v>1572</v>
      </c>
      <c r="T11">
        <v>1244</v>
      </c>
    </row>
    <row r="12" spans="1:20" x14ac:dyDescent="0.3">
      <c r="A12" t="s">
        <v>1166</v>
      </c>
      <c r="B12" t="s">
        <v>1143</v>
      </c>
      <c r="C12">
        <v>386</v>
      </c>
      <c r="D12">
        <v>48</v>
      </c>
      <c r="E12">
        <v>49</v>
      </c>
      <c r="F12">
        <v>49</v>
      </c>
      <c r="G12">
        <v>62</v>
      </c>
      <c r="H12">
        <v>0</v>
      </c>
      <c r="I12">
        <v>28</v>
      </c>
      <c r="J12">
        <v>36</v>
      </c>
      <c r="K12">
        <v>21</v>
      </c>
      <c r="L12">
        <v>37</v>
      </c>
      <c r="M12">
        <v>31</v>
      </c>
      <c r="N12">
        <v>25</v>
      </c>
      <c r="O12">
        <v>10</v>
      </c>
      <c r="P12">
        <v>10</v>
      </c>
      <c r="Q12">
        <v>25</v>
      </c>
      <c r="R12">
        <v>11</v>
      </c>
      <c r="S12">
        <v>21</v>
      </c>
      <c r="T12">
        <v>23</v>
      </c>
    </row>
    <row r="13" spans="1:20" x14ac:dyDescent="0.3">
      <c r="A13" t="s">
        <v>1167</v>
      </c>
      <c r="B13" t="s">
        <v>1145</v>
      </c>
      <c r="C13">
        <v>3103</v>
      </c>
      <c r="D13">
        <v>136</v>
      </c>
      <c r="E13">
        <v>236</v>
      </c>
      <c r="F13">
        <v>197</v>
      </c>
      <c r="G13">
        <v>217</v>
      </c>
      <c r="H13">
        <v>0</v>
      </c>
      <c r="I13">
        <v>334</v>
      </c>
      <c r="J13">
        <v>451</v>
      </c>
      <c r="K13">
        <v>396</v>
      </c>
      <c r="L13">
        <v>367</v>
      </c>
      <c r="M13">
        <v>471</v>
      </c>
      <c r="N13">
        <v>298</v>
      </c>
      <c r="O13">
        <v>218</v>
      </c>
      <c r="P13">
        <v>238</v>
      </c>
      <c r="Q13">
        <v>288</v>
      </c>
      <c r="R13">
        <v>287</v>
      </c>
      <c r="S13">
        <v>320</v>
      </c>
      <c r="T13">
        <v>302</v>
      </c>
    </row>
    <row r="14" spans="1:20" x14ac:dyDescent="0.3">
      <c r="A14" t="s">
        <v>1171</v>
      </c>
      <c r="B14" t="s">
        <v>1146</v>
      </c>
      <c r="C14">
        <v>1345</v>
      </c>
      <c r="D14">
        <v>137</v>
      </c>
      <c r="E14">
        <v>126</v>
      </c>
      <c r="F14">
        <v>138</v>
      </c>
      <c r="G14">
        <v>296</v>
      </c>
      <c r="H14">
        <v>0</v>
      </c>
      <c r="I14">
        <v>138</v>
      </c>
      <c r="J14">
        <v>119</v>
      </c>
      <c r="K14">
        <v>128</v>
      </c>
      <c r="L14">
        <v>104</v>
      </c>
      <c r="M14">
        <v>88</v>
      </c>
      <c r="N14">
        <v>71</v>
      </c>
      <c r="O14">
        <v>39</v>
      </c>
      <c r="P14">
        <v>24</v>
      </c>
      <c r="Q14">
        <v>60</v>
      </c>
      <c r="R14">
        <v>51</v>
      </c>
      <c r="S14">
        <v>59</v>
      </c>
      <c r="T14">
        <v>89</v>
      </c>
    </row>
    <row r="15" spans="1:20" x14ac:dyDescent="0.3">
      <c r="A15" t="s">
        <v>1172</v>
      </c>
      <c r="B15" t="s">
        <v>1148</v>
      </c>
      <c r="C15">
        <v>6061</v>
      </c>
      <c r="D15">
        <v>794</v>
      </c>
      <c r="E15">
        <v>1016</v>
      </c>
      <c r="F15">
        <v>1014</v>
      </c>
      <c r="G15">
        <v>670</v>
      </c>
      <c r="H15">
        <v>0</v>
      </c>
      <c r="I15">
        <v>596</v>
      </c>
      <c r="J15">
        <v>494</v>
      </c>
      <c r="K15">
        <v>482</v>
      </c>
      <c r="L15">
        <v>332</v>
      </c>
      <c r="M15">
        <v>374</v>
      </c>
      <c r="N15">
        <v>289</v>
      </c>
      <c r="O15">
        <v>73</v>
      </c>
      <c r="P15">
        <v>132</v>
      </c>
      <c r="Q15">
        <v>195</v>
      </c>
      <c r="R15">
        <v>205</v>
      </c>
      <c r="S15">
        <v>313</v>
      </c>
      <c r="T15">
        <v>326</v>
      </c>
    </row>
    <row r="16" spans="1:20" x14ac:dyDescent="0.3">
      <c r="A16" t="s">
        <v>1173</v>
      </c>
      <c r="B16" t="s">
        <v>1154</v>
      </c>
      <c r="C16">
        <v>3079</v>
      </c>
      <c r="D16">
        <v>433</v>
      </c>
      <c r="E16">
        <v>264</v>
      </c>
      <c r="F16">
        <v>291</v>
      </c>
      <c r="G16">
        <v>231</v>
      </c>
      <c r="H16">
        <v>0</v>
      </c>
      <c r="I16">
        <v>260</v>
      </c>
      <c r="J16">
        <v>228</v>
      </c>
      <c r="K16">
        <v>363</v>
      </c>
      <c r="L16">
        <v>268</v>
      </c>
      <c r="M16">
        <v>470</v>
      </c>
      <c r="N16">
        <v>271</v>
      </c>
      <c r="O16">
        <v>69</v>
      </c>
      <c r="P16">
        <v>179</v>
      </c>
      <c r="Q16">
        <v>219</v>
      </c>
      <c r="R16">
        <v>159</v>
      </c>
      <c r="S16">
        <v>294</v>
      </c>
      <c r="T16">
        <v>312</v>
      </c>
    </row>
  </sheetData>
  <phoneticPr fontId="53" type="noConversion"/>
  <pageMargins left="0.7" right="0.7" top="0.75" bottom="0.75" header="0.3" footer="0.3"/>
  <tableParts count="1">
    <tablePart r:id="rId1"/>
  </tableParts>
</worksheet>
</file>

<file path=xl/worksheets/sheet17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tabColor theme="3" tint="0.39997558519241921"/>
  </sheetPr>
  <dimension ref="A1:R33"/>
  <sheetViews>
    <sheetView showGridLines="0" zoomScale="85" zoomScaleNormal="85" workbookViewId="0">
      <pane ySplit="2" topLeftCell="A3" activePane="bottomLeft" state="frozen"/>
      <selection pane="bottomLeft"/>
    </sheetView>
  </sheetViews>
  <sheetFormatPr defaultRowHeight="14.4" x14ac:dyDescent="0.3"/>
  <cols>
    <col min="1" max="1" width="27.5546875" bestFit="1" customWidth="1"/>
    <col min="2" max="16" width="7.44140625" bestFit="1" customWidth="1"/>
    <col min="17" max="17" width="7.44140625" customWidth="1"/>
  </cols>
  <sheetData>
    <row r="1" spans="1:18" ht="15.6" x14ac:dyDescent="0.3">
      <c r="A1" s="513" t="s">
        <v>1118</v>
      </c>
    </row>
    <row r="2" spans="1:18" x14ac:dyDescent="0.3">
      <c r="A2" s="498" t="s">
        <v>202</v>
      </c>
    </row>
    <row r="3" spans="1:18" x14ac:dyDescent="0.3">
      <c r="A3" s="25"/>
    </row>
    <row r="4" spans="1:18" ht="15.6" x14ac:dyDescent="0.3">
      <c r="A4" s="1072" t="s">
        <v>1174</v>
      </c>
      <c r="B4" s="1072"/>
      <c r="C4" s="1072"/>
      <c r="D4" s="1072"/>
      <c r="E4" s="1072"/>
      <c r="F4" s="1072"/>
      <c r="G4" s="1072"/>
      <c r="H4" s="1072"/>
      <c r="I4" s="1072"/>
      <c r="J4" s="1072"/>
      <c r="K4" s="1072"/>
    </row>
    <row r="5" spans="1:18" ht="15.6" x14ac:dyDescent="0.3">
      <c r="A5" t="s">
        <v>203</v>
      </c>
      <c r="B5" t="s">
        <v>187</v>
      </c>
      <c r="C5" s="499"/>
      <c r="D5" s="499"/>
      <c r="E5" s="499"/>
      <c r="F5" s="499"/>
      <c r="G5" s="499"/>
      <c r="H5" s="499"/>
      <c r="I5" s="499"/>
      <c r="J5" s="499"/>
      <c r="K5" s="499"/>
    </row>
    <row r="6" spans="1:18" ht="15.6" x14ac:dyDescent="0.3">
      <c r="A6" t="s">
        <v>204</v>
      </c>
      <c r="B6" t="s">
        <v>205</v>
      </c>
      <c r="C6" s="499"/>
      <c r="D6" s="499"/>
      <c r="E6" s="499"/>
      <c r="F6" s="499"/>
      <c r="G6" s="499"/>
      <c r="H6" s="499"/>
      <c r="I6" s="499"/>
      <c r="J6" s="499"/>
      <c r="K6" s="499"/>
    </row>
    <row r="7" spans="1:18" ht="15.6" x14ac:dyDescent="0.3">
      <c r="A7" t="s">
        <v>206</v>
      </c>
      <c r="B7" t="s">
        <v>207</v>
      </c>
      <c r="C7" s="499"/>
      <c r="D7" s="499"/>
      <c r="E7" s="499"/>
      <c r="F7" s="499"/>
      <c r="G7" s="499"/>
      <c r="H7" s="499"/>
      <c r="I7" s="499"/>
      <c r="J7" s="499"/>
      <c r="K7" s="499"/>
    </row>
    <row r="9" spans="1:18" ht="15" thickBot="1" x14ac:dyDescent="0.35">
      <c r="A9" s="524" t="s">
        <v>186</v>
      </c>
      <c r="B9" s="948" t="s">
        <v>1158</v>
      </c>
      <c r="C9" s="948" t="s">
        <v>510</v>
      </c>
      <c r="D9" s="948" t="s">
        <v>362</v>
      </c>
      <c r="E9" s="948" t="s">
        <v>363</v>
      </c>
      <c r="F9" s="948" t="s">
        <v>364</v>
      </c>
      <c r="G9" s="948" t="s">
        <v>365</v>
      </c>
      <c r="H9" s="948" t="s">
        <v>366</v>
      </c>
      <c r="I9" s="948" t="s">
        <v>341</v>
      </c>
      <c r="J9" s="948" t="s">
        <v>342</v>
      </c>
      <c r="K9" s="948" t="s">
        <v>213</v>
      </c>
      <c r="L9" s="948" t="s">
        <v>312</v>
      </c>
      <c r="M9" s="948" t="s">
        <v>318</v>
      </c>
      <c r="N9" s="948" t="s">
        <v>320</v>
      </c>
      <c r="O9" s="948" t="s">
        <v>325</v>
      </c>
      <c r="P9" s="948" t="s">
        <v>326</v>
      </c>
      <c r="Q9" s="949" t="s">
        <v>328</v>
      </c>
      <c r="R9" s="949" t="s">
        <v>412</v>
      </c>
    </row>
    <row r="10" spans="1:18" x14ac:dyDescent="0.3">
      <c r="A10" s="312" t="s">
        <v>1141</v>
      </c>
      <c r="B10" s="601">
        <f>GETPIVOTDATA("Sum of 2009-10",AuditsPivot!$B$4,"PremisesType",$A10)</f>
        <v>972</v>
      </c>
      <c r="C10" s="601">
        <f>GETPIVOTDATA("Sum of 2010-11",AuditsPivot!$B$4,"PremisesType",$A10)</f>
        <v>1212</v>
      </c>
      <c r="D10" s="601">
        <f>GETPIVOTDATA("Sum of 2011-12",AuditsPivot!$B$4,"PremisesType",$A10)</f>
        <v>1286</v>
      </c>
      <c r="E10" s="601">
        <f>GETPIVOTDATA("Sum of 2012-13",AuditsPivot!$B$4,"PremisesType",$A10)</f>
        <v>1454</v>
      </c>
      <c r="F10" s="950">
        <f>GETPIVOTDATA("Sum of 2013-14",AuditsPivot!$B$4,"PremisesType",$A10)</f>
        <v>0</v>
      </c>
      <c r="G10" s="601">
        <f>GETPIVOTDATA("Sum of 2014-15",AuditsPivot!$B$4,"PremisesType",$A10)</f>
        <v>1506</v>
      </c>
      <c r="H10" s="601">
        <f>GETPIVOTDATA("Sum of 2015-16",AuditsPivot!$B$4,"PremisesType",$A10)</f>
        <v>1760</v>
      </c>
      <c r="I10" s="601">
        <f>GETPIVOTDATA("Sum of 2016-17",AuditsPivot!$B$4,"PremisesType",$A10)</f>
        <v>1719</v>
      </c>
      <c r="J10" s="601">
        <f>GETPIVOTDATA("Sum of 2017-18",AuditsPivot!$B$4,"PremisesType",$A10)</f>
        <v>1653</v>
      </c>
      <c r="K10" s="601">
        <f>GETPIVOTDATA("Sum of 2018-19",AuditsPivot!$B$4,"PremisesType",$A10)</f>
        <v>1775</v>
      </c>
      <c r="L10" s="601">
        <f>GETPIVOTDATA("Sum of 2019-20",AuditsPivot!$B$4,"PremisesType",$A10)</f>
        <v>1486</v>
      </c>
      <c r="M10" s="601">
        <f>GETPIVOTDATA("Sum of 2020-21",AuditsPivot!$B$4,"PremisesType",$A10)</f>
        <v>1341</v>
      </c>
      <c r="N10" s="601">
        <f>GETPIVOTDATA("Sum of 2021-22",AuditsPivot!$B$4,"PremisesType",$A10)</f>
        <v>1409</v>
      </c>
      <c r="O10" s="601">
        <f>GETPIVOTDATA("Sum of 2022-23",AuditsPivot!$B$4,"PremisesType",$A10)</f>
        <v>1606</v>
      </c>
      <c r="P10" s="601">
        <f>GETPIVOTDATA("Sum of 2023-24",AuditsPivot!$B$4,"PremisesType",$A10)</f>
        <v>1610</v>
      </c>
      <c r="Q10" s="601">
        <f>GETPIVOTDATA("Sum of 2024-25",AuditsPivot!$B$4,"PremisesType",$A10)</f>
        <v>1629</v>
      </c>
      <c r="R10" s="601">
        <f>GETPIVOTDATA("Sum of 2025-26",AuditsPivot!$B$4,"PremisesType",$A10)</f>
        <v>1594</v>
      </c>
    </row>
    <row r="11" spans="1:18" x14ac:dyDescent="0.3">
      <c r="A11" s="312" t="s">
        <v>1142</v>
      </c>
      <c r="B11" s="601">
        <f>GETPIVOTDATA("Sum of 2009-10",AuditsPivot!$B$4,"PremisesType",$A11)</f>
        <v>282</v>
      </c>
      <c r="C11" s="601">
        <f>GETPIVOTDATA("Sum of 2010-11",AuditsPivot!$B$4,"PremisesType",$A11)</f>
        <v>304</v>
      </c>
      <c r="D11" s="601">
        <f>GETPIVOTDATA("Sum of 2011-12",AuditsPivot!$B$4,"PremisesType",$A11)</f>
        <v>288</v>
      </c>
      <c r="E11" s="601">
        <f>GETPIVOTDATA("Sum of 2012-13",AuditsPivot!$B$4,"PremisesType",$A11)</f>
        <v>408</v>
      </c>
      <c r="F11" s="950">
        <f>GETPIVOTDATA("Sum of 2013-14",AuditsPivot!$B$4,"PremisesType",$A11)</f>
        <v>0</v>
      </c>
      <c r="G11" s="601">
        <f>GETPIVOTDATA("Sum of 2014-15",AuditsPivot!$B$4,"PremisesType",$A11)</f>
        <v>412</v>
      </c>
      <c r="H11" s="601">
        <f>GETPIVOTDATA("Sum of 2015-16",AuditsPivot!$B$4,"PremisesType",$A11)</f>
        <v>485</v>
      </c>
      <c r="I11" s="601">
        <f>GETPIVOTDATA("Sum of 2016-17",AuditsPivot!$B$4,"PremisesType",$A11)</f>
        <v>329</v>
      </c>
      <c r="J11" s="601">
        <f>GETPIVOTDATA("Sum of 2017-18",AuditsPivot!$B$4,"PremisesType",$A11)</f>
        <v>228</v>
      </c>
      <c r="K11" s="601">
        <f>GETPIVOTDATA("Sum of 2018-19",AuditsPivot!$B$4,"PremisesType",$A11)</f>
        <v>267</v>
      </c>
      <c r="L11" s="601">
        <f>GETPIVOTDATA("Sum of 2019-20",AuditsPivot!$B$4,"PremisesType",$A11)</f>
        <v>241</v>
      </c>
      <c r="M11" s="601">
        <f>GETPIVOTDATA("Sum of 2020-21",AuditsPivot!$B$4,"PremisesType",$A11)</f>
        <v>86</v>
      </c>
      <c r="N11" s="601">
        <f>GETPIVOTDATA("Sum of 2021-22",AuditsPivot!$B$4,"PremisesType",$A11)</f>
        <v>166</v>
      </c>
      <c r="O11" s="601">
        <f>GETPIVOTDATA("Sum of 2022-23",AuditsPivot!$B$4,"PremisesType",$A11)</f>
        <v>172</v>
      </c>
      <c r="P11" s="601">
        <f>GETPIVOTDATA("Sum of 2023-24",AuditsPivot!$B$4,"PremisesType",$A11)</f>
        <v>222</v>
      </c>
      <c r="Q11" s="601">
        <f>GETPIVOTDATA("Sum of 2024-25",AuditsPivot!$B$4,"PremisesType",$A11)</f>
        <v>224</v>
      </c>
      <c r="R11" s="601">
        <f>GETPIVOTDATA("Sum of 2025-26",AuditsPivot!$B$4,"PremisesType",$A11)</f>
        <v>188</v>
      </c>
    </row>
    <row r="12" spans="1:18" x14ac:dyDescent="0.3">
      <c r="A12" s="312" t="s">
        <v>1143</v>
      </c>
      <c r="B12" s="601">
        <f>GETPIVOTDATA("Sum of 2009-10",AuditsPivot!$B$4,"PremisesType",$A12)</f>
        <v>48</v>
      </c>
      <c r="C12" s="601">
        <f>GETPIVOTDATA("Sum of 2010-11",AuditsPivot!$B$4,"PremisesType",$A12)</f>
        <v>49</v>
      </c>
      <c r="D12" s="601">
        <f>GETPIVOTDATA("Sum of 2011-12",AuditsPivot!$B$4,"PremisesType",$A12)</f>
        <v>49</v>
      </c>
      <c r="E12" s="601">
        <f>GETPIVOTDATA("Sum of 2012-13",AuditsPivot!$B$4,"PremisesType",$A12)</f>
        <v>62</v>
      </c>
      <c r="F12" s="950">
        <f>GETPIVOTDATA("Sum of 2013-14",AuditsPivot!$B$4,"PremisesType",$A12)</f>
        <v>0</v>
      </c>
      <c r="G12" s="601">
        <f>GETPIVOTDATA("Sum of 2014-15",AuditsPivot!$B$4,"PremisesType",$A12)</f>
        <v>28</v>
      </c>
      <c r="H12" s="601">
        <f>GETPIVOTDATA("Sum of 2015-16",AuditsPivot!$B$4,"PremisesType",$A12)</f>
        <v>36</v>
      </c>
      <c r="I12" s="601">
        <f>GETPIVOTDATA("Sum of 2016-17",AuditsPivot!$B$4,"PremisesType",$A12)</f>
        <v>21</v>
      </c>
      <c r="J12" s="601">
        <f>GETPIVOTDATA("Sum of 2017-18",AuditsPivot!$B$4,"PremisesType",$A12)</f>
        <v>37</v>
      </c>
      <c r="K12" s="601">
        <f>GETPIVOTDATA("Sum of 2018-19",AuditsPivot!$B$4,"PremisesType",$A12)</f>
        <v>31</v>
      </c>
      <c r="L12" s="601">
        <f>GETPIVOTDATA("Sum of 2019-20",AuditsPivot!$B$4,"PremisesType",$A12)</f>
        <v>25</v>
      </c>
      <c r="M12" s="601">
        <f>GETPIVOTDATA("Sum of 2020-21",AuditsPivot!$B$4,"PremisesType",$A12)</f>
        <v>10</v>
      </c>
      <c r="N12" s="601">
        <f>GETPIVOTDATA("Sum of 2021-22",AuditsPivot!$B$4,"PremisesType",$A12)</f>
        <v>10</v>
      </c>
      <c r="O12" s="601">
        <f>GETPIVOTDATA("Sum of 2022-23",AuditsPivot!$B$4,"PremisesType",$A12)</f>
        <v>25</v>
      </c>
      <c r="P12" s="601">
        <f>GETPIVOTDATA("Sum of 2023-24",AuditsPivot!$B$4,"PremisesType",$A12)</f>
        <v>11</v>
      </c>
      <c r="Q12" s="601">
        <f>GETPIVOTDATA("Sum of 2024-25",AuditsPivot!$B$4,"PremisesType",$A12)</f>
        <v>21</v>
      </c>
      <c r="R12" s="601">
        <f>GETPIVOTDATA("Sum of 2025-26",AuditsPivot!$B$4,"PremisesType",$A12)</f>
        <v>23</v>
      </c>
    </row>
    <row r="13" spans="1:18" x14ac:dyDescent="0.3">
      <c r="A13" s="312" t="s">
        <v>1144</v>
      </c>
      <c r="B13" s="601">
        <f>GETPIVOTDATA("Sum of 2009-10",AuditsPivot!$B$4,"PremisesType",$A13)</f>
        <v>0</v>
      </c>
      <c r="C13" s="601">
        <f>GETPIVOTDATA("Sum of 2010-11",AuditsPivot!$B$4,"PremisesType",$A13)</f>
        <v>0</v>
      </c>
      <c r="D13" s="601">
        <f>GETPIVOTDATA("Sum of 2011-12",AuditsPivot!$B$4,"PremisesType",$A13)</f>
        <v>0</v>
      </c>
      <c r="E13" s="601">
        <f>GETPIVOTDATA("Sum of 2012-13",AuditsPivot!$B$4,"PremisesType",$A13)</f>
        <v>0</v>
      </c>
      <c r="F13" s="950">
        <f>GETPIVOTDATA("Sum of 2013-14",AuditsPivot!$B$4,"PremisesType",$A13)</f>
        <v>0</v>
      </c>
      <c r="G13" s="601">
        <f>GETPIVOTDATA("Sum of 2014-15",AuditsPivot!$B$4,"PremisesType",$A13)</f>
        <v>1947</v>
      </c>
      <c r="H13" s="601">
        <f>GETPIVOTDATA("Sum of 2015-16",AuditsPivot!$B$4,"PremisesType",$A13)</f>
        <v>3062</v>
      </c>
      <c r="I13" s="601">
        <f>GETPIVOTDATA("Sum of 2016-17",AuditsPivot!$B$4,"PremisesType",$A13)</f>
        <v>2650</v>
      </c>
      <c r="J13" s="601">
        <f>GETPIVOTDATA("Sum of 2017-18",AuditsPivot!$B$4,"PremisesType",$A13)</f>
        <v>2077</v>
      </c>
      <c r="K13" s="601">
        <f>GETPIVOTDATA("Sum of 2018-19",AuditsPivot!$B$4,"PremisesType",$A13)</f>
        <v>1862</v>
      </c>
      <c r="L13" s="601">
        <f>GETPIVOTDATA("Sum of 2019-20",AuditsPivot!$B$4,"PremisesType",$A13)</f>
        <v>1951</v>
      </c>
      <c r="M13" s="601">
        <f>GETPIVOTDATA("Sum of 2020-21",AuditsPivot!$B$4,"PremisesType",$A13)</f>
        <v>815</v>
      </c>
      <c r="N13" s="601">
        <f>GETPIVOTDATA("Sum of 2021-22",AuditsPivot!$B$4,"PremisesType",$A13)</f>
        <v>1984</v>
      </c>
      <c r="O13" s="601">
        <f>GETPIVOTDATA("Sum of 2022-23",AuditsPivot!$B$4,"PremisesType",$A13)</f>
        <v>1958</v>
      </c>
      <c r="P13" s="601">
        <f>GETPIVOTDATA("Sum of 2023-24",AuditsPivot!$B$4,"PremisesType",$A13)</f>
        <v>1827</v>
      </c>
      <c r="Q13" s="601">
        <f>GETPIVOTDATA("Sum of 2024-25",AuditsPivot!$B$4,"PremisesType",$A13)</f>
        <v>2400</v>
      </c>
      <c r="R13" s="601">
        <f>GETPIVOTDATA("Sum of 2025-26",AuditsPivot!$B$4,"PremisesType",$A13)</f>
        <v>2624</v>
      </c>
    </row>
    <row r="14" spans="1:18" x14ac:dyDescent="0.3">
      <c r="A14" s="312" t="s">
        <v>1145</v>
      </c>
      <c r="B14" s="601">
        <f>GETPIVOTDATA("Sum of 2009-10",AuditsPivot!$B$4,"PremisesType",$A14)</f>
        <v>136</v>
      </c>
      <c r="C14" s="601">
        <f>GETPIVOTDATA("Sum of 2010-11",AuditsPivot!$B$4,"PremisesType",$A14)</f>
        <v>236</v>
      </c>
      <c r="D14" s="601">
        <f>GETPIVOTDATA("Sum of 2011-12",AuditsPivot!$B$4,"PremisesType",$A14)</f>
        <v>197</v>
      </c>
      <c r="E14" s="601">
        <f>GETPIVOTDATA("Sum of 2012-13",AuditsPivot!$B$4,"PremisesType",$A14)</f>
        <v>217</v>
      </c>
      <c r="F14" s="950">
        <f>GETPIVOTDATA("Sum of 2013-14",AuditsPivot!$B$4,"PremisesType",$A14)</f>
        <v>0</v>
      </c>
      <c r="G14" s="601">
        <f>GETPIVOTDATA("Sum of 2014-15",AuditsPivot!$B$4,"PremisesType",$A14)</f>
        <v>334</v>
      </c>
      <c r="H14" s="601">
        <f>GETPIVOTDATA("Sum of 2015-16",AuditsPivot!$B$4,"PremisesType",$A14)</f>
        <v>451</v>
      </c>
      <c r="I14" s="601">
        <f>GETPIVOTDATA("Sum of 2016-17",AuditsPivot!$B$4,"PremisesType",$A14)</f>
        <v>396</v>
      </c>
      <c r="J14" s="601">
        <f>GETPIVOTDATA("Sum of 2017-18",AuditsPivot!$B$4,"PremisesType",$A14)</f>
        <v>367</v>
      </c>
      <c r="K14" s="601">
        <f>GETPIVOTDATA("Sum of 2018-19",AuditsPivot!$B$4,"PremisesType",$A14)</f>
        <v>471</v>
      </c>
      <c r="L14" s="601">
        <f>GETPIVOTDATA("Sum of 2019-20",AuditsPivot!$B$4,"PremisesType",$A14)</f>
        <v>298</v>
      </c>
      <c r="M14" s="601">
        <f>GETPIVOTDATA("Sum of 2020-21",AuditsPivot!$B$4,"PremisesType",$A14)</f>
        <v>218</v>
      </c>
      <c r="N14" s="601">
        <f>GETPIVOTDATA("Sum of 2021-22",AuditsPivot!$B$4,"PremisesType",$A14)</f>
        <v>238</v>
      </c>
      <c r="O14" s="601">
        <f>GETPIVOTDATA("Sum of 2022-23",AuditsPivot!$B$4,"PremisesType",$A14)</f>
        <v>288</v>
      </c>
      <c r="P14" s="601">
        <f>GETPIVOTDATA("Sum of 2023-24",AuditsPivot!$B$4,"PremisesType",$A14)</f>
        <v>287</v>
      </c>
      <c r="Q14" s="601">
        <f>GETPIVOTDATA("Sum of 2024-25",AuditsPivot!$B$4,"PremisesType",$A14)</f>
        <v>320</v>
      </c>
      <c r="R14" s="601">
        <f>GETPIVOTDATA("Sum of 2025-26",AuditsPivot!$B$4,"PremisesType",$A14)</f>
        <v>302</v>
      </c>
    </row>
    <row r="15" spans="1:18" x14ac:dyDescent="0.3">
      <c r="A15" s="312" t="s">
        <v>1146</v>
      </c>
      <c r="B15" s="601">
        <f>GETPIVOTDATA("Sum of 2009-10",AuditsPivot!$B$4,"PremisesType",$A15)</f>
        <v>137</v>
      </c>
      <c r="C15" s="601">
        <f>GETPIVOTDATA("Sum of 2010-11",AuditsPivot!$B$4,"PremisesType",$A15)</f>
        <v>126</v>
      </c>
      <c r="D15" s="601">
        <f>GETPIVOTDATA("Sum of 2011-12",AuditsPivot!$B$4,"PremisesType",$A15)</f>
        <v>138</v>
      </c>
      <c r="E15" s="601">
        <f>GETPIVOTDATA("Sum of 2012-13",AuditsPivot!$B$4,"PremisesType",$A15)</f>
        <v>296</v>
      </c>
      <c r="F15" s="950">
        <f>GETPIVOTDATA("Sum of 2013-14",AuditsPivot!$B$4,"PremisesType",$A15)</f>
        <v>0</v>
      </c>
      <c r="G15" s="601">
        <f>GETPIVOTDATA("Sum of 2014-15",AuditsPivot!$B$4,"PremisesType",$A15)</f>
        <v>138</v>
      </c>
      <c r="H15" s="601">
        <f>GETPIVOTDATA("Sum of 2015-16",AuditsPivot!$B$4,"PremisesType",$A15)</f>
        <v>119</v>
      </c>
      <c r="I15" s="601">
        <f>GETPIVOTDATA("Sum of 2016-17",AuditsPivot!$B$4,"PremisesType",$A15)</f>
        <v>128</v>
      </c>
      <c r="J15" s="601">
        <f>GETPIVOTDATA("Sum of 2017-18",AuditsPivot!$B$4,"PremisesType",$A15)</f>
        <v>104</v>
      </c>
      <c r="K15" s="601">
        <f>GETPIVOTDATA("Sum of 2018-19",AuditsPivot!$B$4,"PremisesType",$A15)</f>
        <v>88</v>
      </c>
      <c r="L15" s="601">
        <f>GETPIVOTDATA("Sum of 2019-20",AuditsPivot!$B$4,"PremisesType",$A15)</f>
        <v>71</v>
      </c>
      <c r="M15" s="601">
        <f>GETPIVOTDATA("Sum of 2020-21",AuditsPivot!$B$4,"PremisesType",$A15)</f>
        <v>39</v>
      </c>
      <c r="N15" s="601">
        <f>GETPIVOTDATA("Sum of 2021-22",AuditsPivot!$B$4,"PremisesType",$A15)</f>
        <v>24</v>
      </c>
      <c r="O15" s="601">
        <f>GETPIVOTDATA("Sum of 2022-23",AuditsPivot!$B$4,"PremisesType",$A15)</f>
        <v>60</v>
      </c>
      <c r="P15" s="601">
        <f>GETPIVOTDATA("Sum of 2023-24",AuditsPivot!$B$4,"PremisesType",$A15)</f>
        <v>51</v>
      </c>
      <c r="Q15" s="601">
        <f>GETPIVOTDATA("Sum of 2024-25",AuditsPivot!$B$4,"PremisesType",$A15)</f>
        <v>59</v>
      </c>
      <c r="R15" s="601">
        <f>GETPIVOTDATA("Sum of 2025-26",AuditsPivot!$B$4,"PremisesType",$A15)</f>
        <v>89</v>
      </c>
    </row>
    <row r="16" spans="1:18" x14ac:dyDescent="0.3">
      <c r="A16" s="312" t="s">
        <v>1147</v>
      </c>
      <c r="B16" s="601">
        <f>GETPIVOTDATA("Sum of 2009-10",AuditsPivot!$B$4,"PremisesType",$A16)</f>
        <v>1117</v>
      </c>
      <c r="C16" s="601">
        <f>GETPIVOTDATA("Sum of 2010-11",AuditsPivot!$B$4,"PremisesType",$A16)</f>
        <v>1077</v>
      </c>
      <c r="D16" s="601">
        <f>GETPIVOTDATA("Sum of 2011-12",AuditsPivot!$B$4,"PremisesType",$A16)</f>
        <v>1081</v>
      </c>
      <c r="E16" s="601">
        <f>GETPIVOTDATA("Sum of 2012-13",AuditsPivot!$B$4,"PremisesType",$A16)</f>
        <v>1761</v>
      </c>
      <c r="F16" s="950">
        <f>GETPIVOTDATA("Sum of 2013-14",AuditsPivot!$B$4,"PremisesType",$A16)</f>
        <v>0</v>
      </c>
      <c r="G16" s="601">
        <f>GETPIVOTDATA("Sum of 2014-15",AuditsPivot!$B$4,"PremisesType",$A16)</f>
        <v>1109</v>
      </c>
      <c r="H16" s="601">
        <f>GETPIVOTDATA("Sum of 2015-16",AuditsPivot!$B$4,"PremisesType",$A16)</f>
        <v>1263</v>
      </c>
      <c r="I16" s="601">
        <f>GETPIVOTDATA("Sum of 2016-17",AuditsPivot!$B$4,"PremisesType",$A16)</f>
        <v>1138</v>
      </c>
      <c r="J16" s="601">
        <f>GETPIVOTDATA("Sum of 2017-18",AuditsPivot!$B$4,"PremisesType",$A16)</f>
        <v>1167</v>
      </c>
      <c r="K16" s="601">
        <f>GETPIVOTDATA("Sum of 2018-19",AuditsPivot!$B$4,"PremisesType",$A16)</f>
        <v>1030</v>
      </c>
      <c r="L16" s="601">
        <f>GETPIVOTDATA("Sum of 2019-20",AuditsPivot!$B$4,"PremisesType",$A16)</f>
        <v>1081</v>
      </c>
      <c r="M16" s="601">
        <f>GETPIVOTDATA("Sum of 2020-21",AuditsPivot!$B$4,"PremisesType",$A16)</f>
        <v>238</v>
      </c>
      <c r="N16" s="601">
        <f>GETPIVOTDATA("Sum of 2021-22",AuditsPivot!$B$4,"PremisesType",$A16)</f>
        <v>656</v>
      </c>
      <c r="O16" s="601">
        <f>GETPIVOTDATA("Sum of 2022-23",AuditsPivot!$B$4,"PremisesType",$A16)</f>
        <v>898</v>
      </c>
      <c r="P16" s="601">
        <f>GETPIVOTDATA("Sum of 2023-24",AuditsPivot!$B$4,"PremisesType",$A16)</f>
        <v>1110</v>
      </c>
      <c r="Q16" s="601">
        <f>GETPIVOTDATA("Sum of 2024-25",AuditsPivot!$B$4,"PremisesType",$A16)</f>
        <v>1000</v>
      </c>
      <c r="R16" s="601">
        <f>GETPIVOTDATA("Sum of 2025-26",AuditsPivot!$B$4,"PremisesType",$A16)</f>
        <v>925</v>
      </c>
    </row>
    <row r="17" spans="1:18" x14ac:dyDescent="0.3">
      <c r="A17" s="312" t="s">
        <v>1148</v>
      </c>
      <c r="B17" s="601">
        <f>GETPIVOTDATA("Sum of 2009-10",AuditsPivot!$B$4,"PremisesType",$A17)</f>
        <v>794</v>
      </c>
      <c r="C17" s="601">
        <f>GETPIVOTDATA("Sum of 2010-11",AuditsPivot!$B$4,"PremisesType",$A17)</f>
        <v>1016</v>
      </c>
      <c r="D17" s="601">
        <f>GETPIVOTDATA("Sum of 2011-12",AuditsPivot!$B$4,"PremisesType",$A17)</f>
        <v>1014</v>
      </c>
      <c r="E17" s="601">
        <f>GETPIVOTDATA("Sum of 2012-13",AuditsPivot!$B$4,"PremisesType",$A17)</f>
        <v>670</v>
      </c>
      <c r="F17" s="950">
        <f>GETPIVOTDATA("Sum of 2013-14",AuditsPivot!$B$4,"PremisesType",$A17)</f>
        <v>0</v>
      </c>
      <c r="G17" s="601">
        <f>GETPIVOTDATA("Sum of 2014-15",AuditsPivot!$B$4,"PremisesType",$A17)</f>
        <v>596</v>
      </c>
      <c r="H17" s="601">
        <f>GETPIVOTDATA("Sum of 2015-16",AuditsPivot!$B$4,"PremisesType",$A17)</f>
        <v>494</v>
      </c>
      <c r="I17" s="601">
        <f>GETPIVOTDATA("Sum of 2016-17",AuditsPivot!$B$4,"PremisesType",$A17)</f>
        <v>482</v>
      </c>
      <c r="J17" s="601">
        <f>GETPIVOTDATA("Sum of 2017-18",AuditsPivot!$B$4,"PremisesType",$A17)</f>
        <v>332</v>
      </c>
      <c r="K17" s="601">
        <f>GETPIVOTDATA("Sum of 2018-19",AuditsPivot!$B$4,"PremisesType",$A17)</f>
        <v>374</v>
      </c>
      <c r="L17" s="601">
        <f>GETPIVOTDATA("Sum of 2019-20",AuditsPivot!$B$4,"PremisesType",$A17)</f>
        <v>289</v>
      </c>
      <c r="M17" s="601">
        <f>GETPIVOTDATA("Sum of 2020-21",AuditsPivot!$B$4,"PremisesType",$A17)</f>
        <v>73</v>
      </c>
      <c r="N17" s="601">
        <f>GETPIVOTDATA("Sum of 2021-22",AuditsPivot!$B$4,"PremisesType",$A17)</f>
        <v>132</v>
      </c>
      <c r="O17" s="601">
        <f>GETPIVOTDATA("Sum of 2022-23",AuditsPivot!$B$4,"PremisesType",$A17)</f>
        <v>195</v>
      </c>
      <c r="P17" s="601">
        <f>GETPIVOTDATA("Sum of 2023-24",AuditsPivot!$B$4,"PremisesType",$A17)</f>
        <v>205</v>
      </c>
      <c r="Q17" s="601">
        <f>GETPIVOTDATA("Sum of 2024-25",AuditsPivot!$B$4,"PremisesType",$A17)</f>
        <v>313</v>
      </c>
      <c r="R17" s="601">
        <f>GETPIVOTDATA("Sum of 2025-26",AuditsPivot!$B$4,"PremisesType",$A17)</f>
        <v>326</v>
      </c>
    </row>
    <row r="18" spans="1:18" x14ac:dyDescent="0.3">
      <c r="A18" s="312" t="s">
        <v>1149</v>
      </c>
      <c r="B18" s="601">
        <f>GETPIVOTDATA("Sum of 2009-10",AuditsPivot!$B$4,"PremisesType",$A18)</f>
        <v>311</v>
      </c>
      <c r="C18" s="601">
        <f>GETPIVOTDATA("Sum of 2010-11",AuditsPivot!$B$4,"PremisesType",$A18)</f>
        <v>405</v>
      </c>
      <c r="D18" s="601">
        <f>GETPIVOTDATA("Sum of 2011-12",AuditsPivot!$B$4,"PremisesType",$A18)</f>
        <v>483</v>
      </c>
      <c r="E18" s="601">
        <f>GETPIVOTDATA("Sum of 2012-13",AuditsPivot!$B$4,"PremisesType",$A18)</f>
        <v>389</v>
      </c>
      <c r="F18" s="950">
        <f>GETPIVOTDATA("Sum of 2013-14",AuditsPivot!$B$4,"PremisesType",$A18)</f>
        <v>0</v>
      </c>
      <c r="G18" s="601">
        <f>GETPIVOTDATA("Sum of 2014-15",AuditsPivot!$B$4,"PremisesType",$A18)</f>
        <v>344</v>
      </c>
      <c r="H18" s="601">
        <f>GETPIVOTDATA("Sum of 2015-16",AuditsPivot!$B$4,"PremisesType",$A18)</f>
        <v>379</v>
      </c>
      <c r="I18" s="601">
        <f>GETPIVOTDATA("Sum of 2016-17",AuditsPivot!$B$4,"PremisesType",$A18)</f>
        <v>275</v>
      </c>
      <c r="J18" s="601">
        <f>GETPIVOTDATA("Sum of 2017-18",AuditsPivot!$B$4,"PremisesType",$A18)</f>
        <v>220</v>
      </c>
      <c r="K18" s="601">
        <f>GETPIVOTDATA("Sum of 2018-19",AuditsPivot!$B$4,"PremisesType",$A18)</f>
        <v>267</v>
      </c>
      <c r="L18" s="601">
        <f>GETPIVOTDATA("Sum of 2019-20",AuditsPivot!$B$4,"PremisesType",$A18)</f>
        <v>285</v>
      </c>
      <c r="M18" s="601">
        <f>GETPIVOTDATA("Sum of 2020-21",AuditsPivot!$B$4,"PremisesType",$A18)</f>
        <v>63</v>
      </c>
      <c r="N18" s="601">
        <f>GETPIVOTDATA("Sum of 2021-22",AuditsPivot!$B$4,"PremisesType",$A18)</f>
        <v>110</v>
      </c>
      <c r="O18" s="601">
        <f>GETPIVOTDATA("Sum of 2022-23",AuditsPivot!$B$4,"PremisesType",$A18)</f>
        <v>110</v>
      </c>
      <c r="P18" s="601">
        <f>GETPIVOTDATA("Sum of 2023-24",AuditsPivot!$B$4,"PremisesType",$A18)</f>
        <v>249</v>
      </c>
      <c r="Q18" s="601">
        <f>GETPIVOTDATA("Sum of 2024-25",AuditsPivot!$B$4,"PremisesType",$A18)</f>
        <v>212</v>
      </c>
      <c r="R18" s="601">
        <f>GETPIVOTDATA("Sum of 2025-26",AuditsPivot!$B$4,"PremisesType",$A18)</f>
        <v>210</v>
      </c>
    </row>
    <row r="19" spans="1:18" x14ac:dyDescent="0.3">
      <c r="A19" s="312" t="s">
        <v>1150</v>
      </c>
      <c r="B19" s="601">
        <f>GETPIVOTDATA("Sum of 2009-10",AuditsPivot!$B$4,"PremisesType",$A19)</f>
        <v>287</v>
      </c>
      <c r="C19" s="601">
        <f>GETPIVOTDATA("Sum of 2010-11",AuditsPivot!$B$4,"PremisesType",$A19)</f>
        <v>328</v>
      </c>
      <c r="D19" s="601">
        <f>GETPIVOTDATA("Sum of 2011-12",AuditsPivot!$B$4,"PremisesType",$A19)</f>
        <v>260</v>
      </c>
      <c r="E19" s="601">
        <f>GETPIVOTDATA("Sum of 2012-13",AuditsPivot!$B$4,"PremisesType",$A19)</f>
        <v>399</v>
      </c>
      <c r="F19" s="950">
        <f>GETPIVOTDATA("Sum of 2013-14",AuditsPivot!$B$4,"PremisesType",$A19)</f>
        <v>0</v>
      </c>
      <c r="G19" s="601">
        <f>GETPIVOTDATA("Sum of 2014-15",AuditsPivot!$B$4,"PremisesType",$A19)</f>
        <v>356</v>
      </c>
      <c r="H19" s="601">
        <f>GETPIVOTDATA("Sum of 2015-16",AuditsPivot!$B$4,"PremisesType",$A19)</f>
        <v>320</v>
      </c>
      <c r="I19" s="601">
        <f>GETPIVOTDATA("Sum of 2016-17",AuditsPivot!$B$4,"PremisesType",$A19)</f>
        <v>235</v>
      </c>
      <c r="J19" s="601">
        <f>GETPIVOTDATA("Sum of 2017-18",AuditsPivot!$B$4,"PremisesType",$A19)</f>
        <v>240</v>
      </c>
      <c r="K19" s="601">
        <f>GETPIVOTDATA("Sum of 2018-19",AuditsPivot!$B$4,"PremisesType",$A19)</f>
        <v>283</v>
      </c>
      <c r="L19" s="601">
        <f>GETPIVOTDATA("Sum of 2019-20",AuditsPivot!$B$4,"PremisesType",$A19)</f>
        <v>279</v>
      </c>
      <c r="M19" s="601">
        <f>GETPIVOTDATA("Sum of 2020-21",AuditsPivot!$B$4,"PremisesType",$A19)</f>
        <v>66</v>
      </c>
      <c r="N19" s="601">
        <f>GETPIVOTDATA("Sum of 2021-22",AuditsPivot!$B$4,"PremisesType",$A19)</f>
        <v>176</v>
      </c>
      <c r="O19" s="601">
        <f>GETPIVOTDATA("Sum of 2022-23",AuditsPivot!$B$4,"PremisesType",$A19)</f>
        <v>168</v>
      </c>
      <c r="P19" s="601">
        <f>GETPIVOTDATA("Sum of 2023-24",AuditsPivot!$B$4,"PremisesType",$A19)</f>
        <v>172</v>
      </c>
      <c r="Q19" s="601">
        <f>GETPIVOTDATA("Sum of 2024-25",AuditsPivot!$B$4,"PremisesType",$A19)</f>
        <v>209</v>
      </c>
      <c r="R19" s="601">
        <f>GETPIVOTDATA("Sum of 2025-26",AuditsPivot!$B$4,"PremisesType",$A19)</f>
        <v>159</v>
      </c>
    </row>
    <row r="20" spans="1:18" x14ac:dyDescent="0.3">
      <c r="A20" s="312" t="s">
        <v>1151</v>
      </c>
      <c r="B20" s="601">
        <f>GETPIVOTDATA("Sum of 2009-10",AuditsPivot!$B$4,"PremisesType",$A20)</f>
        <v>284</v>
      </c>
      <c r="C20" s="601">
        <f>GETPIVOTDATA("Sum of 2010-11",AuditsPivot!$B$4,"PremisesType",$A20)</f>
        <v>395</v>
      </c>
      <c r="D20" s="601">
        <f>GETPIVOTDATA("Sum of 2011-12",AuditsPivot!$B$4,"PremisesType",$A20)</f>
        <v>430</v>
      </c>
      <c r="E20" s="601">
        <f>GETPIVOTDATA("Sum of 2012-13",AuditsPivot!$B$4,"PremisesType",$A20)</f>
        <v>415</v>
      </c>
      <c r="F20" s="950">
        <f>GETPIVOTDATA("Sum of 2013-14",AuditsPivot!$B$4,"PremisesType",$A20)</f>
        <v>0</v>
      </c>
      <c r="G20" s="601">
        <f>GETPIVOTDATA("Sum of 2014-15",AuditsPivot!$B$4,"PremisesType",$A20)</f>
        <v>251</v>
      </c>
      <c r="H20" s="601">
        <f>GETPIVOTDATA("Sum of 2015-16",AuditsPivot!$B$4,"PremisesType",$A20)</f>
        <v>351</v>
      </c>
      <c r="I20" s="601">
        <f>GETPIVOTDATA("Sum of 2016-17",AuditsPivot!$B$4,"PremisesType",$A20)</f>
        <v>371</v>
      </c>
      <c r="J20" s="601">
        <f>GETPIVOTDATA("Sum of 2017-18",AuditsPivot!$B$4,"PremisesType",$A20)</f>
        <v>408</v>
      </c>
      <c r="K20" s="601">
        <f>GETPIVOTDATA("Sum of 2018-19",AuditsPivot!$B$4,"PremisesType",$A20)</f>
        <v>323</v>
      </c>
      <c r="L20" s="601">
        <f>GETPIVOTDATA("Sum of 2019-20",AuditsPivot!$B$4,"PremisesType",$A20)</f>
        <v>470</v>
      </c>
      <c r="M20" s="601">
        <f>GETPIVOTDATA("Sum of 2020-21",AuditsPivot!$B$4,"PremisesType",$A20)</f>
        <v>119</v>
      </c>
      <c r="N20" s="601">
        <f>GETPIVOTDATA("Sum of 2021-22",AuditsPivot!$B$4,"PremisesType",$A20)</f>
        <v>290</v>
      </c>
      <c r="O20" s="601">
        <f>GETPIVOTDATA("Sum of 2022-23",AuditsPivot!$B$4,"PremisesType",$A20)</f>
        <v>547</v>
      </c>
      <c r="P20" s="601">
        <f>GETPIVOTDATA("Sum of 2023-24",AuditsPivot!$B$4,"PremisesType",$A20)</f>
        <v>1256</v>
      </c>
      <c r="Q20" s="601">
        <f>GETPIVOTDATA("Sum of 2024-25",AuditsPivot!$B$4,"PremisesType",$A20)</f>
        <v>1572</v>
      </c>
      <c r="R20" s="601">
        <f>GETPIVOTDATA("Sum of 2025-26",AuditsPivot!$B$4,"PremisesType",$A20)</f>
        <v>1244</v>
      </c>
    </row>
    <row r="21" spans="1:18" x14ac:dyDescent="0.3">
      <c r="A21" s="312" t="s">
        <v>1152</v>
      </c>
      <c r="B21" s="601">
        <f>GETPIVOTDATA("Sum of 2009-10",AuditsPivot!$B$4,"PremisesType",$A21)</f>
        <v>154</v>
      </c>
      <c r="C21" s="601">
        <f>GETPIVOTDATA("Sum of 2010-11",AuditsPivot!$B$4,"PremisesType",$A21)</f>
        <v>176</v>
      </c>
      <c r="D21" s="601">
        <f>GETPIVOTDATA("Sum of 2011-12",AuditsPivot!$B$4,"PremisesType",$A21)</f>
        <v>342</v>
      </c>
      <c r="E21" s="601">
        <f>GETPIVOTDATA("Sum of 2012-13",AuditsPivot!$B$4,"PremisesType",$A21)</f>
        <v>340</v>
      </c>
      <c r="F21" s="950">
        <f>GETPIVOTDATA("Sum of 2013-14",AuditsPivot!$B$4,"PremisesType",$A21)</f>
        <v>0</v>
      </c>
      <c r="G21" s="601">
        <f>GETPIVOTDATA("Sum of 2014-15",AuditsPivot!$B$4,"PremisesType",$A21)</f>
        <v>174</v>
      </c>
      <c r="H21" s="601">
        <f>GETPIVOTDATA("Sum of 2015-16",AuditsPivot!$B$4,"PremisesType",$A21)</f>
        <v>198</v>
      </c>
      <c r="I21" s="601">
        <f>GETPIVOTDATA("Sum of 2016-17",AuditsPivot!$B$4,"PremisesType",$A21)</f>
        <v>243</v>
      </c>
      <c r="J21" s="601">
        <f>GETPIVOTDATA("Sum of 2017-18",AuditsPivot!$B$4,"PremisesType",$A21)</f>
        <v>113</v>
      </c>
      <c r="K21" s="601">
        <f>GETPIVOTDATA("Sum of 2018-19",AuditsPivot!$B$4,"PremisesType",$A21)</f>
        <v>189</v>
      </c>
      <c r="L21" s="601">
        <f>GETPIVOTDATA("Sum of 2019-20",AuditsPivot!$B$4,"PremisesType",$A21)</f>
        <v>117</v>
      </c>
      <c r="M21" s="601">
        <f>GETPIVOTDATA("Sum of 2020-21",AuditsPivot!$B$4,"PremisesType",$A21)</f>
        <v>50</v>
      </c>
      <c r="N21" s="601">
        <f>GETPIVOTDATA("Sum of 2021-22",AuditsPivot!$B$4,"PremisesType",$A21)</f>
        <v>100</v>
      </c>
      <c r="O21" s="601">
        <f>GETPIVOTDATA("Sum of 2022-23",AuditsPivot!$B$4,"PremisesType",$A21)</f>
        <v>104</v>
      </c>
      <c r="P21" s="601">
        <f>GETPIVOTDATA("Sum of 2023-24",AuditsPivot!$B$4,"PremisesType",$A21)</f>
        <v>169</v>
      </c>
      <c r="Q21" s="601">
        <f>GETPIVOTDATA("Sum of 2024-25",AuditsPivot!$B$4,"PremisesType",$A21)</f>
        <v>129</v>
      </c>
      <c r="R21" s="601">
        <f>GETPIVOTDATA("Sum of 2025-26",AuditsPivot!$B$4,"PremisesType",$A21)</f>
        <v>152</v>
      </c>
    </row>
    <row r="22" spans="1:18" x14ac:dyDescent="0.3">
      <c r="A22" s="312" t="s">
        <v>1153</v>
      </c>
      <c r="B22" s="601">
        <f>GETPIVOTDATA("Sum of 2009-10",AuditsPivot!$B$4,"PremisesType",$A22)</f>
        <v>68</v>
      </c>
      <c r="C22" s="601">
        <f>GETPIVOTDATA("Sum of 2010-11",AuditsPivot!$B$4,"PremisesType",$A22)</f>
        <v>74</v>
      </c>
      <c r="D22" s="601">
        <f>GETPIVOTDATA("Sum of 2011-12",AuditsPivot!$B$4,"PremisesType",$A22)</f>
        <v>77</v>
      </c>
      <c r="E22" s="601">
        <f>GETPIVOTDATA("Sum of 2012-13",AuditsPivot!$B$4,"PremisesType",$A22)</f>
        <v>58</v>
      </c>
      <c r="F22" s="950">
        <f>GETPIVOTDATA("Sum of 2013-14",AuditsPivot!$B$4,"PremisesType",$A22)</f>
        <v>0</v>
      </c>
      <c r="G22" s="601">
        <f>GETPIVOTDATA("Sum of 2014-15",AuditsPivot!$B$4,"PremisesType",$A22)</f>
        <v>68</v>
      </c>
      <c r="H22" s="601">
        <f>GETPIVOTDATA("Sum of 2015-16",AuditsPivot!$B$4,"PremisesType",$A22)</f>
        <v>49</v>
      </c>
      <c r="I22" s="601">
        <f>GETPIVOTDATA("Sum of 2016-17",AuditsPivot!$B$4,"PremisesType",$A22)</f>
        <v>66</v>
      </c>
      <c r="J22" s="601">
        <f>GETPIVOTDATA("Sum of 2017-18",AuditsPivot!$B$4,"PremisesType",$A22)</f>
        <v>59</v>
      </c>
      <c r="K22" s="601">
        <f>GETPIVOTDATA("Sum of 2018-19",AuditsPivot!$B$4,"PremisesType",$A22)</f>
        <v>60</v>
      </c>
      <c r="L22" s="601">
        <f>GETPIVOTDATA("Sum of 2019-20",AuditsPivot!$B$4,"PremisesType",$A22)</f>
        <v>39</v>
      </c>
      <c r="M22" s="601">
        <f>GETPIVOTDATA("Sum of 2020-21",AuditsPivot!$B$4,"PremisesType",$A22)</f>
        <v>6</v>
      </c>
      <c r="N22" s="601">
        <f>GETPIVOTDATA("Sum of 2021-22",AuditsPivot!$B$4,"PremisesType",$A22)</f>
        <v>21</v>
      </c>
      <c r="O22" s="601">
        <f>GETPIVOTDATA("Sum of 2022-23",AuditsPivot!$B$4,"PremisesType",$A22)</f>
        <v>20</v>
      </c>
      <c r="P22" s="601">
        <f>GETPIVOTDATA("Sum of 2023-24",AuditsPivot!$B$4,"PremisesType",$A22)</f>
        <v>25</v>
      </c>
      <c r="Q22" s="601">
        <f>GETPIVOTDATA("Sum of 2024-25",AuditsPivot!$B$4,"PremisesType",$A22)</f>
        <v>37</v>
      </c>
      <c r="R22" s="601">
        <f>GETPIVOTDATA("Sum of 2025-26",AuditsPivot!$B$4,"PremisesType",$A22)</f>
        <v>36</v>
      </c>
    </row>
    <row r="23" spans="1:18" x14ac:dyDescent="0.3">
      <c r="A23" s="312" t="s">
        <v>1154</v>
      </c>
      <c r="B23" s="601">
        <f>GETPIVOTDATA("Sum of 2009-10",AuditsPivot!$B$4,"PremisesType",$A23)</f>
        <v>433</v>
      </c>
      <c r="C23" s="601">
        <f>GETPIVOTDATA("Sum of 2010-11",AuditsPivot!$B$4,"PremisesType",$A23)</f>
        <v>264</v>
      </c>
      <c r="D23" s="601">
        <f>GETPIVOTDATA("Sum of 2011-12",AuditsPivot!$B$4,"PremisesType",$A23)</f>
        <v>291</v>
      </c>
      <c r="E23" s="601">
        <f>GETPIVOTDATA("Sum of 2012-13",AuditsPivot!$B$4,"PremisesType",$A23)</f>
        <v>231</v>
      </c>
      <c r="F23" s="950">
        <f>GETPIVOTDATA("Sum of 2013-14",AuditsPivot!$B$4,"PremisesType",$A23)</f>
        <v>0</v>
      </c>
      <c r="G23" s="601">
        <f>GETPIVOTDATA("Sum of 2014-15",AuditsPivot!$B$4,"PremisesType",$A23)</f>
        <v>260</v>
      </c>
      <c r="H23" s="601">
        <f>GETPIVOTDATA("Sum of 2015-16",AuditsPivot!$B$4,"PremisesType",$A23)</f>
        <v>228</v>
      </c>
      <c r="I23" s="601">
        <f>GETPIVOTDATA("Sum of 2016-17",AuditsPivot!$B$4,"PremisesType",$A23)</f>
        <v>363</v>
      </c>
      <c r="J23" s="601">
        <f>GETPIVOTDATA("Sum of 2017-18",AuditsPivot!$B$4,"PremisesType",$A23)</f>
        <v>268</v>
      </c>
      <c r="K23" s="601">
        <f>GETPIVOTDATA("Sum of 2018-19",AuditsPivot!$B$4,"PremisesType",$A23)</f>
        <v>470</v>
      </c>
      <c r="L23" s="601">
        <f>GETPIVOTDATA("Sum of 2019-20",AuditsPivot!$B$4,"PremisesType",$A23)</f>
        <v>271</v>
      </c>
      <c r="M23" s="601">
        <f>GETPIVOTDATA("Sum of 2020-21",AuditsPivot!$B$4,"PremisesType",$A23)</f>
        <v>69</v>
      </c>
      <c r="N23" s="601">
        <f>GETPIVOTDATA("Sum of 2021-22",AuditsPivot!$B$4,"PremisesType",$A23)</f>
        <v>179</v>
      </c>
      <c r="O23" s="601">
        <f>GETPIVOTDATA("Sum of 2022-23",AuditsPivot!$B$4,"PremisesType",$A23)</f>
        <v>219</v>
      </c>
      <c r="P23" s="601">
        <f>GETPIVOTDATA("Sum of 2023-24",AuditsPivot!$B$4,"PremisesType",$A23)</f>
        <v>159</v>
      </c>
      <c r="Q23" s="601">
        <f>GETPIVOTDATA("Sum of 2024-25",AuditsPivot!$B$4,"PremisesType",$A23)</f>
        <v>294</v>
      </c>
      <c r="R23" s="601">
        <f>GETPIVOTDATA("Sum of 2025-26",AuditsPivot!$B$4,"PremisesType",$A23)</f>
        <v>312</v>
      </c>
    </row>
    <row r="24" spans="1:18" x14ac:dyDescent="0.3">
      <c r="A24" s="312" t="s">
        <v>1155</v>
      </c>
      <c r="B24" s="601">
        <f>GETPIVOTDATA("Sum of 2009-10",AuditsPivot!$B$4,"PremisesType",$A24)</f>
        <v>1038</v>
      </c>
      <c r="C24" s="601">
        <f>GETPIVOTDATA("Sum of 2010-11",AuditsPivot!$B$4,"PremisesType",$A24)</f>
        <v>1082</v>
      </c>
      <c r="D24" s="601">
        <f>GETPIVOTDATA("Sum of 2011-12",AuditsPivot!$B$4,"PremisesType",$A24)</f>
        <v>1619</v>
      </c>
      <c r="E24" s="601">
        <f>GETPIVOTDATA("Sum of 2012-13",AuditsPivot!$B$4,"PremisesType",$A24)</f>
        <v>1294</v>
      </c>
      <c r="F24" s="950">
        <f>GETPIVOTDATA("Sum of 2013-14",AuditsPivot!$B$4,"PremisesType",$A24)</f>
        <v>0</v>
      </c>
      <c r="G24" s="601">
        <f>GETPIVOTDATA("Sum of 2014-15",AuditsPivot!$B$4,"PremisesType",$A24)</f>
        <v>683</v>
      </c>
      <c r="H24" s="601">
        <f>GETPIVOTDATA("Sum of 2015-16",AuditsPivot!$B$4,"PremisesType",$A24)</f>
        <v>639</v>
      </c>
      <c r="I24" s="601">
        <f>GETPIVOTDATA("Sum of 2016-17",AuditsPivot!$B$4,"PremisesType",$A24)</f>
        <v>523</v>
      </c>
      <c r="J24" s="601">
        <f>GETPIVOTDATA("Sum of 2017-18",AuditsPivot!$B$4,"PremisesType",$A24)</f>
        <v>362</v>
      </c>
      <c r="K24" s="601">
        <f>GETPIVOTDATA("Sum of 2018-19",AuditsPivot!$B$4,"PremisesType",$A24)</f>
        <v>382</v>
      </c>
      <c r="L24" s="601">
        <f>GETPIVOTDATA("Sum of 2019-20",AuditsPivot!$B$4,"PremisesType",$A24)</f>
        <v>358</v>
      </c>
      <c r="M24" s="601">
        <f>GETPIVOTDATA("Sum of 2020-21",AuditsPivot!$B$4,"PremisesType",$A24)</f>
        <v>126</v>
      </c>
      <c r="N24" s="601">
        <f>GETPIVOTDATA("Sum of 2021-22",AuditsPivot!$B$4,"PremisesType",$A24)</f>
        <v>193</v>
      </c>
      <c r="O24" s="601">
        <f>GETPIVOTDATA("Sum of 2022-23",AuditsPivot!$B$4,"PremisesType",$A24)</f>
        <v>342</v>
      </c>
      <c r="P24" s="601">
        <f>GETPIVOTDATA("Sum of 2023-24",AuditsPivot!$B$4,"PremisesType",$A24)</f>
        <v>301</v>
      </c>
      <c r="Q24" s="601">
        <f>GETPIVOTDATA("Sum of 2024-25",AuditsPivot!$B$4,"PremisesType",$A24)</f>
        <v>349</v>
      </c>
      <c r="R24" s="601">
        <f>GETPIVOTDATA("Sum of 2025-26",AuditsPivot!$B$4,"PremisesType",$A24)</f>
        <v>280</v>
      </c>
    </row>
    <row r="25" spans="1:18" x14ac:dyDescent="0.3">
      <c r="F25" s="951"/>
    </row>
    <row r="26" spans="1:18" ht="18.600000000000001" customHeight="1" thickBot="1" x14ac:dyDescent="0.35">
      <c r="A26" s="955" t="s">
        <v>1175</v>
      </c>
      <c r="B26" s="237"/>
      <c r="C26" s="237"/>
      <c r="D26" s="237"/>
      <c r="E26" s="237"/>
      <c r="F26" s="952"/>
      <c r="G26" s="237">
        <f>SUM(G10:G24)-G13</f>
        <v>6259</v>
      </c>
      <c r="H26" s="237">
        <f t="shared" ref="H26:Q26" si="0">SUM(H10:H24)-H13</f>
        <v>6772</v>
      </c>
      <c r="I26" s="237">
        <f t="shared" si="0"/>
        <v>6289</v>
      </c>
      <c r="J26" s="237">
        <f t="shared" si="0"/>
        <v>5558</v>
      </c>
      <c r="K26" s="237">
        <f t="shared" si="0"/>
        <v>6010</v>
      </c>
      <c r="L26" s="237">
        <f t="shared" si="0"/>
        <v>5310</v>
      </c>
      <c r="M26" s="237">
        <f>SUM(M10:M24)-M13</f>
        <v>2504</v>
      </c>
      <c r="N26" s="237">
        <f t="shared" si="0"/>
        <v>3704</v>
      </c>
      <c r="O26" s="237">
        <f t="shared" si="0"/>
        <v>4754</v>
      </c>
      <c r="P26" s="237">
        <f t="shared" si="0"/>
        <v>5827</v>
      </c>
      <c r="Q26" s="237">
        <f t="shared" si="0"/>
        <v>6368</v>
      </c>
      <c r="R26" s="237">
        <f t="shared" ref="R26" si="1">SUM(R10:R24)-R13</f>
        <v>5840</v>
      </c>
    </row>
    <row r="27" spans="1:18" x14ac:dyDescent="0.3">
      <c r="A27" s="238"/>
      <c r="B27" s="140"/>
      <c r="C27" s="140"/>
      <c r="D27" s="140"/>
      <c r="E27" s="147"/>
      <c r="F27" s="953"/>
      <c r="G27" s="239"/>
      <c r="H27" s="239"/>
    </row>
    <row r="28" spans="1:18" ht="19.5" customHeight="1" thickBot="1" x14ac:dyDescent="0.35">
      <c r="A28" s="955" t="s">
        <v>1176</v>
      </c>
      <c r="B28" s="237"/>
      <c r="C28" s="237"/>
      <c r="D28" s="237"/>
      <c r="E28" s="237"/>
      <c r="F28" s="954"/>
      <c r="G28" s="237">
        <f>SUM(G10:G24)</f>
        <v>8206</v>
      </c>
      <c r="H28" s="237">
        <f t="shared" ref="H28:Q28" si="2">SUM(H10:H24)</f>
        <v>9834</v>
      </c>
      <c r="I28" s="237">
        <f t="shared" si="2"/>
        <v>8939</v>
      </c>
      <c r="J28" s="237">
        <f t="shared" si="2"/>
        <v>7635</v>
      </c>
      <c r="K28" s="237">
        <f t="shared" si="2"/>
        <v>7872</v>
      </c>
      <c r="L28" s="237">
        <f t="shared" si="2"/>
        <v>7261</v>
      </c>
      <c r="M28" s="237">
        <f t="shared" si="2"/>
        <v>3319</v>
      </c>
      <c r="N28" s="237">
        <f t="shared" si="2"/>
        <v>5688</v>
      </c>
      <c r="O28" s="237">
        <f t="shared" si="2"/>
        <v>6712</v>
      </c>
      <c r="P28" s="237">
        <f t="shared" si="2"/>
        <v>7654</v>
      </c>
      <c r="Q28" s="237">
        <f t="shared" si="2"/>
        <v>8768</v>
      </c>
      <c r="R28" s="237">
        <f t="shared" ref="R28" si="3">SUM(R10:R24)</f>
        <v>8464</v>
      </c>
    </row>
    <row r="29" spans="1:18" x14ac:dyDescent="0.3">
      <c r="A29" s="25"/>
      <c r="B29" s="25"/>
      <c r="C29" s="25"/>
      <c r="D29" s="25"/>
      <c r="E29" s="25"/>
      <c r="F29" s="25"/>
      <c r="G29" s="25"/>
      <c r="H29" s="25"/>
    </row>
    <row r="30" spans="1:18" x14ac:dyDescent="0.3">
      <c r="A30" s="334" t="s">
        <v>329</v>
      </c>
      <c r="B30" s="339"/>
      <c r="C30" s="339"/>
      <c r="D30" s="339"/>
      <c r="E30" s="339"/>
      <c r="F30" s="339"/>
      <c r="G30" s="339"/>
      <c r="H30" s="339"/>
    </row>
    <row r="31" spans="1:18" x14ac:dyDescent="0.3">
      <c r="A31" s="339" t="s">
        <v>1177</v>
      </c>
      <c r="B31" s="339"/>
      <c r="C31" s="339"/>
      <c r="D31" s="339"/>
      <c r="E31" s="339"/>
      <c r="F31" s="339"/>
      <c r="G31" s="339"/>
      <c r="H31" s="339"/>
    </row>
    <row r="32" spans="1:18" ht="30" customHeight="1" x14ac:dyDescent="0.3">
      <c r="A32" s="1033" t="s">
        <v>1126</v>
      </c>
      <c r="B32" s="1033"/>
      <c r="C32" s="1033"/>
      <c r="D32" s="1033"/>
      <c r="E32" s="1033"/>
      <c r="F32" s="1033"/>
      <c r="G32" s="1033"/>
      <c r="H32" s="1033"/>
      <c r="I32" s="1033"/>
      <c r="J32" s="1033"/>
      <c r="K32" s="1033"/>
      <c r="L32" s="1033"/>
    </row>
    <row r="33" spans="1:10" ht="45.9" customHeight="1" x14ac:dyDescent="0.3">
      <c r="A33" s="1029" t="s">
        <v>1178</v>
      </c>
      <c r="B33" s="1029"/>
      <c r="C33" s="1029"/>
      <c r="D33" s="1029"/>
      <c r="E33" s="1029"/>
      <c r="F33" s="1029"/>
      <c r="G33" s="1029"/>
      <c r="H33" s="1029"/>
      <c r="I33" s="1029"/>
      <c r="J33" s="1029"/>
    </row>
  </sheetData>
  <sheetProtection algorithmName="SHA-512" hashValue="xR1HyFZVuOS5xFqUZDHRndXgw1RMDSlViy0qDdG0pkJmGGs/WZMxEcsahnHOJ83sHbZS6ql5AYfcAcubTG0M6g==" saltValue="ckmHXdx6pLgS8EtS2BmGJQ==" spinCount="100000" sheet="1" formatCells="0" sort="0" autoFilter="0" pivotTables="0"/>
  <mergeCells count="3">
    <mergeCell ref="A33:J33"/>
    <mergeCell ref="A4:K4"/>
    <mergeCell ref="A32:L32"/>
  </mergeCells>
  <phoneticPr fontId="53" type="noConversion"/>
  <hyperlinks>
    <hyperlink ref="A2" location="'Table of Contents'!A1" display="Back to Table of Contents" xr:uid="{00000000-0004-0000-A100-000000000000}"/>
  </hyperlinks>
  <pageMargins left="0.7" right="0.7" top="0.75" bottom="0.75" header="0.3" footer="0.3"/>
  <pageSetup paperSize="9" orientation="portrait" r:id="rId1"/>
</worksheet>
</file>

<file path=xl/worksheets/sheet17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Sheet33">
    <tabColor theme="3" tint="0.39997558519241921"/>
    <pageSetUpPr fitToPage="1"/>
  </sheetPr>
  <dimension ref="A1:S45"/>
  <sheetViews>
    <sheetView showGridLines="0" zoomScale="85" zoomScaleNormal="85" workbookViewId="0">
      <pane ySplit="2" topLeftCell="A8" activePane="bottomLeft" state="frozen"/>
      <selection pane="bottomLeft"/>
    </sheetView>
  </sheetViews>
  <sheetFormatPr defaultRowHeight="14.4" x14ac:dyDescent="0.3"/>
  <cols>
    <col min="1" max="1" width="17" customWidth="1"/>
    <col min="2" max="2" width="21.33203125" customWidth="1"/>
    <col min="3" max="3" width="9.88671875" customWidth="1"/>
    <col min="4" max="4" width="7.5546875" bestFit="1" customWidth="1"/>
    <col min="5" max="5" width="8" customWidth="1"/>
    <col min="6" max="6" width="7.33203125" customWidth="1"/>
    <col min="7" max="7" width="8.5546875" customWidth="1"/>
    <col min="8" max="8" width="10.44140625" customWidth="1"/>
    <col min="9" max="9" width="11.33203125" customWidth="1"/>
    <col min="10" max="10" width="9.44140625" customWidth="1"/>
    <col min="11" max="11" width="11" customWidth="1"/>
    <col min="12" max="12" width="8.33203125" customWidth="1"/>
    <col min="13" max="13" width="7" customWidth="1"/>
    <col min="14" max="14" width="12.6640625" customWidth="1"/>
    <col min="15" max="15" width="12.5546875" customWidth="1"/>
    <col min="16" max="16" width="7.109375" bestFit="1" customWidth="1"/>
    <col min="17" max="17" width="11.33203125" bestFit="1" customWidth="1"/>
    <col min="18" max="18" width="8.88671875" customWidth="1"/>
    <col min="19" max="19" width="15.44140625" bestFit="1" customWidth="1"/>
  </cols>
  <sheetData>
    <row r="1" spans="1:19" ht="32.4" customHeight="1" x14ac:dyDescent="0.3">
      <c r="A1" s="513" t="s">
        <v>1118</v>
      </c>
    </row>
    <row r="2" spans="1:19" x14ac:dyDescent="0.3">
      <c r="A2" s="498" t="s">
        <v>202</v>
      </c>
    </row>
    <row r="3" spans="1:19" x14ac:dyDescent="0.3">
      <c r="A3" s="25"/>
    </row>
    <row r="4" spans="1:19" ht="15.6" x14ac:dyDescent="0.3">
      <c r="A4" s="1072" t="s">
        <v>1179</v>
      </c>
      <c r="B4" s="1072"/>
      <c r="C4" s="1072"/>
      <c r="D4" s="1072"/>
      <c r="E4" s="1072"/>
      <c r="F4" s="1072"/>
      <c r="G4" s="1072"/>
      <c r="H4" s="1072"/>
      <c r="I4" s="1072"/>
      <c r="J4" s="1072"/>
      <c r="K4" s="1072"/>
    </row>
    <row r="5" spans="1:19" ht="15.6" x14ac:dyDescent="0.3">
      <c r="A5" t="s">
        <v>203</v>
      </c>
      <c r="B5" t="s">
        <v>188</v>
      </c>
      <c r="C5" s="499"/>
      <c r="D5" s="499"/>
      <c r="E5" s="499"/>
      <c r="F5" s="499"/>
      <c r="G5" s="499"/>
      <c r="H5" s="499"/>
      <c r="I5" s="499"/>
      <c r="J5" s="499"/>
      <c r="K5" s="499"/>
    </row>
    <row r="6" spans="1:19" ht="15.6" x14ac:dyDescent="0.3">
      <c r="A6" t="s">
        <v>204</v>
      </c>
      <c r="B6" t="s">
        <v>205</v>
      </c>
      <c r="C6" s="499"/>
      <c r="D6" s="499"/>
      <c r="E6" s="499"/>
      <c r="F6" s="499"/>
      <c r="G6" s="499"/>
      <c r="H6" s="499"/>
      <c r="I6" s="499"/>
      <c r="J6" s="499"/>
      <c r="K6" s="499"/>
    </row>
    <row r="7" spans="1:19" ht="15.6" x14ac:dyDescent="0.3">
      <c r="A7" t="s">
        <v>206</v>
      </c>
      <c r="B7" t="s">
        <v>207</v>
      </c>
      <c r="C7" s="499"/>
      <c r="D7" s="499"/>
      <c r="E7" s="499"/>
      <c r="F7" s="499"/>
      <c r="G7" s="499"/>
      <c r="H7" s="499"/>
      <c r="I7" s="499"/>
      <c r="J7" s="499"/>
      <c r="K7" s="499"/>
    </row>
    <row r="8" spans="1:19" ht="18" x14ac:dyDescent="0.35">
      <c r="F8" s="572"/>
      <c r="G8" s="593"/>
    </row>
    <row r="9" spans="1:19" ht="55.8" x14ac:dyDescent="0.3">
      <c r="A9" s="240" t="s">
        <v>209</v>
      </c>
      <c r="B9" s="240" t="s">
        <v>34</v>
      </c>
      <c r="C9" s="241" t="s">
        <v>1180</v>
      </c>
      <c r="D9" s="241" t="s">
        <v>1141</v>
      </c>
      <c r="E9" s="241" t="s">
        <v>1144</v>
      </c>
      <c r="F9" s="241" t="s">
        <v>1146</v>
      </c>
      <c r="G9" s="241" t="s">
        <v>1147</v>
      </c>
      <c r="H9" s="241" t="s">
        <v>1181</v>
      </c>
      <c r="I9" s="241" t="s">
        <v>1143</v>
      </c>
      <c r="J9" s="241" t="s">
        <v>1153</v>
      </c>
      <c r="K9" s="241" t="s">
        <v>1148</v>
      </c>
      <c r="L9" s="241" t="s">
        <v>1154</v>
      </c>
      <c r="M9" s="241" t="s">
        <v>1155</v>
      </c>
      <c r="N9" s="241" t="s">
        <v>1182</v>
      </c>
      <c r="O9" s="241" t="s">
        <v>1142</v>
      </c>
      <c r="P9" s="241" t="s">
        <v>1149</v>
      </c>
      <c r="Q9" s="241" t="s">
        <v>1183</v>
      </c>
      <c r="R9" s="400" t="s">
        <v>1184</v>
      </c>
      <c r="S9" s="241" t="s">
        <v>1175</v>
      </c>
    </row>
    <row r="10" spans="1:19" x14ac:dyDescent="0.3">
      <c r="A10" s="388" t="s">
        <v>214</v>
      </c>
      <c r="B10" s="539" t="s">
        <v>215</v>
      </c>
      <c r="C10" s="50">
        <f>GETPIVOTDATA("Sum of Hospital / Prison",auditlapivot!$B$4,"Local Authority",B10)</f>
        <v>8</v>
      </c>
      <c r="D10" s="50">
        <f>GETPIVOTDATA("Sum of Care Home",auditlapivot!$B$4,"Local Authority",B10)</f>
        <v>69</v>
      </c>
      <c r="E10" s="50">
        <f>GETPIVOTDATA("Sum of HMO",auditlapivot!$B$4,"Local Authority",B10)</f>
        <v>245</v>
      </c>
      <c r="F10" s="50">
        <f>GETPIVOTDATA("Sum of Hostel",auditlapivot!$B$4,"Local Authority",B10)</f>
        <v>0</v>
      </c>
      <c r="G10" s="50">
        <f>GETPIVOTDATA("Sum of Hotel",auditlapivot!$B$4,"Local Authority",B10)</f>
        <v>20</v>
      </c>
      <c r="H10" s="50">
        <f>GETPIVOTDATA("Sum of Other Sleeping Accomm",auditlapivot!$B$4,"Local Authority",B10)</f>
        <v>17</v>
      </c>
      <c r="I10" s="50">
        <f>GETPIVOTDATA("Sum of Further Education",auditlapivot!$B$4,"Local Authority",B10)</f>
        <v>7</v>
      </c>
      <c r="J10" s="50">
        <f>GETPIVOTDATA("Sum of Public Building",auditlapivot!$B$4,"Local Authority",B10)</f>
        <v>0</v>
      </c>
      <c r="K10" s="50">
        <f>GETPIVOTDATA("Sum of Licensed Premises",auditlapivot!$B$4,"Local Authority",B10)</f>
        <v>3</v>
      </c>
      <c r="L10" s="50">
        <f>GETPIVOTDATA("Sum of School",auditlapivot!$B$4,"Local Authority",B10)</f>
        <v>3</v>
      </c>
      <c r="M10" s="50">
        <f>GETPIVOTDATA("Sum of Shop",auditlapivot!$B$4,"Local Authority",B10)</f>
        <v>18</v>
      </c>
      <c r="N10" s="50">
        <f>GETPIVOTDATA("Sum of Other Premises Open to Public",auditlapivot!$B$4,"Local Authority",B10)</f>
        <v>3</v>
      </c>
      <c r="O10" s="50">
        <f>GETPIVOTDATA("Sum of Factory or Warehouse",auditlapivot!$B$4,"Local Authority",B10)</f>
        <v>1</v>
      </c>
      <c r="P10" s="50">
        <f>GETPIVOTDATA("Sum of Office",auditlapivot!$B$4,"Local Authority",B10)</f>
        <v>3</v>
      </c>
      <c r="Q10" s="50">
        <f>GETPIVOTDATA("Sum of Other Workplace",auditlapivot!$B$4,"Local Authority",B10)</f>
        <v>2</v>
      </c>
      <c r="R10" s="762">
        <f>SUM(C10:Q10)</f>
        <v>399</v>
      </c>
      <c r="S10" s="69">
        <f>R10-E10</f>
        <v>154</v>
      </c>
    </row>
    <row r="11" spans="1:19" x14ac:dyDescent="0.3">
      <c r="A11" s="388" t="s">
        <v>219</v>
      </c>
      <c r="B11" s="539" t="s">
        <v>220</v>
      </c>
      <c r="C11" s="50">
        <f>GETPIVOTDATA("Sum of Hospital / Prison",auditlapivot!$B$4,"Local Authority",B11)</f>
        <v>15</v>
      </c>
      <c r="D11" s="50">
        <f>GETPIVOTDATA("Sum of Care Home",auditlapivot!$B$4,"Local Authority",B11)</f>
        <v>80</v>
      </c>
      <c r="E11" s="50">
        <f>GETPIVOTDATA("Sum of HMO",auditlapivot!$B$4,"Local Authority",B11)</f>
        <v>21</v>
      </c>
      <c r="F11" s="50">
        <f>GETPIVOTDATA("Sum of Hostel",auditlapivot!$B$4,"Local Authority",B11)</f>
        <v>0</v>
      </c>
      <c r="G11" s="50">
        <f>GETPIVOTDATA("Sum of Hotel",auditlapivot!$B$4,"Local Authority",B11)</f>
        <v>23</v>
      </c>
      <c r="H11" s="50">
        <f>GETPIVOTDATA("Sum of Other Sleeping Accomm",auditlapivot!$B$4,"Local Authority",B11)</f>
        <v>48</v>
      </c>
      <c r="I11" s="50">
        <f>GETPIVOTDATA("Sum of Further Education",auditlapivot!$B$4,"Local Authority",B11)</f>
        <v>0</v>
      </c>
      <c r="J11" s="50">
        <f>GETPIVOTDATA("Sum of Public Building",auditlapivot!$B$4,"Local Authority",B11)</f>
        <v>5</v>
      </c>
      <c r="K11" s="50">
        <f>GETPIVOTDATA("Sum of Licensed Premises",auditlapivot!$B$4,"Local Authority",B11)</f>
        <v>5</v>
      </c>
      <c r="L11" s="50">
        <f>GETPIVOTDATA("Sum of School",auditlapivot!$B$4,"Local Authority",B11)</f>
        <v>1</v>
      </c>
      <c r="M11" s="50">
        <f>GETPIVOTDATA("Sum of Shop",auditlapivot!$B$4,"Local Authority",B11)</f>
        <v>4</v>
      </c>
      <c r="N11" s="50">
        <f>GETPIVOTDATA("Sum of Other Premises Open to Public",auditlapivot!$B$4,"Local Authority",B11)</f>
        <v>4</v>
      </c>
      <c r="O11" s="50">
        <f>GETPIVOTDATA("Sum of Factory or Warehouse",auditlapivot!$B$4,"Local Authority",B11)</f>
        <v>4</v>
      </c>
      <c r="P11" s="50">
        <f>GETPIVOTDATA("Sum of Office",auditlapivot!$B$4,"Local Authority",B11)</f>
        <v>4</v>
      </c>
      <c r="Q11" s="50">
        <f>GETPIVOTDATA("Sum of Other Workplace",auditlapivot!$B$4,"Local Authority",B11)</f>
        <v>9</v>
      </c>
      <c r="R11" s="762">
        <f>SUM(C11:Q11)</f>
        <v>223</v>
      </c>
      <c r="S11" s="69">
        <f t="shared" ref="S11:S41" si="0">R11-E11</f>
        <v>202</v>
      </c>
    </row>
    <row r="12" spans="1:19" x14ac:dyDescent="0.3">
      <c r="A12" s="388" t="s">
        <v>223</v>
      </c>
      <c r="B12" s="539" t="s">
        <v>224</v>
      </c>
      <c r="C12" s="50">
        <f>GETPIVOTDATA("Sum of Hospital / Prison",auditlapivot!$B$4,"Local Authority",B12)</f>
        <v>7</v>
      </c>
      <c r="D12" s="50">
        <f>GETPIVOTDATA("Sum of Care Home",auditlapivot!$B$4,"Local Authority",B12)</f>
        <v>40</v>
      </c>
      <c r="E12" s="50">
        <f>GETPIVOTDATA("Sum of HMO",auditlapivot!$B$4,"Local Authority",B12)</f>
        <v>4</v>
      </c>
      <c r="F12" s="50">
        <f>GETPIVOTDATA("Sum of Hostel",auditlapivot!$B$4,"Local Authority",B12)</f>
        <v>0</v>
      </c>
      <c r="G12" s="50">
        <f>GETPIVOTDATA("Sum of Hotel",auditlapivot!$B$4,"Local Authority",B12)</f>
        <v>6</v>
      </c>
      <c r="H12" s="50">
        <f>GETPIVOTDATA("Sum of Other Sleeping Accomm",auditlapivot!$B$4,"Local Authority",B12)</f>
        <v>24</v>
      </c>
      <c r="I12" s="50">
        <f>GETPIVOTDATA("Sum of Further Education",auditlapivot!$B$4,"Local Authority",B12)</f>
        <v>0</v>
      </c>
      <c r="J12" s="50">
        <f>GETPIVOTDATA("Sum of Public Building",auditlapivot!$B$4,"Local Authority",B12)</f>
        <v>0</v>
      </c>
      <c r="K12" s="50">
        <f>GETPIVOTDATA("Sum of Licensed Premises",auditlapivot!$B$4,"Local Authority",B12)</f>
        <v>7</v>
      </c>
      <c r="L12" s="50">
        <f>GETPIVOTDATA("Sum of School",auditlapivot!$B$4,"Local Authority",B12)</f>
        <v>2</v>
      </c>
      <c r="M12" s="50">
        <f>GETPIVOTDATA("Sum of Shop",auditlapivot!$B$4,"Local Authority",B12)</f>
        <v>2</v>
      </c>
      <c r="N12" s="50">
        <f>GETPIVOTDATA("Sum of Other Premises Open to Public",auditlapivot!$B$4,"Local Authority",B12)</f>
        <v>0</v>
      </c>
      <c r="O12" s="50">
        <f>GETPIVOTDATA("Sum of Factory or Warehouse",auditlapivot!$B$4,"Local Authority",B12)</f>
        <v>1</v>
      </c>
      <c r="P12" s="50">
        <f>GETPIVOTDATA("Sum of Office",auditlapivot!$B$4,"Local Authority",B12)</f>
        <v>1</v>
      </c>
      <c r="Q12" s="50">
        <f>GETPIVOTDATA("Sum of Other Workplace",auditlapivot!$B$4,"Local Authority",B12)</f>
        <v>2</v>
      </c>
      <c r="R12" s="762">
        <f t="shared" ref="R12:R41" si="1">SUM(C12:Q12)</f>
        <v>96</v>
      </c>
      <c r="S12" s="69">
        <f t="shared" si="0"/>
        <v>92</v>
      </c>
    </row>
    <row r="13" spans="1:19" x14ac:dyDescent="0.3">
      <c r="A13" s="388" t="s">
        <v>227</v>
      </c>
      <c r="B13" s="539" t="s">
        <v>228</v>
      </c>
      <c r="C13" s="50">
        <f>GETPIVOTDATA("Sum of Hospital / Prison",auditlapivot!$B$4,"Local Authority",B13)</f>
        <v>3</v>
      </c>
      <c r="D13" s="50">
        <f>GETPIVOTDATA("Sum of Care Home",auditlapivot!$B$4,"Local Authority",B13)</f>
        <v>24</v>
      </c>
      <c r="E13" s="50">
        <f>GETPIVOTDATA("Sum of HMO",auditlapivot!$B$4,"Local Authority",B13)</f>
        <v>24</v>
      </c>
      <c r="F13" s="50">
        <f>GETPIVOTDATA("Sum of Hostel",auditlapivot!$B$4,"Local Authority",B13)</f>
        <v>7</v>
      </c>
      <c r="G13" s="50">
        <f>GETPIVOTDATA("Sum of Hotel",auditlapivot!$B$4,"Local Authority",B13)</f>
        <v>81</v>
      </c>
      <c r="H13" s="50">
        <f>GETPIVOTDATA("Sum of Other Sleeping Accomm",auditlapivot!$B$4,"Local Authority",B13)</f>
        <v>253</v>
      </c>
      <c r="I13" s="50">
        <f>GETPIVOTDATA("Sum of Further Education",auditlapivot!$B$4,"Local Authority",B13)</f>
        <v>1</v>
      </c>
      <c r="J13" s="50">
        <f>GETPIVOTDATA("Sum of Public Building",auditlapivot!$B$4,"Local Authority",B13)</f>
        <v>1</v>
      </c>
      <c r="K13" s="50">
        <f>GETPIVOTDATA("Sum of Licensed Premises",auditlapivot!$B$4,"Local Authority",B13)</f>
        <v>2</v>
      </c>
      <c r="L13" s="50">
        <f>GETPIVOTDATA("Sum of School",auditlapivot!$B$4,"Local Authority",B13)</f>
        <v>2</v>
      </c>
      <c r="M13" s="50">
        <f>GETPIVOTDATA("Sum of Shop",auditlapivot!$B$4,"Local Authority",B13)</f>
        <v>3</v>
      </c>
      <c r="N13" s="50">
        <f>GETPIVOTDATA("Sum of Other Premises Open to Public",auditlapivot!$B$4,"Local Authority",B13)</f>
        <v>5</v>
      </c>
      <c r="O13" s="50">
        <f>GETPIVOTDATA("Sum of Factory or Warehouse",auditlapivot!$B$4,"Local Authority",B13)</f>
        <v>1</v>
      </c>
      <c r="P13" s="50">
        <f>GETPIVOTDATA("Sum of Office",auditlapivot!$B$4,"Local Authority",B13)</f>
        <v>2</v>
      </c>
      <c r="Q13" s="50">
        <f>GETPIVOTDATA("Sum of Other Workplace",auditlapivot!$B$4,"Local Authority",B13)</f>
        <v>2</v>
      </c>
      <c r="R13" s="762">
        <f t="shared" si="1"/>
        <v>411</v>
      </c>
      <c r="S13" s="69">
        <f t="shared" si="0"/>
        <v>387</v>
      </c>
    </row>
    <row r="14" spans="1:19" x14ac:dyDescent="0.3">
      <c r="A14" s="388" t="s">
        <v>233</v>
      </c>
      <c r="B14" s="539" t="s">
        <v>234</v>
      </c>
      <c r="C14" s="50">
        <f>GETPIVOTDATA("Sum of Hospital / Prison",auditlapivot!$B$4,"Local Authority",B14)</f>
        <v>43</v>
      </c>
      <c r="D14" s="50">
        <f>GETPIVOTDATA("Sum of Care Home",auditlapivot!$B$4,"Local Authority",B14)</f>
        <v>108</v>
      </c>
      <c r="E14" s="50">
        <f>GETPIVOTDATA("Sum of HMO",auditlapivot!$B$4,"Local Authority",B14)</f>
        <v>513</v>
      </c>
      <c r="F14" s="50">
        <f>GETPIVOTDATA("Sum of Hostel",auditlapivot!$B$4,"Local Authority",B14)</f>
        <v>21</v>
      </c>
      <c r="G14" s="50">
        <f>GETPIVOTDATA("Sum of Hotel",auditlapivot!$B$4,"Local Authority",B14)</f>
        <v>102</v>
      </c>
      <c r="H14" s="50">
        <f>GETPIVOTDATA("Sum of Other Sleeping Accomm",auditlapivot!$B$4,"Local Authority",B14)</f>
        <v>60</v>
      </c>
      <c r="I14" s="50">
        <f>GETPIVOTDATA("Sum of Further Education",auditlapivot!$B$4,"Local Authority",B14)</f>
        <v>2</v>
      </c>
      <c r="J14" s="50">
        <f>GETPIVOTDATA("Sum of Public Building",auditlapivot!$B$4,"Local Authority",B14)</f>
        <v>3</v>
      </c>
      <c r="K14" s="50">
        <f>GETPIVOTDATA("Sum of Licensed Premises",auditlapivot!$B$4,"Local Authority",B14)</f>
        <v>63</v>
      </c>
      <c r="L14" s="50">
        <f>GETPIVOTDATA("Sum of School",auditlapivot!$B$4,"Local Authority",B14)</f>
        <v>4</v>
      </c>
      <c r="M14" s="50">
        <f>GETPIVOTDATA("Sum of Shop",auditlapivot!$B$4,"Local Authority",B14)</f>
        <v>24</v>
      </c>
      <c r="N14" s="50">
        <f>GETPIVOTDATA("Sum of Other Premises Open to Public",auditlapivot!$B$4,"Local Authority",B14)</f>
        <v>13</v>
      </c>
      <c r="O14" s="50">
        <f>GETPIVOTDATA("Sum of Factory or Warehouse",auditlapivot!$B$4,"Local Authority",B14)</f>
        <v>4</v>
      </c>
      <c r="P14" s="50">
        <f>GETPIVOTDATA("Sum of Office",auditlapivot!$B$4,"Local Authority",B14)</f>
        <v>3</v>
      </c>
      <c r="Q14" s="50">
        <f>GETPIVOTDATA("Sum of Other Workplace",auditlapivot!$B$4,"Local Authority",B14)</f>
        <v>3</v>
      </c>
      <c r="R14" s="762">
        <f t="shared" si="1"/>
        <v>966</v>
      </c>
      <c r="S14" s="69">
        <f t="shared" si="0"/>
        <v>453</v>
      </c>
    </row>
    <row r="15" spans="1:19" x14ac:dyDescent="0.3">
      <c r="A15" s="388" t="s">
        <v>239</v>
      </c>
      <c r="B15" s="539" t="s">
        <v>240</v>
      </c>
      <c r="C15" s="50">
        <f>GETPIVOTDATA("Sum of Hospital / Prison",auditlapivot!$B$4,"Local Authority",B15)</f>
        <v>3</v>
      </c>
      <c r="D15" s="50">
        <f>GETPIVOTDATA("Sum of Care Home",auditlapivot!$B$4,"Local Authority",B15)</f>
        <v>18</v>
      </c>
      <c r="E15" s="50">
        <f>GETPIVOTDATA("Sum of HMO",auditlapivot!$B$4,"Local Authority",B15)</f>
        <v>3</v>
      </c>
      <c r="F15" s="50">
        <f>GETPIVOTDATA("Sum of Hostel",auditlapivot!$B$4,"Local Authority",B15)</f>
        <v>0</v>
      </c>
      <c r="G15" s="50">
        <f>GETPIVOTDATA("Sum of Hotel",auditlapivot!$B$4,"Local Authority",B15)</f>
        <v>3</v>
      </c>
      <c r="H15" s="50">
        <f>GETPIVOTDATA("Sum of Other Sleeping Accomm",auditlapivot!$B$4,"Local Authority",B15)</f>
        <v>3</v>
      </c>
      <c r="I15" s="50">
        <f>GETPIVOTDATA("Sum of Further Education",auditlapivot!$B$4,"Local Authority",B15)</f>
        <v>0</v>
      </c>
      <c r="J15" s="50">
        <f>GETPIVOTDATA("Sum of Public Building",auditlapivot!$B$4,"Local Authority",B15)</f>
        <v>0</v>
      </c>
      <c r="K15" s="50">
        <f>GETPIVOTDATA("Sum of Licensed Premises",auditlapivot!$B$4,"Local Authority",B15)</f>
        <v>4</v>
      </c>
      <c r="L15" s="50">
        <f>GETPIVOTDATA("Sum of School",auditlapivot!$B$4,"Local Authority",B15)</f>
        <v>6</v>
      </c>
      <c r="M15" s="50">
        <f>GETPIVOTDATA("Sum of Shop",auditlapivot!$B$4,"Local Authority",B15)</f>
        <v>0</v>
      </c>
      <c r="N15" s="50">
        <f>GETPIVOTDATA("Sum of Other Premises Open to Public",auditlapivot!$B$4,"Local Authority",B15)</f>
        <v>1</v>
      </c>
      <c r="O15" s="50">
        <f>GETPIVOTDATA("Sum of Factory or Warehouse",auditlapivot!$B$4,"Local Authority",B15)</f>
        <v>6</v>
      </c>
      <c r="P15" s="50">
        <f>GETPIVOTDATA("Sum of Office",auditlapivot!$B$4,"Local Authority",B15)</f>
        <v>0</v>
      </c>
      <c r="Q15" s="50">
        <f>GETPIVOTDATA("Sum of Other Workplace",auditlapivot!$B$4,"Local Authority",B15)</f>
        <v>0</v>
      </c>
      <c r="R15" s="762">
        <f t="shared" si="1"/>
        <v>47</v>
      </c>
      <c r="S15" s="69">
        <f t="shared" si="0"/>
        <v>44</v>
      </c>
    </row>
    <row r="16" spans="1:19" x14ac:dyDescent="0.3">
      <c r="A16" s="388" t="s">
        <v>243</v>
      </c>
      <c r="B16" s="539" t="s">
        <v>244</v>
      </c>
      <c r="C16" s="50">
        <f>GETPIVOTDATA("Sum of Hospital / Prison",auditlapivot!$B$4,"Local Authority",B16)</f>
        <v>10</v>
      </c>
      <c r="D16" s="50">
        <f>GETPIVOTDATA("Sum of Care Home",auditlapivot!$B$4,"Local Authority",B16)</f>
        <v>60</v>
      </c>
      <c r="E16" s="50">
        <f>GETPIVOTDATA("Sum of HMO",auditlapivot!$B$4,"Local Authority",B16)</f>
        <v>36</v>
      </c>
      <c r="F16" s="50">
        <f>GETPIVOTDATA("Sum of Hostel",auditlapivot!$B$4,"Local Authority",B16)</f>
        <v>9</v>
      </c>
      <c r="G16" s="50">
        <f>GETPIVOTDATA("Sum of Hotel",auditlapivot!$B$4,"Local Authority",B16)</f>
        <v>35</v>
      </c>
      <c r="H16" s="50">
        <f>GETPIVOTDATA("Sum of Other Sleeping Accomm",auditlapivot!$B$4,"Local Authority",B16)</f>
        <v>291</v>
      </c>
      <c r="I16" s="50">
        <f>GETPIVOTDATA("Sum of Further Education",auditlapivot!$B$4,"Local Authority",B16)</f>
        <v>0</v>
      </c>
      <c r="J16" s="50">
        <f>GETPIVOTDATA("Sum of Public Building",auditlapivot!$B$4,"Local Authority",B16)</f>
        <v>0</v>
      </c>
      <c r="K16" s="50">
        <f>GETPIVOTDATA("Sum of Licensed Premises",auditlapivot!$B$4,"Local Authority",B16)</f>
        <v>8</v>
      </c>
      <c r="L16" s="50">
        <f>GETPIVOTDATA("Sum of School",auditlapivot!$B$4,"Local Authority",B16)</f>
        <v>95</v>
      </c>
      <c r="M16" s="50">
        <f>GETPIVOTDATA("Sum of Shop",auditlapivot!$B$4,"Local Authority",B16)</f>
        <v>5</v>
      </c>
      <c r="N16" s="50">
        <f>GETPIVOTDATA("Sum of Other Premises Open to Public",auditlapivot!$B$4,"Local Authority",B16)</f>
        <v>4</v>
      </c>
      <c r="O16" s="50">
        <f>GETPIVOTDATA("Sum of Factory or Warehouse",auditlapivot!$B$4,"Local Authority",B16)</f>
        <v>10</v>
      </c>
      <c r="P16" s="50">
        <f>GETPIVOTDATA("Sum of Office",auditlapivot!$B$4,"Local Authority",B16)</f>
        <v>3</v>
      </c>
      <c r="Q16" s="50">
        <f>GETPIVOTDATA("Sum of Other Workplace",auditlapivot!$B$4,"Local Authority",B16)</f>
        <v>2</v>
      </c>
      <c r="R16" s="762">
        <f t="shared" si="1"/>
        <v>568</v>
      </c>
      <c r="S16" s="69">
        <f t="shared" si="0"/>
        <v>532</v>
      </c>
    </row>
    <row r="17" spans="1:19" x14ac:dyDescent="0.3">
      <c r="A17" s="388" t="s">
        <v>246</v>
      </c>
      <c r="B17" s="539" t="s">
        <v>247</v>
      </c>
      <c r="C17" s="50">
        <f>GETPIVOTDATA("Sum of Hospital / Prison",auditlapivot!$B$4,"Local Authority",B17)</f>
        <v>7</v>
      </c>
      <c r="D17" s="50">
        <f>GETPIVOTDATA("Sum of Care Home",auditlapivot!$B$4,"Local Authority",B17)</f>
        <v>35</v>
      </c>
      <c r="E17" s="50">
        <f>GETPIVOTDATA("Sum of HMO",auditlapivot!$B$4,"Local Authority",B17)</f>
        <v>239</v>
      </c>
      <c r="F17" s="50">
        <f>GETPIVOTDATA("Sum of Hostel",auditlapivot!$B$4,"Local Authority",B17)</f>
        <v>1</v>
      </c>
      <c r="G17" s="50">
        <f>GETPIVOTDATA("Sum of Hotel",auditlapivot!$B$4,"Local Authority",B17)</f>
        <v>10</v>
      </c>
      <c r="H17" s="50">
        <f>GETPIVOTDATA("Sum of Other Sleeping Accomm",auditlapivot!$B$4,"Local Authority",B17)</f>
        <v>11</v>
      </c>
      <c r="I17" s="50">
        <f>GETPIVOTDATA("Sum of Further Education",auditlapivot!$B$4,"Local Authority",B17)</f>
        <v>0</v>
      </c>
      <c r="J17" s="50">
        <f>GETPIVOTDATA("Sum of Public Building",auditlapivot!$B$4,"Local Authority",B17)</f>
        <v>0</v>
      </c>
      <c r="K17" s="50">
        <f>GETPIVOTDATA("Sum of Licensed Premises",auditlapivot!$B$4,"Local Authority",B17)</f>
        <v>6</v>
      </c>
      <c r="L17" s="50">
        <f>GETPIVOTDATA("Sum of School",auditlapivot!$B$4,"Local Authority",B17)</f>
        <v>4</v>
      </c>
      <c r="M17" s="50">
        <f>GETPIVOTDATA("Sum of Shop",auditlapivot!$B$4,"Local Authority",B17)</f>
        <v>5</v>
      </c>
      <c r="N17" s="50">
        <f>GETPIVOTDATA("Sum of Other Premises Open to Public",auditlapivot!$B$4,"Local Authority",B17)</f>
        <v>1</v>
      </c>
      <c r="O17" s="50">
        <f>GETPIVOTDATA("Sum of Factory or Warehouse",auditlapivot!$B$4,"Local Authority",B17)</f>
        <v>0</v>
      </c>
      <c r="P17" s="50">
        <f>GETPIVOTDATA("Sum of Office",auditlapivot!$B$4,"Local Authority",B17)</f>
        <v>1</v>
      </c>
      <c r="Q17" s="50">
        <f>GETPIVOTDATA("Sum of Other Workplace",auditlapivot!$B$4,"Local Authority",B17)</f>
        <v>2</v>
      </c>
      <c r="R17" s="762">
        <f t="shared" si="1"/>
        <v>322</v>
      </c>
      <c r="S17" s="69">
        <f t="shared" si="0"/>
        <v>83</v>
      </c>
    </row>
    <row r="18" spans="1:19" x14ac:dyDescent="0.3">
      <c r="A18" s="388" t="s">
        <v>248</v>
      </c>
      <c r="B18" s="539" t="s">
        <v>249</v>
      </c>
      <c r="C18" s="50">
        <f>GETPIVOTDATA("Sum of Hospital / Prison",auditlapivot!$B$4,"Local Authority",B18)</f>
        <v>12</v>
      </c>
      <c r="D18" s="50">
        <f>GETPIVOTDATA("Sum of Care Home",auditlapivot!$B$4,"Local Authority",B18)</f>
        <v>56</v>
      </c>
      <c r="E18" s="50">
        <f>GETPIVOTDATA("Sum of HMO",auditlapivot!$B$4,"Local Authority",B18)</f>
        <v>19</v>
      </c>
      <c r="F18" s="50">
        <f>GETPIVOTDATA("Sum of Hostel",auditlapivot!$B$4,"Local Authority",B18)</f>
        <v>0</v>
      </c>
      <c r="G18" s="50">
        <f>GETPIVOTDATA("Sum of Hotel",auditlapivot!$B$4,"Local Authority",B18)</f>
        <v>9</v>
      </c>
      <c r="H18" s="50">
        <f>GETPIVOTDATA("Sum of Other Sleeping Accomm",auditlapivot!$B$4,"Local Authority",B18)</f>
        <v>32</v>
      </c>
      <c r="I18" s="50">
        <f>GETPIVOTDATA("Sum of Further Education",auditlapivot!$B$4,"Local Authority",B18)</f>
        <v>0</v>
      </c>
      <c r="J18" s="50">
        <f>GETPIVOTDATA("Sum of Public Building",auditlapivot!$B$4,"Local Authority",B18)</f>
        <v>0</v>
      </c>
      <c r="K18" s="50">
        <f>GETPIVOTDATA("Sum of Licensed Premises",auditlapivot!$B$4,"Local Authority",B18)</f>
        <v>1</v>
      </c>
      <c r="L18" s="50">
        <f>GETPIVOTDATA("Sum of School",auditlapivot!$B$4,"Local Authority",B18)</f>
        <v>1</v>
      </c>
      <c r="M18" s="50">
        <f>GETPIVOTDATA("Sum of Shop",auditlapivot!$B$4,"Local Authority",B18)</f>
        <v>5</v>
      </c>
      <c r="N18" s="50">
        <f>GETPIVOTDATA("Sum of Other Premises Open to Public",auditlapivot!$B$4,"Local Authority",B18)</f>
        <v>4</v>
      </c>
      <c r="O18" s="50">
        <f>GETPIVOTDATA("Sum of Factory or Warehouse",auditlapivot!$B$4,"Local Authority",B18)</f>
        <v>11</v>
      </c>
      <c r="P18" s="50">
        <f>GETPIVOTDATA("Sum of Office",auditlapivot!$B$4,"Local Authority",B18)</f>
        <v>2</v>
      </c>
      <c r="Q18" s="50">
        <f>GETPIVOTDATA("Sum of Other Workplace",auditlapivot!$B$4,"Local Authority",B18)</f>
        <v>6</v>
      </c>
      <c r="R18" s="762">
        <f t="shared" si="1"/>
        <v>158</v>
      </c>
      <c r="S18" s="69">
        <f t="shared" si="0"/>
        <v>139</v>
      </c>
    </row>
    <row r="19" spans="1:19" x14ac:dyDescent="0.3">
      <c r="A19" s="388" t="s">
        <v>252</v>
      </c>
      <c r="B19" s="539" t="s">
        <v>253</v>
      </c>
      <c r="C19" s="50">
        <f>GETPIVOTDATA("Sum of Hospital / Prison",auditlapivot!$B$4,"Local Authority",B19)</f>
        <v>0</v>
      </c>
      <c r="D19" s="50">
        <f>GETPIVOTDATA("Sum of Care Home",auditlapivot!$B$4,"Local Authority",B19)</f>
        <v>34</v>
      </c>
      <c r="E19" s="50">
        <f>GETPIVOTDATA("Sum of HMO",auditlapivot!$B$4,"Local Authority",B19)</f>
        <v>16</v>
      </c>
      <c r="F19" s="50">
        <f>GETPIVOTDATA("Sum of Hostel",auditlapivot!$B$4,"Local Authority",B19)</f>
        <v>0</v>
      </c>
      <c r="G19" s="50">
        <f>GETPIVOTDATA("Sum of Hotel",auditlapivot!$B$4,"Local Authority",B19)</f>
        <v>4</v>
      </c>
      <c r="H19" s="50">
        <f>GETPIVOTDATA("Sum of Other Sleeping Accomm",auditlapivot!$B$4,"Local Authority",B19)</f>
        <v>1</v>
      </c>
      <c r="I19" s="50">
        <f>GETPIVOTDATA("Sum of Further Education",auditlapivot!$B$4,"Local Authority",B19)</f>
        <v>0</v>
      </c>
      <c r="J19" s="50">
        <f>GETPIVOTDATA("Sum of Public Building",auditlapivot!$B$4,"Local Authority",B19)</f>
        <v>0</v>
      </c>
      <c r="K19" s="50">
        <f>GETPIVOTDATA("Sum of Licensed Premises",auditlapivot!$B$4,"Local Authority",B19)</f>
        <v>2</v>
      </c>
      <c r="L19" s="50">
        <f>GETPIVOTDATA("Sum of School",auditlapivot!$B$4,"Local Authority",B19)</f>
        <v>10</v>
      </c>
      <c r="M19" s="50">
        <f>GETPIVOTDATA("Sum of Shop",auditlapivot!$B$4,"Local Authority",B19)</f>
        <v>2</v>
      </c>
      <c r="N19" s="50">
        <f>GETPIVOTDATA("Sum of Other Premises Open to Public",auditlapivot!$B$4,"Local Authority",B19)</f>
        <v>0</v>
      </c>
      <c r="O19" s="50">
        <f>GETPIVOTDATA("Sum of Factory or Warehouse",auditlapivot!$B$4,"Local Authority",B19)</f>
        <v>0</v>
      </c>
      <c r="P19" s="50">
        <f>GETPIVOTDATA("Sum of Office",auditlapivot!$B$4,"Local Authority",B19)</f>
        <v>0</v>
      </c>
      <c r="Q19" s="50">
        <f>GETPIVOTDATA("Sum of Other Workplace",auditlapivot!$B$4,"Local Authority",B19)</f>
        <v>1</v>
      </c>
      <c r="R19" s="762">
        <f t="shared" si="1"/>
        <v>70</v>
      </c>
      <c r="S19" s="69">
        <f t="shared" si="0"/>
        <v>54</v>
      </c>
    </row>
    <row r="20" spans="1:19" x14ac:dyDescent="0.3">
      <c r="A20" s="388" t="s">
        <v>254</v>
      </c>
      <c r="B20" s="539" t="s">
        <v>255</v>
      </c>
      <c r="C20" s="50">
        <f>GETPIVOTDATA("Sum of Hospital / Prison",auditlapivot!$B$4,"Local Authority",B20)</f>
        <v>0</v>
      </c>
      <c r="D20" s="50">
        <f>GETPIVOTDATA("Sum of Care Home",auditlapivot!$B$4,"Local Authority",B20)</f>
        <v>21</v>
      </c>
      <c r="E20" s="50">
        <f>GETPIVOTDATA("Sum of HMO",auditlapivot!$B$4,"Local Authority",B20)</f>
        <v>31</v>
      </c>
      <c r="F20" s="50">
        <f>GETPIVOTDATA("Sum of Hostel",auditlapivot!$B$4,"Local Authority",B20)</f>
        <v>0</v>
      </c>
      <c r="G20" s="50">
        <f>GETPIVOTDATA("Sum of Hotel",auditlapivot!$B$4,"Local Authority",B20)</f>
        <v>6</v>
      </c>
      <c r="H20" s="50">
        <f>GETPIVOTDATA("Sum of Other Sleeping Accomm",auditlapivot!$B$4,"Local Authority",B20)</f>
        <v>7</v>
      </c>
      <c r="I20" s="50">
        <f>GETPIVOTDATA("Sum of Further Education",auditlapivot!$B$4,"Local Authority",B20)</f>
        <v>0</v>
      </c>
      <c r="J20" s="50">
        <f>GETPIVOTDATA("Sum of Public Building",auditlapivot!$B$4,"Local Authority",B20)</f>
        <v>3</v>
      </c>
      <c r="K20" s="50">
        <f>GETPIVOTDATA("Sum of Licensed Premises",auditlapivot!$B$4,"Local Authority",B20)</f>
        <v>49</v>
      </c>
      <c r="L20" s="50">
        <f>GETPIVOTDATA("Sum of School",auditlapivot!$B$4,"Local Authority",B20)</f>
        <v>5</v>
      </c>
      <c r="M20" s="50">
        <f>GETPIVOTDATA("Sum of Shop",auditlapivot!$B$4,"Local Authority",B20)</f>
        <v>0</v>
      </c>
      <c r="N20" s="50">
        <f>GETPIVOTDATA("Sum of Other Premises Open to Public",auditlapivot!$B$4,"Local Authority",B20)</f>
        <v>3</v>
      </c>
      <c r="O20" s="50">
        <f>GETPIVOTDATA("Sum of Factory or Warehouse",auditlapivot!$B$4,"Local Authority",B20)</f>
        <v>4</v>
      </c>
      <c r="P20" s="50">
        <f>GETPIVOTDATA("Sum of Office",auditlapivot!$B$4,"Local Authority",B20)</f>
        <v>1</v>
      </c>
      <c r="Q20" s="50">
        <f>GETPIVOTDATA("Sum of Other Workplace",auditlapivot!$B$4,"Local Authority",B20)</f>
        <v>3</v>
      </c>
      <c r="R20" s="762">
        <f t="shared" si="1"/>
        <v>133</v>
      </c>
      <c r="S20" s="69">
        <f t="shared" si="0"/>
        <v>102</v>
      </c>
    </row>
    <row r="21" spans="1:19" x14ac:dyDescent="0.3">
      <c r="A21" s="388" t="s">
        <v>258</v>
      </c>
      <c r="B21" s="539" t="s">
        <v>259</v>
      </c>
      <c r="C21" s="50">
        <f>GETPIVOTDATA("Sum of Hospital / Prison",auditlapivot!$B$4,"Local Authority",B21)</f>
        <v>1</v>
      </c>
      <c r="D21" s="50">
        <f>GETPIVOTDATA("Sum of Care Home",auditlapivot!$B$4,"Local Authority",B21)</f>
        <v>14</v>
      </c>
      <c r="E21" s="50">
        <f>GETPIVOTDATA("Sum of HMO",auditlapivot!$B$4,"Local Authority",B21)</f>
        <v>10</v>
      </c>
      <c r="F21" s="50">
        <f>GETPIVOTDATA("Sum of Hostel",auditlapivot!$B$4,"Local Authority",B21)</f>
        <v>0</v>
      </c>
      <c r="G21" s="50">
        <f>GETPIVOTDATA("Sum of Hotel",auditlapivot!$B$4,"Local Authority",B21)</f>
        <v>5</v>
      </c>
      <c r="H21" s="50">
        <f>GETPIVOTDATA("Sum of Other Sleeping Accomm",auditlapivot!$B$4,"Local Authority",B21)</f>
        <v>10</v>
      </c>
      <c r="I21" s="50">
        <f>GETPIVOTDATA("Sum of Further Education",auditlapivot!$B$4,"Local Authority",B21)</f>
        <v>0</v>
      </c>
      <c r="J21" s="50">
        <f>GETPIVOTDATA("Sum of Public Building",auditlapivot!$B$4,"Local Authority",B21)</f>
        <v>1</v>
      </c>
      <c r="K21" s="50">
        <f>GETPIVOTDATA("Sum of Licensed Premises",auditlapivot!$B$4,"Local Authority",B21)</f>
        <v>1</v>
      </c>
      <c r="L21" s="50">
        <f>GETPIVOTDATA("Sum of School",auditlapivot!$B$4,"Local Authority",B21)</f>
        <v>3</v>
      </c>
      <c r="M21" s="50">
        <f>GETPIVOTDATA("Sum of Shop",auditlapivot!$B$4,"Local Authority",B21)</f>
        <v>0</v>
      </c>
      <c r="N21" s="50">
        <f>GETPIVOTDATA("Sum of Other Premises Open to Public",auditlapivot!$B$4,"Local Authority",B21)</f>
        <v>0</v>
      </c>
      <c r="O21" s="50">
        <f>GETPIVOTDATA("Sum of Factory or Warehouse",auditlapivot!$B$4,"Local Authority",B21)</f>
        <v>1</v>
      </c>
      <c r="P21" s="50">
        <f>GETPIVOTDATA("Sum of Office",auditlapivot!$B$4,"Local Authority",B21)</f>
        <v>0</v>
      </c>
      <c r="Q21" s="50">
        <f>GETPIVOTDATA("Sum of Other Workplace",auditlapivot!$B$4,"Local Authority",B21)</f>
        <v>1</v>
      </c>
      <c r="R21" s="762">
        <f t="shared" si="1"/>
        <v>47</v>
      </c>
      <c r="S21" s="69">
        <f t="shared" si="0"/>
        <v>37</v>
      </c>
    </row>
    <row r="22" spans="1:19" x14ac:dyDescent="0.3">
      <c r="A22" s="388" t="s">
        <v>262</v>
      </c>
      <c r="B22" s="539" t="s">
        <v>263</v>
      </c>
      <c r="C22" s="50">
        <f>GETPIVOTDATA("Sum of Hospital / Prison",auditlapivot!$B$4,"Local Authority",B22)</f>
        <v>12</v>
      </c>
      <c r="D22" s="50">
        <f>GETPIVOTDATA("Sum of Care Home",auditlapivot!$B$4,"Local Authority",B22)</f>
        <v>39</v>
      </c>
      <c r="E22" s="50">
        <f>GETPIVOTDATA("Sum of HMO",auditlapivot!$B$4,"Local Authority",B22)</f>
        <v>11</v>
      </c>
      <c r="F22" s="50">
        <f>GETPIVOTDATA("Sum of Hostel",auditlapivot!$B$4,"Local Authority",B22)</f>
        <v>1</v>
      </c>
      <c r="G22" s="50">
        <f>GETPIVOTDATA("Sum of Hotel",auditlapivot!$B$4,"Local Authority",B22)</f>
        <v>18</v>
      </c>
      <c r="H22" s="50">
        <f>GETPIVOTDATA("Sum of Other Sleeping Accomm",auditlapivot!$B$4,"Local Authority",B22)</f>
        <v>3</v>
      </c>
      <c r="I22" s="50">
        <f>GETPIVOTDATA("Sum of Further Education",auditlapivot!$B$4,"Local Authority",B22)</f>
        <v>1</v>
      </c>
      <c r="J22" s="50">
        <f>GETPIVOTDATA("Sum of Public Building",auditlapivot!$B$4,"Local Authority",B22)</f>
        <v>9</v>
      </c>
      <c r="K22" s="50">
        <f>GETPIVOTDATA("Sum of Licensed Premises",auditlapivot!$B$4,"Local Authority",B22)</f>
        <v>5</v>
      </c>
      <c r="L22" s="50">
        <f>GETPIVOTDATA("Sum of School",auditlapivot!$B$4,"Local Authority",B22)</f>
        <v>34</v>
      </c>
      <c r="M22" s="50">
        <f>GETPIVOTDATA("Sum of Shop",auditlapivot!$B$4,"Local Authority",B22)</f>
        <v>9</v>
      </c>
      <c r="N22" s="50">
        <f>GETPIVOTDATA("Sum of Other Premises Open to Public",auditlapivot!$B$4,"Local Authority",B22)</f>
        <v>10</v>
      </c>
      <c r="O22" s="50">
        <f>GETPIVOTDATA("Sum of Factory or Warehouse",auditlapivot!$B$4,"Local Authority",B22)</f>
        <v>13</v>
      </c>
      <c r="P22" s="50">
        <f>GETPIVOTDATA("Sum of Office",auditlapivot!$B$4,"Local Authority",B22)</f>
        <v>5</v>
      </c>
      <c r="Q22" s="50">
        <f>GETPIVOTDATA("Sum of Other Workplace",auditlapivot!$B$4,"Local Authority",B22)</f>
        <v>3</v>
      </c>
      <c r="R22" s="762">
        <f t="shared" si="1"/>
        <v>173</v>
      </c>
      <c r="S22" s="69">
        <f t="shared" si="0"/>
        <v>162</v>
      </c>
    </row>
    <row r="23" spans="1:19" x14ac:dyDescent="0.3">
      <c r="A23" s="388" t="s">
        <v>1092</v>
      </c>
      <c r="B23" s="539" t="s">
        <v>267</v>
      </c>
      <c r="C23" s="50">
        <f>GETPIVOTDATA("Sum of Hospital / Prison",auditlapivot!$B$4,"Local Authority",B23)</f>
        <v>12</v>
      </c>
      <c r="D23" s="50">
        <f>GETPIVOTDATA("Sum of Care Home",auditlapivot!$B$4,"Local Authority",B23)</f>
        <v>108</v>
      </c>
      <c r="E23" s="50">
        <f>GETPIVOTDATA("Sum of HMO",auditlapivot!$B$4,"Local Authority",B23)</f>
        <v>157</v>
      </c>
      <c r="F23" s="50">
        <f>GETPIVOTDATA("Sum of Hostel",auditlapivot!$B$4,"Local Authority",B23)</f>
        <v>0</v>
      </c>
      <c r="G23" s="50">
        <f>GETPIVOTDATA("Sum of Hotel",auditlapivot!$B$4,"Local Authority",B23)</f>
        <v>21</v>
      </c>
      <c r="H23" s="50">
        <f>GETPIVOTDATA("Sum of Other Sleeping Accomm",auditlapivot!$B$4,"Local Authority",B23)</f>
        <v>34</v>
      </c>
      <c r="I23" s="50">
        <f>GETPIVOTDATA("Sum of Further Education",auditlapivot!$B$4,"Local Authority",B23)</f>
        <v>0</v>
      </c>
      <c r="J23" s="50">
        <f>GETPIVOTDATA("Sum of Public Building",auditlapivot!$B$4,"Local Authority",B23)</f>
        <v>0</v>
      </c>
      <c r="K23" s="50">
        <f>GETPIVOTDATA("Sum of Licensed Premises",auditlapivot!$B$4,"Local Authority",B23)</f>
        <v>5</v>
      </c>
      <c r="L23" s="50">
        <f>GETPIVOTDATA("Sum of School",auditlapivot!$B$4,"Local Authority",B23)</f>
        <v>13</v>
      </c>
      <c r="M23" s="50">
        <f>GETPIVOTDATA("Sum of Shop",auditlapivot!$B$4,"Local Authority",B23)</f>
        <v>5</v>
      </c>
      <c r="N23" s="50">
        <f>GETPIVOTDATA("Sum of Other Premises Open to Public",auditlapivot!$B$4,"Local Authority",B23)</f>
        <v>3</v>
      </c>
      <c r="O23" s="50">
        <f>GETPIVOTDATA("Sum of Factory or Warehouse",auditlapivot!$B$4,"Local Authority",B23)</f>
        <v>7</v>
      </c>
      <c r="P23" s="50">
        <f>GETPIVOTDATA("Sum of Office",auditlapivot!$B$4,"Local Authority",B23)</f>
        <v>0</v>
      </c>
      <c r="Q23" s="50">
        <f>GETPIVOTDATA("Sum of Other Workplace",auditlapivot!$B$4,"Local Authority",B23)</f>
        <v>2</v>
      </c>
      <c r="R23" s="762">
        <f t="shared" si="1"/>
        <v>367</v>
      </c>
      <c r="S23" s="69">
        <f t="shared" si="0"/>
        <v>210</v>
      </c>
    </row>
    <row r="24" spans="1:19" x14ac:dyDescent="0.3">
      <c r="A24" s="388" t="s">
        <v>269</v>
      </c>
      <c r="B24" s="539" t="s">
        <v>270</v>
      </c>
      <c r="C24" s="50">
        <f>GETPIVOTDATA("Sum of Hospital / Prison",auditlapivot!$B$4,"Local Authority",B24)</f>
        <v>38</v>
      </c>
      <c r="D24" s="50">
        <f>GETPIVOTDATA("Sum of Care Home",auditlapivot!$B$4,"Local Authority",B24)</f>
        <v>141</v>
      </c>
      <c r="E24" s="50">
        <f>GETPIVOTDATA("Sum of HMO",auditlapivot!$B$4,"Local Authority",B24)</f>
        <v>916</v>
      </c>
      <c r="F24" s="50">
        <f>GETPIVOTDATA("Sum of Hostel",auditlapivot!$B$4,"Local Authority",B24)</f>
        <v>5</v>
      </c>
      <c r="G24" s="50">
        <f>GETPIVOTDATA("Sum of Hotel",auditlapivot!$B$4,"Local Authority",B24)</f>
        <v>104</v>
      </c>
      <c r="H24" s="50">
        <f>GETPIVOTDATA("Sum of Other Sleeping Accomm",auditlapivot!$B$4,"Local Authority",B24)</f>
        <v>9</v>
      </c>
      <c r="I24" s="50">
        <f>GETPIVOTDATA("Sum of Further Education",auditlapivot!$B$4,"Local Authority",B24)</f>
        <v>0</v>
      </c>
      <c r="J24" s="50">
        <f>GETPIVOTDATA("Sum of Public Building",auditlapivot!$B$4,"Local Authority",B24)</f>
        <v>3</v>
      </c>
      <c r="K24" s="50">
        <f>GETPIVOTDATA("Sum of Licensed Premises",auditlapivot!$B$4,"Local Authority",B24)</f>
        <v>28</v>
      </c>
      <c r="L24" s="50">
        <f>GETPIVOTDATA("Sum of School",auditlapivot!$B$4,"Local Authority",B24)</f>
        <v>45</v>
      </c>
      <c r="M24" s="50">
        <f>GETPIVOTDATA("Sum of Shop",auditlapivot!$B$4,"Local Authority",B24)</f>
        <v>56</v>
      </c>
      <c r="N24" s="50">
        <f>GETPIVOTDATA("Sum of Other Premises Open to Public",auditlapivot!$B$4,"Local Authority",B24)</f>
        <v>7</v>
      </c>
      <c r="O24" s="50">
        <f>GETPIVOTDATA("Sum of Factory or Warehouse",auditlapivot!$B$4,"Local Authority",B24)</f>
        <v>11</v>
      </c>
      <c r="P24" s="50">
        <f>GETPIVOTDATA("Sum of Office",auditlapivot!$B$4,"Local Authority",B24)</f>
        <v>20</v>
      </c>
      <c r="Q24" s="50">
        <f>GETPIVOTDATA("Sum of Other Workplace",auditlapivot!$B$4,"Local Authority",B24)</f>
        <v>16</v>
      </c>
      <c r="R24" s="762">
        <f t="shared" si="1"/>
        <v>1399</v>
      </c>
      <c r="S24" s="69">
        <f t="shared" si="0"/>
        <v>483</v>
      </c>
    </row>
    <row r="25" spans="1:19" x14ac:dyDescent="0.3">
      <c r="A25" s="388" t="s">
        <v>272</v>
      </c>
      <c r="B25" s="539" t="s">
        <v>273</v>
      </c>
      <c r="C25" s="50">
        <f>GETPIVOTDATA("Sum of Hospital / Prison",auditlapivot!$B$4,"Local Authority",B25)</f>
        <v>19</v>
      </c>
      <c r="D25" s="50">
        <f>GETPIVOTDATA("Sum of Care Home",auditlapivot!$B$4,"Local Authority",B25)</f>
        <v>87</v>
      </c>
      <c r="E25" s="50">
        <f>GETPIVOTDATA("Sum of HMO",auditlapivot!$B$4,"Local Authority",B25)</f>
        <v>63</v>
      </c>
      <c r="F25" s="50">
        <f>GETPIVOTDATA("Sum of Hostel",auditlapivot!$B$4,"Local Authority",B25)</f>
        <v>24</v>
      </c>
      <c r="G25" s="50">
        <f>GETPIVOTDATA("Sum of Hotel",auditlapivot!$B$4,"Local Authority",B25)</f>
        <v>127</v>
      </c>
      <c r="H25" s="50">
        <f>GETPIVOTDATA("Sum of Other Sleeping Accomm",auditlapivot!$B$4,"Local Authority",B25)</f>
        <v>82</v>
      </c>
      <c r="I25" s="50">
        <f>GETPIVOTDATA("Sum of Further Education",auditlapivot!$B$4,"Local Authority",B25)</f>
        <v>0</v>
      </c>
      <c r="J25" s="50">
        <f>GETPIVOTDATA("Sum of Public Building",auditlapivot!$B$4,"Local Authority",B25)</f>
        <v>0</v>
      </c>
      <c r="K25" s="50">
        <f>GETPIVOTDATA("Sum of Licensed Premises",auditlapivot!$B$4,"Local Authority",B25)</f>
        <v>5</v>
      </c>
      <c r="L25" s="50">
        <f>GETPIVOTDATA("Sum of School",auditlapivot!$B$4,"Local Authority",B25)</f>
        <v>1</v>
      </c>
      <c r="M25" s="50">
        <f>GETPIVOTDATA("Sum of Shop",auditlapivot!$B$4,"Local Authority",B25)</f>
        <v>0</v>
      </c>
      <c r="N25" s="50">
        <f>GETPIVOTDATA("Sum of Other Premises Open to Public",auditlapivot!$B$4,"Local Authority",B25)</f>
        <v>3</v>
      </c>
      <c r="O25" s="50">
        <f>GETPIVOTDATA("Sum of Factory or Warehouse",auditlapivot!$B$4,"Local Authority",B25)</f>
        <v>1</v>
      </c>
      <c r="P25" s="50">
        <f>GETPIVOTDATA("Sum of Office",auditlapivot!$B$4,"Local Authority",B25)</f>
        <v>2</v>
      </c>
      <c r="Q25" s="50">
        <f>GETPIVOTDATA("Sum of Other Workplace",auditlapivot!$B$4,"Local Authority",B25)</f>
        <v>5</v>
      </c>
      <c r="R25" s="762">
        <f t="shared" si="1"/>
        <v>419</v>
      </c>
      <c r="S25" s="69">
        <f t="shared" si="0"/>
        <v>356</v>
      </c>
    </row>
    <row r="26" spans="1:19" x14ac:dyDescent="0.3">
      <c r="A26" s="388" t="s">
        <v>276</v>
      </c>
      <c r="B26" s="539" t="s">
        <v>277</v>
      </c>
      <c r="C26" s="50">
        <f>GETPIVOTDATA("Sum of Hospital / Prison",auditlapivot!$B$4,"Local Authority",B26)</f>
        <v>4</v>
      </c>
      <c r="D26" s="50">
        <f>GETPIVOTDATA("Sum of Care Home",auditlapivot!$B$4,"Local Authority",B26)</f>
        <v>29</v>
      </c>
      <c r="E26" s="50">
        <f>GETPIVOTDATA("Sum of HMO",auditlapivot!$B$4,"Local Authority",B26)</f>
        <v>16</v>
      </c>
      <c r="F26" s="50">
        <f>GETPIVOTDATA("Sum of Hostel",auditlapivot!$B$4,"Local Authority",B26)</f>
        <v>0</v>
      </c>
      <c r="G26" s="50">
        <f>GETPIVOTDATA("Sum of Hotel",auditlapivot!$B$4,"Local Authority",B26)</f>
        <v>5</v>
      </c>
      <c r="H26" s="50">
        <f>GETPIVOTDATA("Sum of Other Sleeping Accomm",auditlapivot!$B$4,"Local Authority",B26)</f>
        <v>5</v>
      </c>
      <c r="I26" s="50">
        <f>GETPIVOTDATA("Sum of Further Education",auditlapivot!$B$4,"Local Authority",B26)</f>
        <v>0</v>
      </c>
      <c r="J26" s="50">
        <f>GETPIVOTDATA("Sum of Public Building",auditlapivot!$B$4,"Local Authority",B26)</f>
        <v>0</v>
      </c>
      <c r="K26" s="50">
        <f>GETPIVOTDATA("Sum of Licensed Premises",auditlapivot!$B$4,"Local Authority",B26)</f>
        <v>0</v>
      </c>
      <c r="L26" s="50">
        <f>GETPIVOTDATA("Sum of School",auditlapivot!$B$4,"Local Authority",B26)</f>
        <v>1</v>
      </c>
      <c r="M26" s="50">
        <f>GETPIVOTDATA("Sum of Shop",auditlapivot!$B$4,"Local Authority",B26)</f>
        <v>0</v>
      </c>
      <c r="N26" s="50">
        <f>GETPIVOTDATA("Sum of Other Premises Open to Public",auditlapivot!$B$4,"Local Authority",B26)</f>
        <v>3</v>
      </c>
      <c r="O26" s="50">
        <f>GETPIVOTDATA("Sum of Factory or Warehouse",auditlapivot!$B$4,"Local Authority",B26)</f>
        <v>2</v>
      </c>
      <c r="P26" s="50">
        <f>GETPIVOTDATA("Sum of Office",auditlapivot!$B$4,"Local Authority",B26)</f>
        <v>2</v>
      </c>
      <c r="Q26" s="50">
        <f>GETPIVOTDATA("Sum of Other Workplace",auditlapivot!$B$4,"Local Authority",B26)</f>
        <v>5</v>
      </c>
      <c r="R26" s="762">
        <f t="shared" si="1"/>
        <v>72</v>
      </c>
      <c r="S26" s="69">
        <f t="shared" si="0"/>
        <v>56</v>
      </c>
    </row>
    <row r="27" spans="1:19" x14ac:dyDescent="0.3">
      <c r="A27" s="388" t="s">
        <v>278</v>
      </c>
      <c r="B27" s="539" t="s">
        <v>279</v>
      </c>
      <c r="C27" s="50">
        <f>GETPIVOTDATA("Sum of Hospital / Prison",auditlapivot!$B$4,"Local Authority",B27)</f>
        <v>2</v>
      </c>
      <c r="D27" s="50">
        <f>GETPIVOTDATA("Sum of Care Home",auditlapivot!$B$4,"Local Authority",B27)</f>
        <v>26</v>
      </c>
      <c r="E27" s="50">
        <f>GETPIVOTDATA("Sum of HMO",auditlapivot!$B$4,"Local Authority",B27)</f>
        <v>24</v>
      </c>
      <c r="F27" s="50">
        <f>GETPIVOTDATA("Sum of Hostel",auditlapivot!$B$4,"Local Authority",B27)</f>
        <v>0</v>
      </c>
      <c r="G27" s="50">
        <f>GETPIVOTDATA("Sum of Hotel",auditlapivot!$B$4,"Local Authority",B27)</f>
        <v>9</v>
      </c>
      <c r="H27" s="50">
        <f>GETPIVOTDATA("Sum of Other Sleeping Accomm",auditlapivot!$B$4,"Local Authority",B27)</f>
        <v>24</v>
      </c>
      <c r="I27" s="50">
        <f>GETPIVOTDATA("Sum of Further Education",auditlapivot!$B$4,"Local Authority",B27)</f>
        <v>0</v>
      </c>
      <c r="J27" s="50">
        <f>GETPIVOTDATA("Sum of Public Building",auditlapivot!$B$4,"Local Authority",B27)</f>
        <v>2</v>
      </c>
      <c r="K27" s="50">
        <f>GETPIVOTDATA("Sum of Licensed Premises",auditlapivot!$B$4,"Local Authority",B27)</f>
        <v>67</v>
      </c>
      <c r="L27" s="50">
        <f>GETPIVOTDATA("Sum of School",auditlapivot!$B$4,"Local Authority",B27)</f>
        <v>1</v>
      </c>
      <c r="M27" s="50">
        <f>GETPIVOTDATA("Sum of Shop",auditlapivot!$B$4,"Local Authority",B27)</f>
        <v>6</v>
      </c>
      <c r="N27" s="50">
        <f>GETPIVOTDATA("Sum of Other Premises Open to Public",auditlapivot!$B$4,"Local Authority",B27)</f>
        <v>10</v>
      </c>
      <c r="O27" s="50">
        <f>GETPIVOTDATA("Sum of Factory or Warehouse",auditlapivot!$B$4,"Local Authority",B27)</f>
        <v>3</v>
      </c>
      <c r="P27" s="50">
        <f>GETPIVOTDATA("Sum of Office",auditlapivot!$B$4,"Local Authority",B27)</f>
        <v>10</v>
      </c>
      <c r="Q27" s="50">
        <f>GETPIVOTDATA("Sum of Other Workplace",auditlapivot!$B$4,"Local Authority",B27)</f>
        <v>18</v>
      </c>
      <c r="R27" s="762">
        <f t="shared" si="1"/>
        <v>202</v>
      </c>
      <c r="S27" s="69">
        <f t="shared" si="0"/>
        <v>178</v>
      </c>
    </row>
    <row r="28" spans="1:19" x14ac:dyDescent="0.3">
      <c r="A28" s="388" t="s">
        <v>280</v>
      </c>
      <c r="B28" s="539" t="s">
        <v>281</v>
      </c>
      <c r="C28" s="50">
        <f>GETPIVOTDATA("Sum of Hospital / Prison",auditlapivot!$B$4,"Local Authority",B28)</f>
        <v>1</v>
      </c>
      <c r="D28" s="50">
        <f>GETPIVOTDATA("Sum of Care Home",auditlapivot!$B$4,"Local Authority",B28)</f>
        <v>20</v>
      </c>
      <c r="E28" s="50">
        <f>GETPIVOTDATA("Sum of HMO",auditlapivot!$B$4,"Local Authority",B28)</f>
        <v>3</v>
      </c>
      <c r="F28" s="50">
        <f>GETPIVOTDATA("Sum of Hostel",auditlapivot!$B$4,"Local Authority",B28)</f>
        <v>0</v>
      </c>
      <c r="G28" s="50">
        <f>GETPIVOTDATA("Sum of Hotel",auditlapivot!$B$4,"Local Authority",B28)</f>
        <v>3</v>
      </c>
      <c r="H28" s="50">
        <f>GETPIVOTDATA("Sum of Other Sleeping Accomm",auditlapivot!$B$4,"Local Authority",B28)</f>
        <v>16</v>
      </c>
      <c r="I28" s="50">
        <f>GETPIVOTDATA("Sum of Further Education",auditlapivot!$B$4,"Local Authority",B28)</f>
        <v>0</v>
      </c>
      <c r="J28" s="50">
        <f>GETPIVOTDATA("Sum of Public Building",auditlapivot!$B$4,"Local Authority",B28)</f>
        <v>0</v>
      </c>
      <c r="K28" s="50">
        <f>GETPIVOTDATA("Sum of Licensed Premises",auditlapivot!$B$4,"Local Authority",B28)</f>
        <v>1</v>
      </c>
      <c r="L28" s="50">
        <f>GETPIVOTDATA("Sum of School",auditlapivot!$B$4,"Local Authority",B28)</f>
        <v>2</v>
      </c>
      <c r="M28" s="50">
        <f>GETPIVOTDATA("Sum of Shop",auditlapivot!$B$4,"Local Authority",B28)</f>
        <v>6</v>
      </c>
      <c r="N28" s="50">
        <f>GETPIVOTDATA("Sum of Other Premises Open to Public",auditlapivot!$B$4,"Local Authority",B28)</f>
        <v>0</v>
      </c>
      <c r="O28" s="50">
        <f>GETPIVOTDATA("Sum of Factory or Warehouse",auditlapivot!$B$4,"Local Authority",B28)</f>
        <v>2</v>
      </c>
      <c r="P28" s="50">
        <f>GETPIVOTDATA("Sum of Office",auditlapivot!$B$4,"Local Authority",B28)</f>
        <v>1</v>
      </c>
      <c r="Q28" s="50">
        <f>GETPIVOTDATA("Sum of Other Workplace",auditlapivot!$B$4,"Local Authority",B28)</f>
        <v>0</v>
      </c>
      <c r="R28" s="762">
        <f t="shared" si="1"/>
        <v>55</v>
      </c>
      <c r="S28" s="69">
        <f t="shared" si="0"/>
        <v>52</v>
      </c>
    </row>
    <row r="29" spans="1:19" x14ac:dyDescent="0.3">
      <c r="A29" s="388" t="s">
        <v>282</v>
      </c>
      <c r="B29" s="539" t="s">
        <v>283</v>
      </c>
      <c r="C29" s="50">
        <f>GETPIVOTDATA("Sum of Hospital / Prison",auditlapivot!$B$4,"Local Authority","Na h-Eileanan an Iar")</f>
        <v>3</v>
      </c>
      <c r="D29" s="50">
        <f>GETPIVOTDATA("Sum of Care Home",auditlapivot!$B$4,"Local Authority","Na h-Eileanan an Iar")</f>
        <v>10</v>
      </c>
      <c r="E29" s="50">
        <f>GETPIVOTDATA("Sum of HMO",auditlapivot!$B$4,"Local Authority","Na h-Eileanan an Iar")</f>
        <v>1</v>
      </c>
      <c r="F29" s="50">
        <f>GETPIVOTDATA("Sum of Hostel",auditlapivot!$B$4,"Local Authority","Na h-Eileanan an Iar")</f>
        <v>1</v>
      </c>
      <c r="G29" s="50">
        <f>GETPIVOTDATA("Sum of Hotel",auditlapivot!$B$4,"Local Authority","Na h-Eileanan an Iar")</f>
        <v>5</v>
      </c>
      <c r="H29" s="50">
        <f>GETPIVOTDATA("Sum of Other Sleeping Accomm",auditlapivot!$B$4,"Local Authority","Na h-Eileanan an Iar")</f>
        <v>20</v>
      </c>
      <c r="I29" s="50">
        <f>GETPIVOTDATA("Sum of Further Education",auditlapivot!$B$4,"Local Authority","Na h-Eileanan an Iar")</f>
        <v>0</v>
      </c>
      <c r="J29" s="50">
        <f>GETPIVOTDATA("Sum of Public Building",auditlapivot!$B$4,"Local Authority","Na h-Eileanan an Iar")</f>
        <v>0</v>
      </c>
      <c r="K29" s="50">
        <f>GETPIVOTDATA("Sum of Licensed Premises",auditlapivot!$B$4,"Local Authority","Na h-Eileanan an Iar")</f>
        <v>0</v>
      </c>
      <c r="L29" s="50">
        <f>GETPIVOTDATA("Sum of School",auditlapivot!$B$4,"Local Authority","Na h-Eileanan an Iar")</f>
        <v>0</v>
      </c>
      <c r="M29" s="50">
        <f>GETPIVOTDATA("Sum of Shop",auditlapivot!$B$4,"Local Authority","Na h-Eileanan an Iar")</f>
        <v>1</v>
      </c>
      <c r="N29" s="50">
        <f>GETPIVOTDATA("Sum of Other Premises Open to Public",auditlapivot!$B$4,"Local Authority","Na h-Eileanan an Iar")</f>
        <v>0</v>
      </c>
      <c r="O29" s="50">
        <f>GETPIVOTDATA("Sum of Factory or Warehouse",auditlapivot!$B$4,"Local Authority","Na h-Eileanan an Iar")</f>
        <v>1</v>
      </c>
      <c r="P29" s="50">
        <f>GETPIVOTDATA("Sum of Office",auditlapivot!$B$4,"Local Authority","Na h-Eileanan an Iar")</f>
        <v>0</v>
      </c>
      <c r="Q29" s="50">
        <f>GETPIVOTDATA("Sum of Other Workplace",auditlapivot!$B$4,"Local Authority","Na h-Eileanan an Iar")</f>
        <v>0</v>
      </c>
      <c r="R29" s="762">
        <f t="shared" si="1"/>
        <v>42</v>
      </c>
      <c r="S29" s="69">
        <f t="shared" si="0"/>
        <v>41</v>
      </c>
    </row>
    <row r="30" spans="1:19" x14ac:dyDescent="0.3">
      <c r="A30" s="388" t="s">
        <v>286</v>
      </c>
      <c r="B30" s="539" t="s">
        <v>287</v>
      </c>
      <c r="C30" s="50">
        <f>GETPIVOTDATA("Sum of Hospital / Prison",auditlapivot!$B$4,"Local Authority",B30)</f>
        <v>0</v>
      </c>
      <c r="D30" s="50">
        <f>GETPIVOTDATA("Sum of Care Home",auditlapivot!$B$4,"Local Authority",B30)</f>
        <v>71</v>
      </c>
      <c r="E30" s="50">
        <f>GETPIVOTDATA("Sum of HMO",auditlapivot!$B$4,"Local Authority",B30)</f>
        <v>0</v>
      </c>
      <c r="F30" s="50">
        <f>GETPIVOTDATA("Sum of Hostel",auditlapivot!$B$4,"Local Authority",B30)</f>
        <v>2</v>
      </c>
      <c r="G30" s="50">
        <f>GETPIVOTDATA("Sum of Hotel",auditlapivot!$B$4,"Local Authority",B30)</f>
        <v>12</v>
      </c>
      <c r="H30" s="50">
        <f>GETPIVOTDATA("Sum of Other Sleeping Accomm",auditlapivot!$B$4,"Local Authority",B30)</f>
        <v>6</v>
      </c>
      <c r="I30" s="50">
        <f>GETPIVOTDATA("Sum of Further Education",auditlapivot!$B$4,"Local Authority",B30)</f>
        <v>7</v>
      </c>
      <c r="J30" s="50">
        <f>GETPIVOTDATA("Sum of Public Building",auditlapivot!$B$4,"Local Authority",B30)</f>
        <v>0</v>
      </c>
      <c r="K30" s="50">
        <f>GETPIVOTDATA("Sum of Licensed Premises",auditlapivot!$B$4,"Local Authority",B30)</f>
        <v>8</v>
      </c>
      <c r="L30" s="50">
        <f>GETPIVOTDATA("Sum of School",auditlapivot!$B$4,"Local Authority",B30)</f>
        <v>4</v>
      </c>
      <c r="M30" s="50">
        <f>GETPIVOTDATA("Sum of Shop",auditlapivot!$B$4,"Local Authority",B30)</f>
        <v>15</v>
      </c>
      <c r="N30" s="50">
        <f>GETPIVOTDATA("Sum of Other Premises Open to Public",auditlapivot!$B$4,"Local Authority",B30)</f>
        <v>9</v>
      </c>
      <c r="O30" s="50">
        <f>GETPIVOTDATA("Sum of Factory or Warehouse",auditlapivot!$B$4,"Local Authority",B30)</f>
        <v>3</v>
      </c>
      <c r="P30" s="50">
        <f>GETPIVOTDATA("Sum of Office",auditlapivot!$B$4,"Local Authority",B30)</f>
        <v>6</v>
      </c>
      <c r="Q30" s="50">
        <f>GETPIVOTDATA("Sum of Other Workplace",auditlapivot!$B$4,"Local Authority",B30)</f>
        <v>5</v>
      </c>
      <c r="R30" s="762">
        <f t="shared" si="1"/>
        <v>148</v>
      </c>
      <c r="S30" s="69">
        <f t="shared" si="0"/>
        <v>148</v>
      </c>
    </row>
    <row r="31" spans="1:19" x14ac:dyDescent="0.3">
      <c r="A31" s="388" t="s">
        <v>288</v>
      </c>
      <c r="B31" s="539" t="s">
        <v>289</v>
      </c>
      <c r="C31" s="50">
        <f>GETPIVOTDATA("Sum of Hospital / Prison",auditlapivot!$B$4,"Local Authority",B31)</f>
        <v>7</v>
      </c>
      <c r="D31" s="50">
        <f>GETPIVOTDATA("Sum of Care Home",auditlapivot!$B$4,"Local Authority",B31)</f>
        <v>49</v>
      </c>
      <c r="E31" s="50">
        <f>GETPIVOTDATA("Sum of HMO",auditlapivot!$B$4,"Local Authority",B31)</f>
        <v>15</v>
      </c>
      <c r="F31" s="50">
        <f>GETPIVOTDATA("Sum of Hostel",auditlapivot!$B$4,"Local Authority",B31)</f>
        <v>1</v>
      </c>
      <c r="G31" s="50">
        <f>GETPIVOTDATA("Sum of Hotel",auditlapivot!$B$4,"Local Authority",B31)</f>
        <v>33</v>
      </c>
      <c r="H31" s="50">
        <f>GETPIVOTDATA("Sum of Other Sleeping Accomm",auditlapivot!$B$4,"Local Authority",B31)</f>
        <v>12</v>
      </c>
      <c r="I31" s="50">
        <f>GETPIVOTDATA("Sum of Further Education",auditlapivot!$B$4,"Local Authority",B31)</f>
        <v>0</v>
      </c>
      <c r="J31" s="50">
        <f>GETPIVOTDATA("Sum of Public Building",auditlapivot!$B$4,"Local Authority",B31)</f>
        <v>0</v>
      </c>
      <c r="K31" s="50">
        <f>GETPIVOTDATA("Sum of Licensed Premises",auditlapivot!$B$4,"Local Authority",B31)</f>
        <v>6</v>
      </c>
      <c r="L31" s="50">
        <f>GETPIVOTDATA("Sum of School",auditlapivot!$B$4,"Local Authority",B31)</f>
        <v>7</v>
      </c>
      <c r="M31" s="50">
        <f>GETPIVOTDATA("Sum of Shop",auditlapivot!$B$4,"Local Authority",B31)</f>
        <v>43</v>
      </c>
      <c r="N31" s="50">
        <f>GETPIVOTDATA("Sum of Other Premises Open to Public",auditlapivot!$B$4,"Local Authority",B31)</f>
        <v>9</v>
      </c>
      <c r="O31" s="50">
        <f>GETPIVOTDATA("Sum of Factory or Warehouse",auditlapivot!$B$4,"Local Authority",B31)</f>
        <v>21</v>
      </c>
      <c r="P31" s="50">
        <f>GETPIVOTDATA("Sum of Office",auditlapivot!$B$4,"Local Authority",B31)</f>
        <v>92</v>
      </c>
      <c r="Q31" s="50">
        <f>GETPIVOTDATA("Sum of Other Workplace",auditlapivot!$B$4,"Local Authority",B31)</f>
        <v>32</v>
      </c>
      <c r="R31" s="762">
        <f t="shared" si="1"/>
        <v>327</v>
      </c>
      <c r="S31" s="69">
        <f t="shared" si="0"/>
        <v>312</v>
      </c>
    </row>
    <row r="32" spans="1:19" x14ac:dyDescent="0.3">
      <c r="A32" s="388" t="s">
        <v>291</v>
      </c>
      <c r="B32" s="539" t="s">
        <v>292</v>
      </c>
      <c r="C32" s="50">
        <f>GETPIVOTDATA("Sum of Hospital / Prison",auditlapivot!$B$4,"Local Authority",B32)</f>
        <v>1</v>
      </c>
      <c r="D32" s="50">
        <f>GETPIVOTDATA("Sum of Care Home",auditlapivot!$B$4,"Local Authority",B32)</f>
        <v>7</v>
      </c>
      <c r="E32" s="50">
        <f>GETPIVOTDATA("Sum of HMO",auditlapivot!$B$4,"Local Authority",B32)</f>
        <v>3</v>
      </c>
      <c r="F32" s="50">
        <f>GETPIVOTDATA("Sum of Hostel",auditlapivot!$B$4,"Local Authority",B32)</f>
        <v>1</v>
      </c>
      <c r="G32" s="50">
        <f>GETPIVOTDATA("Sum of Hotel",auditlapivot!$B$4,"Local Authority",B32)</f>
        <v>11</v>
      </c>
      <c r="H32" s="50">
        <f>GETPIVOTDATA("Sum of Other Sleeping Accomm",auditlapivot!$B$4,"Local Authority",B32)</f>
        <v>4</v>
      </c>
      <c r="I32" s="50">
        <f>GETPIVOTDATA("Sum of Further Education",auditlapivot!$B$4,"Local Authority",B32)</f>
        <v>0</v>
      </c>
      <c r="J32" s="50">
        <f>GETPIVOTDATA("Sum of Public Building",auditlapivot!$B$4,"Local Authority",B32)</f>
        <v>0</v>
      </c>
      <c r="K32" s="50">
        <f>GETPIVOTDATA("Sum of Licensed Premises",auditlapivot!$B$4,"Local Authority",B32)</f>
        <v>0</v>
      </c>
      <c r="L32" s="50">
        <f>GETPIVOTDATA("Sum of School",auditlapivot!$B$4,"Local Authority",B32)</f>
        <v>4</v>
      </c>
      <c r="M32" s="50">
        <f>GETPIVOTDATA("Sum of Shop",auditlapivot!$B$4,"Local Authority",B32)</f>
        <v>0</v>
      </c>
      <c r="N32" s="50">
        <f>GETPIVOTDATA("Sum of Other Premises Open to Public",auditlapivot!$B$4,"Local Authority",B32)</f>
        <v>1</v>
      </c>
      <c r="O32" s="50">
        <f>GETPIVOTDATA("Sum of Factory or Warehouse",auditlapivot!$B$4,"Local Authority",B32)</f>
        <v>2</v>
      </c>
      <c r="P32" s="50">
        <f>GETPIVOTDATA("Sum of Office",auditlapivot!$B$4,"Local Authority",B32)</f>
        <v>1</v>
      </c>
      <c r="Q32" s="50">
        <f>GETPIVOTDATA("Sum of Other Workplace",auditlapivot!$B$4,"Local Authority",B32)</f>
        <v>0</v>
      </c>
      <c r="R32" s="762">
        <f t="shared" si="1"/>
        <v>35</v>
      </c>
      <c r="S32" s="69">
        <f t="shared" si="0"/>
        <v>32</v>
      </c>
    </row>
    <row r="33" spans="1:19" x14ac:dyDescent="0.3">
      <c r="A33" s="388" t="s">
        <v>293</v>
      </c>
      <c r="B33" s="539" t="s">
        <v>294</v>
      </c>
      <c r="C33" s="50">
        <f>GETPIVOTDATA("Sum of Hospital / Prison",auditlapivot!$B$4,"Local Authority",B33)</f>
        <v>28</v>
      </c>
      <c r="D33" s="50">
        <f>GETPIVOTDATA("Sum of Care Home",auditlapivot!$B$4,"Local Authority",B33)</f>
        <v>56</v>
      </c>
      <c r="E33" s="50">
        <f>GETPIVOTDATA("Sum of HMO",auditlapivot!$B$4,"Local Authority",B33)</f>
        <v>28</v>
      </c>
      <c r="F33" s="50">
        <f>GETPIVOTDATA("Sum of Hostel",auditlapivot!$B$4,"Local Authority",B33)</f>
        <v>8</v>
      </c>
      <c r="G33" s="50">
        <f>GETPIVOTDATA("Sum of Hotel",auditlapivot!$B$4,"Local Authority",B33)</f>
        <v>53</v>
      </c>
      <c r="H33" s="50">
        <f>GETPIVOTDATA("Sum of Other Sleeping Accomm",auditlapivot!$B$4,"Local Authority",B33)</f>
        <v>41</v>
      </c>
      <c r="I33" s="50">
        <f>GETPIVOTDATA("Sum of Further Education",auditlapivot!$B$4,"Local Authority",B33)</f>
        <v>1</v>
      </c>
      <c r="J33" s="50">
        <f>GETPIVOTDATA("Sum of Public Building",auditlapivot!$B$4,"Local Authority",B33)</f>
        <v>0</v>
      </c>
      <c r="K33" s="50">
        <f>GETPIVOTDATA("Sum of Licensed Premises",auditlapivot!$B$4,"Local Authority",B33)</f>
        <v>9</v>
      </c>
      <c r="L33" s="50">
        <f>GETPIVOTDATA("Sum of School",auditlapivot!$B$4,"Local Authority",B33)</f>
        <v>2</v>
      </c>
      <c r="M33" s="50">
        <f>GETPIVOTDATA("Sum of Shop",auditlapivot!$B$4,"Local Authority",B33)</f>
        <v>3</v>
      </c>
      <c r="N33" s="50">
        <f>GETPIVOTDATA("Sum of Other Premises Open to Public",auditlapivot!$B$4,"Local Authority",B33)</f>
        <v>10</v>
      </c>
      <c r="O33" s="50">
        <f>GETPIVOTDATA("Sum of Factory or Warehouse",auditlapivot!$B$4,"Local Authority",B33)</f>
        <v>5</v>
      </c>
      <c r="P33" s="50">
        <f>GETPIVOTDATA("Sum of Office",auditlapivot!$B$4,"Local Authority",B33)</f>
        <v>4</v>
      </c>
      <c r="Q33" s="50">
        <f>GETPIVOTDATA("Sum of Other Workplace",auditlapivot!$B$4,"Local Authority",B33)</f>
        <v>7</v>
      </c>
      <c r="R33" s="762">
        <f t="shared" si="1"/>
        <v>255</v>
      </c>
      <c r="S33" s="69">
        <f t="shared" si="0"/>
        <v>227</v>
      </c>
    </row>
    <row r="34" spans="1:19" x14ac:dyDescent="0.3">
      <c r="A34" s="388" t="s">
        <v>295</v>
      </c>
      <c r="B34" s="539" t="s">
        <v>296</v>
      </c>
      <c r="C34" s="50">
        <f>GETPIVOTDATA("Sum of Hospital / Prison",auditlapivot!$B$4,"Local Authority",B34)</f>
        <v>3</v>
      </c>
      <c r="D34" s="50">
        <f>GETPIVOTDATA("Sum of Care Home",auditlapivot!$B$4,"Local Authority",B34)</f>
        <v>67</v>
      </c>
      <c r="E34" s="50">
        <f>GETPIVOTDATA("Sum of HMO",auditlapivot!$B$4,"Local Authority",B34)</f>
        <v>16</v>
      </c>
      <c r="F34" s="50">
        <f>GETPIVOTDATA("Sum of Hostel",auditlapivot!$B$4,"Local Authority",B34)</f>
        <v>1</v>
      </c>
      <c r="G34" s="50">
        <f>GETPIVOTDATA("Sum of Hotel",auditlapivot!$B$4,"Local Authority",B34)</f>
        <v>26</v>
      </c>
      <c r="H34" s="50">
        <f>GETPIVOTDATA("Sum of Other Sleeping Accomm",auditlapivot!$B$4,"Local Authority",B34)</f>
        <v>30</v>
      </c>
      <c r="I34" s="50">
        <f>GETPIVOTDATA("Sum of Further Education",auditlapivot!$B$4,"Local Authority",B34)</f>
        <v>0</v>
      </c>
      <c r="J34" s="50">
        <f>GETPIVOTDATA("Sum of Public Building",auditlapivot!$B$4,"Local Authority",B34)</f>
        <v>2</v>
      </c>
      <c r="K34" s="50">
        <f>GETPIVOTDATA("Sum of Licensed Premises",auditlapivot!$B$4,"Local Authority",B34)</f>
        <v>3</v>
      </c>
      <c r="L34" s="50">
        <f>GETPIVOTDATA("Sum of School",auditlapivot!$B$4,"Local Authority",B34)</f>
        <v>5</v>
      </c>
      <c r="M34" s="50">
        <f>GETPIVOTDATA("Sum of Shop",auditlapivot!$B$4,"Local Authority",B34)</f>
        <v>12</v>
      </c>
      <c r="N34" s="50">
        <f>GETPIVOTDATA("Sum of Other Premises Open to Public",auditlapivot!$B$4,"Local Authority",B34)</f>
        <v>1</v>
      </c>
      <c r="O34" s="50">
        <f>GETPIVOTDATA("Sum of Factory or Warehouse",auditlapivot!$B$4,"Local Authority",B34)</f>
        <v>4</v>
      </c>
      <c r="P34" s="50">
        <f>GETPIVOTDATA("Sum of Office",auditlapivot!$B$4,"Local Authority",B34)</f>
        <v>13</v>
      </c>
      <c r="Q34" s="50">
        <f>GETPIVOTDATA("Sum of Other Workplace",auditlapivot!$B$4,"Local Authority",B34)</f>
        <v>7</v>
      </c>
      <c r="R34" s="762">
        <f t="shared" si="1"/>
        <v>190</v>
      </c>
      <c r="S34" s="69">
        <f t="shared" si="0"/>
        <v>174</v>
      </c>
    </row>
    <row r="35" spans="1:19" x14ac:dyDescent="0.3">
      <c r="A35" s="388" t="s">
        <v>297</v>
      </c>
      <c r="B35" s="539" t="s">
        <v>298</v>
      </c>
      <c r="C35" s="50">
        <f>GETPIVOTDATA("Sum of Hospital / Prison",auditlapivot!$B$4,"Local Authority",B35)</f>
        <v>16</v>
      </c>
      <c r="D35" s="50">
        <f>GETPIVOTDATA("Sum of Care Home",auditlapivot!$B$4,"Local Authority",B35)</f>
        <v>36</v>
      </c>
      <c r="E35" s="50">
        <f>GETPIVOTDATA("Sum of HMO",auditlapivot!$B$4,"Local Authority",B35)</f>
        <v>28</v>
      </c>
      <c r="F35" s="50">
        <f>GETPIVOTDATA("Sum of Hostel",auditlapivot!$B$4,"Local Authority",B35)</f>
        <v>0</v>
      </c>
      <c r="G35" s="50">
        <f>GETPIVOTDATA("Sum of Hotel",auditlapivot!$B$4,"Local Authority",B35)</f>
        <v>39</v>
      </c>
      <c r="H35" s="50">
        <f>GETPIVOTDATA("Sum of Other Sleeping Accomm",auditlapivot!$B$4,"Local Authority",B35)</f>
        <v>87</v>
      </c>
      <c r="I35" s="50">
        <f>GETPIVOTDATA("Sum of Further Education",auditlapivot!$B$4,"Local Authority",B35)</f>
        <v>0</v>
      </c>
      <c r="J35" s="50">
        <f>GETPIVOTDATA("Sum of Public Building",auditlapivot!$B$4,"Local Authority",B35)</f>
        <v>2</v>
      </c>
      <c r="K35" s="50">
        <f>GETPIVOTDATA("Sum of Licensed Premises",auditlapivot!$B$4,"Local Authority",B35)</f>
        <v>9</v>
      </c>
      <c r="L35" s="50">
        <f>GETPIVOTDATA("Sum of School",auditlapivot!$B$4,"Local Authority",B35)</f>
        <v>7</v>
      </c>
      <c r="M35" s="50">
        <f>GETPIVOTDATA("Sum of Shop",auditlapivot!$B$4,"Local Authority",B35)</f>
        <v>5</v>
      </c>
      <c r="N35" s="50">
        <f>GETPIVOTDATA("Sum of Other Premises Open to Public",auditlapivot!$B$4,"Local Authority",B35)</f>
        <v>20</v>
      </c>
      <c r="O35" s="50">
        <f>GETPIVOTDATA("Sum of Factory or Warehouse",auditlapivot!$B$4,"Local Authority",B35)</f>
        <v>0</v>
      </c>
      <c r="P35" s="50">
        <f>GETPIVOTDATA("Sum of Office",auditlapivot!$B$4,"Local Authority",B35)</f>
        <v>1</v>
      </c>
      <c r="Q35" s="50">
        <f>GETPIVOTDATA("Sum of Other Workplace",auditlapivot!$B$4,"Local Authority",B35)</f>
        <v>1</v>
      </c>
      <c r="R35" s="762">
        <f t="shared" si="1"/>
        <v>251</v>
      </c>
      <c r="S35" s="69">
        <f t="shared" si="0"/>
        <v>223</v>
      </c>
    </row>
    <row r="36" spans="1:19" x14ac:dyDescent="0.3">
      <c r="A36" s="388" t="s">
        <v>299</v>
      </c>
      <c r="B36" s="539" t="s">
        <v>300</v>
      </c>
      <c r="C36" s="50">
        <f>GETPIVOTDATA("Sum of Hospital / Prison",auditlapivot!$B$4,"Local Authority",B36)</f>
        <v>1</v>
      </c>
      <c r="D36" s="50">
        <f>GETPIVOTDATA("Sum of Care Home",auditlapivot!$B$4,"Local Authority",B36)</f>
        <v>16</v>
      </c>
      <c r="E36" s="50">
        <f>GETPIVOTDATA("Sum of HMO",auditlapivot!$B$4,"Local Authority",B36)</f>
        <v>6</v>
      </c>
      <c r="F36" s="50">
        <f>GETPIVOTDATA("Sum of Hostel",auditlapivot!$B$4,"Local Authority",B36)</f>
        <v>3</v>
      </c>
      <c r="G36" s="50">
        <f>GETPIVOTDATA("Sum of Hotel",auditlapivot!$B$4,"Local Authority",B36)</f>
        <v>7</v>
      </c>
      <c r="H36" s="50">
        <f>GETPIVOTDATA("Sum of Other Sleeping Accomm",auditlapivot!$B$4,"Local Authority",B36)</f>
        <v>22</v>
      </c>
      <c r="I36" s="50">
        <f>GETPIVOTDATA("Sum of Further Education",auditlapivot!$B$4,"Local Authority",B36)</f>
        <v>0</v>
      </c>
      <c r="J36" s="50">
        <f>GETPIVOTDATA("Sum of Public Building",auditlapivot!$B$4,"Local Authority",B36)</f>
        <v>0</v>
      </c>
      <c r="K36" s="50">
        <f>GETPIVOTDATA("Sum of Licensed Premises",auditlapivot!$B$4,"Local Authority",B36)</f>
        <v>0</v>
      </c>
      <c r="L36" s="50">
        <f>GETPIVOTDATA("Sum of School",auditlapivot!$B$4,"Local Authority",B36)</f>
        <v>2</v>
      </c>
      <c r="M36" s="50">
        <f>GETPIVOTDATA("Sum of Shop",auditlapivot!$B$4,"Local Authority",B36)</f>
        <v>0</v>
      </c>
      <c r="N36" s="50">
        <f>GETPIVOTDATA("Sum of Other Premises Open to Public",auditlapivot!$B$4,"Local Authority",B36)</f>
        <v>0</v>
      </c>
      <c r="O36" s="50">
        <f>GETPIVOTDATA("Sum of Factory or Warehouse",auditlapivot!$B$4,"Local Authority",B36)</f>
        <v>0</v>
      </c>
      <c r="P36" s="50">
        <f>GETPIVOTDATA("Sum of Office",auditlapivot!$B$4,"Local Authority",B36)</f>
        <v>0</v>
      </c>
      <c r="Q36" s="50">
        <f>GETPIVOTDATA("Sum of Other Workplace",auditlapivot!$B$4,"Local Authority",B36)</f>
        <v>1</v>
      </c>
      <c r="R36" s="762">
        <f t="shared" si="1"/>
        <v>58</v>
      </c>
      <c r="S36" s="69">
        <f t="shared" si="0"/>
        <v>52</v>
      </c>
    </row>
    <row r="37" spans="1:19" x14ac:dyDescent="0.3">
      <c r="A37" s="388" t="s">
        <v>301</v>
      </c>
      <c r="B37" s="539" t="s">
        <v>302</v>
      </c>
      <c r="C37" s="50">
        <f>GETPIVOTDATA("Sum of Hospital / Prison",auditlapivot!$B$4,"Local Authority",B37)</f>
        <v>6</v>
      </c>
      <c r="D37" s="50">
        <f>GETPIVOTDATA("Sum of Care Home",auditlapivot!$B$4,"Local Authority",B37)</f>
        <v>49</v>
      </c>
      <c r="E37" s="50">
        <f>GETPIVOTDATA("Sum of HMO",auditlapivot!$B$4,"Local Authority",B37)</f>
        <v>27</v>
      </c>
      <c r="F37" s="50">
        <f>GETPIVOTDATA("Sum of Hostel",auditlapivot!$B$4,"Local Authority",B37)</f>
        <v>2</v>
      </c>
      <c r="G37" s="50">
        <f>GETPIVOTDATA("Sum of Hotel",auditlapivot!$B$4,"Local Authority",B37)</f>
        <v>46</v>
      </c>
      <c r="H37" s="50">
        <f>GETPIVOTDATA("Sum of Other Sleeping Accomm",auditlapivot!$B$4,"Local Authority",B37)</f>
        <v>47</v>
      </c>
      <c r="I37" s="50">
        <f>GETPIVOTDATA("Sum of Further Education",auditlapivot!$B$4,"Local Authority",B37)</f>
        <v>0</v>
      </c>
      <c r="J37" s="50">
        <f>GETPIVOTDATA("Sum of Public Building",auditlapivot!$B$4,"Local Authority",B37)</f>
        <v>1</v>
      </c>
      <c r="K37" s="50">
        <f>GETPIVOTDATA("Sum of Licensed Premises",auditlapivot!$B$4,"Local Authority",B37)</f>
        <v>8</v>
      </c>
      <c r="L37" s="50">
        <f>GETPIVOTDATA("Sum of School",auditlapivot!$B$4,"Local Authority",B37)</f>
        <v>2</v>
      </c>
      <c r="M37" s="50">
        <f>GETPIVOTDATA("Sum of Shop",auditlapivot!$B$4,"Local Authority",B37)</f>
        <v>8</v>
      </c>
      <c r="N37" s="50">
        <f>GETPIVOTDATA("Sum of Other Premises Open to Public",auditlapivot!$B$4,"Local Authority",B37)</f>
        <v>4</v>
      </c>
      <c r="O37" s="50">
        <f>GETPIVOTDATA("Sum of Factory or Warehouse",auditlapivot!$B$4,"Local Authority",B37)</f>
        <v>6</v>
      </c>
      <c r="P37" s="50">
        <f>GETPIVOTDATA("Sum of Office",auditlapivot!$B$4,"Local Authority",B37)</f>
        <v>7</v>
      </c>
      <c r="Q37" s="50">
        <f>GETPIVOTDATA("Sum of Other Workplace",auditlapivot!$B$4,"Local Authority",B37)</f>
        <v>6</v>
      </c>
      <c r="R37" s="762">
        <f t="shared" si="1"/>
        <v>219</v>
      </c>
      <c r="S37" s="69">
        <f t="shared" si="0"/>
        <v>192</v>
      </c>
    </row>
    <row r="38" spans="1:19" x14ac:dyDescent="0.3">
      <c r="A38" s="388" t="s">
        <v>303</v>
      </c>
      <c r="B38" s="539" t="s">
        <v>304</v>
      </c>
      <c r="C38" s="50">
        <f>GETPIVOTDATA("Sum of Hospital / Prison",auditlapivot!$B$4,"Local Authority",B38)</f>
        <v>23</v>
      </c>
      <c r="D38" s="50">
        <f>GETPIVOTDATA("Sum of Care Home",auditlapivot!$B$4,"Local Authority",B38)</f>
        <v>116</v>
      </c>
      <c r="E38" s="50">
        <f>GETPIVOTDATA("Sum of HMO",auditlapivot!$B$4,"Local Authority",B38)</f>
        <v>39</v>
      </c>
      <c r="F38" s="50">
        <f>GETPIVOTDATA("Sum of Hostel",auditlapivot!$B$4,"Local Authority",B38)</f>
        <v>0</v>
      </c>
      <c r="G38" s="50">
        <f>GETPIVOTDATA("Sum of Hotel",auditlapivot!$B$4,"Local Authority",B38)</f>
        <v>35</v>
      </c>
      <c r="H38" s="50">
        <f>GETPIVOTDATA("Sum of Other Sleeping Accomm",auditlapivot!$B$4,"Local Authority",B38)</f>
        <v>15</v>
      </c>
      <c r="I38" s="50">
        <f>GETPIVOTDATA("Sum of Further Education",auditlapivot!$B$4,"Local Authority",B38)</f>
        <v>0</v>
      </c>
      <c r="J38" s="50">
        <f>GETPIVOTDATA("Sum of Public Building",auditlapivot!$B$4,"Local Authority",B38)</f>
        <v>2</v>
      </c>
      <c r="K38" s="50">
        <f>GETPIVOTDATA("Sum of Licensed Premises",auditlapivot!$B$4,"Local Authority",B38)</f>
        <v>7</v>
      </c>
      <c r="L38" s="50">
        <f>GETPIVOTDATA("Sum of School",auditlapivot!$B$4,"Local Authority",B38)</f>
        <v>6</v>
      </c>
      <c r="M38" s="50">
        <f>GETPIVOTDATA("Sum of Shop",auditlapivot!$B$4,"Local Authority",B38)</f>
        <v>10</v>
      </c>
      <c r="N38" s="50">
        <f>GETPIVOTDATA("Sum of Other Premises Open to Public",auditlapivot!$B$4,"Local Authority",B38)</f>
        <v>10</v>
      </c>
      <c r="O38" s="50">
        <f>GETPIVOTDATA("Sum of Factory or Warehouse",auditlapivot!$B$4,"Local Authority",B38)</f>
        <v>7</v>
      </c>
      <c r="P38" s="50">
        <f>GETPIVOTDATA("Sum of Office",auditlapivot!$B$4,"Local Authority",B38)</f>
        <v>13</v>
      </c>
      <c r="Q38" s="50">
        <f>GETPIVOTDATA("Sum of Other Workplace",auditlapivot!$B$4,"Local Authority",B38)</f>
        <v>6</v>
      </c>
      <c r="R38" s="762">
        <f t="shared" si="1"/>
        <v>289</v>
      </c>
      <c r="S38" s="69">
        <f t="shared" si="0"/>
        <v>250</v>
      </c>
    </row>
    <row r="39" spans="1:19" x14ac:dyDescent="0.3">
      <c r="A39" s="388" t="s">
        <v>306</v>
      </c>
      <c r="B39" s="539" t="s">
        <v>307</v>
      </c>
      <c r="C39" s="50">
        <f>GETPIVOTDATA("Sum of Hospital / Prison",auditlapivot!$B$4,"Local Authority",B39)</f>
        <v>4</v>
      </c>
      <c r="D39" s="50">
        <f>GETPIVOTDATA("Sum of Care Home",auditlapivot!$B$4,"Local Authority",B39)</f>
        <v>42</v>
      </c>
      <c r="E39" s="50">
        <f>GETPIVOTDATA("Sum of HMO",auditlapivot!$B$4,"Local Authority",B39)</f>
        <v>81</v>
      </c>
      <c r="F39" s="50">
        <f>GETPIVOTDATA("Sum of Hostel",auditlapivot!$B$4,"Local Authority",B39)</f>
        <v>1</v>
      </c>
      <c r="G39" s="50">
        <f>GETPIVOTDATA("Sum of Hotel",auditlapivot!$B$4,"Local Authority",B39)</f>
        <v>46</v>
      </c>
      <c r="H39" s="50">
        <f>GETPIVOTDATA("Sum of Other Sleeping Accomm",auditlapivot!$B$4,"Local Authority",B39)</f>
        <v>13</v>
      </c>
      <c r="I39" s="50">
        <f>GETPIVOTDATA("Sum of Further Education",auditlapivot!$B$4,"Local Authority",B39)</f>
        <v>0</v>
      </c>
      <c r="J39" s="50">
        <f>GETPIVOTDATA("Sum of Public Building",auditlapivot!$B$4,"Local Authority",B39)</f>
        <v>0</v>
      </c>
      <c r="K39" s="50">
        <f>GETPIVOTDATA("Sum of Licensed Premises",auditlapivot!$B$4,"Local Authority",B39)</f>
        <v>6</v>
      </c>
      <c r="L39" s="50">
        <f>GETPIVOTDATA("Sum of School",auditlapivot!$B$4,"Local Authority",B39)</f>
        <v>3</v>
      </c>
      <c r="M39" s="50">
        <f>GETPIVOTDATA("Sum of Shop",auditlapivot!$B$4,"Local Authority",B39)</f>
        <v>2</v>
      </c>
      <c r="N39" s="50">
        <f>GETPIVOTDATA("Sum of Other Premises Open to Public",auditlapivot!$B$4,"Local Authority",B39)</f>
        <v>2</v>
      </c>
      <c r="O39" s="50">
        <f>GETPIVOTDATA("Sum of Factory or Warehouse",auditlapivot!$B$4,"Local Authority",B39)</f>
        <v>4</v>
      </c>
      <c r="P39" s="50">
        <f>GETPIVOTDATA("Sum of Office",auditlapivot!$B$4,"Local Authority",B39)</f>
        <v>2</v>
      </c>
      <c r="Q39" s="50">
        <f>GETPIVOTDATA("Sum of Other Workplace",auditlapivot!$B$4,"Local Authority",B39)</f>
        <v>2</v>
      </c>
      <c r="R39" s="762">
        <f t="shared" si="1"/>
        <v>208</v>
      </c>
      <c r="S39" s="69">
        <f t="shared" si="0"/>
        <v>127</v>
      </c>
    </row>
    <row r="40" spans="1:19" x14ac:dyDescent="0.3">
      <c r="A40" s="388" t="s">
        <v>308</v>
      </c>
      <c r="B40" s="539" t="s">
        <v>309</v>
      </c>
      <c r="C40" s="50">
        <f>GETPIVOTDATA("Sum of Hospital / Prison",auditlapivot!$B$4,"Local Authority",B40)</f>
        <v>6</v>
      </c>
      <c r="D40" s="50">
        <f>GETPIVOTDATA("Sum of Care Home",auditlapivot!$B$4,"Local Authority",B40)</f>
        <v>15</v>
      </c>
      <c r="E40" s="50">
        <f>GETPIVOTDATA("Sum of HMO",auditlapivot!$B$4,"Local Authority",B40)</f>
        <v>12</v>
      </c>
      <c r="F40" s="50">
        <f>GETPIVOTDATA("Sum of Hostel",auditlapivot!$B$4,"Local Authority",B40)</f>
        <v>0</v>
      </c>
      <c r="G40" s="50">
        <f>GETPIVOTDATA("Sum of Hotel",auditlapivot!$B$4,"Local Authority",B40)</f>
        <v>10</v>
      </c>
      <c r="H40" s="50">
        <f>GETPIVOTDATA("Sum of Other Sleeping Accomm",auditlapivot!$B$4,"Local Authority",B40)</f>
        <v>6</v>
      </c>
      <c r="I40" s="50">
        <f>GETPIVOTDATA("Sum of Further Education",auditlapivot!$B$4,"Local Authority",B40)</f>
        <v>1</v>
      </c>
      <c r="J40" s="50">
        <f>GETPIVOTDATA("Sum of Public Building",auditlapivot!$B$4,"Local Authority",B40)</f>
        <v>0</v>
      </c>
      <c r="K40" s="50">
        <f>GETPIVOTDATA("Sum of Licensed Premises",auditlapivot!$B$4,"Local Authority",B40)</f>
        <v>0</v>
      </c>
      <c r="L40" s="50">
        <f>GETPIVOTDATA("Sum of School",auditlapivot!$B$4,"Local Authority",B40)</f>
        <v>5</v>
      </c>
      <c r="M40" s="50">
        <f>GETPIVOTDATA("Sum of Shop",auditlapivot!$B$4,"Local Authority",B40)</f>
        <v>3</v>
      </c>
      <c r="N40" s="50">
        <f>GETPIVOTDATA("Sum of Other Premises Open to Public",auditlapivot!$B$4,"Local Authority",B40)</f>
        <v>5</v>
      </c>
      <c r="O40" s="50">
        <f>GETPIVOTDATA("Sum of Factory or Warehouse",auditlapivot!$B$4,"Local Authority",B40)</f>
        <v>42</v>
      </c>
      <c r="P40" s="50">
        <f>GETPIVOTDATA("Sum of Office",auditlapivot!$B$4,"Local Authority",B40)</f>
        <v>5</v>
      </c>
      <c r="Q40" s="50">
        <f>GETPIVOTDATA("Sum of Other Workplace",auditlapivot!$B$4,"Local Authority",B40)</f>
        <v>1</v>
      </c>
      <c r="R40" s="762">
        <f t="shared" si="1"/>
        <v>111</v>
      </c>
      <c r="S40" s="69">
        <f t="shared" si="0"/>
        <v>99</v>
      </c>
    </row>
    <row r="41" spans="1:19" x14ac:dyDescent="0.3">
      <c r="A41" s="388" t="s">
        <v>310</v>
      </c>
      <c r="B41" s="540" t="s">
        <v>311</v>
      </c>
      <c r="C41" s="50">
        <f>GETPIVOTDATA("Sum of Hospital / Prison",auditlapivot!$B$4,"Local Authority",B41)</f>
        <v>7</v>
      </c>
      <c r="D41" s="50">
        <f>GETPIVOTDATA("Sum of Care Home",auditlapivot!$B$4,"Local Authority",B41)</f>
        <v>51</v>
      </c>
      <c r="E41" s="50">
        <f>GETPIVOTDATA("Sum of HMO",auditlapivot!$B$4,"Local Authority",B41)</f>
        <v>17</v>
      </c>
      <c r="F41" s="50">
        <f>GETPIVOTDATA("Sum of Hostel",auditlapivot!$B$4,"Local Authority",B41)</f>
        <v>1</v>
      </c>
      <c r="G41" s="50">
        <f>GETPIVOTDATA("Sum of Hotel",auditlapivot!$B$4,"Local Authority",B41)</f>
        <v>11</v>
      </c>
      <c r="H41" s="50">
        <f>GETPIVOTDATA("Sum of Other Sleeping Accomm",auditlapivot!$B$4,"Local Authority",B41)</f>
        <v>11</v>
      </c>
      <c r="I41" s="50">
        <f>GETPIVOTDATA("Sum of Further Education",auditlapivot!$B$4,"Local Authority",B41)</f>
        <v>3</v>
      </c>
      <c r="J41" s="50">
        <f>GETPIVOTDATA("Sum of Public Building",auditlapivot!$B$4,"Local Authority",B41)</f>
        <v>2</v>
      </c>
      <c r="K41" s="50">
        <f>GETPIVOTDATA("Sum of Licensed Premises",auditlapivot!$B$4,"Local Authority",B41)</f>
        <v>8</v>
      </c>
      <c r="L41" s="50">
        <f>GETPIVOTDATA("Sum of School",auditlapivot!$B$4,"Local Authority",B41)</f>
        <v>32</v>
      </c>
      <c r="M41" s="50">
        <f>GETPIVOTDATA("Sum of Shop",auditlapivot!$B$4,"Local Authority",B41)</f>
        <v>28</v>
      </c>
      <c r="N41" s="50">
        <f>GETPIVOTDATA("Sum of Other Premises Open to Public",auditlapivot!$B$4,"Local Authority",B41)</f>
        <v>14</v>
      </c>
      <c r="O41" s="50">
        <f>GETPIVOTDATA("Sum of Factory or Warehouse",auditlapivot!$B$4,"Local Authority",B41)</f>
        <v>11</v>
      </c>
      <c r="P41" s="50">
        <f>GETPIVOTDATA("Sum of Office",auditlapivot!$B$4,"Local Authority",B41)</f>
        <v>6</v>
      </c>
      <c r="Q41" s="50">
        <f>GETPIVOTDATA("Sum of Other Workplace",auditlapivot!$B$4,"Local Authority",B41)</f>
        <v>2</v>
      </c>
      <c r="R41" s="762">
        <f t="shared" si="1"/>
        <v>204</v>
      </c>
      <c r="S41" s="69">
        <f t="shared" si="0"/>
        <v>187</v>
      </c>
    </row>
    <row r="42" spans="1:19" ht="15" thickBot="1" x14ac:dyDescent="0.35">
      <c r="A42" s="214"/>
      <c r="B42" s="538" t="s">
        <v>348</v>
      </c>
      <c r="C42" s="242">
        <f>SUM(C10:C41)</f>
        <v>302</v>
      </c>
      <c r="D42" s="242">
        <f t="shared" ref="D42:O42" si="2">SUM(D10:D41)</f>
        <v>1594</v>
      </c>
      <c r="E42" s="242">
        <f t="shared" si="2"/>
        <v>2624</v>
      </c>
      <c r="F42" s="242">
        <f t="shared" si="2"/>
        <v>89</v>
      </c>
      <c r="G42" s="242">
        <f t="shared" si="2"/>
        <v>925</v>
      </c>
      <c r="H42" s="242">
        <f t="shared" si="2"/>
        <v>1244</v>
      </c>
      <c r="I42" s="242">
        <f>SUM(I10:I41)</f>
        <v>23</v>
      </c>
      <c r="J42" s="242">
        <f t="shared" si="2"/>
        <v>36</v>
      </c>
      <c r="K42" s="242">
        <f t="shared" si="2"/>
        <v>326</v>
      </c>
      <c r="L42" s="242">
        <f t="shared" si="2"/>
        <v>312</v>
      </c>
      <c r="M42" s="242">
        <f t="shared" si="2"/>
        <v>280</v>
      </c>
      <c r="N42" s="242">
        <f t="shared" si="2"/>
        <v>159</v>
      </c>
      <c r="O42" s="242">
        <f t="shared" si="2"/>
        <v>188</v>
      </c>
      <c r="P42" s="242">
        <f>SUM(P10:P41)</f>
        <v>210</v>
      </c>
      <c r="Q42" s="242">
        <f>SUM(Q10:Q41)</f>
        <v>152</v>
      </c>
      <c r="R42" s="401">
        <f>SUM(R10:R41)</f>
        <v>8464</v>
      </c>
      <c r="S42" s="242">
        <f>SUM(S10:S41)</f>
        <v>5840</v>
      </c>
    </row>
    <row r="43" spans="1:19" x14ac:dyDescent="0.3">
      <c r="B43" s="15"/>
      <c r="C43" s="15"/>
      <c r="D43" s="15"/>
      <c r="E43" s="15"/>
      <c r="F43" s="15"/>
      <c r="G43" s="15"/>
      <c r="H43" s="15"/>
      <c r="I43" s="15"/>
      <c r="J43" s="15"/>
      <c r="K43" s="15"/>
      <c r="L43" s="15"/>
      <c r="M43" s="15"/>
      <c r="N43" s="15"/>
      <c r="O43" s="15"/>
      <c r="P43" s="15"/>
      <c r="Q43" s="15"/>
      <c r="R43" s="15"/>
      <c r="S43" s="15"/>
    </row>
    <row r="44" spans="1:19" x14ac:dyDescent="0.3">
      <c r="A44" s="539" t="s">
        <v>329</v>
      </c>
      <c r="B44" s="1081"/>
      <c r="C44" s="1081"/>
      <c r="D44" s="1081"/>
      <c r="E44" s="1081"/>
      <c r="F44" s="1081"/>
      <c r="G44" s="1081"/>
      <c r="H44" s="1081"/>
      <c r="I44" s="1081"/>
      <c r="J44" s="1081"/>
      <c r="K44" s="1081"/>
      <c r="L44" s="1081"/>
      <c r="M44" s="1081"/>
      <c r="N44" s="1081"/>
      <c r="O44" s="1081"/>
      <c r="P44" s="1081"/>
      <c r="Q44" s="1081"/>
      <c r="R44" s="1081"/>
      <c r="S44" s="1081"/>
    </row>
    <row r="45" spans="1:19" x14ac:dyDescent="0.3">
      <c r="A45" t="s">
        <v>1185</v>
      </c>
      <c r="B45" s="347"/>
      <c r="C45" s="347"/>
      <c r="D45" s="347"/>
      <c r="E45" s="347"/>
      <c r="F45" s="347"/>
      <c r="G45" s="347"/>
      <c r="H45" s="347"/>
      <c r="I45" s="347"/>
      <c r="J45" s="347"/>
      <c r="K45" s="347"/>
      <c r="L45" s="347"/>
      <c r="M45" s="347"/>
      <c r="N45" s="347"/>
      <c r="O45" s="347"/>
      <c r="P45" s="347"/>
      <c r="Q45" s="347"/>
      <c r="R45" s="347"/>
      <c r="S45" s="347"/>
    </row>
  </sheetData>
  <sheetProtection algorithmName="SHA-512" hashValue="hDF+IC7qvcJWvp7hN96FMEnfHsxx/QrAVMFW2hOC71AWFqqBgIaZWL+8vPSNAv/NUPP8MbNAanD8cqljsjVLsw==" saltValue="ZqgdPaJUb5A3DhS0SvCmTg==" spinCount="100000" sheet="1" scenarios="1" formatCells="0" sort="0" autoFilter="0" pivotTables="0"/>
  <mergeCells count="2">
    <mergeCell ref="B44:S44"/>
    <mergeCell ref="A4:K4"/>
  </mergeCells>
  <hyperlinks>
    <hyperlink ref="A2" location="'Table of Contents'!A1" display="Back to Table of Contents" xr:uid="{00000000-0004-0000-A400-000000000000}"/>
  </hyperlinks>
  <pageMargins left="0.70866141732283472" right="0.70866141732283472" top="0.74803149606299213" bottom="0.74803149606299213" header="0.31496062992125984" footer="0.31496062992125984"/>
  <pageSetup paperSize="9" scale="69" orientation="landscape" r:id="rId1"/>
  <drawing r:id="rId2"/>
  <extLst>
    <ext xmlns:x14="http://schemas.microsoft.com/office/spreadsheetml/2009/9/main" uri="{A8765BA9-456A-4dab-B4F3-ACF838C121DE}">
      <x14:slicerList>
        <x14:slicer r:id="rId3"/>
      </x14:slicerList>
    </ext>
  </extLst>
</worksheet>
</file>

<file path=xl/worksheets/sheet17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tabColor theme="3" tint="0.39997558519241921"/>
  </sheetPr>
  <dimension ref="B2:Q37"/>
  <sheetViews>
    <sheetView workbookViewId="0">
      <selection activeCell="C8" sqref="C8"/>
    </sheetView>
  </sheetViews>
  <sheetFormatPr defaultRowHeight="14.4" x14ac:dyDescent="0.3"/>
  <cols>
    <col min="2" max="2" width="20.33203125" bestFit="1" customWidth="1"/>
    <col min="3" max="3" width="21.21875" bestFit="1" customWidth="1"/>
    <col min="4" max="4" width="16.44140625" bestFit="1" customWidth="1"/>
    <col min="5" max="5" width="11.44140625" bestFit="1" customWidth="1"/>
    <col min="6" max="6" width="12.44140625" bestFit="1" customWidth="1"/>
    <col min="7" max="7" width="11.6640625" bestFit="1" customWidth="1"/>
    <col min="8" max="8" width="27.33203125" bestFit="1" customWidth="1"/>
    <col min="9" max="9" width="22.44140625" bestFit="1" customWidth="1"/>
    <col min="10" max="10" width="19.33203125" bestFit="1" customWidth="1"/>
    <col min="11" max="11" width="22.44140625" bestFit="1" customWidth="1"/>
    <col min="12" max="12" width="12.5546875" bestFit="1" customWidth="1"/>
    <col min="13" max="13" width="11.21875" bestFit="1" customWidth="1"/>
    <col min="14" max="14" width="33.21875" bestFit="1" customWidth="1"/>
    <col min="15" max="15" width="26" bestFit="1" customWidth="1"/>
    <col min="16" max="16" width="12" bestFit="1" customWidth="1"/>
    <col min="17" max="17" width="21.77734375" bestFit="1" customWidth="1"/>
  </cols>
  <sheetData>
    <row r="2" spans="2:17" x14ac:dyDescent="0.3">
      <c r="B2" s="386" t="s">
        <v>208</v>
      </c>
      <c r="C2" t="s">
        <v>412</v>
      </c>
    </row>
    <row r="4" spans="2:17" x14ac:dyDescent="0.3">
      <c r="B4" s="386" t="s">
        <v>350</v>
      </c>
      <c r="C4" t="s">
        <v>1186</v>
      </c>
      <c r="D4" t="s">
        <v>1187</v>
      </c>
      <c r="E4" t="s">
        <v>1188</v>
      </c>
      <c r="F4" t="s">
        <v>1189</v>
      </c>
      <c r="G4" t="s">
        <v>1190</v>
      </c>
      <c r="H4" t="s">
        <v>1191</v>
      </c>
      <c r="I4" t="s">
        <v>1192</v>
      </c>
      <c r="J4" t="s">
        <v>1193</v>
      </c>
      <c r="K4" t="s">
        <v>1194</v>
      </c>
      <c r="L4" t="s">
        <v>1195</v>
      </c>
      <c r="M4" t="s">
        <v>1196</v>
      </c>
      <c r="N4" t="s">
        <v>1197</v>
      </c>
      <c r="O4" t="s">
        <v>1198</v>
      </c>
      <c r="P4" t="s">
        <v>1199</v>
      </c>
      <c r="Q4" t="s">
        <v>1200</v>
      </c>
    </row>
    <row r="5" spans="2:17" x14ac:dyDescent="0.3">
      <c r="B5" s="387" t="s">
        <v>215</v>
      </c>
      <c r="C5">
        <v>8</v>
      </c>
      <c r="D5">
        <v>69</v>
      </c>
      <c r="E5">
        <v>245</v>
      </c>
      <c r="G5">
        <v>20</v>
      </c>
      <c r="H5">
        <v>17</v>
      </c>
      <c r="I5">
        <v>7</v>
      </c>
      <c r="K5">
        <v>3</v>
      </c>
      <c r="L5">
        <v>3</v>
      </c>
      <c r="M5">
        <v>18</v>
      </c>
      <c r="N5">
        <v>3</v>
      </c>
      <c r="O5">
        <v>1</v>
      </c>
      <c r="P5">
        <v>3</v>
      </c>
      <c r="Q5">
        <v>2</v>
      </c>
    </row>
    <row r="6" spans="2:17" x14ac:dyDescent="0.3">
      <c r="B6" s="387" t="s">
        <v>220</v>
      </c>
      <c r="C6">
        <v>15</v>
      </c>
      <c r="D6">
        <v>80</v>
      </c>
      <c r="E6">
        <v>21</v>
      </c>
      <c r="G6">
        <v>23</v>
      </c>
      <c r="H6">
        <v>48</v>
      </c>
      <c r="J6">
        <v>5</v>
      </c>
      <c r="K6">
        <v>5</v>
      </c>
      <c r="L6">
        <v>1</v>
      </c>
      <c r="M6">
        <v>4</v>
      </c>
      <c r="N6">
        <v>4</v>
      </c>
      <c r="O6">
        <v>4</v>
      </c>
      <c r="P6">
        <v>4</v>
      </c>
      <c r="Q6">
        <v>9</v>
      </c>
    </row>
    <row r="7" spans="2:17" x14ac:dyDescent="0.3">
      <c r="B7" s="387" t="s">
        <v>224</v>
      </c>
      <c r="C7">
        <v>7</v>
      </c>
      <c r="D7">
        <v>40</v>
      </c>
      <c r="E7">
        <v>4</v>
      </c>
      <c r="G7">
        <v>6</v>
      </c>
      <c r="H7">
        <v>24</v>
      </c>
      <c r="K7">
        <v>7</v>
      </c>
      <c r="L7">
        <v>2</v>
      </c>
      <c r="M7">
        <v>2</v>
      </c>
      <c r="O7">
        <v>1</v>
      </c>
      <c r="P7">
        <v>1</v>
      </c>
      <c r="Q7">
        <v>2</v>
      </c>
    </row>
    <row r="8" spans="2:17" x14ac:dyDescent="0.3">
      <c r="B8" s="387" t="s">
        <v>228</v>
      </c>
      <c r="C8">
        <v>3</v>
      </c>
      <c r="D8">
        <v>24</v>
      </c>
      <c r="E8">
        <v>24</v>
      </c>
      <c r="F8">
        <v>7</v>
      </c>
      <c r="G8">
        <v>81</v>
      </c>
      <c r="H8">
        <v>253</v>
      </c>
      <c r="I8">
        <v>1</v>
      </c>
      <c r="J8">
        <v>1</v>
      </c>
      <c r="K8">
        <v>2</v>
      </c>
      <c r="L8">
        <v>2</v>
      </c>
      <c r="M8">
        <v>3</v>
      </c>
      <c r="N8">
        <v>5</v>
      </c>
      <c r="O8">
        <v>1</v>
      </c>
      <c r="P8">
        <v>2</v>
      </c>
      <c r="Q8">
        <v>2</v>
      </c>
    </row>
    <row r="9" spans="2:17" x14ac:dyDescent="0.3">
      <c r="B9" s="387" t="s">
        <v>234</v>
      </c>
      <c r="C9">
        <v>43</v>
      </c>
      <c r="D9">
        <v>108</v>
      </c>
      <c r="E9">
        <v>513</v>
      </c>
      <c r="F9">
        <v>21</v>
      </c>
      <c r="G9">
        <v>102</v>
      </c>
      <c r="H9">
        <v>60</v>
      </c>
      <c r="I9">
        <v>2</v>
      </c>
      <c r="J9">
        <v>3</v>
      </c>
      <c r="K9">
        <v>63</v>
      </c>
      <c r="L9">
        <v>4</v>
      </c>
      <c r="M9">
        <v>24</v>
      </c>
      <c r="N9">
        <v>13</v>
      </c>
      <c r="O9">
        <v>4</v>
      </c>
      <c r="P9">
        <v>3</v>
      </c>
      <c r="Q9">
        <v>3</v>
      </c>
    </row>
    <row r="10" spans="2:17" x14ac:dyDescent="0.3">
      <c r="B10" s="387" t="s">
        <v>240</v>
      </c>
      <c r="C10">
        <v>3</v>
      </c>
      <c r="D10">
        <v>18</v>
      </c>
      <c r="E10">
        <v>3</v>
      </c>
      <c r="G10">
        <v>3</v>
      </c>
      <c r="H10">
        <v>3</v>
      </c>
      <c r="K10">
        <v>4</v>
      </c>
      <c r="L10">
        <v>6</v>
      </c>
      <c r="N10">
        <v>1</v>
      </c>
      <c r="O10">
        <v>6</v>
      </c>
    </row>
    <row r="11" spans="2:17" x14ac:dyDescent="0.3">
      <c r="B11" s="387" t="s">
        <v>244</v>
      </c>
      <c r="C11">
        <v>10</v>
      </c>
      <c r="D11">
        <v>60</v>
      </c>
      <c r="E11">
        <v>36</v>
      </c>
      <c r="F11">
        <v>9</v>
      </c>
      <c r="G11">
        <v>35</v>
      </c>
      <c r="H11">
        <v>291</v>
      </c>
      <c r="K11">
        <v>8</v>
      </c>
      <c r="L11">
        <v>95</v>
      </c>
      <c r="M11">
        <v>5</v>
      </c>
      <c r="N11">
        <v>4</v>
      </c>
      <c r="O11">
        <v>10</v>
      </c>
      <c r="P11">
        <v>3</v>
      </c>
      <c r="Q11">
        <v>2</v>
      </c>
    </row>
    <row r="12" spans="2:17" x14ac:dyDescent="0.3">
      <c r="B12" s="387" t="s">
        <v>247</v>
      </c>
      <c r="C12">
        <v>7</v>
      </c>
      <c r="D12">
        <v>35</v>
      </c>
      <c r="E12">
        <v>239</v>
      </c>
      <c r="F12">
        <v>1</v>
      </c>
      <c r="G12">
        <v>10</v>
      </c>
      <c r="H12">
        <v>11</v>
      </c>
      <c r="K12">
        <v>6</v>
      </c>
      <c r="L12">
        <v>4</v>
      </c>
      <c r="M12">
        <v>5</v>
      </c>
      <c r="N12">
        <v>1</v>
      </c>
      <c r="P12">
        <v>1</v>
      </c>
      <c r="Q12">
        <v>2</v>
      </c>
    </row>
    <row r="13" spans="2:17" x14ac:dyDescent="0.3">
      <c r="B13" s="387" t="s">
        <v>249</v>
      </c>
      <c r="C13">
        <v>12</v>
      </c>
      <c r="D13">
        <v>56</v>
      </c>
      <c r="E13">
        <v>19</v>
      </c>
      <c r="G13">
        <v>9</v>
      </c>
      <c r="H13">
        <v>32</v>
      </c>
      <c r="K13">
        <v>1</v>
      </c>
      <c r="L13">
        <v>1</v>
      </c>
      <c r="M13">
        <v>5</v>
      </c>
      <c r="N13">
        <v>4</v>
      </c>
      <c r="O13">
        <v>11</v>
      </c>
      <c r="P13">
        <v>2</v>
      </c>
      <c r="Q13">
        <v>6</v>
      </c>
    </row>
    <row r="14" spans="2:17" x14ac:dyDescent="0.3">
      <c r="B14" s="387" t="s">
        <v>253</v>
      </c>
      <c r="D14">
        <v>34</v>
      </c>
      <c r="E14">
        <v>16</v>
      </c>
      <c r="G14">
        <v>4</v>
      </c>
      <c r="H14">
        <v>1</v>
      </c>
      <c r="K14">
        <v>2</v>
      </c>
      <c r="L14">
        <v>10</v>
      </c>
      <c r="M14">
        <v>2</v>
      </c>
      <c r="Q14">
        <v>1</v>
      </c>
    </row>
    <row r="15" spans="2:17" x14ac:dyDescent="0.3">
      <c r="B15" s="387" t="s">
        <v>255</v>
      </c>
      <c r="D15">
        <v>21</v>
      </c>
      <c r="E15">
        <v>31</v>
      </c>
      <c r="G15">
        <v>6</v>
      </c>
      <c r="H15">
        <v>7</v>
      </c>
      <c r="J15">
        <v>3</v>
      </c>
      <c r="K15">
        <v>49</v>
      </c>
      <c r="L15">
        <v>5</v>
      </c>
      <c r="N15">
        <v>3</v>
      </c>
      <c r="O15">
        <v>4</v>
      </c>
      <c r="P15">
        <v>1</v>
      </c>
      <c r="Q15">
        <v>3</v>
      </c>
    </row>
    <row r="16" spans="2:17" x14ac:dyDescent="0.3">
      <c r="B16" s="387" t="s">
        <v>259</v>
      </c>
      <c r="C16">
        <v>1</v>
      </c>
      <c r="D16">
        <v>14</v>
      </c>
      <c r="E16">
        <v>10</v>
      </c>
      <c r="G16">
        <v>5</v>
      </c>
      <c r="H16">
        <v>10</v>
      </c>
      <c r="J16">
        <v>1</v>
      </c>
      <c r="K16">
        <v>1</v>
      </c>
      <c r="L16">
        <v>3</v>
      </c>
      <c r="O16">
        <v>1</v>
      </c>
      <c r="Q16">
        <v>1</v>
      </c>
    </row>
    <row r="17" spans="2:17" x14ac:dyDescent="0.3">
      <c r="B17" s="387" t="s">
        <v>263</v>
      </c>
      <c r="C17">
        <v>12</v>
      </c>
      <c r="D17">
        <v>39</v>
      </c>
      <c r="E17">
        <v>11</v>
      </c>
      <c r="F17">
        <v>1</v>
      </c>
      <c r="G17">
        <v>18</v>
      </c>
      <c r="H17">
        <v>3</v>
      </c>
      <c r="I17">
        <v>1</v>
      </c>
      <c r="J17">
        <v>9</v>
      </c>
      <c r="K17">
        <v>5</v>
      </c>
      <c r="L17">
        <v>34</v>
      </c>
      <c r="M17">
        <v>9</v>
      </c>
      <c r="N17">
        <v>10</v>
      </c>
      <c r="O17">
        <v>13</v>
      </c>
      <c r="P17">
        <v>5</v>
      </c>
      <c r="Q17">
        <v>3</v>
      </c>
    </row>
    <row r="18" spans="2:17" x14ac:dyDescent="0.3">
      <c r="B18" s="387" t="s">
        <v>267</v>
      </c>
      <c r="C18">
        <v>12</v>
      </c>
      <c r="D18">
        <v>108</v>
      </c>
      <c r="E18">
        <v>157</v>
      </c>
      <c r="G18">
        <v>21</v>
      </c>
      <c r="H18">
        <v>34</v>
      </c>
      <c r="K18">
        <v>5</v>
      </c>
      <c r="L18">
        <v>13</v>
      </c>
      <c r="M18">
        <v>5</v>
      </c>
      <c r="N18">
        <v>3</v>
      </c>
      <c r="O18">
        <v>7</v>
      </c>
      <c r="Q18">
        <v>2</v>
      </c>
    </row>
    <row r="19" spans="2:17" x14ac:dyDescent="0.3">
      <c r="B19" s="387" t="s">
        <v>270</v>
      </c>
      <c r="C19">
        <v>38</v>
      </c>
      <c r="D19">
        <v>141</v>
      </c>
      <c r="E19">
        <v>916</v>
      </c>
      <c r="F19">
        <v>5</v>
      </c>
      <c r="G19">
        <v>104</v>
      </c>
      <c r="H19">
        <v>9</v>
      </c>
      <c r="J19">
        <v>3</v>
      </c>
      <c r="K19">
        <v>28</v>
      </c>
      <c r="L19">
        <v>45</v>
      </c>
      <c r="M19">
        <v>56</v>
      </c>
      <c r="N19">
        <v>7</v>
      </c>
      <c r="O19">
        <v>11</v>
      </c>
      <c r="P19">
        <v>20</v>
      </c>
      <c r="Q19">
        <v>16</v>
      </c>
    </row>
    <row r="20" spans="2:17" x14ac:dyDescent="0.3">
      <c r="B20" s="387" t="s">
        <v>273</v>
      </c>
      <c r="C20">
        <v>19</v>
      </c>
      <c r="D20">
        <v>87</v>
      </c>
      <c r="E20">
        <v>63</v>
      </c>
      <c r="F20">
        <v>24</v>
      </c>
      <c r="G20">
        <v>127</v>
      </c>
      <c r="H20">
        <v>82</v>
      </c>
      <c r="K20">
        <v>5</v>
      </c>
      <c r="L20">
        <v>1</v>
      </c>
      <c r="N20">
        <v>3</v>
      </c>
      <c r="O20">
        <v>1</v>
      </c>
      <c r="P20">
        <v>2</v>
      </c>
      <c r="Q20">
        <v>5</v>
      </c>
    </row>
    <row r="21" spans="2:17" x14ac:dyDescent="0.3">
      <c r="B21" s="387" t="s">
        <v>277</v>
      </c>
      <c r="C21">
        <v>4</v>
      </c>
      <c r="D21">
        <v>29</v>
      </c>
      <c r="E21">
        <v>16</v>
      </c>
      <c r="G21">
        <v>5</v>
      </c>
      <c r="H21">
        <v>5</v>
      </c>
      <c r="L21">
        <v>1</v>
      </c>
      <c r="N21">
        <v>3</v>
      </c>
      <c r="O21">
        <v>2</v>
      </c>
      <c r="P21">
        <v>2</v>
      </c>
      <c r="Q21">
        <v>5</v>
      </c>
    </row>
    <row r="22" spans="2:17" x14ac:dyDescent="0.3">
      <c r="B22" s="387" t="s">
        <v>279</v>
      </c>
      <c r="C22">
        <v>2</v>
      </c>
      <c r="D22">
        <v>26</v>
      </c>
      <c r="E22">
        <v>24</v>
      </c>
      <c r="G22">
        <v>9</v>
      </c>
      <c r="H22">
        <v>24</v>
      </c>
      <c r="J22">
        <v>2</v>
      </c>
      <c r="K22">
        <v>67</v>
      </c>
      <c r="L22">
        <v>1</v>
      </c>
      <c r="M22">
        <v>6</v>
      </c>
      <c r="N22">
        <v>10</v>
      </c>
      <c r="O22">
        <v>3</v>
      </c>
      <c r="P22">
        <v>10</v>
      </c>
      <c r="Q22">
        <v>18</v>
      </c>
    </row>
    <row r="23" spans="2:17" x14ac:dyDescent="0.3">
      <c r="B23" s="387" t="s">
        <v>281</v>
      </c>
      <c r="C23">
        <v>1</v>
      </c>
      <c r="D23">
        <v>20</v>
      </c>
      <c r="E23">
        <v>3</v>
      </c>
      <c r="G23">
        <v>3</v>
      </c>
      <c r="H23">
        <v>16</v>
      </c>
      <c r="K23">
        <v>1</v>
      </c>
      <c r="L23">
        <v>2</v>
      </c>
      <c r="M23">
        <v>6</v>
      </c>
      <c r="O23">
        <v>2</v>
      </c>
      <c r="P23">
        <v>1</v>
      </c>
    </row>
    <row r="24" spans="2:17" x14ac:dyDescent="0.3">
      <c r="B24" s="387" t="s">
        <v>1201</v>
      </c>
      <c r="C24">
        <v>3</v>
      </c>
      <c r="D24">
        <v>10</v>
      </c>
      <c r="E24">
        <v>1</v>
      </c>
      <c r="F24">
        <v>1</v>
      </c>
      <c r="G24">
        <v>5</v>
      </c>
      <c r="H24">
        <v>20</v>
      </c>
      <c r="M24">
        <v>1</v>
      </c>
      <c r="O24">
        <v>1</v>
      </c>
    </row>
    <row r="25" spans="2:17" x14ac:dyDescent="0.3">
      <c r="B25" s="387" t="s">
        <v>287</v>
      </c>
      <c r="D25">
        <v>71</v>
      </c>
      <c r="F25">
        <v>2</v>
      </c>
      <c r="G25">
        <v>12</v>
      </c>
      <c r="H25">
        <v>6</v>
      </c>
      <c r="I25">
        <v>7</v>
      </c>
      <c r="K25">
        <v>8</v>
      </c>
      <c r="L25">
        <v>4</v>
      </c>
      <c r="M25">
        <v>15</v>
      </c>
      <c r="N25">
        <v>9</v>
      </c>
      <c r="O25">
        <v>3</v>
      </c>
      <c r="P25">
        <v>6</v>
      </c>
      <c r="Q25">
        <v>5</v>
      </c>
    </row>
    <row r="26" spans="2:17" x14ac:dyDescent="0.3">
      <c r="B26" s="387" t="s">
        <v>289</v>
      </c>
      <c r="C26">
        <v>7</v>
      </c>
      <c r="D26">
        <v>49</v>
      </c>
      <c r="E26">
        <v>15</v>
      </c>
      <c r="F26">
        <v>1</v>
      </c>
      <c r="G26">
        <v>33</v>
      </c>
      <c r="H26">
        <v>12</v>
      </c>
      <c r="K26">
        <v>6</v>
      </c>
      <c r="L26">
        <v>7</v>
      </c>
      <c r="M26">
        <v>43</v>
      </c>
      <c r="N26">
        <v>9</v>
      </c>
      <c r="O26">
        <v>21</v>
      </c>
      <c r="P26">
        <v>92</v>
      </c>
      <c r="Q26">
        <v>32</v>
      </c>
    </row>
    <row r="27" spans="2:17" x14ac:dyDescent="0.3">
      <c r="B27" s="387" t="s">
        <v>292</v>
      </c>
      <c r="C27">
        <v>1</v>
      </c>
      <c r="D27">
        <v>7</v>
      </c>
      <c r="E27">
        <v>3</v>
      </c>
      <c r="F27">
        <v>1</v>
      </c>
      <c r="G27">
        <v>11</v>
      </c>
      <c r="H27">
        <v>4</v>
      </c>
      <c r="L27">
        <v>4</v>
      </c>
      <c r="N27">
        <v>1</v>
      </c>
      <c r="O27">
        <v>2</v>
      </c>
      <c r="P27">
        <v>1</v>
      </c>
    </row>
    <row r="28" spans="2:17" x14ac:dyDescent="0.3">
      <c r="B28" s="387" t="s">
        <v>294</v>
      </c>
      <c r="C28">
        <v>28</v>
      </c>
      <c r="D28">
        <v>56</v>
      </c>
      <c r="E28">
        <v>28</v>
      </c>
      <c r="F28">
        <v>8</v>
      </c>
      <c r="G28">
        <v>53</v>
      </c>
      <c r="H28">
        <v>41</v>
      </c>
      <c r="I28">
        <v>1</v>
      </c>
      <c r="K28">
        <v>9</v>
      </c>
      <c r="L28">
        <v>2</v>
      </c>
      <c r="M28">
        <v>3</v>
      </c>
      <c r="N28">
        <v>10</v>
      </c>
      <c r="O28">
        <v>5</v>
      </c>
      <c r="P28">
        <v>4</v>
      </c>
      <c r="Q28">
        <v>7</v>
      </c>
    </row>
    <row r="29" spans="2:17" x14ac:dyDescent="0.3">
      <c r="B29" s="387" t="s">
        <v>296</v>
      </c>
      <c r="C29">
        <v>3</v>
      </c>
      <c r="D29">
        <v>67</v>
      </c>
      <c r="E29">
        <v>16</v>
      </c>
      <c r="F29">
        <v>1</v>
      </c>
      <c r="G29">
        <v>26</v>
      </c>
      <c r="H29">
        <v>30</v>
      </c>
      <c r="J29">
        <v>2</v>
      </c>
      <c r="K29">
        <v>3</v>
      </c>
      <c r="L29">
        <v>5</v>
      </c>
      <c r="M29">
        <v>12</v>
      </c>
      <c r="N29">
        <v>1</v>
      </c>
      <c r="O29">
        <v>4</v>
      </c>
      <c r="P29">
        <v>13</v>
      </c>
      <c r="Q29">
        <v>7</v>
      </c>
    </row>
    <row r="30" spans="2:17" x14ac:dyDescent="0.3">
      <c r="B30" s="387" t="s">
        <v>298</v>
      </c>
      <c r="C30">
        <v>16</v>
      </c>
      <c r="D30">
        <v>36</v>
      </c>
      <c r="E30">
        <v>28</v>
      </c>
      <c r="G30">
        <v>39</v>
      </c>
      <c r="H30">
        <v>87</v>
      </c>
      <c r="J30">
        <v>2</v>
      </c>
      <c r="K30">
        <v>9</v>
      </c>
      <c r="L30">
        <v>7</v>
      </c>
      <c r="M30">
        <v>5</v>
      </c>
      <c r="N30">
        <v>20</v>
      </c>
      <c r="P30">
        <v>1</v>
      </c>
      <c r="Q30">
        <v>1</v>
      </c>
    </row>
    <row r="31" spans="2:17" x14ac:dyDescent="0.3">
      <c r="B31" s="387" t="s">
        <v>300</v>
      </c>
      <c r="C31">
        <v>1</v>
      </c>
      <c r="D31">
        <v>16</v>
      </c>
      <c r="E31">
        <v>6</v>
      </c>
      <c r="F31">
        <v>3</v>
      </c>
      <c r="G31">
        <v>7</v>
      </c>
      <c r="H31">
        <v>22</v>
      </c>
      <c r="L31">
        <v>2</v>
      </c>
      <c r="Q31">
        <v>1</v>
      </c>
    </row>
    <row r="32" spans="2:17" x14ac:dyDescent="0.3">
      <c r="B32" s="387" t="s">
        <v>302</v>
      </c>
      <c r="C32">
        <v>6</v>
      </c>
      <c r="D32">
        <v>49</v>
      </c>
      <c r="E32">
        <v>27</v>
      </c>
      <c r="F32">
        <v>2</v>
      </c>
      <c r="G32">
        <v>46</v>
      </c>
      <c r="H32">
        <v>47</v>
      </c>
      <c r="J32">
        <v>1</v>
      </c>
      <c r="K32">
        <v>8</v>
      </c>
      <c r="L32">
        <v>2</v>
      </c>
      <c r="M32">
        <v>8</v>
      </c>
      <c r="N32">
        <v>4</v>
      </c>
      <c r="O32">
        <v>6</v>
      </c>
      <c r="P32">
        <v>7</v>
      </c>
      <c r="Q32">
        <v>6</v>
      </c>
    </row>
    <row r="33" spans="2:17" x14ac:dyDescent="0.3">
      <c r="B33" s="387" t="s">
        <v>304</v>
      </c>
      <c r="C33">
        <v>23</v>
      </c>
      <c r="D33">
        <v>116</v>
      </c>
      <c r="E33">
        <v>39</v>
      </c>
      <c r="G33">
        <v>35</v>
      </c>
      <c r="H33">
        <v>15</v>
      </c>
      <c r="J33">
        <v>2</v>
      </c>
      <c r="K33">
        <v>7</v>
      </c>
      <c r="L33">
        <v>6</v>
      </c>
      <c r="M33">
        <v>10</v>
      </c>
      <c r="N33">
        <v>10</v>
      </c>
      <c r="O33">
        <v>7</v>
      </c>
      <c r="P33">
        <v>13</v>
      </c>
      <c r="Q33">
        <v>6</v>
      </c>
    </row>
    <row r="34" spans="2:17" x14ac:dyDescent="0.3">
      <c r="B34" s="387" t="s">
        <v>307</v>
      </c>
      <c r="C34">
        <v>4</v>
      </c>
      <c r="D34">
        <v>42</v>
      </c>
      <c r="E34">
        <v>81</v>
      </c>
      <c r="F34">
        <v>1</v>
      </c>
      <c r="G34">
        <v>46</v>
      </c>
      <c r="H34">
        <v>13</v>
      </c>
      <c r="K34">
        <v>6</v>
      </c>
      <c r="L34">
        <v>3</v>
      </c>
      <c r="M34">
        <v>2</v>
      </c>
      <c r="N34">
        <v>2</v>
      </c>
      <c r="O34">
        <v>4</v>
      </c>
      <c r="P34">
        <v>2</v>
      </c>
      <c r="Q34">
        <v>2</v>
      </c>
    </row>
    <row r="35" spans="2:17" x14ac:dyDescent="0.3">
      <c r="B35" s="387" t="s">
        <v>309</v>
      </c>
      <c r="C35">
        <v>6</v>
      </c>
      <c r="D35">
        <v>15</v>
      </c>
      <c r="E35">
        <v>12</v>
      </c>
      <c r="G35">
        <v>10</v>
      </c>
      <c r="H35">
        <v>6</v>
      </c>
      <c r="I35">
        <v>1</v>
      </c>
      <c r="L35">
        <v>5</v>
      </c>
      <c r="M35">
        <v>3</v>
      </c>
      <c r="N35">
        <v>5</v>
      </c>
      <c r="O35">
        <v>42</v>
      </c>
      <c r="P35">
        <v>5</v>
      </c>
      <c r="Q35">
        <v>1</v>
      </c>
    </row>
    <row r="36" spans="2:17" x14ac:dyDescent="0.3">
      <c r="B36" s="387" t="s">
        <v>311</v>
      </c>
      <c r="C36">
        <v>7</v>
      </c>
      <c r="D36">
        <v>51</v>
      </c>
      <c r="E36">
        <v>17</v>
      </c>
      <c r="F36">
        <v>1</v>
      </c>
      <c r="G36">
        <v>11</v>
      </c>
      <c r="H36">
        <v>11</v>
      </c>
      <c r="I36">
        <v>3</v>
      </c>
      <c r="J36">
        <v>2</v>
      </c>
      <c r="K36">
        <v>8</v>
      </c>
      <c r="L36">
        <v>32</v>
      </c>
      <c r="M36">
        <v>28</v>
      </c>
      <c r="N36">
        <v>14</v>
      </c>
      <c r="O36">
        <v>11</v>
      </c>
      <c r="P36">
        <v>6</v>
      </c>
      <c r="Q36">
        <v>2</v>
      </c>
    </row>
    <row r="37" spans="2:17" x14ac:dyDescent="0.3">
      <c r="B37" s="387" t="s">
        <v>357</v>
      </c>
      <c r="C37">
        <v>302</v>
      </c>
      <c r="D37">
        <v>1594</v>
      </c>
      <c r="E37">
        <v>2624</v>
      </c>
      <c r="F37">
        <v>89</v>
      </c>
      <c r="G37">
        <v>925</v>
      </c>
      <c r="H37">
        <v>1244</v>
      </c>
      <c r="I37">
        <v>23</v>
      </c>
      <c r="J37">
        <v>36</v>
      </c>
      <c r="K37">
        <v>326</v>
      </c>
      <c r="L37">
        <v>312</v>
      </c>
      <c r="M37">
        <v>280</v>
      </c>
      <c r="N37">
        <v>159</v>
      </c>
      <c r="O37">
        <v>188</v>
      </c>
      <c r="P37">
        <v>210</v>
      </c>
      <c r="Q37">
        <v>152</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17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tabColor theme="3" tint="0.39997558519241921"/>
  </sheetPr>
  <dimension ref="A1:R386"/>
  <sheetViews>
    <sheetView topLeftCell="A2" workbookViewId="0">
      <selection activeCell="E14" sqref="E14"/>
    </sheetView>
  </sheetViews>
  <sheetFormatPr defaultRowHeight="14.4" x14ac:dyDescent="0.3"/>
  <cols>
    <col min="1" max="1" width="7.44140625" bestFit="1" customWidth="1"/>
    <col min="2" max="2" width="23.88671875" bestFit="1" customWidth="1"/>
    <col min="3" max="3" width="9.77734375" bestFit="1" customWidth="1"/>
    <col min="4" max="4" width="17.109375" bestFit="1" customWidth="1"/>
    <col min="5" max="5" width="12.33203125" bestFit="1" customWidth="1"/>
    <col min="6" max="6" width="7.44140625" bestFit="1" customWidth="1"/>
    <col min="7" max="7" width="8.44140625" bestFit="1" customWidth="1"/>
    <col min="8" max="8" width="7.6640625" bestFit="1" customWidth="1"/>
    <col min="9" max="9" width="23.21875" bestFit="1" customWidth="1"/>
    <col min="10" max="10" width="18.21875" bestFit="1" customWidth="1"/>
    <col min="11" max="11" width="15.21875" bestFit="1" customWidth="1"/>
    <col min="12" max="12" width="18.21875" bestFit="1" customWidth="1"/>
    <col min="13" max="13" width="8.5546875" bestFit="1" customWidth="1"/>
    <col min="14" max="14" width="7.21875" bestFit="1" customWidth="1"/>
    <col min="15" max="15" width="29.109375" bestFit="1" customWidth="1"/>
    <col min="16" max="16" width="21.77734375" bestFit="1" customWidth="1"/>
    <col min="17" max="17" width="8" bestFit="1" customWidth="1"/>
    <col min="18" max="18" width="17.5546875" bestFit="1" customWidth="1"/>
  </cols>
  <sheetData>
    <row r="1" spans="1:18" x14ac:dyDescent="0.3">
      <c r="A1" t="s">
        <v>208</v>
      </c>
      <c r="B1" t="s">
        <v>34</v>
      </c>
      <c r="C1" t="s">
        <v>209</v>
      </c>
      <c r="D1" t="s">
        <v>1145</v>
      </c>
      <c r="E1" t="s">
        <v>1141</v>
      </c>
      <c r="F1" t="s">
        <v>1144</v>
      </c>
      <c r="G1" t="s">
        <v>1146</v>
      </c>
      <c r="H1" t="s">
        <v>1147</v>
      </c>
      <c r="I1" t="s">
        <v>1202</v>
      </c>
      <c r="J1" t="s">
        <v>1143</v>
      </c>
      <c r="K1" t="s">
        <v>1153</v>
      </c>
      <c r="L1" t="s">
        <v>1148</v>
      </c>
      <c r="M1" t="s">
        <v>1154</v>
      </c>
      <c r="N1" t="s">
        <v>1155</v>
      </c>
      <c r="O1" t="s">
        <v>1150</v>
      </c>
      <c r="P1" t="s">
        <v>1142</v>
      </c>
      <c r="Q1" t="s">
        <v>1149</v>
      </c>
      <c r="R1" t="s">
        <v>1152</v>
      </c>
    </row>
    <row r="2" spans="1:18" x14ac:dyDescent="0.3">
      <c r="A2" t="s">
        <v>365</v>
      </c>
      <c r="B2" t="s">
        <v>253</v>
      </c>
      <c r="C2" t="s">
        <v>252</v>
      </c>
      <c r="D2">
        <v>5</v>
      </c>
      <c r="E2">
        <v>18</v>
      </c>
      <c r="F2">
        <v>1</v>
      </c>
      <c r="H2">
        <v>5</v>
      </c>
      <c r="I2">
        <v>1</v>
      </c>
      <c r="K2">
        <v>1</v>
      </c>
      <c r="L2">
        <v>2</v>
      </c>
      <c r="M2">
        <v>2</v>
      </c>
      <c r="N2">
        <v>6</v>
      </c>
      <c r="O2">
        <v>2</v>
      </c>
      <c r="P2">
        <v>4</v>
      </c>
      <c r="Q2">
        <v>4</v>
      </c>
      <c r="R2">
        <v>3</v>
      </c>
    </row>
    <row r="3" spans="1:18" x14ac:dyDescent="0.3">
      <c r="A3" t="s">
        <v>365</v>
      </c>
      <c r="B3" t="s">
        <v>279</v>
      </c>
      <c r="C3" t="s">
        <v>278</v>
      </c>
      <c r="D3">
        <v>3</v>
      </c>
      <c r="E3">
        <v>18</v>
      </c>
      <c r="F3">
        <v>35</v>
      </c>
      <c r="G3">
        <v>5</v>
      </c>
      <c r="H3">
        <v>2</v>
      </c>
      <c r="I3">
        <v>2</v>
      </c>
      <c r="J3">
        <v>1</v>
      </c>
      <c r="L3">
        <v>4</v>
      </c>
      <c r="M3">
        <v>14</v>
      </c>
      <c r="N3">
        <v>38</v>
      </c>
      <c r="P3">
        <v>1</v>
      </c>
      <c r="Q3">
        <v>1</v>
      </c>
      <c r="R3">
        <v>2</v>
      </c>
    </row>
    <row r="4" spans="1:18" x14ac:dyDescent="0.3">
      <c r="A4" t="s">
        <v>365</v>
      </c>
      <c r="B4" t="s">
        <v>287</v>
      </c>
      <c r="C4" t="s">
        <v>286</v>
      </c>
      <c r="D4">
        <v>7</v>
      </c>
      <c r="E4">
        <v>58</v>
      </c>
      <c r="F4">
        <v>2</v>
      </c>
      <c r="G4">
        <v>1</v>
      </c>
      <c r="H4">
        <v>6</v>
      </c>
      <c r="I4">
        <v>1</v>
      </c>
      <c r="K4">
        <v>1</v>
      </c>
      <c r="L4">
        <v>1</v>
      </c>
      <c r="M4">
        <v>2</v>
      </c>
      <c r="N4">
        <v>11</v>
      </c>
      <c r="O4">
        <v>9</v>
      </c>
      <c r="P4">
        <v>1</v>
      </c>
      <c r="Q4">
        <v>6</v>
      </c>
      <c r="R4">
        <v>3</v>
      </c>
    </row>
    <row r="5" spans="1:18" x14ac:dyDescent="0.3">
      <c r="A5" t="s">
        <v>365</v>
      </c>
      <c r="B5" t="s">
        <v>296</v>
      </c>
      <c r="C5" t="s">
        <v>295</v>
      </c>
      <c r="D5">
        <v>1</v>
      </c>
      <c r="E5">
        <v>51</v>
      </c>
      <c r="F5">
        <v>16</v>
      </c>
      <c r="H5">
        <v>21</v>
      </c>
      <c r="L5">
        <v>31</v>
      </c>
      <c r="M5">
        <v>12</v>
      </c>
      <c r="N5">
        <v>37</v>
      </c>
      <c r="O5">
        <v>10</v>
      </c>
      <c r="P5">
        <v>10</v>
      </c>
      <c r="Q5">
        <v>17</v>
      </c>
      <c r="R5">
        <v>9</v>
      </c>
    </row>
    <row r="6" spans="1:18" x14ac:dyDescent="0.3">
      <c r="A6" t="s">
        <v>365</v>
      </c>
      <c r="B6" t="s">
        <v>298</v>
      </c>
      <c r="C6" t="s">
        <v>297</v>
      </c>
      <c r="D6">
        <v>17</v>
      </c>
      <c r="E6">
        <v>34</v>
      </c>
      <c r="F6">
        <v>22</v>
      </c>
      <c r="G6">
        <v>2</v>
      </c>
      <c r="H6">
        <v>85</v>
      </c>
      <c r="I6">
        <v>41</v>
      </c>
      <c r="K6">
        <v>2</v>
      </c>
      <c r="L6">
        <v>21</v>
      </c>
      <c r="M6">
        <v>8</v>
      </c>
      <c r="N6">
        <v>117</v>
      </c>
      <c r="O6">
        <v>11</v>
      </c>
      <c r="P6">
        <v>7</v>
      </c>
      <c r="Q6">
        <v>7</v>
      </c>
      <c r="R6">
        <v>7</v>
      </c>
    </row>
    <row r="7" spans="1:18" x14ac:dyDescent="0.3">
      <c r="A7" t="s">
        <v>366</v>
      </c>
      <c r="B7" t="s">
        <v>215</v>
      </c>
      <c r="C7" t="s">
        <v>214</v>
      </c>
      <c r="D7">
        <v>23</v>
      </c>
      <c r="E7">
        <v>41</v>
      </c>
      <c r="F7">
        <v>192</v>
      </c>
      <c r="G7">
        <v>2</v>
      </c>
      <c r="H7">
        <v>25</v>
      </c>
      <c r="I7">
        <v>2</v>
      </c>
      <c r="J7">
        <v>5</v>
      </c>
      <c r="L7">
        <v>10</v>
      </c>
      <c r="M7">
        <v>1</v>
      </c>
      <c r="N7">
        <v>1</v>
      </c>
      <c r="O7">
        <v>7</v>
      </c>
      <c r="Q7">
        <v>1</v>
      </c>
      <c r="R7">
        <v>5</v>
      </c>
    </row>
    <row r="8" spans="1:18" x14ac:dyDescent="0.3">
      <c r="A8" t="s">
        <v>366</v>
      </c>
      <c r="B8" t="s">
        <v>220</v>
      </c>
      <c r="C8" t="s">
        <v>219</v>
      </c>
      <c r="D8">
        <v>13</v>
      </c>
      <c r="E8">
        <v>109</v>
      </c>
      <c r="F8">
        <v>44</v>
      </c>
      <c r="G8">
        <v>2</v>
      </c>
      <c r="H8">
        <v>106</v>
      </c>
      <c r="I8">
        <v>38</v>
      </c>
      <c r="L8">
        <v>24</v>
      </c>
      <c r="M8">
        <v>3</v>
      </c>
      <c r="O8">
        <v>8</v>
      </c>
      <c r="P8">
        <v>15</v>
      </c>
      <c r="Q8">
        <v>5</v>
      </c>
      <c r="R8">
        <v>6</v>
      </c>
    </row>
    <row r="9" spans="1:18" x14ac:dyDescent="0.3">
      <c r="A9" t="s">
        <v>366</v>
      </c>
      <c r="B9" t="s">
        <v>255</v>
      </c>
      <c r="C9" t="s">
        <v>254</v>
      </c>
      <c r="D9">
        <v>8</v>
      </c>
      <c r="E9">
        <v>27</v>
      </c>
      <c r="F9">
        <v>13</v>
      </c>
      <c r="G9">
        <v>9</v>
      </c>
      <c r="H9">
        <v>32</v>
      </c>
      <c r="I9">
        <v>22</v>
      </c>
      <c r="J9">
        <v>1</v>
      </c>
      <c r="K9">
        <v>5</v>
      </c>
      <c r="L9">
        <v>8</v>
      </c>
      <c r="M9">
        <v>3</v>
      </c>
      <c r="N9">
        <v>9</v>
      </c>
      <c r="O9">
        <v>7</v>
      </c>
      <c r="P9">
        <v>3</v>
      </c>
      <c r="Q9">
        <v>4</v>
      </c>
      <c r="R9">
        <v>5</v>
      </c>
    </row>
    <row r="10" spans="1:18" x14ac:dyDescent="0.3">
      <c r="A10" t="s">
        <v>366</v>
      </c>
      <c r="B10" t="s">
        <v>259</v>
      </c>
      <c r="C10" t="s">
        <v>258</v>
      </c>
      <c r="D10">
        <v>1</v>
      </c>
      <c r="E10">
        <v>10</v>
      </c>
      <c r="H10">
        <v>5</v>
      </c>
      <c r="I10">
        <v>1</v>
      </c>
      <c r="J10">
        <v>1</v>
      </c>
      <c r="L10">
        <v>4</v>
      </c>
      <c r="M10">
        <v>4</v>
      </c>
      <c r="N10">
        <v>18</v>
      </c>
      <c r="O10">
        <v>1</v>
      </c>
      <c r="Q10">
        <v>9</v>
      </c>
      <c r="R10">
        <v>3</v>
      </c>
    </row>
    <row r="11" spans="1:18" x14ac:dyDescent="0.3">
      <c r="A11" t="s">
        <v>366</v>
      </c>
      <c r="B11" t="s">
        <v>273</v>
      </c>
      <c r="C11" t="s">
        <v>272</v>
      </c>
      <c r="D11">
        <v>17</v>
      </c>
      <c r="E11">
        <v>91</v>
      </c>
      <c r="F11">
        <v>76</v>
      </c>
      <c r="G11">
        <v>6</v>
      </c>
      <c r="H11">
        <v>115</v>
      </c>
      <c r="I11">
        <v>7</v>
      </c>
      <c r="J11">
        <v>2</v>
      </c>
      <c r="K11">
        <v>1</v>
      </c>
      <c r="L11">
        <v>8</v>
      </c>
      <c r="N11">
        <v>5</v>
      </c>
      <c r="O11">
        <v>2</v>
      </c>
      <c r="P11">
        <v>2</v>
      </c>
      <c r="Q11">
        <v>1</v>
      </c>
      <c r="R11">
        <v>3</v>
      </c>
    </row>
    <row r="12" spans="1:18" x14ac:dyDescent="0.3">
      <c r="A12" t="s">
        <v>366</v>
      </c>
      <c r="B12" t="s">
        <v>277</v>
      </c>
      <c r="C12" t="s">
        <v>276</v>
      </c>
      <c r="D12">
        <v>6</v>
      </c>
      <c r="E12">
        <v>21</v>
      </c>
      <c r="F12">
        <v>6</v>
      </c>
      <c r="I12">
        <v>2</v>
      </c>
      <c r="J12">
        <v>1</v>
      </c>
      <c r="L12">
        <v>1</v>
      </c>
      <c r="M12">
        <v>3</v>
      </c>
      <c r="N12">
        <v>8</v>
      </c>
      <c r="O12">
        <v>5</v>
      </c>
      <c r="P12">
        <v>2</v>
      </c>
      <c r="Q12">
        <v>4</v>
      </c>
      <c r="R12">
        <v>4</v>
      </c>
    </row>
    <row r="13" spans="1:18" x14ac:dyDescent="0.3">
      <c r="A13" t="s">
        <v>366</v>
      </c>
      <c r="B13" t="s">
        <v>289</v>
      </c>
      <c r="C13" t="s">
        <v>288</v>
      </c>
      <c r="D13">
        <v>12</v>
      </c>
      <c r="E13">
        <v>87</v>
      </c>
      <c r="F13">
        <v>30</v>
      </c>
      <c r="H13">
        <v>38</v>
      </c>
      <c r="I13">
        <v>5</v>
      </c>
      <c r="J13">
        <v>2</v>
      </c>
      <c r="K13">
        <v>6</v>
      </c>
      <c r="L13">
        <v>23</v>
      </c>
      <c r="M13">
        <v>15</v>
      </c>
      <c r="N13">
        <v>118</v>
      </c>
      <c r="O13">
        <v>18</v>
      </c>
      <c r="P13">
        <v>36</v>
      </c>
      <c r="Q13">
        <v>113</v>
      </c>
      <c r="R13">
        <v>51</v>
      </c>
    </row>
    <row r="14" spans="1:18" x14ac:dyDescent="0.3">
      <c r="A14" t="s">
        <v>366</v>
      </c>
      <c r="B14" t="s">
        <v>300</v>
      </c>
      <c r="C14" t="s">
        <v>299</v>
      </c>
      <c r="E14">
        <v>10</v>
      </c>
      <c r="F14">
        <v>6</v>
      </c>
      <c r="G14">
        <v>1</v>
      </c>
      <c r="H14">
        <v>4</v>
      </c>
      <c r="I14">
        <v>1</v>
      </c>
      <c r="L14">
        <v>1</v>
      </c>
      <c r="O14">
        <v>1</v>
      </c>
    </row>
    <row r="15" spans="1:18" x14ac:dyDescent="0.3">
      <c r="A15" t="s">
        <v>366</v>
      </c>
      <c r="B15" t="s">
        <v>311</v>
      </c>
      <c r="C15" t="s">
        <v>310</v>
      </c>
      <c r="D15">
        <v>7</v>
      </c>
      <c r="E15">
        <v>47</v>
      </c>
      <c r="F15">
        <v>4</v>
      </c>
      <c r="G15">
        <v>1</v>
      </c>
      <c r="H15">
        <v>33</v>
      </c>
      <c r="I15">
        <v>13</v>
      </c>
      <c r="K15">
        <v>2</v>
      </c>
      <c r="L15">
        <v>8</v>
      </c>
      <c r="M15">
        <v>6</v>
      </c>
      <c r="N15">
        <v>6</v>
      </c>
      <c r="O15">
        <v>7</v>
      </c>
      <c r="P15">
        <v>25</v>
      </c>
      <c r="Q15">
        <v>15</v>
      </c>
      <c r="R15">
        <v>2</v>
      </c>
    </row>
    <row r="16" spans="1:18" x14ac:dyDescent="0.3">
      <c r="A16" t="s">
        <v>341</v>
      </c>
      <c r="B16" t="s">
        <v>228</v>
      </c>
      <c r="C16" t="s">
        <v>227</v>
      </c>
      <c r="D16">
        <v>6</v>
      </c>
      <c r="E16">
        <v>29</v>
      </c>
      <c r="F16">
        <v>32</v>
      </c>
      <c r="G16">
        <v>15</v>
      </c>
      <c r="H16">
        <v>146</v>
      </c>
      <c r="I16">
        <v>41</v>
      </c>
      <c r="K16">
        <v>4</v>
      </c>
      <c r="L16">
        <v>11</v>
      </c>
      <c r="M16">
        <v>6</v>
      </c>
      <c r="N16">
        <v>15</v>
      </c>
      <c r="O16">
        <v>6</v>
      </c>
      <c r="P16">
        <v>8</v>
      </c>
      <c r="Q16">
        <v>9</v>
      </c>
      <c r="R16">
        <v>3</v>
      </c>
    </row>
    <row r="17" spans="1:18" x14ac:dyDescent="0.3">
      <c r="A17" t="s">
        <v>341</v>
      </c>
      <c r="B17" t="s">
        <v>247</v>
      </c>
      <c r="C17" t="s">
        <v>246</v>
      </c>
      <c r="D17">
        <v>3</v>
      </c>
      <c r="E17">
        <v>37</v>
      </c>
      <c r="F17">
        <v>570</v>
      </c>
      <c r="G17">
        <v>1</v>
      </c>
      <c r="H17">
        <v>28</v>
      </c>
      <c r="J17">
        <v>1</v>
      </c>
      <c r="L17">
        <v>5</v>
      </c>
      <c r="M17">
        <v>2</v>
      </c>
      <c r="N17">
        <v>2</v>
      </c>
      <c r="O17">
        <v>4</v>
      </c>
      <c r="P17">
        <v>3</v>
      </c>
    </row>
    <row r="18" spans="1:18" x14ac:dyDescent="0.3">
      <c r="A18" t="s">
        <v>341</v>
      </c>
      <c r="B18" t="s">
        <v>253</v>
      </c>
      <c r="C18" t="s">
        <v>252</v>
      </c>
      <c r="D18">
        <v>11</v>
      </c>
      <c r="E18">
        <v>28</v>
      </c>
      <c r="F18">
        <v>19</v>
      </c>
      <c r="H18">
        <v>6</v>
      </c>
      <c r="I18">
        <v>2</v>
      </c>
      <c r="L18">
        <v>1</v>
      </c>
      <c r="M18">
        <v>4</v>
      </c>
      <c r="N18">
        <v>1</v>
      </c>
      <c r="O18">
        <v>2</v>
      </c>
      <c r="P18">
        <v>1</v>
      </c>
      <c r="Q18">
        <v>1</v>
      </c>
      <c r="R18">
        <v>5</v>
      </c>
    </row>
    <row r="19" spans="1:18" x14ac:dyDescent="0.3">
      <c r="A19" t="s">
        <v>341</v>
      </c>
      <c r="B19" t="s">
        <v>281</v>
      </c>
      <c r="C19" t="s">
        <v>280</v>
      </c>
      <c r="D19">
        <v>8</v>
      </c>
      <c r="E19">
        <v>31</v>
      </c>
      <c r="F19">
        <v>4</v>
      </c>
      <c r="G19">
        <v>1</v>
      </c>
      <c r="H19">
        <v>28</v>
      </c>
      <c r="I19">
        <v>15</v>
      </c>
      <c r="K19">
        <v>1</v>
      </c>
      <c r="L19">
        <v>7</v>
      </c>
      <c r="M19">
        <v>20</v>
      </c>
      <c r="N19">
        <v>3</v>
      </c>
      <c r="O19">
        <v>3</v>
      </c>
      <c r="P19">
        <v>19</v>
      </c>
      <c r="Q19">
        <v>2</v>
      </c>
    </row>
    <row r="20" spans="1:18" x14ac:dyDescent="0.3">
      <c r="A20" t="s">
        <v>341</v>
      </c>
      <c r="B20" t="s">
        <v>300</v>
      </c>
      <c r="C20" t="s">
        <v>299</v>
      </c>
      <c r="D20">
        <v>1</v>
      </c>
      <c r="E20">
        <v>11</v>
      </c>
      <c r="G20">
        <v>1</v>
      </c>
      <c r="H20">
        <v>3</v>
      </c>
    </row>
    <row r="21" spans="1:18" x14ac:dyDescent="0.3">
      <c r="A21" t="s">
        <v>342</v>
      </c>
      <c r="B21" t="s">
        <v>281</v>
      </c>
      <c r="C21" t="s">
        <v>280</v>
      </c>
      <c r="D21">
        <v>10</v>
      </c>
      <c r="E21">
        <v>42</v>
      </c>
      <c r="F21">
        <v>15</v>
      </c>
      <c r="G21">
        <v>2</v>
      </c>
      <c r="H21">
        <v>45</v>
      </c>
      <c r="I21">
        <v>44</v>
      </c>
      <c r="J21">
        <v>2</v>
      </c>
      <c r="L21">
        <v>3</v>
      </c>
      <c r="M21">
        <v>21</v>
      </c>
      <c r="N21">
        <v>5</v>
      </c>
      <c r="O21">
        <v>3</v>
      </c>
      <c r="P21">
        <v>14</v>
      </c>
      <c r="Q21">
        <v>9</v>
      </c>
      <c r="R21">
        <v>1</v>
      </c>
    </row>
    <row r="22" spans="1:18" x14ac:dyDescent="0.3">
      <c r="A22" t="s">
        <v>342</v>
      </c>
      <c r="B22" t="s">
        <v>292</v>
      </c>
      <c r="C22" t="s">
        <v>291</v>
      </c>
      <c r="E22">
        <v>9</v>
      </c>
      <c r="H22">
        <v>3</v>
      </c>
      <c r="P22">
        <v>1</v>
      </c>
    </row>
    <row r="23" spans="1:18" x14ac:dyDescent="0.3">
      <c r="A23" t="s">
        <v>342</v>
      </c>
      <c r="B23" t="s">
        <v>309</v>
      </c>
      <c r="C23" t="s">
        <v>308</v>
      </c>
      <c r="D23">
        <v>4</v>
      </c>
      <c r="E23">
        <v>18</v>
      </c>
      <c r="F23">
        <v>21</v>
      </c>
      <c r="H23">
        <v>16</v>
      </c>
      <c r="I23">
        <v>2</v>
      </c>
      <c r="K23">
        <v>1</v>
      </c>
      <c r="L23">
        <v>6</v>
      </c>
      <c r="M23">
        <v>7</v>
      </c>
      <c r="N23">
        <v>10</v>
      </c>
      <c r="O23">
        <v>2</v>
      </c>
      <c r="P23">
        <v>10</v>
      </c>
      <c r="Q23">
        <v>11</v>
      </c>
      <c r="R23">
        <v>1</v>
      </c>
    </row>
    <row r="24" spans="1:18" x14ac:dyDescent="0.3">
      <c r="A24" t="s">
        <v>342</v>
      </c>
      <c r="B24" t="s">
        <v>311</v>
      </c>
      <c r="C24" t="s">
        <v>310</v>
      </c>
      <c r="D24">
        <v>5</v>
      </c>
      <c r="E24">
        <v>56</v>
      </c>
      <c r="F24">
        <v>3</v>
      </c>
      <c r="G24">
        <v>1</v>
      </c>
      <c r="H24">
        <v>8</v>
      </c>
      <c r="K24">
        <v>3</v>
      </c>
      <c r="L24">
        <v>14</v>
      </c>
      <c r="M24">
        <v>16</v>
      </c>
      <c r="N24">
        <v>21</v>
      </c>
      <c r="O24">
        <v>15</v>
      </c>
      <c r="P24">
        <v>14</v>
      </c>
      <c r="Q24">
        <v>5</v>
      </c>
      <c r="R24">
        <v>3</v>
      </c>
    </row>
    <row r="25" spans="1:18" x14ac:dyDescent="0.3">
      <c r="A25" t="s">
        <v>213</v>
      </c>
      <c r="B25" t="s">
        <v>224</v>
      </c>
      <c r="C25" t="s">
        <v>223</v>
      </c>
      <c r="D25">
        <v>6</v>
      </c>
      <c r="E25">
        <v>39</v>
      </c>
      <c r="F25">
        <v>6</v>
      </c>
      <c r="H25">
        <v>14</v>
      </c>
      <c r="I25">
        <v>6</v>
      </c>
      <c r="J25">
        <v>1</v>
      </c>
      <c r="K25">
        <v>5</v>
      </c>
      <c r="L25">
        <v>17</v>
      </c>
      <c r="M25">
        <v>4</v>
      </c>
      <c r="N25">
        <v>3</v>
      </c>
      <c r="O25">
        <v>13</v>
      </c>
      <c r="P25">
        <v>2</v>
      </c>
      <c r="Q25">
        <v>3</v>
      </c>
      <c r="R25">
        <v>7</v>
      </c>
    </row>
    <row r="26" spans="1:18" x14ac:dyDescent="0.3">
      <c r="A26" t="s">
        <v>213</v>
      </c>
      <c r="B26" t="s">
        <v>259</v>
      </c>
      <c r="C26" t="s">
        <v>258</v>
      </c>
      <c r="D26">
        <v>1</v>
      </c>
      <c r="E26">
        <v>15</v>
      </c>
      <c r="H26">
        <v>6</v>
      </c>
      <c r="I26">
        <v>1</v>
      </c>
      <c r="J26">
        <v>1</v>
      </c>
      <c r="K26">
        <v>1</v>
      </c>
      <c r="L26">
        <v>2</v>
      </c>
      <c r="M26">
        <v>2</v>
      </c>
      <c r="N26">
        <v>1</v>
      </c>
      <c r="O26">
        <v>3</v>
      </c>
      <c r="P26">
        <v>2</v>
      </c>
      <c r="R26">
        <v>1</v>
      </c>
    </row>
    <row r="27" spans="1:18" x14ac:dyDescent="0.3">
      <c r="A27" t="s">
        <v>213</v>
      </c>
      <c r="B27" t="s">
        <v>279</v>
      </c>
      <c r="C27" t="s">
        <v>278</v>
      </c>
      <c r="D27">
        <v>3</v>
      </c>
      <c r="E27">
        <v>19</v>
      </c>
      <c r="F27">
        <v>17</v>
      </c>
      <c r="G27">
        <v>2</v>
      </c>
      <c r="H27">
        <v>13</v>
      </c>
      <c r="I27">
        <v>2</v>
      </c>
      <c r="J27">
        <v>2</v>
      </c>
      <c r="K27">
        <v>2</v>
      </c>
      <c r="L27">
        <v>20</v>
      </c>
      <c r="M27">
        <v>12</v>
      </c>
      <c r="N27">
        <v>22</v>
      </c>
      <c r="O27">
        <v>3</v>
      </c>
      <c r="P27">
        <v>6</v>
      </c>
      <c r="Q27">
        <v>4</v>
      </c>
      <c r="R27">
        <v>11</v>
      </c>
    </row>
    <row r="28" spans="1:18" x14ac:dyDescent="0.3">
      <c r="A28" t="s">
        <v>213</v>
      </c>
      <c r="B28" t="s">
        <v>289</v>
      </c>
      <c r="C28" t="s">
        <v>288</v>
      </c>
      <c r="D28">
        <v>9</v>
      </c>
      <c r="E28">
        <v>58</v>
      </c>
      <c r="F28">
        <v>24</v>
      </c>
      <c r="H28">
        <v>29</v>
      </c>
      <c r="I28">
        <v>3</v>
      </c>
      <c r="K28">
        <v>1</v>
      </c>
      <c r="L28">
        <v>24</v>
      </c>
      <c r="M28">
        <v>17</v>
      </c>
      <c r="N28">
        <v>41</v>
      </c>
      <c r="O28">
        <v>28</v>
      </c>
      <c r="P28">
        <v>17</v>
      </c>
      <c r="Q28">
        <v>35</v>
      </c>
      <c r="R28">
        <v>21</v>
      </c>
    </row>
    <row r="29" spans="1:18" x14ac:dyDescent="0.3">
      <c r="A29" t="s">
        <v>365</v>
      </c>
      <c r="B29" t="s">
        <v>244</v>
      </c>
      <c r="C29" t="s">
        <v>243</v>
      </c>
      <c r="D29">
        <v>7</v>
      </c>
      <c r="E29">
        <v>38</v>
      </c>
      <c r="F29">
        <v>29</v>
      </c>
      <c r="G29">
        <v>3</v>
      </c>
      <c r="H29">
        <v>58</v>
      </c>
      <c r="I29">
        <v>1</v>
      </c>
      <c r="J29">
        <v>1</v>
      </c>
      <c r="K29">
        <v>2</v>
      </c>
      <c r="L29">
        <v>12</v>
      </c>
      <c r="M29">
        <v>1</v>
      </c>
      <c r="N29">
        <v>21</v>
      </c>
      <c r="O29">
        <v>17</v>
      </c>
      <c r="P29">
        <v>12</v>
      </c>
      <c r="Q29">
        <v>9</v>
      </c>
      <c r="R29">
        <v>2</v>
      </c>
    </row>
    <row r="30" spans="1:18" x14ac:dyDescent="0.3">
      <c r="A30" t="s">
        <v>365</v>
      </c>
      <c r="B30" t="s">
        <v>273</v>
      </c>
      <c r="C30" t="s">
        <v>272</v>
      </c>
      <c r="D30">
        <v>12</v>
      </c>
      <c r="E30">
        <v>83</v>
      </c>
      <c r="F30">
        <v>59</v>
      </c>
      <c r="G30">
        <v>10</v>
      </c>
      <c r="H30">
        <v>92</v>
      </c>
      <c r="I30">
        <v>5</v>
      </c>
      <c r="L30">
        <v>5</v>
      </c>
      <c r="N30">
        <v>3</v>
      </c>
      <c r="P30">
        <v>5</v>
      </c>
      <c r="R30">
        <v>2</v>
      </c>
    </row>
    <row r="31" spans="1:18" x14ac:dyDescent="0.3">
      <c r="A31" t="s">
        <v>365</v>
      </c>
      <c r="B31" t="s">
        <v>281</v>
      </c>
      <c r="C31" t="s">
        <v>280</v>
      </c>
      <c r="E31">
        <v>15</v>
      </c>
      <c r="F31">
        <v>14</v>
      </c>
      <c r="H31">
        <v>46</v>
      </c>
      <c r="I31">
        <v>8</v>
      </c>
      <c r="K31">
        <v>1</v>
      </c>
      <c r="L31">
        <v>4</v>
      </c>
      <c r="N31">
        <v>1</v>
      </c>
      <c r="O31">
        <v>6</v>
      </c>
      <c r="P31">
        <v>16</v>
      </c>
      <c r="Q31">
        <v>3</v>
      </c>
    </row>
    <row r="32" spans="1:18" x14ac:dyDescent="0.3">
      <c r="A32" t="s">
        <v>365</v>
      </c>
      <c r="B32" t="s">
        <v>304</v>
      </c>
      <c r="C32" t="s">
        <v>303</v>
      </c>
      <c r="D32">
        <v>10</v>
      </c>
      <c r="E32">
        <v>110</v>
      </c>
      <c r="F32">
        <v>69</v>
      </c>
      <c r="H32">
        <v>36</v>
      </c>
      <c r="I32">
        <v>3</v>
      </c>
      <c r="K32">
        <v>1</v>
      </c>
      <c r="L32">
        <v>12</v>
      </c>
      <c r="M32">
        <v>7</v>
      </c>
      <c r="N32">
        <v>15</v>
      </c>
      <c r="O32">
        <v>9</v>
      </c>
      <c r="P32">
        <v>5</v>
      </c>
      <c r="Q32">
        <v>7</v>
      </c>
      <c r="R32">
        <v>2</v>
      </c>
    </row>
    <row r="33" spans="1:18" x14ac:dyDescent="0.3">
      <c r="A33" t="s">
        <v>366</v>
      </c>
      <c r="B33" t="s">
        <v>234</v>
      </c>
      <c r="C33" t="s">
        <v>233</v>
      </c>
      <c r="D33">
        <v>35</v>
      </c>
      <c r="E33">
        <v>123</v>
      </c>
      <c r="F33">
        <v>178</v>
      </c>
      <c r="G33">
        <v>33</v>
      </c>
      <c r="H33">
        <v>141</v>
      </c>
      <c r="I33">
        <v>29</v>
      </c>
      <c r="J33">
        <v>4</v>
      </c>
      <c r="K33">
        <v>5</v>
      </c>
      <c r="L33">
        <v>80</v>
      </c>
      <c r="M33">
        <v>20</v>
      </c>
      <c r="N33">
        <v>74</v>
      </c>
      <c r="O33">
        <v>65</v>
      </c>
      <c r="P33">
        <v>7</v>
      </c>
      <c r="Q33">
        <v>52</v>
      </c>
      <c r="R33">
        <v>11</v>
      </c>
    </row>
    <row r="34" spans="1:18" x14ac:dyDescent="0.3">
      <c r="A34" t="s">
        <v>366</v>
      </c>
      <c r="B34" t="s">
        <v>249</v>
      </c>
      <c r="C34" t="s">
        <v>248</v>
      </c>
      <c r="D34">
        <v>8</v>
      </c>
      <c r="E34">
        <v>57</v>
      </c>
      <c r="F34">
        <v>3</v>
      </c>
      <c r="H34">
        <v>28</v>
      </c>
      <c r="I34">
        <v>2</v>
      </c>
      <c r="K34">
        <v>1</v>
      </c>
      <c r="L34">
        <v>6</v>
      </c>
      <c r="M34">
        <v>3</v>
      </c>
      <c r="N34">
        <v>16</v>
      </c>
      <c r="O34">
        <v>3</v>
      </c>
      <c r="P34">
        <v>3</v>
      </c>
      <c r="Q34">
        <v>12</v>
      </c>
      <c r="R34">
        <v>1</v>
      </c>
    </row>
    <row r="35" spans="1:18" x14ac:dyDescent="0.3">
      <c r="A35" t="s">
        <v>366</v>
      </c>
      <c r="B35" t="s">
        <v>1201</v>
      </c>
      <c r="C35" t="s">
        <v>282</v>
      </c>
      <c r="D35">
        <v>1</v>
      </c>
      <c r="E35">
        <v>4</v>
      </c>
      <c r="G35">
        <v>2</v>
      </c>
      <c r="H35">
        <v>1</v>
      </c>
      <c r="N35">
        <v>1</v>
      </c>
    </row>
    <row r="36" spans="1:18" x14ac:dyDescent="0.3">
      <c r="A36" t="s">
        <v>366</v>
      </c>
      <c r="B36" t="s">
        <v>296</v>
      </c>
      <c r="C36" t="s">
        <v>295</v>
      </c>
      <c r="D36">
        <v>1</v>
      </c>
      <c r="E36">
        <v>45</v>
      </c>
      <c r="F36">
        <v>70</v>
      </c>
      <c r="H36">
        <v>27</v>
      </c>
      <c r="J36">
        <v>1</v>
      </c>
      <c r="L36">
        <v>10</v>
      </c>
      <c r="M36">
        <v>4</v>
      </c>
      <c r="N36">
        <v>32</v>
      </c>
      <c r="O36">
        <v>7</v>
      </c>
      <c r="P36">
        <v>23</v>
      </c>
      <c r="Q36">
        <v>7</v>
      </c>
      <c r="R36">
        <v>11</v>
      </c>
    </row>
    <row r="37" spans="1:18" x14ac:dyDescent="0.3">
      <c r="A37" t="s">
        <v>341</v>
      </c>
      <c r="B37" t="s">
        <v>255</v>
      </c>
      <c r="C37" t="s">
        <v>254</v>
      </c>
      <c r="D37">
        <v>8</v>
      </c>
      <c r="E37">
        <v>27</v>
      </c>
      <c r="F37">
        <v>12</v>
      </c>
      <c r="G37">
        <v>9</v>
      </c>
      <c r="H37">
        <v>13</v>
      </c>
      <c r="I37">
        <v>5</v>
      </c>
      <c r="K37">
        <v>1</v>
      </c>
      <c r="L37">
        <v>9</v>
      </c>
      <c r="M37">
        <v>20</v>
      </c>
      <c r="N37">
        <v>8</v>
      </c>
      <c r="O37">
        <v>11</v>
      </c>
      <c r="P37">
        <v>3</v>
      </c>
      <c r="Q37">
        <v>8</v>
      </c>
      <c r="R37">
        <v>5</v>
      </c>
    </row>
    <row r="38" spans="1:18" x14ac:dyDescent="0.3">
      <c r="A38" t="s">
        <v>341</v>
      </c>
      <c r="B38" t="s">
        <v>270</v>
      </c>
      <c r="C38" t="s">
        <v>269</v>
      </c>
      <c r="D38">
        <v>47</v>
      </c>
      <c r="E38">
        <v>148</v>
      </c>
      <c r="F38">
        <v>958</v>
      </c>
      <c r="G38">
        <v>19</v>
      </c>
      <c r="H38">
        <v>99</v>
      </c>
      <c r="I38">
        <v>6</v>
      </c>
      <c r="J38">
        <v>3</v>
      </c>
      <c r="K38">
        <v>7</v>
      </c>
      <c r="L38">
        <v>84</v>
      </c>
      <c r="M38">
        <v>45</v>
      </c>
      <c r="N38">
        <v>52</v>
      </c>
      <c r="O38">
        <v>24</v>
      </c>
      <c r="P38">
        <v>18</v>
      </c>
      <c r="Q38">
        <v>27</v>
      </c>
      <c r="R38">
        <v>25</v>
      </c>
    </row>
    <row r="39" spans="1:18" x14ac:dyDescent="0.3">
      <c r="A39" t="s">
        <v>341</v>
      </c>
      <c r="B39" t="s">
        <v>1201</v>
      </c>
      <c r="C39" t="s">
        <v>282</v>
      </c>
      <c r="D39">
        <v>2</v>
      </c>
      <c r="E39">
        <v>7</v>
      </c>
      <c r="F39">
        <v>2</v>
      </c>
      <c r="G39">
        <v>1</v>
      </c>
      <c r="H39">
        <v>8</v>
      </c>
      <c r="I39">
        <v>1</v>
      </c>
    </row>
    <row r="40" spans="1:18" x14ac:dyDescent="0.3">
      <c r="A40" t="s">
        <v>342</v>
      </c>
      <c r="B40" t="s">
        <v>234</v>
      </c>
      <c r="C40" t="s">
        <v>233</v>
      </c>
      <c r="D40">
        <v>45</v>
      </c>
      <c r="E40">
        <v>134</v>
      </c>
      <c r="F40">
        <v>183</v>
      </c>
      <c r="G40">
        <v>17</v>
      </c>
      <c r="H40">
        <v>115</v>
      </c>
      <c r="I40">
        <v>58</v>
      </c>
      <c r="J40">
        <v>6</v>
      </c>
      <c r="K40">
        <v>3</v>
      </c>
      <c r="L40">
        <v>55</v>
      </c>
      <c r="M40">
        <v>18</v>
      </c>
      <c r="N40">
        <v>27</v>
      </c>
      <c r="O40">
        <v>47</v>
      </c>
      <c r="P40">
        <v>4</v>
      </c>
      <c r="Q40">
        <v>22</v>
      </c>
      <c r="R40">
        <v>10</v>
      </c>
    </row>
    <row r="41" spans="1:18" x14ac:dyDescent="0.3">
      <c r="A41" t="s">
        <v>342</v>
      </c>
      <c r="B41" t="s">
        <v>267</v>
      </c>
      <c r="C41" t="s">
        <v>1092</v>
      </c>
      <c r="D41">
        <v>13</v>
      </c>
      <c r="E41">
        <v>138</v>
      </c>
      <c r="F41">
        <v>175</v>
      </c>
      <c r="G41">
        <v>2</v>
      </c>
      <c r="H41">
        <v>69</v>
      </c>
      <c r="I41">
        <v>7</v>
      </c>
      <c r="K41">
        <v>2</v>
      </c>
      <c r="L41">
        <v>8</v>
      </c>
      <c r="M41">
        <v>5</v>
      </c>
      <c r="N41">
        <v>11</v>
      </c>
      <c r="O41">
        <v>9</v>
      </c>
      <c r="P41">
        <v>10</v>
      </c>
      <c r="Q41">
        <v>10</v>
      </c>
      <c r="R41">
        <v>5</v>
      </c>
    </row>
    <row r="42" spans="1:18" x14ac:dyDescent="0.3">
      <c r="A42" t="s">
        <v>342</v>
      </c>
      <c r="B42" t="s">
        <v>298</v>
      </c>
      <c r="C42" t="s">
        <v>297</v>
      </c>
      <c r="D42">
        <v>17</v>
      </c>
      <c r="E42">
        <v>36</v>
      </c>
      <c r="F42">
        <v>17</v>
      </c>
      <c r="H42">
        <v>60</v>
      </c>
      <c r="I42">
        <v>13</v>
      </c>
      <c r="J42">
        <v>3</v>
      </c>
      <c r="K42">
        <v>2</v>
      </c>
      <c r="L42">
        <v>20</v>
      </c>
      <c r="M42">
        <v>15</v>
      </c>
      <c r="N42">
        <v>21</v>
      </c>
      <c r="O42">
        <v>5</v>
      </c>
      <c r="P42">
        <v>9</v>
      </c>
      <c r="Q42">
        <v>9</v>
      </c>
      <c r="R42">
        <v>4</v>
      </c>
    </row>
    <row r="43" spans="1:18" x14ac:dyDescent="0.3">
      <c r="A43" t="s">
        <v>342</v>
      </c>
      <c r="B43" t="s">
        <v>307</v>
      </c>
      <c r="C43" t="s">
        <v>306</v>
      </c>
      <c r="D43">
        <v>2</v>
      </c>
      <c r="E43">
        <v>45</v>
      </c>
      <c r="F43">
        <v>56</v>
      </c>
      <c r="G43">
        <v>5</v>
      </c>
      <c r="H43">
        <v>41</v>
      </c>
      <c r="I43">
        <v>31</v>
      </c>
      <c r="J43">
        <v>2</v>
      </c>
      <c r="K43">
        <v>2</v>
      </c>
      <c r="L43">
        <v>11</v>
      </c>
      <c r="M43">
        <v>15</v>
      </c>
      <c r="N43">
        <v>2</v>
      </c>
      <c r="O43">
        <v>7</v>
      </c>
      <c r="P43">
        <v>2</v>
      </c>
      <c r="Q43">
        <v>2</v>
      </c>
      <c r="R43">
        <v>1</v>
      </c>
    </row>
    <row r="44" spans="1:18" x14ac:dyDescent="0.3">
      <c r="A44" t="s">
        <v>213</v>
      </c>
      <c r="B44" t="s">
        <v>215</v>
      </c>
      <c r="C44" t="s">
        <v>214</v>
      </c>
      <c r="D44">
        <v>22</v>
      </c>
      <c r="E44">
        <v>113</v>
      </c>
      <c r="F44">
        <v>136</v>
      </c>
      <c r="G44">
        <v>2</v>
      </c>
      <c r="H44">
        <v>32</v>
      </c>
      <c r="I44">
        <v>1</v>
      </c>
      <c r="J44">
        <v>5</v>
      </c>
      <c r="K44">
        <v>2</v>
      </c>
      <c r="L44">
        <v>5</v>
      </c>
      <c r="M44">
        <v>9</v>
      </c>
      <c r="N44">
        <v>10</v>
      </c>
      <c r="O44">
        <v>6</v>
      </c>
      <c r="P44">
        <v>7</v>
      </c>
      <c r="Q44">
        <v>6</v>
      </c>
      <c r="R44">
        <v>8</v>
      </c>
    </row>
    <row r="45" spans="1:18" x14ac:dyDescent="0.3">
      <c r="A45" t="s">
        <v>213</v>
      </c>
      <c r="B45" t="s">
        <v>294</v>
      </c>
      <c r="C45" t="s">
        <v>293</v>
      </c>
      <c r="D45">
        <v>69</v>
      </c>
      <c r="E45">
        <v>86</v>
      </c>
      <c r="F45">
        <v>18</v>
      </c>
      <c r="G45">
        <v>7</v>
      </c>
      <c r="H45">
        <v>48</v>
      </c>
      <c r="I45">
        <v>30</v>
      </c>
      <c r="K45">
        <v>1</v>
      </c>
      <c r="L45">
        <v>5</v>
      </c>
      <c r="M45">
        <v>2</v>
      </c>
      <c r="N45">
        <v>8</v>
      </c>
      <c r="O45">
        <v>5</v>
      </c>
      <c r="P45">
        <v>7</v>
      </c>
      <c r="Q45">
        <v>3</v>
      </c>
      <c r="R45">
        <v>4</v>
      </c>
    </row>
    <row r="46" spans="1:18" x14ac:dyDescent="0.3">
      <c r="A46" t="s">
        <v>312</v>
      </c>
      <c r="B46" t="s">
        <v>281</v>
      </c>
      <c r="C46" t="s">
        <v>280</v>
      </c>
      <c r="D46">
        <v>4</v>
      </c>
      <c r="E46">
        <v>21</v>
      </c>
      <c r="F46">
        <v>6</v>
      </c>
      <c r="G46">
        <v>1</v>
      </c>
      <c r="H46">
        <v>20</v>
      </c>
      <c r="I46">
        <v>23</v>
      </c>
      <c r="J46">
        <v>1</v>
      </c>
      <c r="K46">
        <v>1</v>
      </c>
      <c r="M46">
        <v>7</v>
      </c>
      <c r="N46">
        <v>7</v>
      </c>
      <c r="O46">
        <v>4</v>
      </c>
      <c r="P46">
        <v>4</v>
      </c>
      <c r="Q46">
        <v>1</v>
      </c>
    </row>
    <row r="47" spans="1:18" x14ac:dyDescent="0.3">
      <c r="A47" t="s">
        <v>312</v>
      </c>
      <c r="B47" t="s">
        <v>287</v>
      </c>
      <c r="C47" t="s">
        <v>286</v>
      </c>
      <c r="D47">
        <v>3</v>
      </c>
      <c r="E47">
        <v>62</v>
      </c>
      <c r="F47">
        <v>8</v>
      </c>
      <c r="G47">
        <v>7</v>
      </c>
      <c r="H47">
        <v>8</v>
      </c>
      <c r="I47">
        <v>11</v>
      </c>
      <c r="J47">
        <v>5</v>
      </c>
      <c r="K47">
        <v>1</v>
      </c>
      <c r="L47">
        <v>8</v>
      </c>
      <c r="M47">
        <v>2</v>
      </c>
      <c r="N47">
        <v>14</v>
      </c>
      <c r="O47">
        <v>7</v>
      </c>
      <c r="P47">
        <v>4</v>
      </c>
      <c r="Q47">
        <v>3</v>
      </c>
      <c r="R47">
        <v>5</v>
      </c>
    </row>
    <row r="48" spans="1:18" x14ac:dyDescent="0.3">
      <c r="A48" t="s">
        <v>312</v>
      </c>
      <c r="B48" t="s">
        <v>311</v>
      </c>
      <c r="C48" t="s">
        <v>310</v>
      </c>
      <c r="D48">
        <v>5</v>
      </c>
      <c r="E48">
        <v>45</v>
      </c>
      <c r="F48">
        <v>26</v>
      </c>
      <c r="H48">
        <v>10</v>
      </c>
      <c r="I48">
        <v>2</v>
      </c>
      <c r="J48">
        <v>1</v>
      </c>
      <c r="K48">
        <v>1</v>
      </c>
      <c r="L48">
        <v>9</v>
      </c>
      <c r="M48">
        <v>11</v>
      </c>
      <c r="N48">
        <v>17</v>
      </c>
      <c r="O48">
        <v>22</v>
      </c>
      <c r="P48">
        <v>17</v>
      </c>
      <c r="Q48">
        <v>5</v>
      </c>
      <c r="R48">
        <v>3</v>
      </c>
    </row>
    <row r="49" spans="1:18" x14ac:dyDescent="0.3">
      <c r="A49" t="s">
        <v>318</v>
      </c>
      <c r="B49" t="s">
        <v>215</v>
      </c>
      <c r="C49" t="s">
        <v>214</v>
      </c>
      <c r="D49">
        <v>17</v>
      </c>
      <c r="E49">
        <v>72</v>
      </c>
      <c r="F49">
        <v>71</v>
      </c>
      <c r="H49">
        <v>2</v>
      </c>
      <c r="I49">
        <v>5</v>
      </c>
      <c r="J49">
        <v>1</v>
      </c>
      <c r="L49">
        <v>1</v>
      </c>
      <c r="M49">
        <v>1</v>
      </c>
      <c r="N49">
        <v>3</v>
      </c>
      <c r="P49">
        <v>2</v>
      </c>
      <c r="Q49">
        <v>3</v>
      </c>
      <c r="R49">
        <v>3</v>
      </c>
    </row>
    <row r="50" spans="1:18" x14ac:dyDescent="0.3">
      <c r="A50" t="s">
        <v>318</v>
      </c>
      <c r="B50" t="s">
        <v>224</v>
      </c>
      <c r="C50" t="s">
        <v>223</v>
      </c>
      <c r="D50">
        <v>7</v>
      </c>
      <c r="E50">
        <v>42</v>
      </c>
      <c r="F50">
        <v>3</v>
      </c>
      <c r="I50">
        <v>3</v>
      </c>
      <c r="N50">
        <v>3</v>
      </c>
      <c r="O50">
        <v>1</v>
      </c>
    </row>
    <row r="51" spans="1:18" x14ac:dyDescent="0.3">
      <c r="A51" t="s">
        <v>318</v>
      </c>
      <c r="B51" t="s">
        <v>244</v>
      </c>
      <c r="C51" t="s">
        <v>243</v>
      </c>
      <c r="D51">
        <v>8</v>
      </c>
      <c r="E51">
        <v>69</v>
      </c>
      <c r="F51">
        <v>34</v>
      </c>
      <c r="H51">
        <v>5</v>
      </c>
      <c r="I51">
        <v>2</v>
      </c>
      <c r="L51">
        <v>1</v>
      </c>
      <c r="M51">
        <v>1</v>
      </c>
      <c r="N51">
        <v>4</v>
      </c>
      <c r="O51">
        <v>2</v>
      </c>
      <c r="Q51">
        <v>1</v>
      </c>
    </row>
    <row r="52" spans="1:18" x14ac:dyDescent="0.3">
      <c r="A52" t="s">
        <v>318</v>
      </c>
      <c r="B52" t="s">
        <v>249</v>
      </c>
      <c r="C52" t="s">
        <v>248</v>
      </c>
      <c r="D52">
        <v>8</v>
      </c>
      <c r="E52">
        <v>50</v>
      </c>
      <c r="F52">
        <v>2</v>
      </c>
      <c r="H52">
        <v>1</v>
      </c>
      <c r="I52">
        <v>3</v>
      </c>
      <c r="L52">
        <v>3</v>
      </c>
      <c r="N52">
        <v>2</v>
      </c>
    </row>
    <row r="53" spans="1:18" x14ac:dyDescent="0.3">
      <c r="A53" t="s">
        <v>318</v>
      </c>
      <c r="B53" t="s">
        <v>296</v>
      </c>
      <c r="C53" t="s">
        <v>295</v>
      </c>
      <c r="D53">
        <v>2</v>
      </c>
      <c r="E53">
        <v>39</v>
      </c>
      <c r="F53">
        <v>9</v>
      </c>
      <c r="H53">
        <v>9</v>
      </c>
      <c r="I53">
        <v>3</v>
      </c>
      <c r="J53">
        <v>1</v>
      </c>
      <c r="L53">
        <v>3</v>
      </c>
      <c r="M53">
        <v>6</v>
      </c>
      <c r="N53">
        <v>2</v>
      </c>
      <c r="O53">
        <v>2</v>
      </c>
      <c r="P53">
        <v>2</v>
      </c>
      <c r="R53">
        <v>2</v>
      </c>
    </row>
    <row r="54" spans="1:18" x14ac:dyDescent="0.3">
      <c r="A54" t="s">
        <v>318</v>
      </c>
      <c r="B54" t="s">
        <v>302</v>
      </c>
      <c r="C54" t="s">
        <v>301</v>
      </c>
      <c r="D54">
        <v>6</v>
      </c>
      <c r="E54">
        <v>46</v>
      </c>
      <c r="F54">
        <v>17</v>
      </c>
      <c r="G54">
        <v>2</v>
      </c>
      <c r="H54">
        <v>15</v>
      </c>
      <c r="I54">
        <v>10</v>
      </c>
      <c r="L54">
        <v>3</v>
      </c>
      <c r="M54">
        <v>7</v>
      </c>
      <c r="N54">
        <v>10</v>
      </c>
      <c r="P54">
        <v>1</v>
      </c>
      <c r="R54">
        <v>5</v>
      </c>
    </row>
    <row r="55" spans="1:18" x14ac:dyDescent="0.3">
      <c r="A55" t="s">
        <v>320</v>
      </c>
      <c r="B55" t="s">
        <v>270</v>
      </c>
      <c r="C55" t="s">
        <v>269</v>
      </c>
      <c r="D55">
        <v>8</v>
      </c>
      <c r="E55">
        <v>90</v>
      </c>
      <c r="F55">
        <v>757</v>
      </c>
      <c r="G55">
        <v>3</v>
      </c>
      <c r="H55">
        <v>65</v>
      </c>
      <c r="I55">
        <v>8</v>
      </c>
      <c r="J55">
        <v>2</v>
      </c>
      <c r="K55">
        <v>2</v>
      </c>
      <c r="L55">
        <v>10</v>
      </c>
      <c r="M55">
        <v>15</v>
      </c>
      <c r="N55">
        <v>27</v>
      </c>
      <c r="O55">
        <v>29</v>
      </c>
      <c r="P55">
        <v>2</v>
      </c>
      <c r="Q55">
        <v>7</v>
      </c>
      <c r="R55">
        <v>20</v>
      </c>
    </row>
    <row r="56" spans="1:18" x14ac:dyDescent="0.3">
      <c r="A56" t="s">
        <v>365</v>
      </c>
      <c r="B56" t="s">
        <v>215</v>
      </c>
      <c r="C56" t="s">
        <v>214</v>
      </c>
      <c r="D56">
        <v>4</v>
      </c>
      <c r="E56">
        <v>71</v>
      </c>
      <c r="F56">
        <v>164</v>
      </c>
      <c r="G56">
        <v>2</v>
      </c>
      <c r="H56">
        <v>72</v>
      </c>
      <c r="I56">
        <v>3</v>
      </c>
      <c r="J56">
        <v>4</v>
      </c>
      <c r="L56">
        <v>27</v>
      </c>
      <c r="M56">
        <v>1</v>
      </c>
      <c r="N56">
        <v>6</v>
      </c>
      <c r="O56">
        <v>6</v>
      </c>
      <c r="P56">
        <v>1</v>
      </c>
      <c r="Q56">
        <v>2</v>
      </c>
      <c r="R56">
        <v>6</v>
      </c>
    </row>
    <row r="57" spans="1:18" x14ac:dyDescent="0.3">
      <c r="A57" t="s">
        <v>365</v>
      </c>
      <c r="B57" t="s">
        <v>234</v>
      </c>
      <c r="C57" t="s">
        <v>233</v>
      </c>
      <c r="D57">
        <v>40</v>
      </c>
      <c r="E57">
        <v>127</v>
      </c>
      <c r="F57">
        <v>134</v>
      </c>
      <c r="G57">
        <v>69</v>
      </c>
      <c r="H57">
        <v>105</v>
      </c>
      <c r="I57">
        <v>42</v>
      </c>
      <c r="J57">
        <v>3</v>
      </c>
      <c r="K57">
        <v>7</v>
      </c>
      <c r="L57">
        <v>127</v>
      </c>
      <c r="M57">
        <v>28</v>
      </c>
      <c r="N57">
        <v>89</v>
      </c>
      <c r="O57">
        <v>108</v>
      </c>
      <c r="P57">
        <v>15</v>
      </c>
      <c r="Q57">
        <v>43</v>
      </c>
      <c r="R57">
        <v>19</v>
      </c>
    </row>
    <row r="58" spans="1:18" x14ac:dyDescent="0.3">
      <c r="A58" t="s">
        <v>365</v>
      </c>
      <c r="B58" t="s">
        <v>247</v>
      </c>
      <c r="C58" t="s">
        <v>246</v>
      </c>
      <c r="D58">
        <v>37</v>
      </c>
      <c r="E58">
        <v>40</v>
      </c>
      <c r="F58">
        <v>315</v>
      </c>
      <c r="G58">
        <v>1</v>
      </c>
      <c r="H58">
        <v>34</v>
      </c>
      <c r="I58">
        <v>2</v>
      </c>
      <c r="L58">
        <v>23</v>
      </c>
      <c r="M58">
        <v>1</v>
      </c>
      <c r="N58">
        <v>3</v>
      </c>
      <c r="O58">
        <v>3</v>
      </c>
      <c r="Q58">
        <v>1</v>
      </c>
    </row>
    <row r="59" spans="1:18" x14ac:dyDescent="0.3">
      <c r="A59" t="s">
        <v>365</v>
      </c>
      <c r="B59" t="s">
        <v>259</v>
      </c>
      <c r="C59" t="s">
        <v>258</v>
      </c>
      <c r="D59">
        <v>1</v>
      </c>
      <c r="E59">
        <v>14</v>
      </c>
      <c r="F59">
        <v>14</v>
      </c>
      <c r="H59">
        <v>7</v>
      </c>
      <c r="I59">
        <v>2</v>
      </c>
      <c r="J59">
        <v>1</v>
      </c>
      <c r="K59">
        <v>3</v>
      </c>
      <c r="L59">
        <v>18</v>
      </c>
      <c r="M59">
        <v>7</v>
      </c>
      <c r="N59">
        <v>25</v>
      </c>
      <c r="O59">
        <v>8</v>
      </c>
      <c r="Q59">
        <v>11</v>
      </c>
      <c r="R59">
        <v>8</v>
      </c>
    </row>
    <row r="60" spans="1:18" x14ac:dyDescent="0.3">
      <c r="A60" t="s">
        <v>365</v>
      </c>
      <c r="B60" t="s">
        <v>267</v>
      </c>
      <c r="C60" t="s">
        <v>1092</v>
      </c>
      <c r="D60">
        <v>13</v>
      </c>
      <c r="E60">
        <v>118</v>
      </c>
      <c r="F60">
        <v>222</v>
      </c>
      <c r="G60">
        <v>1</v>
      </c>
      <c r="H60">
        <v>57</v>
      </c>
      <c r="I60">
        <v>3</v>
      </c>
      <c r="J60">
        <v>2</v>
      </c>
      <c r="K60">
        <v>4</v>
      </c>
      <c r="L60">
        <v>11</v>
      </c>
      <c r="M60">
        <v>3</v>
      </c>
      <c r="N60">
        <v>13</v>
      </c>
      <c r="O60">
        <v>22</v>
      </c>
      <c r="P60">
        <v>14</v>
      </c>
      <c r="Q60">
        <v>10</v>
      </c>
      <c r="R60">
        <v>5</v>
      </c>
    </row>
    <row r="61" spans="1:18" x14ac:dyDescent="0.3">
      <c r="A61" t="s">
        <v>366</v>
      </c>
      <c r="B61" t="s">
        <v>267</v>
      </c>
      <c r="C61" t="s">
        <v>1092</v>
      </c>
      <c r="D61">
        <v>18</v>
      </c>
      <c r="E61">
        <v>137</v>
      </c>
      <c r="F61">
        <v>272</v>
      </c>
      <c r="G61">
        <v>1</v>
      </c>
      <c r="H61">
        <v>61</v>
      </c>
      <c r="I61">
        <v>6</v>
      </c>
      <c r="J61">
        <v>2</v>
      </c>
      <c r="K61">
        <v>4</v>
      </c>
      <c r="L61">
        <v>9</v>
      </c>
      <c r="M61">
        <v>12</v>
      </c>
      <c r="N61">
        <v>31</v>
      </c>
      <c r="O61">
        <v>18</v>
      </c>
      <c r="P61">
        <v>23</v>
      </c>
      <c r="Q61">
        <v>12</v>
      </c>
      <c r="R61">
        <v>12</v>
      </c>
    </row>
    <row r="62" spans="1:18" x14ac:dyDescent="0.3">
      <c r="A62" t="s">
        <v>366</v>
      </c>
      <c r="B62" t="s">
        <v>281</v>
      </c>
      <c r="C62" t="s">
        <v>280</v>
      </c>
      <c r="D62">
        <v>11</v>
      </c>
      <c r="E62">
        <v>38</v>
      </c>
      <c r="F62">
        <v>13</v>
      </c>
      <c r="G62">
        <v>4</v>
      </c>
      <c r="H62">
        <v>38</v>
      </c>
      <c r="I62">
        <v>28</v>
      </c>
      <c r="K62">
        <v>2</v>
      </c>
      <c r="L62">
        <v>2</v>
      </c>
      <c r="M62">
        <v>2</v>
      </c>
      <c r="N62">
        <v>2</v>
      </c>
      <c r="O62">
        <v>3</v>
      </c>
      <c r="P62">
        <v>43</v>
      </c>
      <c r="Q62">
        <v>7</v>
      </c>
    </row>
    <row r="63" spans="1:18" x14ac:dyDescent="0.3">
      <c r="A63" t="s">
        <v>366</v>
      </c>
      <c r="B63" t="s">
        <v>287</v>
      </c>
      <c r="C63" t="s">
        <v>286</v>
      </c>
      <c r="D63">
        <v>5</v>
      </c>
      <c r="E63">
        <v>72</v>
      </c>
      <c r="F63">
        <v>6</v>
      </c>
      <c r="G63">
        <v>4</v>
      </c>
      <c r="H63">
        <v>36</v>
      </c>
      <c r="I63">
        <v>30</v>
      </c>
      <c r="K63">
        <v>1</v>
      </c>
      <c r="L63">
        <v>4</v>
      </c>
      <c r="M63">
        <v>5</v>
      </c>
      <c r="N63">
        <v>39</v>
      </c>
      <c r="O63">
        <v>13</v>
      </c>
      <c r="P63">
        <v>34</v>
      </c>
      <c r="Q63">
        <v>4</v>
      </c>
      <c r="R63">
        <v>10</v>
      </c>
    </row>
    <row r="64" spans="1:18" x14ac:dyDescent="0.3">
      <c r="A64" t="s">
        <v>366</v>
      </c>
      <c r="B64" t="s">
        <v>292</v>
      </c>
      <c r="C64" t="s">
        <v>291</v>
      </c>
      <c r="D64">
        <v>1</v>
      </c>
      <c r="E64">
        <v>14</v>
      </c>
      <c r="F64">
        <v>6</v>
      </c>
      <c r="G64">
        <v>1</v>
      </c>
      <c r="H64">
        <v>9</v>
      </c>
      <c r="I64">
        <v>1</v>
      </c>
    </row>
    <row r="65" spans="1:18" x14ac:dyDescent="0.3">
      <c r="A65" t="s">
        <v>366</v>
      </c>
      <c r="B65" t="s">
        <v>309</v>
      </c>
      <c r="C65" t="s">
        <v>308</v>
      </c>
      <c r="D65">
        <v>7</v>
      </c>
      <c r="E65">
        <v>26</v>
      </c>
      <c r="F65">
        <v>19</v>
      </c>
      <c r="H65">
        <v>17</v>
      </c>
      <c r="I65">
        <v>2</v>
      </c>
      <c r="J65">
        <v>1</v>
      </c>
      <c r="L65">
        <v>3</v>
      </c>
      <c r="M65">
        <v>5</v>
      </c>
      <c r="N65">
        <v>7</v>
      </c>
      <c r="O65">
        <v>7</v>
      </c>
      <c r="P65">
        <v>117</v>
      </c>
      <c r="Q65">
        <v>9</v>
      </c>
    </row>
    <row r="66" spans="1:18" x14ac:dyDescent="0.3">
      <c r="A66" t="s">
        <v>341</v>
      </c>
      <c r="B66" t="s">
        <v>220</v>
      </c>
      <c r="C66" t="s">
        <v>219</v>
      </c>
      <c r="D66">
        <v>25</v>
      </c>
      <c r="E66">
        <v>89</v>
      </c>
      <c r="F66">
        <v>41</v>
      </c>
      <c r="G66">
        <v>2</v>
      </c>
      <c r="H66">
        <v>59</v>
      </c>
      <c r="I66">
        <v>54</v>
      </c>
      <c r="L66">
        <v>12</v>
      </c>
      <c r="M66">
        <v>62</v>
      </c>
      <c r="N66">
        <v>2</v>
      </c>
      <c r="O66">
        <v>3</v>
      </c>
      <c r="P66">
        <v>8</v>
      </c>
      <c r="Q66">
        <v>2</v>
      </c>
      <c r="R66">
        <v>3</v>
      </c>
    </row>
    <row r="67" spans="1:18" x14ac:dyDescent="0.3">
      <c r="A67" t="s">
        <v>341</v>
      </c>
      <c r="B67" t="s">
        <v>240</v>
      </c>
      <c r="C67" t="s">
        <v>239</v>
      </c>
      <c r="D67">
        <v>15</v>
      </c>
      <c r="E67">
        <v>19</v>
      </c>
      <c r="F67">
        <v>2</v>
      </c>
      <c r="G67">
        <v>2</v>
      </c>
      <c r="H67">
        <v>2</v>
      </c>
      <c r="I67">
        <v>1</v>
      </c>
      <c r="L67">
        <v>2</v>
      </c>
      <c r="M67">
        <v>10</v>
      </c>
      <c r="N67">
        <v>6</v>
      </c>
      <c r="O67">
        <v>3</v>
      </c>
      <c r="Q67">
        <v>6</v>
      </c>
    </row>
    <row r="68" spans="1:18" x14ac:dyDescent="0.3">
      <c r="A68" t="s">
        <v>341</v>
      </c>
      <c r="B68" t="s">
        <v>244</v>
      </c>
      <c r="C68" t="s">
        <v>243</v>
      </c>
      <c r="D68">
        <v>11</v>
      </c>
      <c r="E68">
        <v>76</v>
      </c>
      <c r="F68">
        <v>44</v>
      </c>
      <c r="G68">
        <v>6</v>
      </c>
      <c r="H68">
        <v>110</v>
      </c>
      <c r="I68">
        <v>10</v>
      </c>
      <c r="J68">
        <v>2</v>
      </c>
      <c r="K68">
        <v>7</v>
      </c>
      <c r="L68">
        <v>5</v>
      </c>
      <c r="M68">
        <v>18</v>
      </c>
      <c r="N68">
        <v>18</v>
      </c>
      <c r="O68">
        <v>8</v>
      </c>
      <c r="P68">
        <v>22</v>
      </c>
      <c r="Q68">
        <v>19</v>
      </c>
      <c r="R68">
        <v>7</v>
      </c>
    </row>
    <row r="69" spans="1:18" x14ac:dyDescent="0.3">
      <c r="A69" t="s">
        <v>341</v>
      </c>
      <c r="B69" t="s">
        <v>249</v>
      </c>
      <c r="C69" t="s">
        <v>248</v>
      </c>
      <c r="D69">
        <v>6</v>
      </c>
      <c r="E69">
        <v>46</v>
      </c>
      <c r="F69">
        <v>9</v>
      </c>
      <c r="H69">
        <v>24</v>
      </c>
      <c r="I69">
        <v>9</v>
      </c>
      <c r="K69">
        <v>2</v>
      </c>
      <c r="L69">
        <v>4</v>
      </c>
      <c r="M69">
        <v>2</v>
      </c>
      <c r="N69">
        <v>23</v>
      </c>
      <c r="O69">
        <v>7</v>
      </c>
      <c r="P69">
        <v>22</v>
      </c>
      <c r="Q69">
        <v>6</v>
      </c>
      <c r="R69">
        <v>4</v>
      </c>
    </row>
    <row r="70" spans="1:18" x14ac:dyDescent="0.3">
      <c r="A70" t="s">
        <v>341</v>
      </c>
      <c r="B70" t="s">
        <v>302</v>
      </c>
      <c r="C70" t="s">
        <v>301</v>
      </c>
      <c r="D70">
        <v>19</v>
      </c>
      <c r="E70">
        <v>51</v>
      </c>
      <c r="F70">
        <v>32</v>
      </c>
      <c r="G70">
        <v>6</v>
      </c>
      <c r="H70">
        <v>59</v>
      </c>
      <c r="I70">
        <v>34</v>
      </c>
      <c r="K70">
        <v>4</v>
      </c>
      <c r="L70">
        <v>15</v>
      </c>
      <c r="M70">
        <v>4</v>
      </c>
      <c r="N70">
        <v>22</v>
      </c>
      <c r="O70">
        <v>12</v>
      </c>
      <c r="P70">
        <v>9</v>
      </c>
      <c r="Q70">
        <v>9</v>
      </c>
      <c r="R70">
        <v>34</v>
      </c>
    </row>
    <row r="71" spans="1:18" x14ac:dyDescent="0.3">
      <c r="A71" t="s">
        <v>342</v>
      </c>
      <c r="B71" t="s">
        <v>215</v>
      </c>
      <c r="C71" t="s">
        <v>214</v>
      </c>
      <c r="D71">
        <v>13</v>
      </c>
      <c r="E71">
        <v>46</v>
      </c>
      <c r="F71">
        <v>170</v>
      </c>
      <c r="G71">
        <v>1</v>
      </c>
      <c r="H71">
        <v>35</v>
      </c>
      <c r="I71">
        <v>1</v>
      </c>
      <c r="J71">
        <v>3</v>
      </c>
      <c r="K71">
        <v>1</v>
      </c>
      <c r="L71">
        <v>9</v>
      </c>
      <c r="M71">
        <v>3</v>
      </c>
      <c r="N71">
        <v>12</v>
      </c>
      <c r="O71">
        <v>6</v>
      </c>
      <c r="P71">
        <v>6</v>
      </c>
      <c r="Q71">
        <v>5</v>
      </c>
      <c r="R71">
        <v>4</v>
      </c>
    </row>
    <row r="72" spans="1:18" x14ac:dyDescent="0.3">
      <c r="A72" t="s">
        <v>342</v>
      </c>
      <c r="B72" t="s">
        <v>220</v>
      </c>
      <c r="C72" t="s">
        <v>219</v>
      </c>
      <c r="D72">
        <v>15</v>
      </c>
      <c r="E72">
        <v>92</v>
      </c>
      <c r="F72">
        <v>39</v>
      </c>
      <c r="H72">
        <v>72</v>
      </c>
      <c r="I72">
        <v>52</v>
      </c>
      <c r="J72">
        <v>1</v>
      </c>
      <c r="K72">
        <v>6</v>
      </c>
      <c r="L72">
        <v>10</v>
      </c>
      <c r="M72">
        <v>8</v>
      </c>
      <c r="N72">
        <v>10</v>
      </c>
      <c r="O72">
        <v>8</v>
      </c>
      <c r="P72">
        <v>15</v>
      </c>
      <c r="Q72">
        <v>11</v>
      </c>
      <c r="R72">
        <v>5</v>
      </c>
    </row>
    <row r="73" spans="1:18" x14ac:dyDescent="0.3">
      <c r="A73" t="s">
        <v>342</v>
      </c>
      <c r="B73" t="s">
        <v>300</v>
      </c>
      <c r="C73" t="s">
        <v>299</v>
      </c>
      <c r="D73">
        <v>1</v>
      </c>
      <c r="E73">
        <v>16</v>
      </c>
      <c r="F73">
        <v>3</v>
      </c>
      <c r="L73">
        <v>1</v>
      </c>
      <c r="M73">
        <v>1</v>
      </c>
      <c r="N73">
        <v>1</v>
      </c>
    </row>
    <row r="74" spans="1:18" x14ac:dyDescent="0.3">
      <c r="A74" t="s">
        <v>213</v>
      </c>
      <c r="B74" t="s">
        <v>247</v>
      </c>
      <c r="C74" t="s">
        <v>246</v>
      </c>
      <c r="D74">
        <v>14</v>
      </c>
      <c r="E74">
        <v>39</v>
      </c>
      <c r="F74">
        <v>280</v>
      </c>
      <c r="G74">
        <v>2</v>
      </c>
      <c r="H74">
        <v>15</v>
      </c>
      <c r="L74">
        <v>10</v>
      </c>
      <c r="M74">
        <v>6</v>
      </c>
      <c r="N74">
        <v>5</v>
      </c>
      <c r="O74">
        <v>4</v>
      </c>
      <c r="P74">
        <v>1</v>
      </c>
      <c r="Q74">
        <v>1</v>
      </c>
      <c r="R74">
        <v>4</v>
      </c>
    </row>
    <row r="75" spans="1:18" x14ac:dyDescent="0.3">
      <c r="A75" t="s">
        <v>312</v>
      </c>
      <c r="B75" t="s">
        <v>220</v>
      </c>
      <c r="C75" t="s">
        <v>219</v>
      </c>
      <c r="D75">
        <v>15</v>
      </c>
      <c r="E75">
        <v>81</v>
      </c>
      <c r="F75">
        <v>20</v>
      </c>
      <c r="G75">
        <v>5</v>
      </c>
      <c r="H75">
        <v>44</v>
      </c>
      <c r="I75">
        <v>47</v>
      </c>
      <c r="K75">
        <v>3</v>
      </c>
      <c r="L75">
        <v>8</v>
      </c>
      <c r="M75">
        <v>30</v>
      </c>
      <c r="N75">
        <v>34</v>
      </c>
      <c r="O75">
        <v>9</v>
      </c>
      <c r="P75">
        <v>19</v>
      </c>
      <c r="Q75">
        <v>17</v>
      </c>
      <c r="R75">
        <v>19</v>
      </c>
    </row>
    <row r="76" spans="1:18" x14ac:dyDescent="0.3">
      <c r="A76" t="s">
        <v>312</v>
      </c>
      <c r="B76" t="s">
        <v>259</v>
      </c>
      <c r="C76" t="s">
        <v>258</v>
      </c>
      <c r="E76">
        <v>7</v>
      </c>
      <c r="F76">
        <v>2</v>
      </c>
      <c r="H76">
        <v>6</v>
      </c>
      <c r="I76">
        <v>2</v>
      </c>
      <c r="M76">
        <v>5</v>
      </c>
      <c r="O76">
        <v>3</v>
      </c>
      <c r="P76">
        <v>1</v>
      </c>
      <c r="Q76">
        <v>2</v>
      </c>
    </row>
    <row r="77" spans="1:18" x14ac:dyDescent="0.3">
      <c r="A77" t="s">
        <v>312</v>
      </c>
      <c r="B77" t="s">
        <v>294</v>
      </c>
      <c r="C77" t="s">
        <v>293</v>
      </c>
      <c r="D77">
        <v>36</v>
      </c>
      <c r="E77">
        <v>71</v>
      </c>
      <c r="F77">
        <v>10</v>
      </c>
      <c r="G77">
        <v>2</v>
      </c>
      <c r="H77">
        <v>67</v>
      </c>
      <c r="I77">
        <v>33</v>
      </c>
      <c r="L77">
        <v>6</v>
      </c>
      <c r="M77">
        <v>6</v>
      </c>
      <c r="N77">
        <v>6</v>
      </c>
      <c r="O77">
        <v>6</v>
      </c>
      <c r="P77">
        <v>2</v>
      </c>
      <c r="Q77">
        <v>1</v>
      </c>
      <c r="R77">
        <v>2</v>
      </c>
    </row>
    <row r="78" spans="1:18" x14ac:dyDescent="0.3">
      <c r="A78" t="s">
        <v>312</v>
      </c>
      <c r="B78" t="s">
        <v>296</v>
      </c>
      <c r="C78" t="s">
        <v>295</v>
      </c>
      <c r="D78">
        <v>1</v>
      </c>
      <c r="E78">
        <v>48</v>
      </c>
      <c r="F78">
        <v>5</v>
      </c>
      <c r="H78">
        <v>24</v>
      </c>
      <c r="I78">
        <v>20</v>
      </c>
      <c r="J78">
        <v>1</v>
      </c>
      <c r="L78">
        <v>9</v>
      </c>
      <c r="M78">
        <v>7</v>
      </c>
      <c r="N78">
        <v>11</v>
      </c>
      <c r="O78">
        <v>10</v>
      </c>
      <c r="P78">
        <v>5</v>
      </c>
      <c r="Q78">
        <v>3</v>
      </c>
      <c r="R78">
        <v>5</v>
      </c>
    </row>
    <row r="79" spans="1:18" x14ac:dyDescent="0.3">
      <c r="A79" t="s">
        <v>312</v>
      </c>
      <c r="B79" t="s">
        <v>300</v>
      </c>
      <c r="C79" t="s">
        <v>299</v>
      </c>
      <c r="E79">
        <v>11</v>
      </c>
    </row>
    <row r="80" spans="1:18" x14ac:dyDescent="0.3">
      <c r="A80" t="s">
        <v>312</v>
      </c>
      <c r="B80" t="s">
        <v>304</v>
      </c>
      <c r="C80" t="s">
        <v>303</v>
      </c>
      <c r="D80">
        <v>15</v>
      </c>
      <c r="E80">
        <v>61</v>
      </c>
      <c r="F80">
        <v>45</v>
      </c>
      <c r="H80">
        <v>3</v>
      </c>
      <c r="I80">
        <v>2</v>
      </c>
      <c r="K80">
        <v>1</v>
      </c>
      <c r="L80">
        <v>5</v>
      </c>
      <c r="M80">
        <v>1</v>
      </c>
      <c r="N80">
        <v>13</v>
      </c>
      <c r="O80">
        <v>1</v>
      </c>
      <c r="P80">
        <v>5</v>
      </c>
      <c r="Q80">
        <v>3</v>
      </c>
      <c r="R80">
        <v>4</v>
      </c>
    </row>
    <row r="81" spans="1:18" x14ac:dyDescent="0.3">
      <c r="A81" t="s">
        <v>318</v>
      </c>
      <c r="B81" t="s">
        <v>240</v>
      </c>
      <c r="C81" t="s">
        <v>239</v>
      </c>
      <c r="D81">
        <v>2</v>
      </c>
      <c r="E81">
        <v>19</v>
      </c>
      <c r="G81">
        <v>4</v>
      </c>
      <c r="L81">
        <v>1</v>
      </c>
      <c r="M81">
        <v>2</v>
      </c>
      <c r="N81">
        <v>1</v>
      </c>
      <c r="O81">
        <v>3</v>
      </c>
      <c r="P81">
        <v>2</v>
      </c>
      <c r="Q81">
        <v>1</v>
      </c>
    </row>
    <row r="82" spans="1:18" x14ac:dyDescent="0.3">
      <c r="A82" t="s">
        <v>318</v>
      </c>
      <c r="B82" t="s">
        <v>263</v>
      </c>
      <c r="C82" t="s">
        <v>262</v>
      </c>
      <c r="D82">
        <v>7</v>
      </c>
      <c r="E82">
        <v>39</v>
      </c>
      <c r="J82">
        <v>1</v>
      </c>
      <c r="L82">
        <v>1</v>
      </c>
      <c r="M82">
        <v>3</v>
      </c>
      <c r="N82">
        <v>2</v>
      </c>
      <c r="O82">
        <v>3</v>
      </c>
      <c r="P82">
        <v>4</v>
      </c>
      <c r="Q82">
        <v>1</v>
      </c>
      <c r="R82">
        <v>1</v>
      </c>
    </row>
    <row r="83" spans="1:18" x14ac:dyDescent="0.3">
      <c r="A83" t="s">
        <v>318</v>
      </c>
      <c r="B83" t="s">
        <v>273</v>
      </c>
      <c r="C83" t="s">
        <v>272</v>
      </c>
      <c r="D83">
        <v>18</v>
      </c>
      <c r="E83">
        <v>56</v>
      </c>
      <c r="F83">
        <v>16</v>
      </c>
      <c r="H83">
        <v>17</v>
      </c>
      <c r="I83">
        <v>2</v>
      </c>
      <c r="K83">
        <v>1</v>
      </c>
      <c r="L83">
        <v>1</v>
      </c>
      <c r="M83">
        <v>1</v>
      </c>
      <c r="N83">
        <v>2</v>
      </c>
      <c r="O83">
        <v>2</v>
      </c>
      <c r="P83">
        <v>4</v>
      </c>
      <c r="Q83">
        <v>2</v>
      </c>
      <c r="R83">
        <v>2</v>
      </c>
    </row>
    <row r="84" spans="1:18" x14ac:dyDescent="0.3">
      <c r="A84" t="s">
        <v>365</v>
      </c>
      <c r="B84" t="s">
        <v>255</v>
      </c>
      <c r="C84" t="s">
        <v>254</v>
      </c>
      <c r="D84">
        <v>8</v>
      </c>
      <c r="E84">
        <v>22</v>
      </c>
      <c r="F84">
        <v>24</v>
      </c>
      <c r="G84">
        <v>7</v>
      </c>
      <c r="H84">
        <v>6</v>
      </c>
      <c r="I84">
        <v>2</v>
      </c>
      <c r="J84">
        <v>1</v>
      </c>
      <c r="K84">
        <v>1</v>
      </c>
      <c r="L84">
        <v>4</v>
      </c>
      <c r="M84">
        <v>5</v>
      </c>
      <c r="N84">
        <v>6</v>
      </c>
      <c r="O84">
        <v>12</v>
      </c>
      <c r="P84">
        <v>3</v>
      </c>
      <c r="Q84">
        <v>1</v>
      </c>
    </row>
    <row r="85" spans="1:18" x14ac:dyDescent="0.3">
      <c r="A85" t="s">
        <v>365</v>
      </c>
      <c r="B85" t="s">
        <v>277</v>
      </c>
      <c r="C85" t="s">
        <v>276</v>
      </c>
      <c r="D85">
        <v>2</v>
      </c>
      <c r="E85">
        <v>40</v>
      </c>
      <c r="F85">
        <v>9</v>
      </c>
      <c r="H85">
        <v>4</v>
      </c>
      <c r="J85">
        <v>1</v>
      </c>
      <c r="K85">
        <v>3</v>
      </c>
      <c r="L85">
        <v>7</v>
      </c>
      <c r="M85">
        <v>13</v>
      </c>
      <c r="N85">
        <v>21</v>
      </c>
      <c r="O85">
        <v>9</v>
      </c>
      <c r="P85">
        <v>7</v>
      </c>
      <c r="Q85">
        <v>24</v>
      </c>
      <c r="R85">
        <v>7</v>
      </c>
    </row>
    <row r="86" spans="1:18" x14ac:dyDescent="0.3">
      <c r="A86" t="s">
        <v>366</v>
      </c>
      <c r="B86" t="s">
        <v>240</v>
      </c>
      <c r="C86" t="s">
        <v>239</v>
      </c>
      <c r="D86">
        <v>12</v>
      </c>
      <c r="E86">
        <v>22</v>
      </c>
      <c r="F86">
        <v>3</v>
      </c>
      <c r="H86">
        <v>2</v>
      </c>
      <c r="I86">
        <v>2</v>
      </c>
      <c r="K86">
        <v>1</v>
      </c>
      <c r="O86">
        <v>2</v>
      </c>
      <c r="P86">
        <v>2</v>
      </c>
      <c r="Q86">
        <v>5</v>
      </c>
    </row>
    <row r="87" spans="1:18" x14ac:dyDescent="0.3">
      <c r="A87" t="s">
        <v>366</v>
      </c>
      <c r="B87" t="s">
        <v>247</v>
      </c>
      <c r="C87" t="s">
        <v>246</v>
      </c>
      <c r="D87">
        <v>19</v>
      </c>
      <c r="E87">
        <v>38</v>
      </c>
      <c r="F87">
        <v>489</v>
      </c>
      <c r="H87">
        <v>3</v>
      </c>
      <c r="K87">
        <v>1</v>
      </c>
      <c r="L87">
        <v>21</v>
      </c>
      <c r="M87">
        <v>2</v>
      </c>
      <c r="N87">
        <v>7</v>
      </c>
      <c r="O87">
        <v>13</v>
      </c>
      <c r="P87">
        <v>1</v>
      </c>
      <c r="Q87">
        <v>1</v>
      </c>
      <c r="R87">
        <v>3</v>
      </c>
    </row>
    <row r="88" spans="1:18" x14ac:dyDescent="0.3">
      <c r="A88" t="s">
        <v>366</v>
      </c>
      <c r="B88" t="s">
        <v>253</v>
      </c>
      <c r="C88" t="s">
        <v>252</v>
      </c>
      <c r="D88">
        <v>7</v>
      </c>
      <c r="E88">
        <v>29</v>
      </c>
      <c r="F88">
        <v>24</v>
      </c>
      <c r="H88">
        <v>5</v>
      </c>
      <c r="I88">
        <v>1</v>
      </c>
      <c r="L88">
        <v>2</v>
      </c>
      <c r="M88">
        <v>5</v>
      </c>
      <c r="N88">
        <v>2</v>
      </c>
      <c r="O88">
        <v>3</v>
      </c>
      <c r="P88">
        <v>7</v>
      </c>
      <c r="Q88">
        <v>5</v>
      </c>
      <c r="R88">
        <v>5</v>
      </c>
    </row>
    <row r="89" spans="1:18" x14ac:dyDescent="0.3">
      <c r="A89" t="s">
        <v>341</v>
      </c>
      <c r="B89" t="s">
        <v>259</v>
      </c>
      <c r="C89" t="s">
        <v>258</v>
      </c>
      <c r="D89">
        <v>1</v>
      </c>
      <c r="E89">
        <v>20</v>
      </c>
      <c r="F89">
        <v>9</v>
      </c>
      <c r="H89">
        <v>8</v>
      </c>
      <c r="I89">
        <v>4</v>
      </c>
      <c r="K89">
        <v>2</v>
      </c>
      <c r="L89">
        <v>4</v>
      </c>
      <c r="M89">
        <v>2</v>
      </c>
      <c r="N89">
        <v>10</v>
      </c>
      <c r="O89">
        <v>2</v>
      </c>
      <c r="Q89">
        <v>14</v>
      </c>
      <c r="R89">
        <v>4</v>
      </c>
    </row>
    <row r="90" spans="1:18" x14ac:dyDescent="0.3">
      <c r="A90" t="s">
        <v>341</v>
      </c>
      <c r="B90" t="s">
        <v>277</v>
      </c>
      <c r="C90" t="s">
        <v>276</v>
      </c>
      <c r="D90">
        <v>1</v>
      </c>
      <c r="E90">
        <v>37</v>
      </c>
      <c r="F90">
        <v>7</v>
      </c>
      <c r="H90">
        <v>3</v>
      </c>
      <c r="I90">
        <v>2</v>
      </c>
      <c r="K90">
        <v>3</v>
      </c>
      <c r="L90">
        <v>11</v>
      </c>
      <c r="M90">
        <v>3</v>
      </c>
      <c r="N90">
        <v>27</v>
      </c>
      <c r="O90">
        <v>4</v>
      </c>
      <c r="P90">
        <v>9</v>
      </c>
      <c r="Q90">
        <v>4</v>
      </c>
      <c r="R90">
        <v>4</v>
      </c>
    </row>
    <row r="91" spans="1:18" x14ac:dyDescent="0.3">
      <c r="A91" t="s">
        <v>341</v>
      </c>
      <c r="B91" t="s">
        <v>289</v>
      </c>
      <c r="C91" t="s">
        <v>288</v>
      </c>
      <c r="D91">
        <v>6</v>
      </c>
      <c r="E91">
        <v>55</v>
      </c>
      <c r="F91">
        <v>22</v>
      </c>
      <c r="H91">
        <v>29</v>
      </c>
      <c r="I91">
        <v>2</v>
      </c>
      <c r="J91">
        <v>2</v>
      </c>
      <c r="L91">
        <v>48</v>
      </c>
      <c r="M91">
        <v>16</v>
      </c>
      <c r="N91">
        <v>86</v>
      </c>
      <c r="O91">
        <v>22</v>
      </c>
      <c r="P91">
        <v>58</v>
      </c>
      <c r="Q91">
        <v>61</v>
      </c>
      <c r="R91">
        <v>89</v>
      </c>
    </row>
    <row r="92" spans="1:18" x14ac:dyDescent="0.3">
      <c r="A92" t="s">
        <v>341</v>
      </c>
      <c r="B92" t="s">
        <v>294</v>
      </c>
      <c r="C92" t="s">
        <v>293</v>
      </c>
      <c r="D92">
        <v>57</v>
      </c>
      <c r="E92">
        <v>81</v>
      </c>
      <c r="F92">
        <v>30</v>
      </c>
      <c r="G92">
        <v>4</v>
      </c>
      <c r="H92">
        <v>34</v>
      </c>
      <c r="I92">
        <v>39</v>
      </c>
      <c r="K92">
        <v>2</v>
      </c>
      <c r="L92">
        <v>15</v>
      </c>
      <c r="M92">
        <v>4</v>
      </c>
      <c r="N92">
        <v>3</v>
      </c>
      <c r="O92">
        <v>8</v>
      </c>
      <c r="P92">
        <v>2</v>
      </c>
      <c r="Q92">
        <v>5</v>
      </c>
      <c r="R92">
        <v>3</v>
      </c>
    </row>
    <row r="93" spans="1:18" x14ac:dyDescent="0.3">
      <c r="A93" t="s">
        <v>341</v>
      </c>
      <c r="B93" t="s">
        <v>304</v>
      </c>
      <c r="C93" t="s">
        <v>303</v>
      </c>
      <c r="D93">
        <v>12</v>
      </c>
      <c r="E93">
        <v>102</v>
      </c>
      <c r="F93">
        <v>36</v>
      </c>
      <c r="G93">
        <v>1</v>
      </c>
      <c r="H93">
        <v>26</v>
      </c>
      <c r="I93">
        <v>2</v>
      </c>
      <c r="J93">
        <v>1</v>
      </c>
      <c r="K93">
        <v>5</v>
      </c>
      <c r="L93">
        <v>4</v>
      </c>
      <c r="M93">
        <v>4</v>
      </c>
      <c r="N93">
        <v>22</v>
      </c>
      <c r="O93">
        <v>9</v>
      </c>
      <c r="P93">
        <v>12</v>
      </c>
      <c r="Q93">
        <v>6</v>
      </c>
      <c r="R93">
        <v>9</v>
      </c>
    </row>
    <row r="94" spans="1:18" x14ac:dyDescent="0.3">
      <c r="A94" t="s">
        <v>342</v>
      </c>
      <c r="B94" t="s">
        <v>224</v>
      </c>
      <c r="C94" t="s">
        <v>223</v>
      </c>
      <c r="D94">
        <v>15</v>
      </c>
      <c r="E94">
        <v>35</v>
      </c>
      <c r="F94">
        <v>4</v>
      </c>
      <c r="G94">
        <v>1</v>
      </c>
      <c r="H94">
        <v>19</v>
      </c>
      <c r="I94">
        <v>16</v>
      </c>
      <c r="K94">
        <v>2</v>
      </c>
      <c r="L94">
        <v>12</v>
      </c>
      <c r="N94">
        <v>3</v>
      </c>
      <c r="O94">
        <v>7</v>
      </c>
      <c r="P94">
        <v>3</v>
      </c>
      <c r="R94">
        <v>2</v>
      </c>
    </row>
    <row r="95" spans="1:18" x14ac:dyDescent="0.3">
      <c r="A95" t="s">
        <v>342</v>
      </c>
      <c r="B95" t="s">
        <v>240</v>
      </c>
      <c r="C95" t="s">
        <v>239</v>
      </c>
      <c r="D95">
        <v>1</v>
      </c>
      <c r="E95">
        <v>19</v>
      </c>
      <c r="F95">
        <v>5</v>
      </c>
      <c r="H95">
        <v>6</v>
      </c>
      <c r="I95">
        <v>1</v>
      </c>
      <c r="J95">
        <v>1</v>
      </c>
      <c r="L95">
        <v>1</v>
      </c>
      <c r="M95">
        <v>23</v>
      </c>
      <c r="N95">
        <v>1</v>
      </c>
      <c r="O95">
        <v>1</v>
      </c>
      <c r="P95">
        <v>3</v>
      </c>
      <c r="Q95">
        <v>2</v>
      </c>
    </row>
    <row r="96" spans="1:18" x14ac:dyDescent="0.3">
      <c r="A96" t="s">
        <v>342</v>
      </c>
      <c r="B96" t="s">
        <v>247</v>
      </c>
      <c r="C96" t="s">
        <v>246</v>
      </c>
      <c r="D96">
        <v>9</v>
      </c>
      <c r="E96">
        <v>36</v>
      </c>
      <c r="F96">
        <v>195</v>
      </c>
      <c r="G96">
        <v>1</v>
      </c>
      <c r="H96">
        <v>41</v>
      </c>
      <c r="I96">
        <v>4</v>
      </c>
      <c r="J96">
        <v>2</v>
      </c>
      <c r="K96">
        <v>1</v>
      </c>
      <c r="L96">
        <v>5</v>
      </c>
      <c r="M96">
        <v>1</v>
      </c>
      <c r="N96">
        <v>5</v>
      </c>
      <c r="O96">
        <v>2</v>
      </c>
      <c r="P96">
        <v>2</v>
      </c>
      <c r="Q96">
        <v>2</v>
      </c>
    </row>
    <row r="97" spans="1:18" x14ac:dyDescent="0.3">
      <c r="A97" t="s">
        <v>342</v>
      </c>
      <c r="B97" t="s">
        <v>255</v>
      </c>
      <c r="C97" t="s">
        <v>254</v>
      </c>
      <c r="D97">
        <v>5</v>
      </c>
      <c r="E97">
        <v>28</v>
      </c>
      <c r="F97">
        <v>12</v>
      </c>
      <c r="G97">
        <v>2</v>
      </c>
      <c r="H97">
        <v>11</v>
      </c>
      <c r="I97">
        <v>21</v>
      </c>
      <c r="K97">
        <v>1</v>
      </c>
      <c r="L97">
        <v>11</v>
      </c>
      <c r="M97">
        <v>13</v>
      </c>
      <c r="N97">
        <v>2</v>
      </c>
      <c r="O97">
        <v>16</v>
      </c>
      <c r="P97">
        <v>10</v>
      </c>
      <c r="Q97">
        <v>8</v>
      </c>
      <c r="R97">
        <v>4</v>
      </c>
    </row>
    <row r="98" spans="1:18" x14ac:dyDescent="0.3">
      <c r="A98" t="s">
        <v>213</v>
      </c>
      <c r="B98" t="s">
        <v>240</v>
      </c>
      <c r="C98" t="s">
        <v>239</v>
      </c>
      <c r="D98">
        <v>5</v>
      </c>
      <c r="E98">
        <v>22</v>
      </c>
      <c r="F98">
        <v>8</v>
      </c>
      <c r="G98">
        <v>2</v>
      </c>
      <c r="H98">
        <v>3</v>
      </c>
      <c r="I98">
        <v>2</v>
      </c>
      <c r="L98">
        <v>1</v>
      </c>
      <c r="M98">
        <v>17</v>
      </c>
      <c r="O98">
        <v>1</v>
      </c>
      <c r="P98">
        <v>7</v>
      </c>
      <c r="Q98">
        <v>2</v>
      </c>
    </row>
    <row r="99" spans="1:18" x14ac:dyDescent="0.3">
      <c r="A99" t="s">
        <v>213</v>
      </c>
      <c r="B99" t="s">
        <v>267</v>
      </c>
      <c r="C99" t="s">
        <v>1092</v>
      </c>
      <c r="D99">
        <v>29</v>
      </c>
      <c r="E99">
        <v>135</v>
      </c>
      <c r="F99">
        <v>214</v>
      </c>
      <c r="H99">
        <v>85</v>
      </c>
      <c r="I99">
        <v>10</v>
      </c>
      <c r="K99">
        <v>4</v>
      </c>
      <c r="L99">
        <v>12</v>
      </c>
      <c r="M99">
        <v>122</v>
      </c>
      <c r="N99">
        <v>9</v>
      </c>
      <c r="O99">
        <v>12</v>
      </c>
      <c r="P99">
        <v>10</v>
      </c>
      <c r="Q99">
        <v>5</v>
      </c>
      <c r="R99">
        <v>10</v>
      </c>
    </row>
    <row r="100" spans="1:18" x14ac:dyDescent="0.3">
      <c r="A100" t="s">
        <v>213</v>
      </c>
      <c r="B100" t="s">
        <v>273</v>
      </c>
      <c r="C100" t="s">
        <v>272</v>
      </c>
      <c r="D100">
        <v>15</v>
      </c>
      <c r="E100">
        <v>81</v>
      </c>
      <c r="F100">
        <v>45</v>
      </c>
      <c r="G100">
        <v>2</v>
      </c>
      <c r="H100">
        <v>25</v>
      </c>
      <c r="I100">
        <v>3</v>
      </c>
      <c r="K100">
        <v>1</v>
      </c>
      <c r="L100">
        <v>5</v>
      </c>
      <c r="M100">
        <v>4</v>
      </c>
      <c r="N100">
        <v>4</v>
      </c>
      <c r="O100">
        <v>3</v>
      </c>
      <c r="P100">
        <v>4</v>
      </c>
      <c r="Q100">
        <v>3</v>
      </c>
      <c r="R100">
        <v>1</v>
      </c>
    </row>
    <row r="101" spans="1:18" x14ac:dyDescent="0.3">
      <c r="A101" t="s">
        <v>213</v>
      </c>
      <c r="B101" t="s">
        <v>287</v>
      </c>
      <c r="C101" t="s">
        <v>286</v>
      </c>
      <c r="D101">
        <v>2</v>
      </c>
      <c r="E101">
        <v>100</v>
      </c>
      <c r="F101">
        <v>9</v>
      </c>
      <c r="G101">
        <v>2</v>
      </c>
      <c r="H101">
        <v>31</v>
      </c>
      <c r="I101">
        <v>19</v>
      </c>
      <c r="J101">
        <v>1</v>
      </c>
      <c r="L101">
        <v>3</v>
      </c>
      <c r="M101">
        <v>4</v>
      </c>
      <c r="N101">
        <v>23</v>
      </c>
      <c r="O101">
        <v>3</v>
      </c>
      <c r="P101">
        <v>27</v>
      </c>
      <c r="Q101">
        <v>7</v>
      </c>
      <c r="R101">
        <v>13</v>
      </c>
    </row>
    <row r="102" spans="1:18" x14ac:dyDescent="0.3">
      <c r="A102" t="s">
        <v>213</v>
      </c>
      <c r="B102" t="s">
        <v>292</v>
      </c>
      <c r="C102" t="s">
        <v>291</v>
      </c>
      <c r="E102">
        <v>3</v>
      </c>
      <c r="H102">
        <v>5</v>
      </c>
      <c r="R102">
        <v>1</v>
      </c>
    </row>
    <row r="103" spans="1:18" x14ac:dyDescent="0.3">
      <c r="A103" t="s">
        <v>312</v>
      </c>
      <c r="B103" t="s">
        <v>244</v>
      </c>
      <c r="C103" t="s">
        <v>243</v>
      </c>
      <c r="D103">
        <v>7</v>
      </c>
      <c r="E103">
        <v>61</v>
      </c>
      <c r="F103">
        <v>21</v>
      </c>
      <c r="G103">
        <v>6</v>
      </c>
      <c r="H103">
        <v>90</v>
      </c>
      <c r="I103">
        <v>67</v>
      </c>
      <c r="K103">
        <v>4</v>
      </c>
      <c r="L103">
        <v>12</v>
      </c>
      <c r="M103">
        <v>23</v>
      </c>
      <c r="N103">
        <v>20</v>
      </c>
      <c r="O103">
        <v>44</v>
      </c>
      <c r="P103">
        <v>43</v>
      </c>
      <c r="Q103">
        <v>30</v>
      </c>
      <c r="R103">
        <v>7</v>
      </c>
    </row>
    <row r="104" spans="1:18" x14ac:dyDescent="0.3">
      <c r="A104" t="s">
        <v>312</v>
      </c>
      <c r="B104" t="s">
        <v>273</v>
      </c>
      <c r="C104" t="s">
        <v>272</v>
      </c>
      <c r="D104">
        <v>20</v>
      </c>
      <c r="E104">
        <v>95</v>
      </c>
      <c r="F104">
        <v>65</v>
      </c>
      <c r="G104">
        <v>15</v>
      </c>
      <c r="H104">
        <v>236</v>
      </c>
      <c r="I104">
        <v>33</v>
      </c>
      <c r="J104">
        <v>1</v>
      </c>
      <c r="L104">
        <v>11</v>
      </c>
      <c r="M104">
        <v>1</v>
      </c>
      <c r="N104">
        <v>8</v>
      </c>
      <c r="O104">
        <v>3</v>
      </c>
      <c r="P104">
        <v>1</v>
      </c>
      <c r="Q104">
        <v>3</v>
      </c>
      <c r="R104">
        <v>1</v>
      </c>
    </row>
    <row r="105" spans="1:18" x14ac:dyDescent="0.3">
      <c r="A105" t="s">
        <v>312</v>
      </c>
      <c r="B105" t="s">
        <v>292</v>
      </c>
      <c r="C105" t="s">
        <v>291</v>
      </c>
      <c r="D105">
        <v>1</v>
      </c>
      <c r="E105">
        <v>12</v>
      </c>
      <c r="H105">
        <v>9</v>
      </c>
      <c r="I105">
        <v>1</v>
      </c>
    </row>
    <row r="106" spans="1:18" x14ac:dyDescent="0.3">
      <c r="A106" t="s">
        <v>318</v>
      </c>
      <c r="B106" t="s">
        <v>253</v>
      </c>
      <c r="C106" t="s">
        <v>252</v>
      </c>
      <c r="D106">
        <v>2</v>
      </c>
      <c r="E106">
        <v>22</v>
      </c>
      <c r="F106">
        <v>13</v>
      </c>
      <c r="H106">
        <v>3</v>
      </c>
      <c r="I106">
        <v>1</v>
      </c>
      <c r="L106">
        <v>1</v>
      </c>
      <c r="N106">
        <v>3</v>
      </c>
    </row>
    <row r="107" spans="1:18" x14ac:dyDescent="0.3">
      <c r="A107" t="s">
        <v>318</v>
      </c>
      <c r="B107" t="s">
        <v>255</v>
      </c>
      <c r="C107" t="s">
        <v>254</v>
      </c>
      <c r="D107">
        <v>3</v>
      </c>
      <c r="E107">
        <v>23</v>
      </c>
      <c r="F107">
        <v>5</v>
      </c>
      <c r="H107">
        <v>1</v>
      </c>
      <c r="L107">
        <v>3</v>
      </c>
      <c r="M107">
        <v>2</v>
      </c>
      <c r="N107">
        <v>1</v>
      </c>
      <c r="O107">
        <v>3</v>
      </c>
      <c r="P107">
        <v>2</v>
      </c>
      <c r="R107">
        <v>1</v>
      </c>
    </row>
    <row r="108" spans="1:18" x14ac:dyDescent="0.3">
      <c r="A108" t="s">
        <v>318</v>
      </c>
      <c r="B108" t="s">
        <v>292</v>
      </c>
      <c r="C108" t="s">
        <v>291</v>
      </c>
      <c r="D108">
        <v>1</v>
      </c>
      <c r="E108">
        <v>5</v>
      </c>
      <c r="G108">
        <v>1</v>
      </c>
      <c r="H108">
        <v>2</v>
      </c>
    </row>
    <row r="109" spans="1:18" x14ac:dyDescent="0.3">
      <c r="A109" t="s">
        <v>320</v>
      </c>
      <c r="B109" t="s">
        <v>228</v>
      </c>
      <c r="C109" t="s">
        <v>227</v>
      </c>
      <c r="D109">
        <v>3</v>
      </c>
      <c r="E109">
        <v>12</v>
      </c>
      <c r="F109">
        <v>10</v>
      </c>
      <c r="H109">
        <v>106</v>
      </c>
      <c r="I109">
        <v>42</v>
      </c>
      <c r="L109">
        <v>1</v>
      </c>
      <c r="M109">
        <v>5</v>
      </c>
      <c r="N109">
        <v>2</v>
      </c>
      <c r="O109">
        <v>3</v>
      </c>
      <c r="P109">
        <v>1</v>
      </c>
      <c r="Q109">
        <v>3</v>
      </c>
      <c r="R109">
        <v>1</v>
      </c>
    </row>
    <row r="110" spans="1:18" x14ac:dyDescent="0.3">
      <c r="A110" t="s">
        <v>320</v>
      </c>
      <c r="B110" t="s">
        <v>279</v>
      </c>
      <c r="C110" t="s">
        <v>278</v>
      </c>
      <c r="D110">
        <v>2</v>
      </c>
      <c r="E110">
        <v>15</v>
      </c>
      <c r="F110">
        <v>31</v>
      </c>
      <c r="H110">
        <v>2</v>
      </c>
      <c r="I110">
        <v>2</v>
      </c>
      <c r="L110">
        <v>7</v>
      </c>
      <c r="M110">
        <v>12</v>
      </c>
      <c r="N110">
        <v>2</v>
      </c>
      <c r="O110">
        <v>3</v>
      </c>
      <c r="P110">
        <v>5</v>
      </c>
      <c r="R110">
        <v>7</v>
      </c>
    </row>
    <row r="111" spans="1:18" x14ac:dyDescent="0.3">
      <c r="A111" t="s">
        <v>320</v>
      </c>
      <c r="B111" t="s">
        <v>300</v>
      </c>
      <c r="C111" t="s">
        <v>299</v>
      </c>
      <c r="D111">
        <v>1</v>
      </c>
      <c r="E111">
        <v>7</v>
      </c>
      <c r="F111">
        <v>3</v>
      </c>
      <c r="G111">
        <v>2</v>
      </c>
      <c r="H111">
        <v>11</v>
      </c>
      <c r="I111">
        <v>13</v>
      </c>
    </row>
    <row r="112" spans="1:18" x14ac:dyDescent="0.3">
      <c r="A112" t="s">
        <v>365</v>
      </c>
      <c r="B112" t="s">
        <v>220</v>
      </c>
      <c r="C112" t="s">
        <v>219</v>
      </c>
      <c r="D112">
        <v>11</v>
      </c>
      <c r="E112">
        <v>79</v>
      </c>
      <c r="F112">
        <v>48</v>
      </c>
      <c r="H112">
        <v>59</v>
      </c>
      <c r="I112">
        <v>28</v>
      </c>
      <c r="L112">
        <v>14</v>
      </c>
      <c r="M112">
        <v>16</v>
      </c>
      <c r="N112">
        <v>1</v>
      </c>
      <c r="O112">
        <v>1</v>
      </c>
      <c r="P112">
        <v>2</v>
      </c>
      <c r="Q112">
        <v>6</v>
      </c>
      <c r="R112">
        <v>2</v>
      </c>
    </row>
    <row r="113" spans="1:18" x14ac:dyDescent="0.3">
      <c r="A113" t="s">
        <v>365</v>
      </c>
      <c r="B113" t="s">
        <v>224</v>
      </c>
      <c r="C113" t="s">
        <v>223</v>
      </c>
      <c r="D113">
        <v>13</v>
      </c>
      <c r="E113">
        <v>38</v>
      </c>
      <c r="F113">
        <v>6</v>
      </c>
      <c r="G113">
        <v>1</v>
      </c>
      <c r="H113">
        <v>27</v>
      </c>
      <c r="I113">
        <v>9</v>
      </c>
      <c r="K113">
        <v>2</v>
      </c>
      <c r="L113">
        <v>34</v>
      </c>
      <c r="M113">
        <v>4</v>
      </c>
      <c r="N113">
        <v>5</v>
      </c>
      <c r="O113">
        <v>20</v>
      </c>
      <c r="P113">
        <v>25</v>
      </c>
      <c r="Q113">
        <v>13</v>
      </c>
      <c r="R113">
        <v>9</v>
      </c>
    </row>
    <row r="114" spans="1:18" x14ac:dyDescent="0.3">
      <c r="A114" t="s">
        <v>365</v>
      </c>
      <c r="B114" t="s">
        <v>228</v>
      </c>
      <c r="C114" t="s">
        <v>227</v>
      </c>
      <c r="D114">
        <v>5</v>
      </c>
      <c r="E114">
        <v>27</v>
      </c>
      <c r="F114">
        <v>2</v>
      </c>
      <c r="G114">
        <v>5</v>
      </c>
      <c r="H114">
        <v>101</v>
      </c>
      <c r="I114">
        <v>24</v>
      </c>
      <c r="J114">
        <v>2</v>
      </c>
      <c r="K114">
        <v>2</v>
      </c>
      <c r="L114">
        <v>9</v>
      </c>
      <c r="M114">
        <v>36</v>
      </c>
      <c r="N114">
        <v>13</v>
      </c>
      <c r="O114">
        <v>2</v>
      </c>
      <c r="P114">
        <v>3</v>
      </c>
      <c r="Q114">
        <v>4</v>
      </c>
      <c r="R114">
        <v>18</v>
      </c>
    </row>
    <row r="115" spans="1:18" x14ac:dyDescent="0.3">
      <c r="A115" t="s">
        <v>365</v>
      </c>
      <c r="B115" t="s">
        <v>294</v>
      </c>
      <c r="C115" t="s">
        <v>293</v>
      </c>
      <c r="D115">
        <v>49</v>
      </c>
      <c r="E115">
        <v>85</v>
      </c>
      <c r="F115">
        <v>32</v>
      </c>
      <c r="G115">
        <v>1</v>
      </c>
      <c r="H115">
        <v>18</v>
      </c>
      <c r="I115">
        <v>30</v>
      </c>
      <c r="K115">
        <v>1</v>
      </c>
      <c r="L115">
        <v>4</v>
      </c>
      <c r="M115">
        <v>3</v>
      </c>
      <c r="N115">
        <v>5</v>
      </c>
      <c r="O115">
        <v>4</v>
      </c>
      <c r="P115">
        <v>3</v>
      </c>
      <c r="Q115">
        <v>11</v>
      </c>
      <c r="R115">
        <v>1</v>
      </c>
    </row>
    <row r="116" spans="1:18" x14ac:dyDescent="0.3">
      <c r="A116" t="s">
        <v>365</v>
      </c>
      <c r="B116" t="s">
        <v>300</v>
      </c>
      <c r="C116" t="s">
        <v>299</v>
      </c>
      <c r="D116">
        <v>1</v>
      </c>
      <c r="E116">
        <v>14</v>
      </c>
      <c r="F116">
        <v>6</v>
      </c>
      <c r="G116">
        <v>2</v>
      </c>
      <c r="H116">
        <v>8</v>
      </c>
      <c r="Q116">
        <v>1</v>
      </c>
    </row>
    <row r="117" spans="1:18" x14ac:dyDescent="0.3">
      <c r="A117" t="s">
        <v>365</v>
      </c>
      <c r="B117" t="s">
        <v>302</v>
      </c>
      <c r="C117" t="s">
        <v>301</v>
      </c>
      <c r="D117">
        <v>3</v>
      </c>
      <c r="E117">
        <v>46</v>
      </c>
      <c r="F117">
        <v>23</v>
      </c>
      <c r="G117">
        <v>5</v>
      </c>
      <c r="H117">
        <v>39</v>
      </c>
      <c r="I117">
        <v>14</v>
      </c>
      <c r="J117">
        <v>1</v>
      </c>
      <c r="K117">
        <v>1</v>
      </c>
      <c r="L117">
        <v>16</v>
      </c>
      <c r="M117">
        <v>10</v>
      </c>
      <c r="N117">
        <v>36</v>
      </c>
      <c r="O117">
        <v>8</v>
      </c>
      <c r="P117">
        <v>20</v>
      </c>
      <c r="Q117">
        <v>15</v>
      </c>
      <c r="R117">
        <v>10</v>
      </c>
    </row>
    <row r="118" spans="1:18" x14ac:dyDescent="0.3">
      <c r="A118" t="s">
        <v>365</v>
      </c>
      <c r="B118" t="s">
        <v>311</v>
      </c>
      <c r="C118" t="s">
        <v>310</v>
      </c>
      <c r="D118">
        <v>9</v>
      </c>
      <c r="E118">
        <v>45</v>
      </c>
      <c r="F118">
        <v>13</v>
      </c>
      <c r="G118">
        <v>4</v>
      </c>
      <c r="H118">
        <v>5</v>
      </c>
      <c r="I118">
        <v>1</v>
      </c>
      <c r="K118">
        <v>16</v>
      </c>
      <c r="L118">
        <v>34</v>
      </c>
      <c r="M118">
        <v>21</v>
      </c>
      <c r="N118">
        <v>30</v>
      </c>
      <c r="O118">
        <v>15</v>
      </c>
      <c r="P118">
        <v>29</v>
      </c>
      <c r="Q118">
        <v>13</v>
      </c>
      <c r="R118">
        <v>3</v>
      </c>
    </row>
    <row r="119" spans="1:18" x14ac:dyDescent="0.3">
      <c r="A119" t="s">
        <v>366</v>
      </c>
      <c r="B119" t="s">
        <v>224</v>
      </c>
      <c r="C119" t="s">
        <v>223</v>
      </c>
      <c r="D119">
        <v>8</v>
      </c>
      <c r="E119">
        <v>36</v>
      </c>
      <c r="F119">
        <v>4</v>
      </c>
      <c r="H119">
        <v>12</v>
      </c>
      <c r="I119">
        <v>27</v>
      </c>
      <c r="L119">
        <v>39</v>
      </c>
      <c r="M119">
        <v>7</v>
      </c>
      <c r="N119">
        <v>3</v>
      </c>
      <c r="O119">
        <v>19</v>
      </c>
      <c r="P119">
        <v>8</v>
      </c>
      <c r="Q119">
        <v>8</v>
      </c>
      <c r="R119">
        <v>3</v>
      </c>
    </row>
    <row r="120" spans="1:18" x14ac:dyDescent="0.3">
      <c r="A120" t="s">
        <v>366</v>
      </c>
      <c r="B120" t="s">
        <v>244</v>
      </c>
      <c r="C120" t="s">
        <v>243</v>
      </c>
      <c r="D120">
        <v>10</v>
      </c>
      <c r="E120">
        <v>91</v>
      </c>
      <c r="F120">
        <v>27</v>
      </c>
      <c r="G120">
        <v>3</v>
      </c>
      <c r="H120">
        <v>82</v>
      </c>
      <c r="I120">
        <v>7</v>
      </c>
      <c r="J120">
        <v>1</v>
      </c>
      <c r="K120">
        <v>1</v>
      </c>
      <c r="L120">
        <v>9</v>
      </c>
      <c r="M120">
        <v>11</v>
      </c>
      <c r="N120">
        <v>10</v>
      </c>
      <c r="O120">
        <v>15</v>
      </c>
      <c r="P120">
        <v>19</v>
      </c>
      <c r="Q120">
        <v>7</v>
      </c>
      <c r="R120">
        <v>3</v>
      </c>
    </row>
    <row r="121" spans="1:18" x14ac:dyDescent="0.3">
      <c r="A121" t="s">
        <v>366</v>
      </c>
      <c r="B121" t="s">
        <v>263</v>
      </c>
      <c r="C121" t="s">
        <v>262</v>
      </c>
      <c r="D121">
        <v>10</v>
      </c>
      <c r="E121">
        <v>45</v>
      </c>
      <c r="F121">
        <v>8</v>
      </c>
      <c r="G121">
        <v>1</v>
      </c>
      <c r="H121">
        <v>18</v>
      </c>
      <c r="I121">
        <v>5</v>
      </c>
      <c r="J121">
        <v>2</v>
      </c>
      <c r="K121">
        <v>4</v>
      </c>
      <c r="L121">
        <v>17</v>
      </c>
      <c r="M121">
        <v>6</v>
      </c>
      <c r="N121">
        <v>16</v>
      </c>
      <c r="O121">
        <v>7</v>
      </c>
      <c r="P121">
        <v>10</v>
      </c>
      <c r="Q121">
        <v>8</v>
      </c>
      <c r="R121">
        <v>3</v>
      </c>
    </row>
    <row r="122" spans="1:18" x14ac:dyDescent="0.3">
      <c r="A122" t="s">
        <v>366</v>
      </c>
      <c r="B122" t="s">
        <v>294</v>
      </c>
      <c r="C122" t="s">
        <v>293</v>
      </c>
      <c r="D122">
        <v>65</v>
      </c>
      <c r="E122">
        <v>88</v>
      </c>
      <c r="F122">
        <v>38</v>
      </c>
      <c r="H122">
        <v>11</v>
      </c>
      <c r="I122">
        <v>27</v>
      </c>
      <c r="L122">
        <v>13</v>
      </c>
      <c r="M122">
        <v>2</v>
      </c>
      <c r="N122">
        <v>1</v>
      </c>
      <c r="O122">
        <v>13</v>
      </c>
      <c r="P122">
        <v>6</v>
      </c>
      <c r="Q122">
        <v>3</v>
      </c>
      <c r="R122">
        <v>3</v>
      </c>
    </row>
    <row r="123" spans="1:18" x14ac:dyDescent="0.3">
      <c r="A123" t="s">
        <v>366</v>
      </c>
      <c r="B123" t="s">
        <v>304</v>
      </c>
      <c r="C123" t="s">
        <v>303</v>
      </c>
      <c r="D123">
        <v>15</v>
      </c>
      <c r="E123">
        <v>102</v>
      </c>
      <c r="F123">
        <v>59</v>
      </c>
      <c r="H123">
        <v>25</v>
      </c>
      <c r="I123">
        <v>3</v>
      </c>
      <c r="K123">
        <v>1</v>
      </c>
      <c r="L123">
        <v>6</v>
      </c>
      <c r="M123">
        <v>3</v>
      </c>
      <c r="N123">
        <v>5</v>
      </c>
      <c r="O123">
        <v>8</v>
      </c>
      <c r="P123">
        <v>4</v>
      </c>
      <c r="Q123">
        <v>16</v>
      </c>
      <c r="R123">
        <v>3</v>
      </c>
    </row>
    <row r="124" spans="1:18" x14ac:dyDescent="0.3">
      <c r="A124" t="s">
        <v>341</v>
      </c>
      <c r="B124" t="s">
        <v>234</v>
      </c>
      <c r="C124" t="s">
        <v>233</v>
      </c>
      <c r="D124">
        <v>27</v>
      </c>
      <c r="E124">
        <v>110</v>
      </c>
      <c r="F124">
        <v>211</v>
      </c>
      <c r="G124">
        <v>30</v>
      </c>
      <c r="H124">
        <v>110</v>
      </c>
      <c r="I124">
        <v>22</v>
      </c>
      <c r="J124">
        <v>2</v>
      </c>
      <c r="K124">
        <v>5</v>
      </c>
      <c r="L124">
        <v>109</v>
      </c>
      <c r="M124">
        <v>24</v>
      </c>
      <c r="N124">
        <v>79</v>
      </c>
      <c r="O124">
        <v>27</v>
      </c>
      <c r="P124">
        <v>1</v>
      </c>
      <c r="Q124">
        <v>22</v>
      </c>
      <c r="R124">
        <v>4</v>
      </c>
    </row>
    <row r="125" spans="1:18" x14ac:dyDescent="0.3">
      <c r="A125" t="s">
        <v>341</v>
      </c>
      <c r="B125" t="s">
        <v>267</v>
      </c>
      <c r="C125" t="s">
        <v>1092</v>
      </c>
      <c r="D125">
        <v>24</v>
      </c>
      <c r="E125">
        <v>132</v>
      </c>
      <c r="F125">
        <v>202</v>
      </c>
      <c r="H125">
        <v>31</v>
      </c>
      <c r="I125">
        <v>5</v>
      </c>
      <c r="J125">
        <v>6</v>
      </c>
      <c r="K125">
        <v>2</v>
      </c>
      <c r="L125">
        <v>14</v>
      </c>
      <c r="M125">
        <v>7</v>
      </c>
      <c r="N125">
        <v>15</v>
      </c>
      <c r="O125">
        <v>17</v>
      </c>
      <c r="P125">
        <v>11</v>
      </c>
      <c r="Q125">
        <v>9</v>
      </c>
      <c r="R125">
        <v>7</v>
      </c>
    </row>
    <row r="126" spans="1:18" x14ac:dyDescent="0.3">
      <c r="A126" t="s">
        <v>341</v>
      </c>
      <c r="B126" t="s">
        <v>292</v>
      </c>
      <c r="C126" t="s">
        <v>291</v>
      </c>
      <c r="D126">
        <v>1</v>
      </c>
      <c r="E126">
        <v>9</v>
      </c>
      <c r="F126">
        <v>2</v>
      </c>
      <c r="G126">
        <v>6</v>
      </c>
      <c r="H126">
        <v>10</v>
      </c>
      <c r="I126">
        <v>1</v>
      </c>
    </row>
    <row r="127" spans="1:18" x14ac:dyDescent="0.3">
      <c r="A127" t="s">
        <v>341</v>
      </c>
      <c r="B127" t="s">
        <v>296</v>
      </c>
      <c r="C127" t="s">
        <v>295</v>
      </c>
      <c r="D127">
        <v>1</v>
      </c>
      <c r="E127">
        <v>56</v>
      </c>
      <c r="F127">
        <v>8</v>
      </c>
      <c r="H127">
        <v>22</v>
      </c>
      <c r="K127">
        <v>2</v>
      </c>
      <c r="L127">
        <v>16</v>
      </c>
      <c r="M127">
        <v>2</v>
      </c>
      <c r="N127">
        <v>25</v>
      </c>
      <c r="O127">
        <v>6</v>
      </c>
      <c r="P127">
        <v>13</v>
      </c>
      <c r="Q127">
        <v>9</v>
      </c>
      <c r="R127">
        <v>9</v>
      </c>
    </row>
    <row r="128" spans="1:18" x14ac:dyDescent="0.3">
      <c r="A128" t="s">
        <v>341</v>
      </c>
      <c r="B128" t="s">
        <v>307</v>
      </c>
      <c r="C128" t="s">
        <v>306</v>
      </c>
      <c r="D128">
        <v>16</v>
      </c>
      <c r="E128">
        <v>46</v>
      </c>
      <c r="F128">
        <v>33</v>
      </c>
      <c r="G128">
        <v>4</v>
      </c>
      <c r="H128">
        <v>22</v>
      </c>
      <c r="I128">
        <v>10</v>
      </c>
      <c r="L128">
        <v>5</v>
      </c>
      <c r="M128">
        <v>3</v>
      </c>
      <c r="N128">
        <v>6</v>
      </c>
      <c r="O128">
        <v>3</v>
      </c>
      <c r="P128">
        <v>3</v>
      </c>
      <c r="Q128">
        <v>4</v>
      </c>
      <c r="R128">
        <v>5</v>
      </c>
    </row>
    <row r="129" spans="1:18" x14ac:dyDescent="0.3">
      <c r="A129" t="s">
        <v>341</v>
      </c>
      <c r="B129" t="s">
        <v>309</v>
      </c>
      <c r="C129" t="s">
        <v>308</v>
      </c>
      <c r="D129">
        <v>4</v>
      </c>
      <c r="E129">
        <v>24</v>
      </c>
      <c r="F129">
        <v>13</v>
      </c>
      <c r="H129">
        <v>17</v>
      </c>
      <c r="I129">
        <v>6</v>
      </c>
      <c r="K129">
        <v>2</v>
      </c>
      <c r="L129">
        <v>3</v>
      </c>
      <c r="M129">
        <v>3</v>
      </c>
      <c r="N129">
        <v>8</v>
      </c>
      <c r="O129">
        <v>3</v>
      </c>
      <c r="P129">
        <v>31</v>
      </c>
      <c r="Q129">
        <v>5</v>
      </c>
      <c r="R129">
        <v>2</v>
      </c>
    </row>
    <row r="130" spans="1:18" x14ac:dyDescent="0.3">
      <c r="A130" t="s">
        <v>342</v>
      </c>
      <c r="B130" t="s">
        <v>270</v>
      </c>
      <c r="C130" t="s">
        <v>269</v>
      </c>
      <c r="D130">
        <v>41</v>
      </c>
      <c r="E130">
        <v>109</v>
      </c>
      <c r="F130">
        <v>831</v>
      </c>
      <c r="G130">
        <v>15</v>
      </c>
      <c r="H130">
        <v>81</v>
      </c>
      <c r="I130">
        <v>4</v>
      </c>
      <c r="J130">
        <v>6</v>
      </c>
      <c r="K130">
        <v>5</v>
      </c>
      <c r="L130">
        <v>25</v>
      </c>
      <c r="M130">
        <v>11</v>
      </c>
      <c r="N130">
        <v>28</v>
      </c>
      <c r="O130">
        <v>9</v>
      </c>
      <c r="P130">
        <v>5</v>
      </c>
      <c r="Q130">
        <v>14</v>
      </c>
      <c r="R130">
        <v>3</v>
      </c>
    </row>
    <row r="131" spans="1:18" x14ac:dyDescent="0.3">
      <c r="A131" t="s">
        <v>342</v>
      </c>
      <c r="B131" t="s">
        <v>304</v>
      </c>
      <c r="C131" t="s">
        <v>303</v>
      </c>
      <c r="D131">
        <v>24</v>
      </c>
      <c r="E131">
        <v>115</v>
      </c>
      <c r="F131">
        <v>74</v>
      </c>
      <c r="G131">
        <v>3</v>
      </c>
      <c r="H131">
        <v>37</v>
      </c>
      <c r="I131">
        <v>4</v>
      </c>
      <c r="J131">
        <v>2</v>
      </c>
      <c r="K131">
        <v>1</v>
      </c>
      <c r="L131">
        <v>14</v>
      </c>
      <c r="M131">
        <v>9</v>
      </c>
      <c r="N131">
        <v>14</v>
      </c>
      <c r="O131">
        <v>8</v>
      </c>
      <c r="P131">
        <v>16</v>
      </c>
      <c r="Q131">
        <v>7</v>
      </c>
      <c r="R131">
        <v>5</v>
      </c>
    </row>
    <row r="132" spans="1:18" x14ac:dyDescent="0.3">
      <c r="A132" t="s">
        <v>213</v>
      </c>
      <c r="B132" t="s">
        <v>270</v>
      </c>
      <c r="C132" t="s">
        <v>269</v>
      </c>
      <c r="D132">
        <v>68</v>
      </c>
      <c r="E132">
        <v>127</v>
      </c>
      <c r="F132">
        <v>602</v>
      </c>
      <c r="G132">
        <v>13</v>
      </c>
      <c r="H132">
        <v>102</v>
      </c>
      <c r="I132">
        <v>1</v>
      </c>
      <c r="J132">
        <v>7</v>
      </c>
      <c r="K132">
        <v>2</v>
      </c>
      <c r="L132">
        <v>51</v>
      </c>
      <c r="M132">
        <v>18</v>
      </c>
      <c r="N132">
        <v>57</v>
      </c>
      <c r="O132">
        <v>26</v>
      </c>
      <c r="P132">
        <v>10</v>
      </c>
      <c r="Q132">
        <v>24</v>
      </c>
      <c r="R132">
        <v>18</v>
      </c>
    </row>
    <row r="133" spans="1:18" x14ac:dyDescent="0.3">
      <c r="A133" t="s">
        <v>213</v>
      </c>
      <c r="B133" t="s">
        <v>1201</v>
      </c>
      <c r="C133" t="s">
        <v>282</v>
      </c>
      <c r="D133">
        <v>2</v>
      </c>
      <c r="E133">
        <v>6</v>
      </c>
      <c r="H133">
        <v>8</v>
      </c>
      <c r="L133">
        <v>1</v>
      </c>
      <c r="M133">
        <v>1</v>
      </c>
      <c r="P133">
        <v>2</v>
      </c>
      <c r="Q133">
        <v>1</v>
      </c>
    </row>
    <row r="134" spans="1:18" x14ac:dyDescent="0.3">
      <c r="A134" t="s">
        <v>213</v>
      </c>
      <c r="B134" t="s">
        <v>298</v>
      </c>
      <c r="C134" t="s">
        <v>297</v>
      </c>
      <c r="D134">
        <v>15</v>
      </c>
      <c r="E134">
        <v>36</v>
      </c>
      <c r="F134">
        <v>31</v>
      </c>
      <c r="G134">
        <v>1</v>
      </c>
      <c r="H134">
        <v>44</v>
      </c>
      <c r="I134">
        <v>23</v>
      </c>
      <c r="L134">
        <v>11</v>
      </c>
      <c r="M134">
        <v>15</v>
      </c>
      <c r="N134">
        <v>11</v>
      </c>
      <c r="O134">
        <v>16</v>
      </c>
      <c r="P134">
        <v>9</v>
      </c>
      <c r="Q134">
        <v>3</v>
      </c>
      <c r="R134">
        <v>4</v>
      </c>
    </row>
    <row r="135" spans="1:18" x14ac:dyDescent="0.3">
      <c r="A135" t="s">
        <v>213</v>
      </c>
      <c r="B135" t="s">
        <v>302</v>
      </c>
      <c r="C135" t="s">
        <v>301</v>
      </c>
      <c r="D135">
        <v>8</v>
      </c>
      <c r="E135">
        <v>56</v>
      </c>
      <c r="F135">
        <v>28</v>
      </c>
      <c r="G135">
        <v>3</v>
      </c>
      <c r="H135">
        <v>38</v>
      </c>
      <c r="I135">
        <v>7</v>
      </c>
      <c r="K135">
        <v>2</v>
      </c>
      <c r="L135">
        <v>11</v>
      </c>
      <c r="M135">
        <v>19</v>
      </c>
      <c r="N135">
        <v>13</v>
      </c>
      <c r="O135">
        <v>6</v>
      </c>
      <c r="P135">
        <v>17</v>
      </c>
      <c r="Q135">
        <v>11</v>
      </c>
      <c r="R135">
        <v>10</v>
      </c>
    </row>
    <row r="136" spans="1:18" x14ac:dyDescent="0.3">
      <c r="A136" t="s">
        <v>213</v>
      </c>
      <c r="B136" t="s">
        <v>311</v>
      </c>
      <c r="C136" t="s">
        <v>310</v>
      </c>
      <c r="D136">
        <v>11</v>
      </c>
      <c r="E136">
        <v>60</v>
      </c>
      <c r="F136">
        <v>9</v>
      </c>
      <c r="H136">
        <v>15</v>
      </c>
      <c r="I136">
        <v>1</v>
      </c>
      <c r="K136">
        <v>8</v>
      </c>
      <c r="L136">
        <v>8</v>
      </c>
      <c r="M136">
        <v>28</v>
      </c>
      <c r="N136">
        <v>19</v>
      </c>
      <c r="O136">
        <v>17</v>
      </c>
      <c r="P136">
        <v>21</v>
      </c>
      <c r="Q136">
        <v>11</v>
      </c>
      <c r="R136">
        <v>5</v>
      </c>
    </row>
    <row r="137" spans="1:18" x14ac:dyDescent="0.3">
      <c r="A137" t="s">
        <v>312</v>
      </c>
      <c r="B137" t="s">
        <v>228</v>
      </c>
      <c r="C137" t="s">
        <v>227</v>
      </c>
      <c r="D137">
        <v>7</v>
      </c>
      <c r="E137">
        <v>28</v>
      </c>
      <c r="F137">
        <v>38</v>
      </c>
      <c r="G137">
        <v>8</v>
      </c>
      <c r="H137">
        <v>107</v>
      </c>
      <c r="I137">
        <v>49</v>
      </c>
      <c r="J137">
        <v>2</v>
      </c>
      <c r="K137">
        <v>3</v>
      </c>
      <c r="L137">
        <v>5</v>
      </c>
      <c r="M137">
        <v>7</v>
      </c>
      <c r="N137">
        <v>8</v>
      </c>
      <c r="O137">
        <v>5</v>
      </c>
      <c r="P137">
        <v>7</v>
      </c>
      <c r="Q137">
        <v>6</v>
      </c>
      <c r="R137">
        <v>2</v>
      </c>
    </row>
    <row r="138" spans="1:18" x14ac:dyDescent="0.3">
      <c r="A138" t="s">
        <v>312</v>
      </c>
      <c r="B138" t="s">
        <v>270</v>
      </c>
      <c r="C138" t="s">
        <v>269</v>
      </c>
      <c r="D138">
        <v>25</v>
      </c>
      <c r="E138">
        <v>86</v>
      </c>
      <c r="F138">
        <v>646</v>
      </c>
      <c r="G138">
        <v>6</v>
      </c>
      <c r="H138">
        <v>74</v>
      </c>
      <c r="I138">
        <v>5</v>
      </c>
      <c r="J138">
        <v>4</v>
      </c>
      <c r="K138">
        <v>3</v>
      </c>
      <c r="L138">
        <v>42</v>
      </c>
      <c r="M138">
        <v>17</v>
      </c>
      <c r="N138">
        <v>58</v>
      </c>
      <c r="O138">
        <v>23</v>
      </c>
      <c r="P138">
        <v>10</v>
      </c>
      <c r="Q138">
        <v>27</v>
      </c>
      <c r="R138">
        <v>13</v>
      </c>
    </row>
    <row r="139" spans="1:18" x14ac:dyDescent="0.3">
      <c r="A139" t="s">
        <v>365</v>
      </c>
      <c r="B139" t="s">
        <v>240</v>
      </c>
      <c r="C139" t="s">
        <v>239</v>
      </c>
      <c r="E139">
        <v>22</v>
      </c>
      <c r="F139">
        <v>2</v>
      </c>
      <c r="H139">
        <v>5</v>
      </c>
      <c r="I139">
        <v>4</v>
      </c>
      <c r="L139">
        <v>1</v>
      </c>
      <c r="M139">
        <v>3</v>
      </c>
      <c r="N139">
        <v>2</v>
      </c>
      <c r="O139">
        <v>1</v>
      </c>
      <c r="P139">
        <v>1</v>
      </c>
      <c r="Q139">
        <v>3</v>
      </c>
    </row>
    <row r="140" spans="1:18" x14ac:dyDescent="0.3">
      <c r="A140" t="s">
        <v>365</v>
      </c>
      <c r="B140" t="s">
        <v>270</v>
      </c>
      <c r="C140" t="s">
        <v>269</v>
      </c>
      <c r="D140">
        <v>41</v>
      </c>
      <c r="E140">
        <v>102</v>
      </c>
      <c r="F140">
        <v>475</v>
      </c>
      <c r="G140">
        <v>15</v>
      </c>
      <c r="H140">
        <v>83</v>
      </c>
      <c r="I140">
        <v>1</v>
      </c>
      <c r="J140">
        <v>11</v>
      </c>
      <c r="K140">
        <v>6</v>
      </c>
      <c r="L140">
        <v>98</v>
      </c>
      <c r="M140">
        <v>27</v>
      </c>
      <c r="N140">
        <v>93</v>
      </c>
      <c r="O140">
        <v>31</v>
      </c>
      <c r="P140">
        <v>54</v>
      </c>
      <c r="Q140">
        <v>63</v>
      </c>
      <c r="R140">
        <v>22</v>
      </c>
    </row>
    <row r="141" spans="1:18" x14ac:dyDescent="0.3">
      <c r="A141" t="s">
        <v>366</v>
      </c>
      <c r="B141" t="s">
        <v>298</v>
      </c>
      <c r="C141" t="s">
        <v>297</v>
      </c>
      <c r="D141">
        <v>16</v>
      </c>
      <c r="E141">
        <v>39</v>
      </c>
      <c r="F141">
        <v>37</v>
      </c>
      <c r="G141">
        <v>1</v>
      </c>
      <c r="H141">
        <v>55</v>
      </c>
      <c r="I141">
        <v>35</v>
      </c>
      <c r="K141">
        <v>6</v>
      </c>
      <c r="L141">
        <v>20</v>
      </c>
      <c r="M141">
        <v>16</v>
      </c>
      <c r="N141">
        <v>20</v>
      </c>
      <c r="O141">
        <v>12</v>
      </c>
      <c r="P141">
        <v>10</v>
      </c>
      <c r="Q141">
        <v>13</v>
      </c>
      <c r="R141">
        <v>10</v>
      </c>
    </row>
    <row r="142" spans="1:18" x14ac:dyDescent="0.3">
      <c r="A142" t="s">
        <v>341</v>
      </c>
      <c r="B142" t="s">
        <v>224</v>
      </c>
      <c r="C142" t="s">
        <v>223</v>
      </c>
      <c r="D142">
        <v>1</v>
      </c>
      <c r="E142">
        <v>35</v>
      </c>
      <c r="F142">
        <v>9</v>
      </c>
      <c r="H142">
        <v>12</v>
      </c>
      <c r="I142">
        <v>11</v>
      </c>
      <c r="L142">
        <v>8</v>
      </c>
      <c r="M142">
        <v>1</v>
      </c>
      <c r="N142">
        <v>6</v>
      </c>
      <c r="O142">
        <v>7</v>
      </c>
      <c r="P142">
        <v>2</v>
      </c>
      <c r="Q142">
        <v>2</v>
      </c>
      <c r="R142">
        <v>5</v>
      </c>
    </row>
    <row r="143" spans="1:18" x14ac:dyDescent="0.3">
      <c r="A143" t="s">
        <v>341</v>
      </c>
      <c r="B143" t="s">
        <v>287</v>
      </c>
      <c r="C143" t="s">
        <v>286</v>
      </c>
      <c r="D143">
        <v>5</v>
      </c>
      <c r="E143">
        <v>72</v>
      </c>
      <c r="F143">
        <v>6</v>
      </c>
      <c r="G143">
        <v>3</v>
      </c>
      <c r="H143">
        <v>20</v>
      </c>
      <c r="I143">
        <v>47</v>
      </c>
      <c r="K143">
        <v>1</v>
      </c>
      <c r="L143">
        <v>9</v>
      </c>
      <c r="M143">
        <v>9</v>
      </c>
      <c r="N143">
        <v>11</v>
      </c>
      <c r="O143">
        <v>16</v>
      </c>
      <c r="P143">
        <v>22</v>
      </c>
      <c r="Q143">
        <v>5</v>
      </c>
      <c r="R143">
        <v>4</v>
      </c>
    </row>
    <row r="144" spans="1:18" x14ac:dyDescent="0.3">
      <c r="A144" t="s">
        <v>341</v>
      </c>
      <c r="B144" t="s">
        <v>298</v>
      </c>
      <c r="C144" t="s">
        <v>297</v>
      </c>
      <c r="D144">
        <v>18</v>
      </c>
      <c r="E144">
        <v>32</v>
      </c>
      <c r="F144">
        <v>39</v>
      </c>
      <c r="H144">
        <v>53</v>
      </c>
      <c r="I144">
        <v>26</v>
      </c>
      <c r="J144">
        <v>1</v>
      </c>
      <c r="K144">
        <v>6</v>
      </c>
      <c r="L144">
        <v>29</v>
      </c>
      <c r="M144">
        <v>19</v>
      </c>
      <c r="N144">
        <v>31</v>
      </c>
      <c r="O144">
        <v>8</v>
      </c>
      <c r="P144">
        <v>9</v>
      </c>
      <c r="Q144">
        <v>11</v>
      </c>
      <c r="R144">
        <v>3</v>
      </c>
    </row>
    <row r="145" spans="1:18" x14ac:dyDescent="0.3">
      <c r="A145" t="s">
        <v>342</v>
      </c>
      <c r="B145" t="s">
        <v>253</v>
      </c>
      <c r="C145" t="s">
        <v>252</v>
      </c>
      <c r="D145">
        <v>1</v>
      </c>
      <c r="E145">
        <v>32</v>
      </c>
      <c r="F145">
        <v>22</v>
      </c>
      <c r="H145">
        <v>7</v>
      </c>
      <c r="I145">
        <v>1</v>
      </c>
      <c r="K145">
        <v>3</v>
      </c>
      <c r="L145">
        <v>4</v>
      </c>
      <c r="M145">
        <v>4</v>
      </c>
      <c r="N145">
        <v>6</v>
      </c>
      <c r="O145">
        <v>5</v>
      </c>
      <c r="P145">
        <v>1</v>
      </c>
      <c r="Q145">
        <v>3</v>
      </c>
      <c r="R145">
        <v>3</v>
      </c>
    </row>
    <row r="146" spans="1:18" x14ac:dyDescent="0.3">
      <c r="A146" t="s">
        <v>342</v>
      </c>
      <c r="B146" t="s">
        <v>259</v>
      </c>
      <c r="C146" t="s">
        <v>258</v>
      </c>
      <c r="D146">
        <v>1</v>
      </c>
      <c r="E146">
        <v>16</v>
      </c>
      <c r="F146">
        <v>2</v>
      </c>
      <c r="H146">
        <v>8</v>
      </c>
      <c r="M146">
        <v>1</v>
      </c>
      <c r="N146">
        <v>1</v>
      </c>
      <c r="P146">
        <v>1</v>
      </c>
    </row>
    <row r="147" spans="1:18" x14ac:dyDescent="0.3">
      <c r="A147" t="s">
        <v>342</v>
      </c>
      <c r="B147" t="s">
        <v>273</v>
      </c>
      <c r="C147" t="s">
        <v>272</v>
      </c>
      <c r="D147">
        <v>12</v>
      </c>
      <c r="E147">
        <v>79</v>
      </c>
      <c r="F147">
        <v>60</v>
      </c>
      <c r="G147">
        <v>27</v>
      </c>
      <c r="H147">
        <v>82</v>
      </c>
      <c r="I147">
        <v>10</v>
      </c>
      <c r="K147">
        <v>1</v>
      </c>
      <c r="L147">
        <v>4</v>
      </c>
      <c r="M147">
        <v>2</v>
      </c>
      <c r="N147">
        <v>1</v>
      </c>
      <c r="O147">
        <v>4</v>
      </c>
      <c r="P147">
        <v>2</v>
      </c>
      <c r="R147">
        <v>2</v>
      </c>
    </row>
    <row r="148" spans="1:18" x14ac:dyDescent="0.3">
      <c r="A148" t="s">
        <v>342</v>
      </c>
      <c r="B148" t="s">
        <v>296</v>
      </c>
      <c r="C148" t="s">
        <v>295</v>
      </c>
      <c r="D148">
        <v>3</v>
      </c>
      <c r="E148">
        <v>56</v>
      </c>
      <c r="F148">
        <v>6</v>
      </c>
      <c r="H148">
        <v>16</v>
      </c>
      <c r="J148">
        <v>2</v>
      </c>
      <c r="L148">
        <v>4</v>
      </c>
      <c r="M148">
        <v>1</v>
      </c>
      <c r="N148">
        <v>1</v>
      </c>
      <c r="P148">
        <v>1</v>
      </c>
      <c r="Q148">
        <v>1</v>
      </c>
    </row>
    <row r="149" spans="1:18" x14ac:dyDescent="0.3">
      <c r="A149" t="s">
        <v>213</v>
      </c>
      <c r="B149" t="s">
        <v>234</v>
      </c>
      <c r="C149" t="s">
        <v>233</v>
      </c>
      <c r="D149">
        <v>66</v>
      </c>
      <c r="E149">
        <v>120</v>
      </c>
      <c r="F149">
        <v>142</v>
      </c>
      <c r="G149">
        <v>21</v>
      </c>
      <c r="H149">
        <v>112</v>
      </c>
      <c r="I149">
        <v>23</v>
      </c>
      <c r="J149">
        <v>2</v>
      </c>
      <c r="K149">
        <v>5</v>
      </c>
      <c r="L149">
        <v>85</v>
      </c>
      <c r="M149">
        <v>16</v>
      </c>
      <c r="N149">
        <v>26</v>
      </c>
      <c r="O149">
        <v>40</v>
      </c>
      <c r="P149">
        <v>7</v>
      </c>
      <c r="Q149">
        <v>41</v>
      </c>
      <c r="R149">
        <v>8</v>
      </c>
    </row>
    <row r="150" spans="1:18" x14ac:dyDescent="0.3">
      <c r="A150" t="s">
        <v>213</v>
      </c>
      <c r="B150" t="s">
        <v>249</v>
      </c>
      <c r="C150" t="s">
        <v>248</v>
      </c>
      <c r="D150">
        <v>3</v>
      </c>
      <c r="E150">
        <v>57</v>
      </c>
      <c r="F150">
        <v>7</v>
      </c>
      <c r="H150">
        <v>24</v>
      </c>
      <c r="I150">
        <v>8</v>
      </c>
      <c r="L150">
        <v>9</v>
      </c>
      <c r="M150">
        <v>8</v>
      </c>
      <c r="N150">
        <v>11</v>
      </c>
      <c r="O150">
        <v>6</v>
      </c>
      <c r="P150">
        <v>7</v>
      </c>
      <c r="Q150">
        <v>3</v>
      </c>
      <c r="R150">
        <v>2</v>
      </c>
    </row>
    <row r="151" spans="1:18" x14ac:dyDescent="0.3">
      <c r="A151" t="s">
        <v>213</v>
      </c>
      <c r="B151" t="s">
        <v>304</v>
      </c>
      <c r="C151" t="s">
        <v>303</v>
      </c>
      <c r="D151">
        <v>26</v>
      </c>
      <c r="E151">
        <v>98</v>
      </c>
      <c r="F151">
        <v>52</v>
      </c>
      <c r="H151">
        <v>31</v>
      </c>
      <c r="I151">
        <v>2</v>
      </c>
      <c r="L151">
        <v>5</v>
      </c>
      <c r="M151">
        <v>1</v>
      </c>
      <c r="N151">
        <v>8</v>
      </c>
      <c r="O151">
        <v>10</v>
      </c>
      <c r="P151">
        <v>6</v>
      </c>
      <c r="Q151">
        <v>9</v>
      </c>
      <c r="R151">
        <v>4</v>
      </c>
    </row>
    <row r="152" spans="1:18" x14ac:dyDescent="0.3">
      <c r="A152" t="s">
        <v>312</v>
      </c>
      <c r="B152" t="s">
        <v>215</v>
      </c>
      <c r="C152" t="s">
        <v>214</v>
      </c>
      <c r="D152">
        <v>15</v>
      </c>
      <c r="E152">
        <v>70</v>
      </c>
      <c r="F152">
        <v>231</v>
      </c>
      <c r="H152">
        <v>44</v>
      </c>
      <c r="I152">
        <v>17</v>
      </c>
      <c r="J152">
        <v>2</v>
      </c>
      <c r="K152">
        <v>1</v>
      </c>
      <c r="L152">
        <v>7</v>
      </c>
      <c r="M152">
        <v>6</v>
      </c>
      <c r="N152">
        <v>13</v>
      </c>
      <c r="O152">
        <v>9</v>
      </c>
      <c r="P152">
        <v>8</v>
      </c>
      <c r="Q152">
        <v>6</v>
      </c>
      <c r="R152">
        <v>4</v>
      </c>
    </row>
    <row r="153" spans="1:18" x14ac:dyDescent="0.3">
      <c r="A153" t="s">
        <v>312</v>
      </c>
      <c r="B153" t="s">
        <v>224</v>
      </c>
      <c r="C153" t="s">
        <v>223</v>
      </c>
      <c r="D153">
        <v>7</v>
      </c>
      <c r="E153">
        <v>38</v>
      </c>
      <c r="F153">
        <v>7</v>
      </c>
      <c r="H153">
        <v>2</v>
      </c>
      <c r="I153">
        <v>6</v>
      </c>
      <c r="K153">
        <v>7</v>
      </c>
      <c r="L153">
        <v>10</v>
      </c>
      <c r="M153">
        <v>8</v>
      </c>
      <c r="N153">
        <v>10</v>
      </c>
      <c r="O153">
        <v>9</v>
      </c>
      <c r="P153">
        <v>8</v>
      </c>
      <c r="Q153">
        <v>2</v>
      </c>
      <c r="R153">
        <v>9</v>
      </c>
    </row>
    <row r="154" spans="1:18" x14ac:dyDescent="0.3">
      <c r="A154" t="s">
        <v>312</v>
      </c>
      <c r="B154" t="s">
        <v>309</v>
      </c>
      <c r="C154" t="s">
        <v>308</v>
      </c>
      <c r="D154">
        <v>6</v>
      </c>
      <c r="E154">
        <v>19</v>
      </c>
      <c r="F154">
        <v>21</v>
      </c>
      <c r="H154">
        <v>20</v>
      </c>
      <c r="I154">
        <v>3</v>
      </c>
      <c r="K154">
        <v>2</v>
      </c>
      <c r="L154">
        <v>12</v>
      </c>
      <c r="M154">
        <v>1</v>
      </c>
      <c r="N154">
        <v>13</v>
      </c>
      <c r="O154">
        <v>7</v>
      </c>
      <c r="P154">
        <v>15</v>
      </c>
      <c r="Q154">
        <v>5</v>
      </c>
      <c r="R154">
        <v>4</v>
      </c>
    </row>
    <row r="155" spans="1:18" x14ac:dyDescent="0.3">
      <c r="A155" t="s">
        <v>318</v>
      </c>
      <c r="B155" t="s">
        <v>267</v>
      </c>
      <c r="C155" t="s">
        <v>266</v>
      </c>
      <c r="D155">
        <v>2</v>
      </c>
      <c r="E155">
        <v>120</v>
      </c>
      <c r="F155">
        <v>79</v>
      </c>
      <c r="G155">
        <v>2</v>
      </c>
      <c r="H155">
        <v>2</v>
      </c>
      <c r="I155">
        <v>10</v>
      </c>
      <c r="K155">
        <v>1</v>
      </c>
      <c r="L155">
        <v>2</v>
      </c>
      <c r="M155">
        <v>3</v>
      </c>
      <c r="N155">
        <v>7</v>
      </c>
      <c r="O155">
        <v>6</v>
      </c>
      <c r="P155">
        <v>13</v>
      </c>
      <c r="Q155">
        <v>3</v>
      </c>
    </row>
    <row r="156" spans="1:18" x14ac:dyDescent="0.3">
      <c r="A156" t="s">
        <v>320</v>
      </c>
      <c r="B156" t="s">
        <v>244</v>
      </c>
      <c r="C156" t="s">
        <v>243</v>
      </c>
      <c r="D156">
        <v>7</v>
      </c>
      <c r="E156">
        <v>35</v>
      </c>
      <c r="F156">
        <v>33</v>
      </c>
      <c r="H156">
        <v>17</v>
      </c>
      <c r="I156">
        <v>20</v>
      </c>
      <c r="J156">
        <v>2</v>
      </c>
      <c r="L156">
        <v>6</v>
      </c>
      <c r="N156">
        <v>3</v>
      </c>
      <c r="O156">
        <v>2</v>
      </c>
      <c r="P156">
        <v>6</v>
      </c>
      <c r="Q156">
        <v>7</v>
      </c>
      <c r="R156">
        <v>3</v>
      </c>
    </row>
    <row r="157" spans="1:18" x14ac:dyDescent="0.3">
      <c r="A157" t="s">
        <v>320</v>
      </c>
      <c r="B157" t="s">
        <v>267</v>
      </c>
      <c r="C157" t="s">
        <v>1092</v>
      </c>
      <c r="D157">
        <v>1</v>
      </c>
      <c r="E157">
        <v>121</v>
      </c>
      <c r="F157">
        <v>156</v>
      </c>
      <c r="H157">
        <v>11</v>
      </c>
      <c r="I157">
        <v>14</v>
      </c>
      <c r="K157">
        <v>3</v>
      </c>
      <c r="L157">
        <v>3</v>
      </c>
      <c r="M157">
        <v>13</v>
      </c>
      <c r="N157">
        <v>13</v>
      </c>
      <c r="O157">
        <v>5</v>
      </c>
      <c r="P157">
        <v>20</v>
      </c>
      <c r="Q157">
        <v>1</v>
      </c>
      <c r="R157">
        <v>9</v>
      </c>
    </row>
    <row r="158" spans="1:18" x14ac:dyDescent="0.3">
      <c r="A158" t="s">
        <v>325</v>
      </c>
      <c r="B158" t="s">
        <v>240</v>
      </c>
      <c r="C158" t="s">
        <v>239</v>
      </c>
      <c r="D158">
        <v>1</v>
      </c>
      <c r="E158">
        <v>15</v>
      </c>
      <c r="F158">
        <v>2</v>
      </c>
      <c r="M158">
        <v>6</v>
      </c>
      <c r="N158">
        <v>1</v>
      </c>
      <c r="P158">
        <v>2</v>
      </c>
    </row>
    <row r="159" spans="1:18" x14ac:dyDescent="0.3">
      <c r="A159" t="s">
        <v>325</v>
      </c>
      <c r="B159" t="s">
        <v>294</v>
      </c>
      <c r="C159" t="s">
        <v>293</v>
      </c>
      <c r="D159">
        <v>24</v>
      </c>
      <c r="E159">
        <v>46</v>
      </c>
      <c r="F159">
        <v>10</v>
      </c>
      <c r="G159">
        <v>1</v>
      </c>
      <c r="H159">
        <v>15</v>
      </c>
      <c r="I159">
        <v>10</v>
      </c>
      <c r="K159">
        <v>1</v>
      </c>
      <c r="L159">
        <v>12</v>
      </c>
      <c r="M159">
        <v>7</v>
      </c>
      <c r="N159">
        <v>3</v>
      </c>
      <c r="O159">
        <v>4</v>
      </c>
      <c r="P159">
        <v>3</v>
      </c>
      <c r="Q159">
        <v>1</v>
      </c>
      <c r="R159">
        <v>1</v>
      </c>
    </row>
    <row r="160" spans="1:18" x14ac:dyDescent="0.3">
      <c r="A160" t="s">
        <v>325</v>
      </c>
      <c r="B160" t="s">
        <v>309</v>
      </c>
      <c r="C160" t="s">
        <v>308</v>
      </c>
      <c r="E160">
        <v>14</v>
      </c>
      <c r="F160">
        <v>11</v>
      </c>
      <c r="H160">
        <v>3</v>
      </c>
      <c r="K160">
        <v>1</v>
      </c>
      <c r="L160">
        <v>1</v>
      </c>
      <c r="M160">
        <v>3</v>
      </c>
      <c r="N160">
        <v>3</v>
      </c>
      <c r="O160">
        <v>3</v>
      </c>
      <c r="P160">
        <v>2</v>
      </c>
      <c r="Q160">
        <v>1</v>
      </c>
      <c r="R160">
        <v>1</v>
      </c>
    </row>
    <row r="161" spans="1:18" x14ac:dyDescent="0.3">
      <c r="A161" t="s">
        <v>326</v>
      </c>
      <c r="B161" t="s">
        <v>1203</v>
      </c>
      <c r="C161" t="s">
        <v>219</v>
      </c>
      <c r="D161">
        <v>8</v>
      </c>
      <c r="E161">
        <v>67</v>
      </c>
      <c r="F161">
        <v>16</v>
      </c>
      <c r="G161">
        <v>2</v>
      </c>
      <c r="H161">
        <v>28</v>
      </c>
      <c r="I161">
        <v>147</v>
      </c>
      <c r="K161">
        <v>5</v>
      </c>
      <c r="L161">
        <v>3</v>
      </c>
      <c r="M161">
        <v>7</v>
      </c>
      <c r="N161">
        <v>11</v>
      </c>
      <c r="O161">
        <v>6</v>
      </c>
      <c r="P161">
        <v>19</v>
      </c>
      <c r="Q161">
        <v>4</v>
      </c>
      <c r="R161">
        <v>10</v>
      </c>
    </row>
    <row r="162" spans="1:18" x14ac:dyDescent="0.3">
      <c r="A162" t="s">
        <v>326</v>
      </c>
      <c r="B162" t="s">
        <v>1204</v>
      </c>
      <c r="C162" t="s">
        <v>227</v>
      </c>
      <c r="D162">
        <v>6</v>
      </c>
      <c r="E162">
        <v>29</v>
      </c>
      <c r="F162">
        <v>18</v>
      </c>
      <c r="G162">
        <v>2</v>
      </c>
      <c r="H162">
        <v>78</v>
      </c>
      <c r="I162">
        <v>301</v>
      </c>
      <c r="K162">
        <v>2</v>
      </c>
      <c r="L162">
        <v>2</v>
      </c>
      <c r="M162">
        <v>1</v>
      </c>
      <c r="N162">
        <v>3</v>
      </c>
      <c r="O162">
        <v>9</v>
      </c>
      <c r="P162">
        <v>5</v>
      </c>
      <c r="Q162">
        <v>2</v>
      </c>
      <c r="R162">
        <v>1</v>
      </c>
    </row>
    <row r="163" spans="1:18" x14ac:dyDescent="0.3">
      <c r="A163" t="s">
        <v>326</v>
      </c>
      <c r="B163" t="s">
        <v>234</v>
      </c>
      <c r="C163" t="s">
        <v>233</v>
      </c>
      <c r="D163">
        <v>35</v>
      </c>
      <c r="E163">
        <v>110</v>
      </c>
      <c r="F163">
        <v>202</v>
      </c>
      <c r="G163">
        <v>12</v>
      </c>
      <c r="H163">
        <v>82</v>
      </c>
      <c r="I163">
        <v>32</v>
      </c>
      <c r="J163">
        <v>1</v>
      </c>
      <c r="K163">
        <v>1</v>
      </c>
      <c r="L163">
        <v>32</v>
      </c>
      <c r="M163">
        <v>5</v>
      </c>
      <c r="N163">
        <v>22</v>
      </c>
      <c r="O163">
        <v>8</v>
      </c>
      <c r="P163">
        <v>5</v>
      </c>
      <c r="Q163">
        <v>11</v>
      </c>
      <c r="R163">
        <v>6</v>
      </c>
    </row>
    <row r="164" spans="1:18" x14ac:dyDescent="0.3">
      <c r="A164" t="s">
        <v>326</v>
      </c>
      <c r="B164" t="s">
        <v>253</v>
      </c>
      <c r="C164" t="s">
        <v>252</v>
      </c>
      <c r="D164">
        <v>4</v>
      </c>
      <c r="E164">
        <v>25</v>
      </c>
      <c r="F164">
        <v>23</v>
      </c>
      <c r="H164">
        <v>2</v>
      </c>
      <c r="I164">
        <v>1</v>
      </c>
      <c r="L164">
        <v>2</v>
      </c>
      <c r="M164">
        <v>3</v>
      </c>
      <c r="O164">
        <v>1</v>
      </c>
      <c r="Q164">
        <v>1</v>
      </c>
      <c r="R164">
        <v>1</v>
      </c>
    </row>
    <row r="165" spans="1:18" x14ac:dyDescent="0.3">
      <c r="A165" t="s">
        <v>326</v>
      </c>
      <c r="B165" t="s">
        <v>277</v>
      </c>
      <c r="C165" t="s">
        <v>276</v>
      </c>
      <c r="D165">
        <v>9</v>
      </c>
      <c r="E165">
        <v>29</v>
      </c>
      <c r="F165">
        <v>6</v>
      </c>
      <c r="H165">
        <v>6</v>
      </c>
      <c r="I165">
        <v>12</v>
      </c>
      <c r="K165">
        <v>2</v>
      </c>
      <c r="L165">
        <v>2</v>
      </c>
      <c r="M165">
        <v>1</v>
      </c>
      <c r="N165">
        <v>5</v>
      </c>
      <c r="O165">
        <v>6</v>
      </c>
      <c r="P165">
        <v>5</v>
      </c>
      <c r="Q165">
        <v>3</v>
      </c>
      <c r="R165">
        <v>5</v>
      </c>
    </row>
    <row r="166" spans="1:18" x14ac:dyDescent="0.3">
      <c r="A166" t="s">
        <v>312</v>
      </c>
      <c r="B166" t="s">
        <v>279</v>
      </c>
      <c r="C166" t="s">
        <v>278</v>
      </c>
      <c r="D166">
        <v>3</v>
      </c>
      <c r="E166">
        <v>18</v>
      </c>
      <c r="F166">
        <v>8</v>
      </c>
      <c r="H166">
        <v>5</v>
      </c>
      <c r="I166">
        <v>1</v>
      </c>
      <c r="L166">
        <v>6</v>
      </c>
      <c r="M166">
        <v>12</v>
      </c>
      <c r="N166">
        <v>5</v>
      </c>
      <c r="O166">
        <v>8</v>
      </c>
      <c r="Q166">
        <v>4</v>
      </c>
    </row>
    <row r="167" spans="1:18" x14ac:dyDescent="0.3">
      <c r="A167" t="s">
        <v>312</v>
      </c>
      <c r="B167" t="s">
        <v>307</v>
      </c>
      <c r="C167" t="s">
        <v>306</v>
      </c>
      <c r="D167">
        <v>5</v>
      </c>
      <c r="E167">
        <v>46</v>
      </c>
      <c r="F167">
        <v>87</v>
      </c>
      <c r="G167">
        <v>3</v>
      </c>
      <c r="H167">
        <v>25</v>
      </c>
      <c r="I167">
        <v>6</v>
      </c>
      <c r="L167">
        <v>3</v>
      </c>
      <c r="M167">
        <v>10</v>
      </c>
      <c r="N167">
        <v>6</v>
      </c>
      <c r="O167">
        <v>3</v>
      </c>
      <c r="P167">
        <v>3</v>
      </c>
      <c r="Q167">
        <v>4</v>
      </c>
    </row>
    <row r="168" spans="1:18" x14ac:dyDescent="0.3">
      <c r="A168" t="s">
        <v>318</v>
      </c>
      <c r="B168" t="s">
        <v>247</v>
      </c>
      <c r="C168" t="s">
        <v>246</v>
      </c>
      <c r="D168">
        <v>14</v>
      </c>
      <c r="E168">
        <v>34</v>
      </c>
      <c r="F168">
        <v>70</v>
      </c>
      <c r="G168">
        <v>1</v>
      </c>
      <c r="H168">
        <v>16</v>
      </c>
      <c r="I168">
        <v>5</v>
      </c>
      <c r="L168">
        <v>3</v>
      </c>
      <c r="M168">
        <v>4</v>
      </c>
      <c r="N168">
        <v>2</v>
      </c>
      <c r="O168">
        <v>1</v>
      </c>
      <c r="P168">
        <v>2</v>
      </c>
      <c r="Q168">
        <v>2</v>
      </c>
      <c r="R168">
        <v>1</v>
      </c>
    </row>
    <row r="169" spans="1:18" x14ac:dyDescent="0.3">
      <c r="A169" t="s">
        <v>318</v>
      </c>
      <c r="B169" t="s">
        <v>270</v>
      </c>
      <c r="C169" t="s">
        <v>314</v>
      </c>
      <c r="D169">
        <v>8</v>
      </c>
      <c r="E169">
        <v>108</v>
      </c>
      <c r="F169">
        <v>227</v>
      </c>
      <c r="G169">
        <v>7</v>
      </c>
      <c r="H169">
        <v>31</v>
      </c>
      <c r="I169">
        <v>4</v>
      </c>
      <c r="J169">
        <v>5</v>
      </c>
      <c r="K169">
        <v>1</v>
      </c>
      <c r="L169">
        <v>10</v>
      </c>
      <c r="M169">
        <v>7</v>
      </c>
      <c r="N169">
        <v>30</v>
      </c>
      <c r="O169">
        <v>13</v>
      </c>
      <c r="P169">
        <v>8</v>
      </c>
      <c r="Q169">
        <v>6</v>
      </c>
      <c r="R169">
        <v>14</v>
      </c>
    </row>
    <row r="170" spans="1:18" x14ac:dyDescent="0.3">
      <c r="A170" t="s">
        <v>320</v>
      </c>
      <c r="B170" t="s">
        <v>240</v>
      </c>
      <c r="C170" t="s">
        <v>239</v>
      </c>
      <c r="D170">
        <v>1</v>
      </c>
      <c r="E170">
        <v>19</v>
      </c>
      <c r="F170">
        <v>5</v>
      </c>
      <c r="I170">
        <v>4</v>
      </c>
      <c r="L170">
        <v>2</v>
      </c>
      <c r="M170">
        <v>1</v>
      </c>
      <c r="N170">
        <v>5</v>
      </c>
      <c r="O170">
        <v>1</v>
      </c>
      <c r="P170">
        <v>1</v>
      </c>
      <c r="R170">
        <v>2</v>
      </c>
    </row>
    <row r="171" spans="1:18" x14ac:dyDescent="0.3">
      <c r="A171" t="s">
        <v>320</v>
      </c>
      <c r="B171" t="s">
        <v>249</v>
      </c>
      <c r="C171" t="s">
        <v>248</v>
      </c>
      <c r="D171">
        <v>2</v>
      </c>
      <c r="E171">
        <v>53</v>
      </c>
      <c r="F171">
        <v>4</v>
      </c>
      <c r="H171">
        <v>10</v>
      </c>
      <c r="I171">
        <v>8</v>
      </c>
      <c r="K171">
        <v>1</v>
      </c>
      <c r="L171">
        <v>3</v>
      </c>
      <c r="M171">
        <v>1</v>
      </c>
      <c r="N171">
        <v>5</v>
      </c>
      <c r="O171">
        <v>3</v>
      </c>
      <c r="P171">
        <v>8</v>
      </c>
      <c r="Q171">
        <v>7</v>
      </c>
      <c r="R171">
        <v>5</v>
      </c>
    </row>
    <row r="172" spans="1:18" x14ac:dyDescent="0.3">
      <c r="A172" t="s">
        <v>320</v>
      </c>
      <c r="B172" t="s">
        <v>255</v>
      </c>
      <c r="C172" t="s">
        <v>254</v>
      </c>
      <c r="D172">
        <v>2</v>
      </c>
      <c r="E172">
        <v>18</v>
      </c>
      <c r="F172">
        <v>8</v>
      </c>
      <c r="H172">
        <v>14</v>
      </c>
      <c r="I172">
        <v>10</v>
      </c>
      <c r="K172">
        <v>1</v>
      </c>
      <c r="L172">
        <v>11</v>
      </c>
      <c r="M172">
        <v>10</v>
      </c>
      <c r="N172">
        <v>1</v>
      </c>
      <c r="O172">
        <v>13</v>
      </c>
      <c r="P172">
        <v>5</v>
      </c>
      <c r="Q172">
        <v>9</v>
      </c>
      <c r="R172">
        <v>4</v>
      </c>
    </row>
    <row r="173" spans="1:18" x14ac:dyDescent="0.3">
      <c r="A173" t="s">
        <v>320</v>
      </c>
      <c r="B173" t="s">
        <v>263</v>
      </c>
      <c r="C173" t="s">
        <v>262</v>
      </c>
      <c r="D173">
        <v>8</v>
      </c>
      <c r="E173">
        <v>38</v>
      </c>
      <c r="F173">
        <v>4</v>
      </c>
      <c r="G173">
        <v>1</v>
      </c>
      <c r="H173">
        <v>17</v>
      </c>
      <c r="K173">
        <v>1</v>
      </c>
      <c r="L173">
        <v>4</v>
      </c>
      <c r="M173">
        <v>8</v>
      </c>
      <c r="N173">
        <v>7</v>
      </c>
      <c r="O173">
        <v>11</v>
      </c>
      <c r="P173">
        <v>9</v>
      </c>
      <c r="Q173">
        <v>1</v>
      </c>
      <c r="R173">
        <v>3</v>
      </c>
    </row>
    <row r="174" spans="1:18" x14ac:dyDescent="0.3">
      <c r="A174" t="s">
        <v>320</v>
      </c>
      <c r="B174" t="s">
        <v>296</v>
      </c>
      <c r="C174" t="s">
        <v>295</v>
      </c>
      <c r="D174">
        <v>2</v>
      </c>
      <c r="E174">
        <v>37</v>
      </c>
      <c r="F174">
        <v>5</v>
      </c>
      <c r="H174">
        <v>25</v>
      </c>
      <c r="I174">
        <v>6</v>
      </c>
      <c r="L174">
        <v>2</v>
      </c>
      <c r="M174">
        <v>6</v>
      </c>
      <c r="N174">
        <v>3</v>
      </c>
      <c r="O174">
        <v>2</v>
      </c>
      <c r="P174">
        <v>7</v>
      </c>
    </row>
    <row r="175" spans="1:18" x14ac:dyDescent="0.3">
      <c r="A175" t="s">
        <v>325</v>
      </c>
      <c r="B175" t="s">
        <v>220</v>
      </c>
      <c r="C175" t="s">
        <v>219</v>
      </c>
      <c r="D175">
        <v>20</v>
      </c>
      <c r="E175">
        <v>101</v>
      </c>
      <c r="F175">
        <v>28</v>
      </c>
      <c r="G175">
        <v>1</v>
      </c>
      <c r="H175">
        <v>61</v>
      </c>
      <c r="I175">
        <v>101</v>
      </c>
      <c r="J175">
        <v>1</v>
      </c>
      <c r="K175">
        <v>7</v>
      </c>
      <c r="L175">
        <v>10</v>
      </c>
      <c r="M175">
        <v>21</v>
      </c>
      <c r="N175">
        <v>21</v>
      </c>
      <c r="O175">
        <v>15</v>
      </c>
      <c r="P175">
        <v>15</v>
      </c>
      <c r="Q175">
        <v>11</v>
      </c>
      <c r="R175">
        <v>16</v>
      </c>
    </row>
    <row r="176" spans="1:18" x14ac:dyDescent="0.3">
      <c r="A176" t="s">
        <v>325</v>
      </c>
      <c r="B176" t="s">
        <v>277</v>
      </c>
      <c r="C176" t="s">
        <v>276</v>
      </c>
      <c r="D176">
        <v>4</v>
      </c>
      <c r="E176">
        <v>36</v>
      </c>
      <c r="F176">
        <v>9</v>
      </c>
      <c r="H176">
        <v>3</v>
      </c>
      <c r="I176">
        <v>5</v>
      </c>
      <c r="L176">
        <v>1</v>
      </c>
      <c r="M176">
        <v>2</v>
      </c>
      <c r="N176">
        <v>7</v>
      </c>
      <c r="O176">
        <v>5</v>
      </c>
      <c r="R176">
        <v>1</v>
      </c>
    </row>
    <row r="177" spans="1:18" x14ac:dyDescent="0.3">
      <c r="A177" t="s">
        <v>325</v>
      </c>
      <c r="B177" t="s">
        <v>281</v>
      </c>
      <c r="C177" t="s">
        <v>280</v>
      </c>
      <c r="D177">
        <v>6</v>
      </c>
      <c r="E177">
        <v>36</v>
      </c>
      <c r="F177">
        <v>10</v>
      </c>
      <c r="G177">
        <v>2</v>
      </c>
      <c r="H177">
        <v>25</v>
      </c>
      <c r="I177">
        <v>41</v>
      </c>
      <c r="L177">
        <v>2</v>
      </c>
      <c r="M177">
        <v>8</v>
      </c>
      <c r="N177">
        <v>10</v>
      </c>
      <c r="O177">
        <v>1</v>
      </c>
      <c r="P177">
        <v>8</v>
      </c>
      <c r="Q177">
        <v>2</v>
      </c>
    </row>
    <row r="178" spans="1:18" x14ac:dyDescent="0.3">
      <c r="A178" t="s">
        <v>325</v>
      </c>
      <c r="B178" t="s">
        <v>298</v>
      </c>
      <c r="C178" t="s">
        <v>297</v>
      </c>
      <c r="D178">
        <v>17</v>
      </c>
      <c r="E178">
        <v>40</v>
      </c>
      <c r="F178">
        <v>30</v>
      </c>
      <c r="H178">
        <v>12</v>
      </c>
      <c r="I178">
        <v>18</v>
      </c>
      <c r="L178">
        <v>3</v>
      </c>
      <c r="M178">
        <v>4</v>
      </c>
      <c r="N178">
        <v>9</v>
      </c>
      <c r="O178">
        <v>7</v>
      </c>
      <c r="P178">
        <v>5</v>
      </c>
      <c r="Q178">
        <v>3</v>
      </c>
      <c r="R178">
        <v>1</v>
      </c>
    </row>
    <row r="179" spans="1:18" x14ac:dyDescent="0.3">
      <c r="A179" t="s">
        <v>326</v>
      </c>
      <c r="B179" t="s">
        <v>240</v>
      </c>
      <c r="C179" t="s">
        <v>239</v>
      </c>
      <c r="E179">
        <v>22</v>
      </c>
      <c r="H179">
        <v>1</v>
      </c>
      <c r="N179">
        <v>1</v>
      </c>
      <c r="O179">
        <v>1</v>
      </c>
    </row>
    <row r="180" spans="1:18" x14ac:dyDescent="0.3">
      <c r="A180" t="s">
        <v>326</v>
      </c>
      <c r="B180" t="s">
        <v>249</v>
      </c>
      <c r="C180" t="s">
        <v>248</v>
      </c>
      <c r="D180">
        <v>8</v>
      </c>
      <c r="E180">
        <v>54</v>
      </c>
      <c r="F180">
        <v>21</v>
      </c>
      <c r="H180">
        <v>14</v>
      </c>
      <c r="I180">
        <v>31</v>
      </c>
      <c r="L180">
        <v>3</v>
      </c>
      <c r="M180">
        <v>2</v>
      </c>
      <c r="N180">
        <v>22</v>
      </c>
      <c r="O180">
        <v>1</v>
      </c>
      <c r="P180">
        <v>20</v>
      </c>
      <c r="Q180">
        <v>4</v>
      </c>
      <c r="R180">
        <v>3</v>
      </c>
    </row>
    <row r="181" spans="1:18" x14ac:dyDescent="0.3">
      <c r="A181" t="s">
        <v>326</v>
      </c>
      <c r="B181" t="s">
        <v>1213</v>
      </c>
      <c r="C181" t="s">
        <v>295</v>
      </c>
      <c r="D181">
        <v>2</v>
      </c>
      <c r="E181">
        <v>64</v>
      </c>
      <c r="F181">
        <v>22</v>
      </c>
      <c r="H181">
        <v>25</v>
      </c>
      <c r="I181">
        <v>26</v>
      </c>
      <c r="K181">
        <v>1</v>
      </c>
      <c r="L181">
        <v>6</v>
      </c>
      <c r="M181">
        <v>6</v>
      </c>
      <c r="N181">
        <v>15</v>
      </c>
      <c r="O181">
        <v>13</v>
      </c>
      <c r="P181">
        <v>6</v>
      </c>
      <c r="Q181">
        <v>8</v>
      </c>
      <c r="R181">
        <v>4</v>
      </c>
    </row>
    <row r="182" spans="1:18" x14ac:dyDescent="0.3">
      <c r="A182" t="s">
        <v>326</v>
      </c>
      <c r="B182" t="s">
        <v>309</v>
      </c>
      <c r="C182" t="s">
        <v>308</v>
      </c>
      <c r="D182">
        <v>8</v>
      </c>
      <c r="E182">
        <v>17</v>
      </c>
      <c r="F182">
        <v>18</v>
      </c>
      <c r="H182">
        <v>19</v>
      </c>
      <c r="I182">
        <v>40</v>
      </c>
      <c r="K182">
        <v>1</v>
      </c>
      <c r="L182">
        <v>1</v>
      </c>
      <c r="M182">
        <v>1</v>
      </c>
      <c r="N182">
        <v>3</v>
      </c>
      <c r="O182">
        <v>2</v>
      </c>
      <c r="P182">
        <v>14</v>
      </c>
      <c r="Q182">
        <v>3</v>
      </c>
      <c r="R182">
        <v>2</v>
      </c>
    </row>
    <row r="183" spans="1:18" x14ac:dyDescent="0.3">
      <c r="A183" t="s">
        <v>328</v>
      </c>
      <c r="B183" t="s">
        <v>224</v>
      </c>
      <c r="C183" t="s">
        <v>223</v>
      </c>
      <c r="D183">
        <v>5</v>
      </c>
      <c r="E183">
        <v>36</v>
      </c>
      <c r="F183">
        <v>6</v>
      </c>
      <c r="H183">
        <v>7</v>
      </c>
      <c r="I183">
        <v>5</v>
      </c>
      <c r="K183">
        <v>1</v>
      </c>
      <c r="L183">
        <v>1</v>
      </c>
      <c r="M183">
        <v>4</v>
      </c>
      <c r="N183">
        <v>1</v>
      </c>
      <c r="O183">
        <v>1</v>
      </c>
      <c r="P183">
        <v>3</v>
      </c>
    </row>
    <row r="184" spans="1:18" x14ac:dyDescent="0.3">
      <c r="A184" t="s">
        <v>328</v>
      </c>
      <c r="B184" t="s">
        <v>307</v>
      </c>
      <c r="C184" t="s">
        <v>306</v>
      </c>
      <c r="E184">
        <v>34</v>
      </c>
      <c r="F184">
        <v>53</v>
      </c>
      <c r="G184">
        <v>3</v>
      </c>
      <c r="H184">
        <v>21</v>
      </c>
      <c r="I184">
        <v>23</v>
      </c>
      <c r="K184">
        <v>1</v>
      </c>
      <c r="L184">
        <v>2</v>
      </c>
      <c r="M184">
        <v>8</v>
      </c>
      <c r="N184">
        <v>2</v>
      </c>
      <c r="O184">
        <v>3</v>
      </c>
      <c r="P184">
        <v>4</v>
      </c>
      <c r="Q184">
        <v>4</v>
      </c>
    </row>
    <row r="185" spans="1:18" x14ac:dyDescent="0.3">
      <c r="A185" t="s">
        <v>412</v>
      </c>
      <c r="B185" t="s">
        <v>300</v>
      </c>
      <c r="C185" t="s">
        <v>299</v>
      </c>
      <c r="D185">
        <v>1</v>
      </c>
      <c r="E185">
        <v>16</v>
      </c>
      <c r="F185">
        <v>6</v>
      </c>
      <c r="G185">
        <v>3</v>
      </c>
      <c r="H185">
        <v>7</v>
      </c>
      <c r="I185">
        <v>22</v>
      </c>
      <c r="M185">
        <v>2</v>
      </c>
      <c r="R185">
        <v>1</v>
      </c>
    </row>
    <row r="186" spans="1:18" x14ac:dyDescent="0.3">
      <c r="A186" t="s">
        <v>412</v>
      </c>
      <c r="B186" t="s">
        <v>302</v>
      </c>
      <c r="C186" t="s">
        <v>301</v>
      </c>
      <c r="D186">
        <v>6</v>
      </c>
      <c r="E186">
        <v>49</v>
      </c>
      <c r="F186">
        <v>27</v>
      </c>
      <c r="G186">
        <v>2</v>
      </c>
      <c r="H186">
        <v>46</v>
      </c>
      <c r="I186">
        <v>47</v>
      </c>
      <c r="K186">
        <v>1</v>
      </c>
      <c r="L186">
        <v>8</v>
      </c>
      <c r="M186">
        <v>2</v>
      </c>
      <c r="N186">
        <v>8</v>
      </c>
      <c r="O186">
        <v>4</v>
      </c>
      <c r="P186">
        <v>6</v>
      </c>
      <c r="Q186">
        <v>7</v>
      </c>
      <c r="R186">
        <v>6</v>
      </c>
    </row>
    <row r="187" spans="1:18" x14ac:dyDescent="0.3">
      <c r="A187" t="s">
        <v>412</v>
      </c>
      <c r="B187" t="s">
        <v>311</v>
      </c>
      <c r="C187" t="s">
        <v>310</v>
      </c>
      <c r="D187">
        <v>7</v>
      </c>
      <c r="E187">
        <v>51</v>
      </c>
      <c r="F187">
        <v>17</v>
      </c>
      <c r="G187">
        <v>1</v>
      </c>
      <c r="H187">
        <v>11</v>
      </c>
      <c r="I187">
        <v>11</v>
      </c>
      <c r="J187">
        <v>3</v>
      </c>
      <c r="K187">
        <v>2</v>
      </c>
      <c r="L187">
        <v>8</v>
      </c>
      <c r="M187">
        <v>32</v>
      </c>
      <c r="N187">
        <v>28</v>
      </c>
      <c r="O187">
        <v>14</v>
      </c>
      <c r="P187">
        <v>11</v>
      </c>
      <c r="Q187">
        <v>6</v>
      </c>
      <c r="R187">
        <v>2</v>
      </c>
    </row>
    <row r="188" spans="1:18" x14ac:dyDescent="0.3">
      <c r="A188" t="s">
        <v>412</v>
      </c>
      <c r="B188" t="s">
        <v>309</v>
      </c>
      <c r="C188" t="s">
        <v>308</v>
      </c>
      <c r="D188">
        <v>6</v>
      </c>
      <c r="E188">
        <v>15</v>
      </c>
      <c r="F188">
        <v>12</v>
      </c>
      <c r="H188">
        <v>10</v>
      </c>
      <c r="I188">
        <v>6</v>
      </c>
      <c r="J188">
        <v>1</v>
      </c>
      <c r="M188">
        <v>5</v>
      </c>
      <c r="N188">
        <v>3</v>
      </c>
      <c r="O188">
        <v>5</v>
      </c>
      <c r="P188">
        <v>42</v>
      </c>
      <c r="Q188">
        <v>5</v>
      </c>
      <c r="R188">
        <v>1</v>
      </c>
    </row>
    <row r="189" spans="1:18" x14ac:dyDescent="0.3">
      <c r="A189" t="s">
        <v>412</v>
      </c>
      <c r="B189" t="s">
        <v>215</v>
      </c>
      <c r="C189" t="s">
        <v>214</v>
      </c>
      <c r="D189">
        <v>8</v>
      </c>
      <c r="E189">
        <v>69</v>
      </c>
      <c r="F189">
        <v>245</v>
      </c>
      <c r="H189">
        <v>20</v>
      </c>
      <c r="I189">
        <v>17</v>
      </c>
      <c r="J189">
        <v>7</v>
      </c>
      <c r="L189">
        <v>3</v>
      </c>
      <c r="M189">
        <v>3</v>
      </c>
      <c r="N189">
        <v>18</v>
      </c>
      <c r="O189">
        <v>3</v>
      </c>
      <c r="P189">
        <v>1</v>
      </c>
      <c r="Q189">
        <v>3</v>
      </c>
      <c r="R189">
        <v>2</v>
      </c>
    </row>
    <row r="190" spans="1:18" x14ac:dyDescent="0.3">
      <c r="A190" t="s">
        <v>412</v>
      </c>
      <c r="B190" t="s">
        <v>253</v>
      </c>
      <c r="C190" t="s">
        <v>252</v>
      </c>
      <c r="E190">
        <v>34</v>
      </c>
      <c r="F190">
        <v>16</v>
      </c>
      <c r="H190">
        <v>4</v>
      </c>
      <c r="I190">
        <v>1</v>
      </c>
      <c r="L190">
        <v>2</v>
      </c>
      <c r="M190">
        <v>10</v>
      </c>
      <c r="N190">
        <v>2</v>
      </c>
      <c r="R190">
        <v>1</v>
      </c>
    </row>
    <row r="191" spans="1:18" x14ac:dyDescent="0.3">
      <c r="A191" t="s">
        <v>412</v>
      </c>
      <c r="B191" t="s">
        <v>234</v>
      </c>
      <c r="C191" t="s">
        <v>233</v>
      </c>
      <c r="D191">
        <v>43</v>
      </c>
      <c r="E191">
        <v>108</v>
      </c>
      <c r="F191">
        <v>513</v>
      </c>
      <c r="G191">
        <v>21</v>
      </c>
      <c r="H191">
        <v>102</v>
      </c>
      <c r="I191">
        <v>60</v>
      </c>
      <c r="J191">
        <v>2</v>
      </c>
      <c r="K191">
        <v>3</v>
      </c>
      <c r="L191">
        <v>63</v>
      </c>
      <c r="M191">
        <v>4</v>
      </c>
      <c r="N191">
        <v>24</v>
      </c>
      <c r="O191">
        <v>13</v>
      </c>
      <c r="P191">
        <v>4</v>
      </c>
      <c r="Q191">
        <v>3</v>
      </c>
      <c r="R191">
        <v>3</v>
      </c>
    </row>
    <row r="192" spans="1:18" x14ac:dyDescent="0.3">
      <c r="A192" t="s">
        <v>412</v>
      </c>
      <c r="B192" t="s">
        <v>287</v>
      </c>
      <c r="C192" t="s">
        <v>286</v>
      </c>
      <c r="E192">
        <v>71</v>
      </c>
      <c r="G192">
        <v>2</v>
      </c>
      <c r="H192">
        <v>12</v>
      </c>
      <c r="I192">
        <v>6</v>
      </c>
      <c r="J192">
        <v>7</v>
      </c>
      <c r="L192">
        <v>8</v>
      </c>
      <c r="M192">
        <v>4</v>
      </c>
      <c r="N192">
        <v>15</v>
      </c>
      <c r="O192">
        <v>9</v>
      </c>
      <c r="P192">
        <v>3</v>
      </c>
      <c r="Q192">
        <v>6</v>
      </c>
      <c r="R192">
        <v>5</v>
      </c>
    </row>
    <row r="193" spans="1:18" x14ac:dyDescent="0.3">
      <c r="A193" t="s">
        <v>412</v>
      </c>
      <c r="B193" t="s">
        <v>267</v>
      </c>
      <c r="C193" t="s">
        <v>1092</v>
      </c>
      <c r="D193">
        <v>12</v>
      </c>
      <c r="E193">
        <v>108</v>
      </c>
      <c r="F193">
        <v>157</v>
      </c>
      <c r="H193">
        <v>21</v>
      </c>
      <c r="I193">
        <v>34</v>
      </c>
      <c r="L193">
        <v>5</v>
      </c>
      <c r="M193">
        <v>13</v>
      </c>
      <c r="N193">
        <v>5</v>
      </c>
      <c r="O193">
        <v>3</v>
      </c>
      <c r="P193">
        <v>7</v>
      </c>
      <c r="R193">
        <v>2</v>
      </c>
    </row>
    <row r="194" spans="1:18" x14ac:dyDescent="0.3">
      <c r="A194" t="s">
        <v>365</v>
      </c>
      <c r="B194" t="s">
        <v>249</v>
      </c>
      <c r="C194" t="s">
        <v>248</v>
      </c>
      <c r="D194">
        <v>10</v>
      </c>
      <c r="E194">
        <v>30</v>
      </c>
      <c r="F194">
        <v>19</v>
      </c>
      <c r="H194">
        <v>22</v>
      </c>
      <c r="L194">
        <v>11</v>
      </c>
      <c r="M194">
        <v>5</v>
      </c>
      <c r="N194">
        <v>21</v>
      </c>
      <c r="O194">
        <v>11</v>
      </c>
      <c r="P194">
        <v>13</v>
      </c>
      <c r="Q194">
        <v>7</v>
      </c>
      <c r="R194">
        <v>4</v>
      </c>
    </row>
    <row r="195" spans="1:18" x14ac:dyDescent="0.3">
      <c r="A195" t="s">
        <v>365</v>
      </c>
      <c r="B195" t="s">
        <v>289</v>
      </c>
      <c r="C195" t="s">
        <v>288</v>
      </c>
      <c r="D195">
        <v>7</v>
      </c>
      <c r="E195">
        <v>39</v>
      </c>
      <c r="F195">
        <v>55</v>
      </c>
      <c r="H195">
        <v>20</v>
      </c>
      <c r="I195">
        <v>2</v>
      </c>
      <c r="K195">
        <v>5</v>
      </c>
      <c r="L195">
        <v>35</v>
      </c>
      <c r="M195">
        <v>3</v>
      </c>
      <c r="N195">
        <v>42</v>
      </c>
      <c r="O195">
        <v>9</v>
      </c>
      <c r="P195">
        <v>26</v>
      </c>
      <c r="Q195">
        <v>42</v>
      </c>
      <c r="R195">
        <v>16</v>
      </c>
    </row>
    <row r="196" spans="1:18" x14ac:dyDescent="0.3">
      <c r="A196" t="s">
        <v>366</v>
      </c>
      <c r="B196" t="s">
        <v>228</v>
      </c>
      <c r="C196" t="s">
        <v>227</v>
      </c>
      <c r="D196">
        <v>11</v>
      </c>
      <c r="E196">
        <v>32</v>
      </c>
      <c r="F196">
        <v>19</v>
      </c>
      <c r="G196">
        <v>12</v>
      </c>
      <c r="H196">
        <v>176</v>
      </c>
      <c r="I196">
        <v>30</v>
      </c>
      <c r="J196">
        <v>1</v>
      </c>
      <c r="K196">
        <v>2</v>
      </c>
      <c r="L196">
        <v>3</v>
      </c>
      <c r="M196">
        <v>10</v>
      </c>
      <c r="N196">
        <v>18</v>
      </c>
      <c r="O196">
        <v>6</v>
      </c>
      <c r="P196">
        <v>11</v>
      </c>
      <c r="Q196">
        <v>6</v>
      </c>
      <c r="R196">
        <v>4</v>
      </c>
    </row>
    <row r="197" spans="1:18" x14ac:dyDescent="0.3">
      <c r="A197" t="s">
        <v>366</v>
      </c>
      <c r="B197" t="s">
        <v>279</v>
      </c>
      <c r="C197" t="s">
        <v>278</v>
      </c>
      <c r="D197">
        <v>3</v>
      </c>
      <c r="E197">
        <v>16</v>
      </c>
      <c r="F197">
        <v>23</v>
      </c>
      <c r="G197">
        <v>3</v>
      </c>
      <c r="H197">
        <v>6</v>
      </c>
      <c r="I197">
        <v>1</v>
      </c>
      <c r="K197">
        <v>1</v>
      </c>
      <c r="L197">
        <v>6</v>
      </c>
      <c r="M197">
        <v>12</v>
      </c>
      <c r="N197">
        <v>16</v>
      </c>
      <c r="O197">
        <v>4</v>
      </c>
      <c r="P197">
        <v>4</v>
      </c>
      <c r="Q197">
        <v>1</v>
      </c>
      <c r="R197">
        <v>2</v>
      </c>
    </row>
    <row r="198" spans="1:18" x14ac:dyDescent="0.3">
      <c r="A198" t="s">
        <v>366</v>
      </c>
      <c r="B198" t="s">
        <v>302</v>
      </c>
      <c r="C198" t="s">
        <v>301</v>
      </c>
      <c r="D198">
        <v>19</v>
      </c>
      <c r="E198">
        <v>58</v>
      </c>
      <c r="F198">
        <v>29</v>
      </c>
      <c r="G198">
        <v>3</v>
      </c>
      <c r="H198">
        <v>48</v>
      </c>
      <c r="I198">
        <v>15</v>
      </c>
      <c r="L198">
        <v>15</v>
      </c>
      <c r="M198">
        <v>4</v>
      </c>
      <c r="N198">
        <v>26</v>
      </c>
      <c r="O198">
        <v>9</v>
      </c>
      <c r="P198">
        <v>45</v>
      </c>
      <c r="Q198">
        <v>9</v>
      </c>
      <c r="R198">
        <v>8</v>
      </c>
    </row>
    <row r="199" spans="1:18" x14ac:dyDescent="0.3">
      <c r="A199" t="s">
        <v>341</v>
      </c>
      <c r="B199" t="s">
        <v>215</v>
      </c>
      <c r="C199" t="s">
        <v>214</v>
      </c>
      <c r="D199">
        <v>21</v>
      </c>
      <c r="E199">
        <v>103</v>
      </c>
      <c r="F199">
        <v>219</v>
      </c>
      <c r="G199">
        <v>2</v>
      </c>
      <c r="H199">
        <v>50</v>
      </c>
      <c r="I199">
        <v>4</v>
      </c>
      <c r="K199">
        <v>1</v>
      </c>
      <c r="L199">
        <v>10</v>
      </c>
      <c r="M199">
        <v>4</v>
      </c>
      <c r="N199">
        <v>6</v>
      </c>
      <c r="O199">
        <v>6</v>
      </c>
      <c r="P199">
        <v>2</v>
      </c>
      <c r="Q199">
        <v>5</v>
      </c>
      <c r="R199">
        <v>2</v>
      </c>
    </row>
    <row r="200" spans="1:18" x14ac:dyDescent="0.3">
      <c r="A200" t="s">
        <v>341</v>
      </c>
      <c r="B200" t="s">
        <v>273</v>
      </c>
      <c r="C200" t="s">
        <v>272</v>
      </c>
      <c r="D200">
        <v>18</v>
      </c>
      <c r="E200">
        <v>93</v>
      </c>
      <c r="F200">
        <v>47</v>
      </c>
      <c r="G200">
        <v>10</v>
      </c>
      <c r="H200">
        <v>67</v>
      </c>
      <c r="I200">
        <v>9</v>
      </c>
      <c r="L200">
        <v>8</v>
      </c>
      <c r="M200">
        <v>1</v>
      </c>
      <c r="N200">
        <v>8</v>
      </c>
      <c r="O200">
        <v>1</v>
      </c>
      <c r="P200">
        <v>4</v>
      </c>
      <c r="Q200">
        <v>1</v>
      </c>
      <c r="R200">
        <v>1</v>
      </c>
    </row>
    <row r="201" spans="1:18" x14ac:dyDescent="0.3">
      <c r="A201" t="s">
        <v>341</v>
      </c>
      <c r="B201" t="s">
        <v>311</v>
      </c>
      <c r="C201" t="s">
        <v>310</v>
      </c>
      <c r="D201">
        <v>10</v>
      </c>
      <c r="E201">
        <v>47</v>
      </c>
      <c r="F201">
        <v>2</v>
      </c>
      <c r="G201">
        <v>1</v>
      </c>
      <c r="H201">
        <v>16</v>
      </c>
      <c r="I201">
        <v>1</v>
      </c>
      <c r="J201">
        <v>2</v>
      </c>
      <c r="K201">
        <v>4</v>
      </c>
      <c r="L201">
        <v>22</v>
      </c>
      <c r="M201">
        <v>15</v>
      </c>
      <c r="N201">
        <v>12</v>
      </c>
      <c r="O201">
        <v>11</v>
      </c>
      <c r="P201">
        <v>18</v>
      </c>
      <c r="Q201">
        <v>11</v>
      </c>
      <c r="R201">
        <v>5</v>
      </c>
    </row>
    <row r="202" spans="1:18" x14ac:dyDescent="0.3">
      <c r="A202" t="s">
        <v>342</v>
      </c>
      <c r="B202" t="s">
        <v>244</v>
      </c>
      <c r="C202" t="s">
        <v>243</v>
      </c>
      <c r="D202">
        <v>18</v>
      </c>
      <c r="E202">
        <v>88</v>
      </c>
      <c r="F202">
        <v>39</v>
      </c>
      <c r="G202">
        <v>8</v>
      </c>
      <c r="H202">
        <v>86</v>
      </c>
      <c r="I202">
        <v>7</v>
      </c>
      <c r="K202">
        <v>12</v>
      </c>
      <c r="L202">
        <v>15</v>
      </c>
      <c r="M202">
        <v>10</v>
      </c>
      <c r="N202">
        <v>35</v>
      </c>
      <c r="O202">
        <v>15</v>
      </c>
      <c r="P202">
        <v>30</v>
      </c>
      <c r="Q202">
        <v>9</v>
      </c>
      <c r="R202">
        <v>7</v>
      </c>
    </row>
    <row r="203" spans="1:18" x14ac:dyDescent="0.3">
      <c r="A203" t="s">
        <v>342</v>
      </c>
      <c r="B203" t="s">
        <v>277</v>
      </c>
      <c r="C203" t="s">
        <v>276</v>
      </c>
      <c r="E203">
        <v>35</v>
      </c>
      <c r="F203">
        <v>10</v>
      </c>
      <c r="H203">
        <v>6</v>
      </c>
      <c r="I203">
        <v>1</v>
      </c>
      <c r="J203">
        <v>1</v>
      </c>
      <c r="K203">
        <v>1</v>
      </c>
      <c r="L203">
        <v>3</v>
      </c>
      <c r="M203">
        <v>1</v>
      </c>
      <c r="N203">
        <v>1</v>
      </c>
      <c r="O203">
        <v>1</v>
      </c>
      <c r="P203">
        <v>3</v>
      </c>
      <c r="Q203">
        <v>1</v>
      </c>
      <c r="R203">
        <v>1</v>
      </c>
    </row>
    <row r="204" spans="1:18" x14ac:dyDescent="0.3">
      <c r="A204" t="s">
        <v>342</v>
      </c>
      <c r="B204" t="s">
        <v>1201</v>
      </c>
      <c r="C204" t="s">
        <v>282</v>
      </c>
      <c r="D204">
        <v>4</v>
      </c>
      <c r="E204">
        <v>11</v>
      </c>
      <c r="H204">
        <v>5</v>
      </c>
      <c r="I204">
        <v>2</v>
      </c>
      <c r="N204">
        <v>1</v>
      </c>
    </row>
    <row r="205" spans="1:18" x14ac:dyDescent="0.3">
      <c r="A205" t="s">
        <v>342</v>
      </c>
      <c r="B205" t="s">
        <v>287</v>
      </c>
      <c r="C205" t="s">
        <v>286</v>
      </c>
      <c r="D205">
        <v>2</v>
      </c>
      <c r="E205">
        <v>40</v>
      </c>
      <c r="F205">
        <v>3</v>
      </c>
      <c r="H205">
        <v>29</v>
      </c>
      <c r="I205">
        <v>4</v>
      </c>
      <c r="J205">
        <v>1</v>
      </c>
      <c r="L205">
        <v>7</v>
      </c>
      <c r="M205">
        <v>1</v>
      </c>
      <c r="N205">
        <v>8</v>
      </c>
      <c r="O205">
        <v>2</v>
      </c>
      <c r="P205">
        <v>1</v>
      </c>
      <c r="Q205">
        <v>3</v>
      </c>
      <c r="R205">
        <v>1</v>
      </c>
    </row>
    <row r="206" spans="1:18" x14ac:dyDescent="0.3">
      <c r="A206" t="s">
        <v>342</v>
      </c>
      <c r="B206" t="s">
        <v>289</v>
      </c>
      <c r="C206" t="s">
        <v>288</v>
      </c>
      <c r="D206">
        <v>10</v>
      </c>
      <c r="E206">
        <v>59</v>
      </c>
      <c r="F206">
        <v>24</v>
      </c>
      <c r="H206">
        <v>27</v>
      </c>
      <c r="I206">
        <v>5</v>
      </c>
      <c r="K206">
        <v>4</v>
      </c>
      <c r="L206">
        <v>26</v>
      </c>
      <c r="M206">
        <v>6</v>
      </c>
      <c r="N206">
        <v>81</v>
      </c>
      <c r="O206">
        <v>18</v>
      </c>
      <c r="P206">
        <v>24</v>
      </c>
      <c r="Q206">
        <v>40</v>
      </c>
      <c r="R206">
        <v>27</v>
      </c>
    </row>
    <row r="207" spans="1:18" x14ac:dyDescent="0.3">
      <c r="A207" t="s">
        <v>342</v>
      </c>
      <c r="B207" t="s">
        <v>294</v>
      </c>
      <c r="C207" t="s">
        <v>293</v>
      </c>
      <c r="D207">
        <v>58</v>
      </c>
      <c r="E207">
        <v>80</v>
      </c>
      <c r="F207">
        <v>6</v>
      </c>
      <c r="G207">
        <v>9</v>
      </c>
      <c r="H207">
        <v>70</v>
      </c>
      <c r="I207">
        <v>36</v>
      </c>
      <c r="K207">
        <v>1</v>
      </c>
      <c r="L207">
        <v>4</v>
      </c>
      <c r="M207">
        <v>2</v>
      </c>
      <c r="N207">
        <v>5</v>
      </c>
      <c r="O207">
        <v>14</v>
      </c>
      <c r="P207">
        <v>3</v>
      </c>
      <c r="Q207">
        <v>4</v>
      </c>
      <c r="R207">
        <v>1</v>
      </c>
    </row>
    <row r="208" spans="1:18" x14ac:dyDescent="0.3">
      <c r="A208" t="s">
        <v>213</v>
      </c>
      <c r="B208" t="s">
        <v>220</v>
      </c>
      <c r="C208" t="s">
        <v>219</v>
      </c>
      <c r="D208">
        <v>26</v>
      </c>
      <c r="E208">
        <v>88</v>
      </c>
      <c r="F208">
        <v>48</v>
      </c>
      <c r="G208">
        <v>7</v>
      </c>
      <c r="H208">
        <v>73</v>
      </c>
      <c r="I208">
        <v>48</v>
      </c>
      <c r="J208">
        <v>3</v>
      </c>
      <c r="K208">
        <v>3</v>
      </c>
      <c r="L208">
        <v>13</v>
      </c>
      <c r="M208">
        <v>8</v>
      </c>
      <c r="N208">
        <v>13</v>
      </c>
      <c r="O208">
        <v>4</v>
      </c>
      <c r="P208">
        <v>21</v>
      </c>
      <c r="Q208">
        <v>13</v>
      </c>
      <c r="R208">
        <v>5</v>
      </c>
    </row>
    <row r="209" spans="1:18" x14ac:dyDescent="0.3">
      <c r="A209" t="s">
        <v>312</v>
      </c>
      <c r="B209" t="s">
        <v>240</v>
      </c>
      <c r="C209" t="s">
        <v>239</v>
      </c>
      <c r="D209">
        <v>4</v>
      </c>
      <c r="E209">
        <v>22</v>
      </c>
      <c r="F209">
        <v>3</v>
      </c>
      <c r="M209">
        <v>8</v>
      </c>
      <c r="N209">
        <v>1</v>
      </c>
      <c r="O209">
        <v>4</v>
      </c>
      <c r="P209">
        <v>3</v>
      </c>
      <c r="Q209">
        <v>4</v>
      </c>
    </row>
    <row r="210" spans="1:18" x14ac:dyDescent="0.3">
      <c r="A210" t="s">
        <v>312</v>
      </c>
      <c r="B210" t="s">
        <v>247</v>
      </c>
      <c r="C210" t="s">
        <v>246</v>
      </c>
      <c r="D210">
        <v>3</v>
      </c>
      <c r="E210">
        <v>35</v>
      </c>
      <c r="F210">
        <v>336</v>
      </c>
      <c r="G210">
        <v>1</v>
      </c>
      <c r="H210">
        <v>17</v>
      </c>
      <c r="I210">
        <v>1</v>
      </c>
      <c r="K210">
        <v>2</v>
      </c>
      <c r="L210">
        <v>12</v>
      </c>
      <c r="M210">
        <v>1</v>
      </c>
      <c r="N210">
        <v>4</v>
      </c>
      <c r="O210">
        <v>7</v>
      </c>
      <c r="P210">
        <v>4</v>
      </c>
      <c r="R210">
        <v>1</v>
      </c>
    </row>
    <row r="211" spans="1:18" x14ac:dyDescent="0.3">
      <c r="A211" t="s">
        <v>312</v>
      </c>
      <c r="B211" t="s">
        <v>298</v>
      </c>
      <c r="C211" t="s">
        <v>297</v>
      </c>
      <c r="D211">
        <v>18</v>
      </c>
      <c r="E211">
        <v>32</v>
      </c>
      <c r="F211">
        <v>16</v>
      </c>
      <c r="H211">
        <v>8</v>
      </c>
      <c r="I211">
        <v>2</v>
      </c>
      <c r="L211">
        <v>4</v>
      </c>
      <c r="M211">
        <v>11</v>
      </c>
      <c r="N211">
        <v>1</v>
      </c>
      <c r="O211">
        <v>6</v>
      </c>
      <c r="P211">
        <v>5</v>
      </c>
      <c r="R211">
        <v>1</v>
      </c>
    </row>
    <row r="212" spans="1:18" x14ac:dyDescent="0.3">
      <c r="A212" t="s">
        <v>318</v>
      </c>
      <c r="B212" t="s">
        <v>228</v>
      </c>
      <c r="C212" t="s">
        <v>227</v>
      </c>
      <c r="E212">
        <v>7</v>
      </c>
      <c r="F212">
        <v>15</v>
      </c>
      <c r="G212">
        <v>6</v>
      </c>
      <c r="H212">
        <v>69</v>
      </c>
      <c r="I212">
        <v>9</v>
      </c>
      <c r="J212">
        <v>2</v>
      </c>
      <c r="M212">
        <v>2</v>
      </c>
      <c r="N212">
        <v>1</v>
      </c>
      <c r="O212">
        <v>4</v>
      </c>
      <c r="P212">
        <v>2</v>
      </c>
      <c r="Q212">
        <v>1</v>
      </c>
      <c r="R212">
        <v>2</v>
      </c>
    </row>
    <row r="213" spans="1:18" x14ac:dyDescent="0.3">
      <c r="A213" t="s">
        <v>318</v>
      </c>
      <c r="B213" t="s">
        <v>277</v>
      </c>
      <c r="C213" t="s">
        <v>276</v>
      </c>
      <c r="E213">
        <v>21</v>
      </c>
      <c r="F213">
        <v>4</v>
      </c>
      <c r="H213">
        <v>1</v>
      </c>
      <c r="L213">
        <v>1</v>
      </c>
      <c r="N213">
        <v>1</v>
      </c>
      <c r="O213">
        <v>1</v>
      </c>
    </row>
    <row r="214" spans="1:18" x14ac:dyDescent="0.3">
      <c r="A214" t="s">
        <v>318</v>
      </c>
      <c r="B214" t="s">
        <v>287</v>
      </c>
      <c r="C214" t="s">
        <v>286</v>
      </c>
      <c r="E214">
        <v>66</v>
      </c>
      <c r="H214">
        <v>10</v>
      </c>
      <c r="I214">
        <v>2</v>
      </c>
      <c r="L214">
        <v>2</v>
      </c>
      <c r="N214">
        <v>6</v>
      </c>
      <c r="O214">
        <v>1</v>
      </c>
      <c r="P214">
        <v>1</v>
      </c>
      <c r="R214">
        <v>1</v>
      </c>
    </row>
    <row r="215" spans="1:18" x14ac:dyDescent="0.3">
      <c r="A215" t="s">
        <v>318</v>
      </c>
      <c r="B215" t="s">
        <v>298</v>
      </c>
      <c r="C215" t="s">
        <v>297</v>
      </c>
      <c r="D215">
        <v>16</v>
      </c>
      <c r="E215">
        <v>34</v>
      </c>
      <c r="F215">
        <v>5</v>
      </c>
      <c r="H215">
        <v>3</v>
      </c>
      <c r="L215">
        <v>1</v>
      </c>
      <c r="M215">
        <v>2</v>
      </c>
      <c r="N215">
        <v>2</v>
      </c>
      <c r="P215">
        <v>1</v>
      </c>
      <c r="R215">
        <v>2</v>
      </c>
    </row>
    <row r="216" spans="1:18" x14ac:dyDescent="0.3">
      <c r="A216" t="s">
        <v>318</v>
      </c>
      <c r="B216" t="s">
        <v>304</v>
      </c>
      <c r="C216" t="s">
        <v>303</v>
      </c>
      <c r="D216">
        <v>9</v>
      </c>
      <c r="E216">
        <v>83</v>
      </c>
      <c r="F216">
        <v>23</v>
      </c>
      <c r="H216">
        <v>6</v>
      </c>
      <c r="L216">
        <v>1</v>
      </c>
      <c r="M216">
        <v>1</v>
      </c>
      <c r="N216">
        <v>5</v>
      </c>
      <c r="O216">
        <v>1</v>
      </c>
      <c r="P216">
        <v>6</v>
      </c>
      <c r="Q216">
        <v>5</v>
      </c>
      <c r="R216">
        <v>5</v>
      </c>
    </row>
    <row r="217" spans="1:18" x14ac:dyDescent="0.3">
      <c r="A217" t="s">
        <v>320</v>
      </c>
      <c r="B217" t="s">
        <v>253</v>
      </c>
      <c r="C217" t="s">
        <v>252</v>
      </c>
      <c r="D217">
        <v>2</v>
      </c>
      <c r="E217">
        <v>28</v>
      </c>
      <c r="F217">
        <v>25</v>
      </c>
      <c r="H217">
        <v>5</v>
      </c>
      <c r="I217">
        <v>1</v>
      </c>
      <c r="L217">
        <v>3</v>
      </c>
      <c r="M217">
        <v>5</v>
      </c>
      <c r="N217">
        <v>2</v>
      </c>
      <c r="Q217">
        <v>1</v>
      </c>
    </row>
    <row r="218" spans="1:18" x14ac:dyDescent="0.3">
      <c r="A218" t="s">
        <v>320</v>
      </c>
      <c r="B218" t="s">
        <v>298</v>
      </c>
      <c r="C218" t="s">
        <v>297</v>
      </c>
      <c r="D218">
        <v>17</v>
      </c>
      <c r="E218">
        <v>29</v>
      </c>
      <c r="F218">
        <v>13</v>
      </c>
      <c r="H218">
        <v>8</v>
      </c>
      <c r="I218">
        <v>9</v>
      </c>
      <c r="L218">
        <v>4</v>
      </c>
      <c r="M218">
        <v>5</v>
      </c>
      <c r="N218">
        <v>5</v>
      </c>
      <c r="O218">
        <v>4</v>
      </c>
      <c r="P218">
        <v>3</v>
      </c>
      <c r="Q218">
        <v>1</v>
      </c>
      <c r="R218">
        <v>3</v>
      </c>
    </row>
    <row r="219" spans="1:18" x14ac:dyDescent="0.3">
      <c r="A219" t="s">
        <v>320</v>
      </c>
      <c r="B219" t="s">
        <v>311</v>
      </c>
      <c r="C219" t="s">
        <v>310</v>
      </c>
      <c r="D219">
        <v>7</v>
      </c>
      <c r="E219">
        <v>42</v>
      </c>
      <c r="F219">
        <v>19</v>
      </c>
      <c r="G219">
        <v>1</v>
      </c>
      <c r="H219">
        <v>15</v>
      </c>
      <c r="J219">
        <v>1</v>
      </c>
      <c r="K219">
        <v>1</v>
      </c>
      <c r="L219">
        <v>15</v>
      </c>
      <c r="M219">
        <v>22</v>
      </c>
      <c r="N219">
        <v>18</v>
      </c>
      <c r="O219">
        <v>12</v>
      </c>
      <c r="P219">
        <v>16</v>
      </c>
      <c r="Q219">
        <v>5</v>
      </c>
      <c r="R219">
        <v>3</v>
      </c>
    </row>
    <row r="220" spans="1:18" x14ac:dyDescent="0.3">
      <c r="A220" t="s">
        <v>325</v>
      </c>
      <c r="B220" t="s">
        <v>287</v>
      </c>
      <c r="C220" t="s">
        <v>286</v>
      </c>
      <c r="D220">
        <v>5</v>
      </c>
      <c r="E220">
        <v>87</v>
      </c>
      <c r="F220">
        <v>10</v>
      </c>
      <c r="G220">
        <v>3</v>
      </c>
      <c r="H220">
        <v>38</v>
      </c>
      <c r="I220">
        <v>16</v>
      </c>
      <c r="J220">
        <v>7</v>
      </c>
      <c r="L220">
        <v>22</v>
      </c>
      <c r="M220">
        <v>1</v>
      </c>
      <c r="N220">
        <v>60</v>
      </c>
      <c r="O220">
        <v>10</v>
      </c>
      <c r="P220">
        <v>4</v>
      </c>
      <c r="Q220">
        <v>3</v>
      </c>
      <c r="R220">
        <v>5</v>
      </c>
    </row>
    <row r="221" spans="1:18" x14ac:dyDescent="0.3">
      <c r="A221" t="s">
        <v>213</v>
      </c>
      <c r="B221" t="s">
        <v>307</v>
      </c>
      <c r="C221" t="s">
        <v>306</v>
      </c>
      <c r="D221">
        <v>7</v>
      </c>
      <c r="E221">
        <v>56</v>
      </c>
      <c r="F221">
        <v>37</v>
      </c>
      <c r="G221">
        <v>2</v>
      </c>
      <c r="H221">
        <v>33</v>
      </c>
      <c r="I221">
        <v>4</v>
      </c>
      <c r="K221">
        <v>1</v>
      </c>
      <c r="L221">
        <v>1</v>
      </c>
      <c r="M221">
        <v>36</v>
      </c>
      <c r="N221">
        <v>4</v>
      </c>
      <c r="O221">
        <v>4</v>
      </c>
      <c r="P221">
        <v>3</v>
      </c>
      <c r="Q221">
        <v>2</v>
      </c>
      <c r="R221">
        <v>3</v>
      </c>
    </row>
    <row r="222" spans="1:18" x14ac:dyDescent="0.3">
      <c r="A222" t="s">
        <v>312</v>
      </c>
      <c r="B222" t="s">
        <v>234</v>
      </c>
      <c r="C222" t="s">
        <v>233</v>
      </c>
      <c r="D222">
        <v>44</v>
      </c>
      <c r="E222">
        <v>107</v>
      </c>
      <c r="F222">
        <v>91</v>
      </c>
      <c r="G222">
        <v>11</v>
      </c>
      <c r="H222">
        <v>97</v>
      </c>
      <c r="I222">
        <v>84</v>
      </c>
      <c r="J222">
        <v>4</v>
      </c>
      <c r="K222">
        <v>2</v>
      </c>
      <c r="L222">
        <v>52</v>
      </c>
      <c r="M222">
        <v>28</v>
      </c>
      <c r="N222">
        <v>42</v>
      </c>
      <c r="O222">
        <v>31</v>
      </c>
      <c r="P222">
        <v>7</v>
      </c>
      <c r="Q222">
        <v>45</v>
      </c>
      <c r="R222">
        <v>3</v>
      </c>
    </row>
    <row r="223" spans="1:18" x14ac:dyDescent="0.3">
      <c r="A223" t="s">
        <v>312</v>
      </c>
      <c r="B223" t="s">
        <v>249</v>
      </c>
      <c r="C223" t="s">
        <v>248</v>
      </c>
      <c r="D223">
        <v>2</v>
      </c>
      <c r="E223">
        <v>54</v>
      </c>
      <c r="F223">
        <v>8</v>
      </c>
      <c r="H223">
        <v>13</v>
      </c>
      <c r="I223">
        <v>11</v>
      </c>
      <c r="L223">
        <v>3</v>
      </c>
      <c r="M223">
        <v>10</v>
      </c>
      <c r="N223">
        <v>6</v>
      </c>
      <c r="O223">
        <v>3</v>
      </c>
    </row>
    <row r="224" spans="1:18" x14ac:dyDescent="0.3">
      <c r="A224" t="s">
        <v>312</v>
      </c>
      <c r="B224" t="s">
        <v>255</v>
      </c>
      <c r="C224" t="s">
        <v>254</v>
      </c>
      <c r="D224">
        <v>5</v>
      </c>
      <c r="E224">
        <v>23</v>
      </c>
      <c r="F224">
        <v>12</v>
      </c>
      <c r="H224">
        <v>4</v>
      </c>
      <c r="I224">
        <v>2</v>
      </c>
      <c r="K224">
        <v>1</v>
      </c>
      <c r="L224">
        <v>10</v>
      </c>
      <c r="M224">
        <v>8</v>
      </c>
      <c r="N224">
        <v>2</v>
      </c>
      <c r="O224">
        <v>7</v>
      </c>
      <c r="P224">
        <v>1</v>
      </c>
      <c r="Q224">
        <v>1</v>
      </c>
      <c r="R224">
        <v>2</v>
      </c>
    </row>
    <row r="225" spans="1:18" x14ac:dyDescent="0.3">
      <c r="A225" t="s">
        <v>312</v>
      </c>
      <c r="B225" t="s">
        <v>263</v>
      </c>
      <c r="C225" t="s">
        <v>262</v>
      </c>
      <c r="D225">
        <v>9</v>
      </c>
      <c r="E225">
        <v>41</v>
      </c>
      <c r="F225">
        <v>4</v>
      </c>
      <c r="G225">
        <v>1</v>
      </c>
      <c r="H225">
        <v>19</v>
      </c>
      <c r="J225">
        <v>1</v>
      </c>
      <c r="K225">
        <v>5</v>
      </c>
      <c r="L225">
        <v>22</v>
      </c>
      <c r="M225">
        <v>12</v>
      </c>
      <c r="N225">
        <v>13</v>
      </c>
      <c r="O225">
        <v>14</v>
      </c>
      <c r="P225">
        <v>8</v>
      </c>
      <c r="Q225">
        <v>1</v>
      </c>
    </row>
    <row r="226" spans="1:18" x14ac:dyDescent="0.3">
      <c r="A226" t="s">
        <v>312</v>
      </c>
      <c r="B226" t="s">
        <v>267</v>
      </c>
      <c r="C226" t="s">
        <v>1092</v>
      </c>
      <c r="D226">
        <v>13</v>
      </c>
      <c r="E226">
        <v>132</v>
      </c>
      <c r="F226">
        <v>156</v>
      </c>
      <c r="G226">
        <v>1</v>
      </c>
      <c r="H226">
        <v>54</v>
      </c>
      <c r="I226">
        <v>17</v>
      </c>
      <c r="J226">
        <v>1</v>
      </c>
      <c r="L226">
        <v>7</v>
      </c>
      <c r="M226">
        <v>10</v>
      </c>
      <c r="N226">
        <v>4</v>
      </c>
      <c r="O226">
        <v>9</v>
      </c>
      <c r="P226">
        <v>7</v>
      </c>
      <c r="Q226">
        <v>2</v>
      </c>
      <c r="R226">
        <v>4</v>
      </c>
    </row>
    <row r="227" spans="1:18" x14ac:dyDescent="0.3">
      <c r="A227" t="s">
        <v>318</v>
      </c>
      <c r="B227" t="s">
        <v>220</v>
      </c>
      <c r="C227" t="s">
        <v>219</v>
      </c>
      <c r="D227">
        <v>8</v>
      </c>
      <c r="E227">
        <v>27</v>
      </c>
      <c r="F227">
        <v>6</v>
      </c>
      <c r="H227">
        <v>7</v>
      </c>
      <c r="I227">
        <v>19</v>
      </c>
      <c r="L227">
        <v>4</v>
      </c>
      <c r="M227">
        <v>1</v>
      </c>
      <c r="N227">
        <v>1</v>
      </c>
      <c r="O227">
        <v>3</v>
      </c>
      <c r="P227">
        <v>4</v>
      </c>
      <c r="R227">
        <v>1</v>
      </c>
    </row>
    <row r="228" spans="1:18" x14ac:dyDescent="0.3">
      <c r="A228" t="s">
        <v>318</v>
      </c>
      <c r="B228" t="s">
        <v>1201</v>
      </c>
      <c r="C228" t="s">
        <v>282</v>
      </c>
      <c r="D228">
        <v>2</v>
      </c>
      <c r="E228">
        <v>9</v>
      </c>
    </row>
    <row r="229" spans="1:18" x14ac:dyDescent="0.3">
      <c r="A229" t="s">
        <v>318</v>
      </c>
      <c r="B229" t="s">
        <v>300</v>
      </c>
      <c r="C229" t="s">
        <v>299</v>
      </c>
      <c r="E229">
        <v>8</v>
      </c>
      <c r="F229">
        <v>1</v>
      </c>
      <c r="H229">
        <v>1</v>
      </c>
    </row>
    <row r="230" spans="1:18" x14ac:dyDescent="0.3">
      <c r="A230" t="s">
        <v>320</v>
      </c>
      <c r="B230" t="s">
        <v>234</v>
      </c>
      <c r="C230" t="s">
        <v>233</v>
      </c>
      <c r="D230">
        <v>46</v>
      </c>
      <c r="E230">
        <v>107</v>
      </c>
      <c r="F230">
        <v>331</v>
      </c>
      <c r="G230">
        <v>2</v>
      </c>
      <c r="H230">
        <v>73</v>
      </c>
      <c r="I230">
        <v>67</v>
      </c>
      <c r="K230">
        <v>4</v>
      </c>
      <c r="L230">
        <v>26</v>
      </c>
      <c r="M230">
        <v>8</v>
      </c>
      <c r="N230">
        <v>14</v>
      </c>
      <c r="O230">
        <v>11</v>
      </c>
      <c r="P230">
        <v>2</v>
      </c>
      <c r="Q230">
        <v>16</v>
      </c>
      <c r="R230">
        <v>3</v>
      </c>
    </row>
    <row r="231" spans="1:18" x14ac:dyDescent="0.3">
      <c r="A231" t="s">
        <v>320</v>
      </c>
      <c r="B231" t="s">
        <v>309</v>
      </c>
      <c r="C231" t="s">
        <v>308</v>
      </c>
      <c r="D231">
        <v>6</v>
      </c>
      <c r="E231">
        <v>16</v>
      </c>
      <c r="F231">
        <v>17</v>
      </c>
      <c r="H231">
        <v>14</v>
      </c>
      <c r="I231">
        <v>3</v>
      </c>
      <c r="L231">
        <v>2</v>
      </c>
      <c r="M231">
        <v>3</v>
      </c>
      <c r="N231">
        <v>1</v>
      </c>
      <c r="O231">
        <v>2</v>
      </c>
      <c r="P231">
        <v>3</v>
      </c>
      <c r="Q231">
        <v>2</v>
      </c>
    </row>
    <row r="232" spans="1:18" x14ac:dyDescent="0.3">
      <c r="A232" t="s">
        <v>325</v>
      </c>
      <c r="B232" t="s">
        <v>228</v>
      </c>
      <c r="C232" t="s">
        <v>227</v>
      </c>
      <c r="D232">
        <v>7</v>
      </c>
      <c r="E232">
        <v>41</v>
      </c>
      <c r="F232">
        <v>29</v>
      </c>
      <c r="G232">
        <v>8</v>
      </c>
      <c r="H232">
        <v>125</v>
      </c>
      <c r="I232">
        <v>102</v>
      </c>
      <c r="J232">
        <v>1</v>
      </c>
      <c r="K232">
        <v>1</v>
      </c>
      <c r="L232">
        <v>8</v>
      </c>
      <c r="M232">
        <v>10</v>
      </c>
      <c r="N232">
        <v>3</v>
      </c>
      <c r="O232">
        <v>13</v>
      </c>
      <c r="P232">
        <v>3</v>
      </c>
      <c r="Q232">
        <v>9</v>
      </c>
      <c r="R232">
        <v>19</v>
      </c>
    </row>
    <row r="233" spans="1:18" x14ac:dyDescent="0.3">
      <c r="A233" t="s">
        <v>325</v>
      </c>
      <c r="B233" t="s">
        <v>263</v>
      </c>
      <c r="C233" t="s">
        <v>262</v>
      </c>
      <c r="D233">
        <v>6</v>
      </c>
      <c r="E233">
        <v>35</v>
      </c>
      <c r="F233">
        <v>3</v>
      </c>
      <c r="G233">
        <v>1</v>
      </c>
      <c r="H233">
        <v>17</v>
      </c>
      <c r="J233">
        <v>1</v>
      </c>
      <c r="K233">
        <v>1</v>
      </c>
      <c r="L233">
        <v>2</v>
      </c>
      <c r="M233">
        <v>4</v>
      </c>
      <c r="N233">
        <v>6</v>
      </c>
      <c r="O233">
        <v>3</v>
      </c>
      <c r="P233">
        <v>7</v>
      </c>
      <c r="Q233">
        <v>4</v>
      </c>
      <c r="R233">
        <v>1</v>
      </c>
    </row>
    <row r="234" spans="1:18" x14ac:dyDescent="0.3">
      <c r="A234" t="s">
        <v>326</v>
      </c>
      <c r="E234">
        <v>5</v>
      </c>
      <c r="F234">
        <v>77</v>
      </c>
      <c r="H234">
        <v>3</v>
      </c>
      <c r="I234">
        <v>49</v>
      </c>
      <c r="L234">
        <v>3</v>
      </c>
      <c r="N234">
        <v>3</v>
      </c>
      <c r="O234">
        <v>1</v>
      </c>
      <c r="P234">
        <v>1</v>
      </c>
      <c r="R234">
        <v>4</v>
      </c>
    </row>
    <row r="235" spans="1:18" x14ac:dyDescent="0.3">
      <c r="A235" t="s">
        <v>326</v>
      </c>
      <c r="B235" t="s">
        <v>1211</v>
      </c>
      <c r="C235" t="s">
        <v>280</v>
      </c>
      <c r="D235">
        <v>3</v>
      </c>
      <c r="E235">
        <v>19</v>
      </c>
      <c r="F235">
        <v>9</v>
      </c>
      <c r="H235">
        <v>28</v>
      </c>
      <c r="I235">
        <v>51</v>
      </c>
      <c r="L235">
        <v>3</v>
      </c>
      <c r="M235">
        <v>2</v>
      </c>
      <c r="N235">
        <v>4</v>
      </c>
      <c r="O235">
        <v>3</v>
      </c>
      <c r="P235">
        <v>1</v>
      </c>
      <c r="Q235">
        <v>2</v>
      </c>
    </row>
    <row r="236" spans="1:18" x14ac:dyDescent="0.3">
      <c r="A236" t="s">
        <v>326</v>
      </c>
      <c r="B236" t="s">
        <v>307</v>
      </c>
      <c r="C236" t="s">
        <v>306</v>
      </c>
      <c r="D236">
        <v>1</v>
      </c>
      <c r="E236">
        <v>34</v>
      </c>
      <c r="F236">
        <v>31</v>
      </c>
      <c r="H236">
        <v>19</v>
      </c>
      <c r="I236">
        <v>5</v>
      </c>
      <c r="L236">
        <v>1</v>
      </c>
      <c r="N236">
        <v>1</v>
      </c>
      <c r="O236">
        <v>1</v>
      </c>
      <c r="P236">
        <v>1</v>
      </c>
      <c r="R236">
        <v>1</v>
      </c>
    </row>
    <row r="237" spans="1:18" x14ac:dyDescent="0.3">
      <c r="A237" t="s">
        <v>328</v>
      </c>
      <c r="B237" t="s">
        <v>228</v>
      </c>
      <c r="C237" t="s">
        <v>227</v>
      </c>
      <c r="D237">
        <v>3</v>
      </c>
      <c r="E237">
        <v>23</v>
      </c>
      <c r="F237">
        <v>15</v>
      </c>
      <c r="G237">
        <v>2</v>
      </c>
      <c r="H237">
        <v>54</v>
      </c>
      <c r="I237">
        <v>381</v>
      </c>
      <c r="K237">
        <v>3</v>
      </c>
      <c r="M237">
        <v>1</v>
      </c>
      <c r="N237">
        <v>4</v>
      </c>
      <c r="O237">
        <v>9</v>
      </c>
      <c r="P237">
        <v>4</v>
      </c>
      <c r="Q237">
        <v>4</v>
      </c>
      <c r="R237">
        <v>5</v>
      </c>
    </row>
    <row r="238" spans="1:18" x14ac:dyDescent="0.3">
      <c r="A238" t="s">
        <v>328</v>
      </c>
      <c r="B238" t="s">
        <v>234</v>
      </c>
      <c r="C238" t="s">
        <v>233</v>
      </c>
      <c r="D238">
        <v>40</v>
      </c>
      <c r="E238">
        <v>111</v>
      </c>
      <c r="F238">
        <v>294</v>
      </c>
      <c r="G238">
        <v>11</v>
      </c>
      <c r="H238">
        <v>99</v>
      </c>
      <c r="I238">
        <v>35</v>
      </c>
      <c r="J238">
        <v>4</v>
      </c>
      <c r="K238">
        <v>1</v>
      </c>
      <c r="L238">
        <v>57</v>
      </c>
      <c r="M238">
        <v>12</v>
      </c>
      <c r="N238">
        <v>11</v>
      </c>
      <c r="O238">
        <v>12</v>
      </c>
      <c r="P238">
        <v>1</v>
      </c>
      <c r="Q238">
        <v>10</v>
      </c>
      <c r="R238">
        <v>8</v>
      </c>
    </row>
    <row r="239" spans="1:18" x14ac:dyDescent="0.3">
      <c r="A239" t="s">
        <v>328</v>
      </c>
      <c r="B239" t="s">
        <v>277</v>
      </c>
      <c r="C239" t="s">
        <v>276</v>
      </c>
      <c r="D239">
        <v>9</v>
      </c>
      <c r="E239">
        <v>34</v>
      </c>
      <c r="F239">
        <v>14</v>
      </c>
      <c r="H239">
        <v>6</v>
      </c>
      <c r="I239">
        <v>8</v>
      </c>
      <c r="K239">
        <v>1</v>
      </c>
      <c r="L239">
        <v>2</v>
      </c>
      <c r="N239">
        <v>1</v>
      </c>
      <c r="O239">
        <v>4</v>
      </c>
      <c r="P239">
        <v>3</v>
      </c>
      <c r="Q239">
        <v>4</v>
      </c>
      <c r="R239">
        <v>5</v>
      </c>
    </row>
    <row r="240" spans="1:18" x14ac:dyDescent="0.3">
      <c r="A240" t="s">
        <v>328</v>
      </c>
      <c r="B240" t="s">
        <v>281</v>
      </c>
      <c r="C240" t="s">
        <v>280</v>
      </c>
      <c r="D240">
        <v>2</v>
      </c>
      <c r="E240">
        <v>21</v>
      </c>
      <c r="F240">
        <v>5</v>
      </c>
      <c r="H240">
        <v>18</v>
      </c>
      <c r="I240">
        <v>51</v>
      </c>
      <c r="L240">
        <v>1</v>
      </c>
      <c r="M240">
        <v>2</v>
      </c>
      <c r="N240">
        <v>6</v>
      </c>
      <c r="P240">
        <v>2</v>
      </c>
      <c r="Q240">
        <v>1</v>
      </c>
      <c r="R240">
        <v>1</v>
      </c>
    </row>
    <row r="241" spans="1:18" x14ac:dyDescent="0.3">
      <c r="A241" t="s">
        <v>328</v>
      </c>
      <c r="B241" t="s">
        <v>294</v>
      </c>
      <c r="C241" t="s">
        <v>293</v>
      </c>
      <c r="D241">
        <v>4</v>
      </c>
      <c r="E241">
        <v>61</v>
      </c>
      <c r="F241">
        <v>17</v>
      </c>
      <c r="H241">
        <v>32</v>
      </c>
      <c r="I241">
        <v>60</v>
      </c>
      <c r="J241">
        <v>1</v>
      </c>
      <c r="K241">
        <v>1</v>
      </c>
      <c r="L241">
        <v>5</v>
      </c>
      <c r="M241">
        <v>4</v>
      </c>
      <c r="N241">
        <v>4</v>
      </c>
      <c r="O241">
        <v>1</v>
      </c>
      <c r="P241">
        <v>1</v>
      </c>
      <c r="Q241">
        <v>1</v>
      </c>
      <c r="R241">
        <v>1</v>
      </c>
    </row>
    <row r="242" spans="1:18" x14ac:dyDescent="0.3">
      <c r="A242" t="s">
        <v>412</v>
      </c>
      <c r="B242" t="s">
        <v>1201</v>
      </c>
      <c r="C242" t="s">
        <v>282</v>
      </c>
      <c r="D242">
        <v>3</v>
      </c>
      <c r="E242">
        <v>10</v>
      </c>
      <c r="F242">
        <v>1</v>
      </c>
      <c r="G242">
        <v>1</v>
      </c>
      <c r="H242">
        <v>5</v>
      </c>
      <c r="I242">
        <v>20</v>
      </c>
      <c r="N242">
        <v>1</v>
      </c>
      <c r="P242">
        <v>1</v>
      </c>
    </row>
    <row r="243" spans="1:18" x14ac:dyDescent="0.3">
      <c r="A243" t="s">
        <v>412</v>
      </c>
      <c r="B243" t="s">
        <v>298</v>
      </c>
      <c r="C243" t="s">
        <v>297</v>
      </c>
      <c r="D243">
        <v>16</v>
      </c>
      <c r="E243">
        <v>36</v>
      </c>
      <c r="F243">
        <v>28</v>
      </c>
      <c r="H243">
        <v>39</v>
      </c>
      <c r="I243">
        <v>87</v>
      </c>
      <c r="K243">
        <v>2</v>
      </c>
      <c r="L243">
        <v>9</v>
      </c>
      <c r="M243">
        <v>7</v>
      </c>
      <c r="N243">
        <v>5</v>
      </c>
      <c r="O243">
        <v>20</v>
      </c>
      <c r="Q243">
        <v>1</v>
      </c>
      <c r="R243">
        <v>1</v>
      </c>
    </row>
    <row r="244" spans="1:18" x14ac:dyDescent="0.3">
      <c r="A244" t="s">
        <v>412</v>
      </c>
      <c r="B244" t="s">
        <v>247</v>
      </c>
      <c r="C244" t="s">
        <v>246</v>
      </c>
      <c r="D244">
        <v>7</v>
      </c>
      <c r="E244">
        <v>35</v>
      </c>
      <c r="F244">
        <v>239</v>
      </c>
      <c r="G244">
        <v>1</v>
      </c>
      <c r="H244">
        <v>10</v>
      </c>
      <c r="I244">
        <v>11</v>
      </c>
      <c r="L244">
        <v>6</v>
      </c>
      <c r="M244">
        <v>4</v>
      </c>
      <c r="N244">
        <v>5</v>
      </c>
      <c r="O244">
        <v>1</v>
      </c>
      <c r="Q244">
        <v>1</v>
      </c>
      <c r="R244">
        <v>2</v>
      </c>
    </row>
    <row r="245" spans="1:18" x14ac:dyDescent="0.3">
      <c r="A245" t="s">
        <v>326</v>
      </c>
      <c r="B245" t="s">
        <v>304</v>
      </c>
      <c r="C245" t="s">
        <v>303</v>
      </c>
      <c r="D245">
        <v>23</v>
      </c>
      <c r="E245">
        <v>143</v>
      </c>
      <c r="F245">
        <v>59</v>
      </c>
      <c r="H245">
        <v>59</v>
      </c>
      <c r="I245">
        <v>21</v>
      </c>
      <c r="L245">
        <v>4</v>
      </c>
      <c r="M245">
        <v>7</v>
      </c>
      <c r="N245">
        <v>13</v>
      </c>
      <c r="O245">
        <v>18</v>
      </c>
      <c r="P245">
        <v>6</v>
      </c>
      <c r="Q245">
        <v>13</v>
      </c>
      <c r="R245">
        <v>12</v>
      </c>
    </row>
    <row r="246" spans="1:18" x14ac:dyDescent="0.3">
      <c r="A246" t="s">
        <v>328</v>
      </c>
      <c r="B246" t="s">
        <v>240</v>
      </c>
      <c r="C246" t="s">
        <v>239</v>
      </c>
      <c r="D246">
        <v>2</v>
      </c>
      <c r="E246">
        <v>18</v>
      </c>
      <c r="F246">
        <v>4</v>
      </c>
      <c r="G246">
        <v>1</v>
      </c>
      <c r="H246">
        <v>2</v>
      </c>
      <c r="I246">
        <v>3</v>
      </c>
      <c r="L246">
        <v>3</v>
      </c>
      <c r="M246">
        <v>3</v>
      </c>
      <c r="N246">
        <v>2</v>
      </c>
      <c r="O246">
        <v>3</v>
      </c>
      <c r="P246">
        <v>6</v>
      </c>
      <c r="Q246">
        <v>5</v>
      </c>
      <c r="R246">
        <v>1</v>
      </c>
    </row>
    <row r="247" spans="1:18" x14ac:dyDescent="0.3">
      <c r="A247" t="s">
        <v>328</v>
      </c>
      <c r="B247" t="s">
        <v>1284</v>
      </c>
      <c r="C247" t="s">
        <v>252</v>
      </c>
      <c r="E247">
        <v>33</v>
      </c>
      <c r="F247">
        <v>21</v>
      </c>
      <c r="H247">
        <v>5</v>
      </c>
      <c r="I247">
        <v>1</v>
      </c>
      <c r="L247">
        <v>3</v>
      </c>
      <c r="N247">
        <v>7</v>
      </c>
      <c r="O247">
        <v>3</v>
      </c>
      <c r="P247">
        <v>1</v>
      </c>
      <c r="R247">
        <v>1</v>
      </c>
    </row>
    <row r="248" spans="1:18" x14ac:dyDescent="0.3">
      <c r="A248" t="s">
        <v>328</v>
      </c>
      <c r="B248" t="s">
        <v>259</v>
      </c>
      <c r="C248" t="s">
        <v>258</v>
      </c>
      <c r="D248">
        <v>1</v>
      </c>
      <c r="E248">
        <v>13</v>
      </c>
      <c r="F248">
        <v>10</v>
      </c>
      <c r="H248">
        <v>9</v>
      </c>
      <c r="I248">
        <v>5</v>
      </c>
      <c r="M248">
        <v>3</v>
      </c>
      <c r="N248">
        <v>3</v>
      </c>
      <c r="O248">
        <v>1</v>
      </c>
      <c r="P248">
        <v>1</v>
      </c>
    </row>
    <row r="249" spans="1:18" x14ac:dyDescent="0.3">
      <c r="A249" t="s">
        <v>328</v>
      </c>
      <c r="B249" t="s">
        <v>279</v>
      </c>
      <c r="C249" t="s">
        <v>278</v>
      </c>
      <c r="D249">
        <v>2</v>
      </c>
      <c r="E249">
        <v>14</v>
      </c>
      <c r="F249">
        <v>21</v>
      </c>
      <c r="H249">
        <v>7</v>
      </c>
      <c r="I249">
        <v>36</v>
      </c>
      <c r="L249">
        <v>53</v>
      </c>
      <c r="M249">
        <v>11</v>
      </c>
      <c r="N249">
        <v>1</v>
      </c>
      <c r="O249">
        <v>6</v>
      </c>
      <c r="R249">
        <v>2</v>
      </c>
    </row>
    <row r="250" spans="1:18" x14ac:dyDescent="0.3">
      <c r="A250" t="s">
        <v>328</v>
      </c>
      <c r="B250" t="s">
        <v>302</v>
      </c>
      <c r="C250" t="s">
        <v>301</v>
      </c>
      <c r="D250">
        <v>10</v>
      </c>
      <c r="E250">
        <v>59</v>
      </c>
      <c r="F250">
        <v>36</v>
      </c>
      <c r="G250">
        <v>2</v>
      </c>
      <c r="H250">
        <v>56</v>
      </c>
      <c r="I250">
        <v>53</v>
      </c>
      <c r="K250">
        <v>2</v>
      </c>
      <c r="L250">
        <v>4</v>
      </c>
      <c r="M250">
        <v>5</v>
      </c>
      <c r="N250">
        <v>18</v>
      </c>
      <c r="O250">
        <v>6</v>
      </c>
      <c r="P250">
        <v>9</v>
      </c>
      <c r="Q250">
        <v>11</v>
      </c>
      <c r="R250">
        <v>9</v>
      </c>
    </row>
    <row r="251" spans="1:18" x14ac:dyDescent="0.3">
      <c r="A251" t="s">
        <v>328</v>
      </c>
      <c r="B251" t="s">
        <v>311</v>
      </c>
      <c r="C251" t="s">
        <v>310</v>
      </c>
      <c r="D251">
        <v>8</v>
      </c>
      <c r="E251">
        <v>50</v>
      </c>
      <c r="F251">
        <v>14</v>
      </c>
      <c r="H251">
        <v>11</v>
      </c>
      <c r="I251">
        <v>20</v>
      </c>
      <c r="L251">
        <v>8</v>
      </c>
      <c r="M251">
        <v>64</v>
      </c>
      <c r="N251">
        <v>15</v>
      </c>
      <c r="O251">
        <v>22</v>
      </c>
      <c r="P251">
        <v>19</v>
      </c>
      <c r="Q251">
        <v>3</v>
      </c>
      <c r="R251">
        <v>6</v>
      </c>
    </row>
    <row r="252" spans="1:18" x14ac:dyDescent="0.3">
      <c r="A252" t="s">
        <v>412</v>
      </c>
      <c r="B252" t="s">
        <v>294</v>
      </c>
      <c r="C252" t="s">
        <v>293</v>
      </c>
      <c r="D252">
        <v>28</v>
      </c>
      <c r="E252">
        <v>56</v>
      </c>
      <c r="F252">
        <v>28</v>
      </c>
      <c r="G252">
        <v>8</v>
      </c>
      <c r="H252">
        <v>53</v>
      </c>
      <c r="I252">
        <v>41</v>
      </c>
      <c r="J252">
        <v>1</v>
      </c>
      <c r="L252">
        <v>9</v>
      </c>
      <c r="M252">
        <v>2</v>
      </c>
      <c r="N252">
        <v>3</v>
      </c>
      <c r="O252">
        <v>10</v>
      </c>
      <c r="P252">
        <v>5</v>
      </c>
      <c r="Q252">
        <v>4</v>
      </c>
      <c r="R252">
        <v>7</v>
      </c>
    </row>
    <row r="253" spans="1:18" x14ac:dyDescent="0.3">
      <c r="A253" t="s">
        <v>412</v>
      </c>
      <c r="B253" t="s">
        <v>281</v>
      </c>
      <c r="C253" t="s">
        <v>280</v>
      </c>
      <c r="D253">
        <v>1</v>
      </c>
      <c r="E253">
        <v>20</v>
      </c>
      <c r="F253">
        <v>3</v>
      </c>
      <c r="H253">
        <v>3</v>
      </c>
      <c r="I253">
        <v>16</v>
      </c>
      <c r="L253">
        <v>1</v>
      </c>
      <c r="M253">
        <v>2</v>
      </c>
      <c r="N253">
        <v>6</v>
      </c>
      <c r="P253">
        <v>2</v>
      </c>
      <c r="Q253">
        <v>1</v>
      </c>
    </row>
    <row r="254" spans="1:18" x14ac:dyDescent="0.3">
      <c r="A254" t="s">
        <v>320</v>
      </c>
      <c r="B254" t="s">
        <v>302</v>
      </c>
      <c r="C254" t="s">
        <v>301</v>
      </c>
      <c r="D254">
        <v>5</v>
      </c>
      <c r="E254">
        <v>53</v>
      </c>
      <c r="F254">
        <v>4</v>
      </c>
      <c r="G254">
        <v>1</v>
      </c>
      <c r="H254">
        <v>25</v>
      </c>
      <c r="I254">
        <v>8</v>
      </c>
      <c r="J254">
        <v>1</v>
      </c>
      <c r="K254">
        <v>2</v>
      </c>
      <c r="L254">
        <v>3</v>
      </c>
      <c r="M254">
        <v>17</v>
      </c>
      <c r="N254">
        <v>11</v>
      </c>
      <c r="O254">
        <v>6</v>
      </c>
      <c r="P254">
        <v>6</v>
      </c>
      <c r="Q254">
        <v>9</v>
      </c>
      <c r="R254">
        <v>3</v>
      </c>
    </row>
    <row r="255" spans="1:18" x14ac:dyDescent="0.3">
      <c r="A255" t="s">
        <v>320</v>
      </c>
      <c r="B255" t="s">
        <v>304</v>
      </c>
      <c r="C255" t="s">
        <v>303</v>
      </c>
      <c r="D255">
        <v>11</v>
      </c>
      <c r="E255">
        <v>78</v>
      </c>
      <c r="F255">
        <v>10</v>
      </c>
      <c r="G255">
        <v>2</v>
      </c>
      <c r="H255">
        <v>13</v>
      </c>
      <c r="I255">
        <v>1</v>
      </c>
      <c r="L255">
        <v>4</v>
      </c>
      <c r="M255">
        <v>4</v>
      </c>
      <c r="N255">
        <v>15</v>
      </c>
      <c r="O255">
        <v>8</v>
      </c>
      <c r="P255">
        <v>13</v>
      </c>
      <c r="Q255">
        <v>5</v>
      </c>
      <c r="R255">
        <v>1</v>
      </c>
    </row>
    <row r="256" spans="1:18" x14ac:dyDescent="0.3">
      <c r="A256" t="s">
        <v>325</v>
      </c>
      <c r="B256" t="s">
        <v>234</v>
      </c>
      <c r="C256" t="s">
        <v>233</v>
      </c>
      <c r="D256">
        <v>24</v>
      </c>
      <c r="E256">
        <v>92</v>
      </c>
      <c r="F256">
        <v>303</v>
      </c>
      <c r="G256">
        <v>10</v>
      </c>
      <c r="H256">
        <v>33</v>
      </c>
      <c r="I256">
        <v>22</v>
      </c>
      <c r="J256">
        <v>1</v>
      </c>
      <c r="K256">
        <v>1</v>
      </c>
      <c r="L256">
        <v>23</v>
      </c>
      <c r="M256">
        <v>15</v>
      </c>
      <c r="N256">
        <v>13</v>
      </c>
      <c r="O256">
        <v>11</v>
      </c>
      <c r="P256">
        <v>9</v>
      </c>
      <c r="Q256">
        <v>4</v>
      </c>
      <c r="R256">
        <v>3</v>
      </c>
    </row>
    <row r="257" spans="1:18" x14ac:dyDescent="0.3">
      <c r="A257" t="s">
        <v>325</v>
      </c>
      <c r="B257" t="s">
        <v>247</v>
      </c>
      <c r="C257" t="s">
        <v>246</v>
      </c>
      <c r="D257">
        <v>17</v>
      </c>
      <c r="E257">
        <v>36</v>
      </c>
      <c r="F257">
        <v>150</v>
      </c>
      <c r="G257">
        <v>1</v>
      </c>
      <c r="H257">
        <v>18</v>
      </c>
      <c r="I257">
        <v>1</v>
      </c>
      <c r="L257">
        <v>5</v>
      </c>
      <c r="M257">
        <v>11</v>
      </c>
      <c r="N257">
        <v>7</v>
      </c>
      <c r="P257">
        <v>2</v>
      </c>
      <c r="Q257">
        <v>2</v>
      </c>
      <c r="R257">
        <v>1</v>
      </c>
    </row>
    <row r="258" spans="1:18" x14ac:dyDescent="0.3">
      <c r="A258" t="s">
        <v>325</v>
      </c>
      <c r="B258" t="s">
        <v>270</v>
      </c>
      <c r="C258" t="s">
        <v>269</v>
      </c>
      <c r="D258">
        <v>33</v>
      </c>
      <c r="E258">
        <v>127</v>
      </c>
      <c r="F258">
        <v>704</v>
      </c>
      <c r="G258">
        <v>8</v>
      </c>
      <c r="H258">
        <v>75</v>
      </c>
      <c r="I258">
        <v>9</v>
      </c>
      <c r="J258">
        <v>11</v>
      </c>
      <c r="K258">
        <v>1</v>
      </c>
      <c r="L258">
        <v>25</v>
      </c>
      <c r="M258">
        <v>20</v>
      </c>
      <c r="N258">
        <v>38</v>
      </c>
      <c r="O258">
        <v>27</v>
      </c>
      <c r="P258">
        <v>12</v>
      </c>
      <c r="Q258">
        <v>8</v>
      </c>
      <c r="R258">
        <v>13</v>
      </c>
    </row>
    <row r="259" spans="1:18" x14ac:dyDescent="0.3">
      <c r="A259" t="s">
        <v>325</v>
      </c>
      <c r="B259" t="s">
        <v>1201</v>
      </c>
      <c r="C259" t="s">
        <v>282</v>
      </c>
      <c r="D259">
        <v>2</v>
      </c>
      <c r="E259">
        <v>15</v>
      </c>
      <c r="F259">
        <v>13</v>
      </c>
      <c r="H259">
        <v>4</v>
      </c>
    </row>
    <row r="260" spans="1:18" x14ac:dyDescent="0.3">
      <c r="A260" t="s">
        <v>325</v>
      </c>
      <c r="B260" t="s">
        <v>311</v>
      </c>
      <c r="C260" t="s">
        <v>310</v>
      </c>
      <c r="D260">
        <v>8</v>
      </c>
      <c r="E260">
        <v>41</v>
      </c>
      <c r="F260">
        <v>21</v>
      </c>
      <c r="H260">
        <v>10</v>
      </c>
      <c r="I260">
        <v>2</v>
      </c>
      <c r="L260">
        <v>6</v>
      </c>
      <c r="M260">
        <v>10</v>
      </c>
      <c r="N260">
        <v>3</v>
      </c>
      <c r="P260">
        <v>4</v>
      </c>
      <c r="Q260">
        <v>2</v>
      </c>
      <c r="R260">
        <v>4</v>
      </c>
    </row>
    <row r="261" spans="1:18" x14ac:dyDescent="0.3">
      <c r="A261" t="s">
        <v>326</v>
      </c>
      <c r="B261" t="s">
        <v>215</v>
      </c>
      <c r="C261" t="s">
        <v>214</v>
      </c>
      <c r="D261">
        <v>14</v>
      </c>
      <c r="E261">
        <v>73</v>
      </c>
      <c r="F261">
        <v>132</v>
      </c>
      <c r="G261">
        <v>1</v>
      </c>
      <c r="H261">
        <v>68</v>
      </c>
      <c r="I261">
        <v>22</v>
      </c>
      <c r="J261">
        <v>1</v>
      </c>
      <c r="L261">
        <v>5</v>
      </c>
      <c r="M261">
        <v>3</v>
      </c>
      <c r="N261">
        <v>2</v>
      </c>
      <c r="O261">
        <v>6</v>
      </c>
      <c r="P261">
        <v>1</v>
      </c>
      <c r="Q261">
        <v>10</v>
      </c>
      <c r="R261">
        <v>10</v>
      </c>
    </row>
    <row r="262" spans="1:18" x14ac:dyDescent="0.3">
      <c r="A262" t="s">
        <v>326</v>
      </c>
      <c r="B262" t="s">
        <v>263</v>
      </c>
      <c r="C262" t="s">
        <v>262</v>
      </c>
      <c r="D262">
        <v>11</v>
      </c>
      <c r="E262">
        <v>37</v>
      </c>
      <c r="F262">
        <v>20</v>
      </c>
      <c r="G262">
        <v>1</v>
      </c>
      <c r="H262">
        <v>19</v>
      </c>
      <c r="J262">
        <v>1</v>
      </c>
      <c r="K262">
        <v>1</v>
      </c>
      <c r="L262">
        <v>2</v>
      </c>
      <c r="M262">
        <v>8</v>
      </c>
      <c r="N262">
        <v>5</v>
      </c>
      <c r="O262">
        <v>6</v>
      </c>
      <c r="P262">
        <v>8</v>
      </c>
      <c r="R262">
        <v>3</v>
      </c>
    </row>
    <row r="263" spans="1:18" x14ac:dyDescent="0.3">
      <c r="A263" t="s">
        <v>326</v>
      </c>
      <c r="B263" t="s">
        <v>1207</v>
      </c>
      <c r="C263" t="s">
        <v>278</v>
      </c>
      <c r="D263">
        <v>2</v>
      </c>
      <c r="E263">
        <v>12</v>
      </c>
      <c r="F263">
        <v>18</v>
      </c>
      <c r="H263">
        <v>8</v>
      </c>
      <c r="I263">
        <v>60</v>
      </c>
      <c r="L263">
        <v>5</v>
      </c>
      <c r="M263">
        <v>7</v>
      </c>
      <c r="N263">
        <v>4</v>
      </c>
      <c r="O263">
        <v>4</v>
      </c>
      <c r="P263">
        <v>5</v>
      </c>
      <c r="Q263">
        <v>1</v>
      </c>
      <c r="R263">
        <v>6</v>
      </c>
    </row>
    <row r="264" spans="1:18" x14ac:dyDescent="0.3">
      <c r="A264" t="s">
        <v>326</v>
      </c>
      <c r="B264" t="s">
        <v>287</v>
      </c>
      <c r="C264" t="s">
        <v>286</v>
      </c>
      <c r="D264">
        <v>3</v>
      </c>
      <c r="E264">
        <v>79</v>
      </c>
      <c r="F264">
        <v>11</v>
      </c>
      <c r="H264">
        <v>30</v>
      </c>
      <c r="I264">
        <v>25</v>
      </c>
      <c r="J264">
        <v>1</v>
      </c>
      <c r="K264">
        <v>1</v>
      </c>
      <c r="L264">
        <v>10</v>
      </c>
      <c r="M264">
        <v>4</v>
      </c>
      <c r="N264">
        <v>16</v>
      </c>
      <c r="O264">
        <v>11</v>
      </c>
      <c r="P264">
        <v>37</v>
      </c>
      <c r="Q264">
        <v>10</v>
      </c>
      <c r="R264">
        <v>21</v>
      </c>
    </row>
    <row r="265" spans="1:18" x14ac:dyDescent="0.3">
      <c r="A265" t="s">
        <v>326</v>
      </c>
      <c r="B265" t="s">
        <v>289</v>
      </c>
      <c r="C265" t="s">
        <v>288</v>
      </c>
      <c r="D265">
        <v>12</v>
      </c>
      <c r="E265">
        <v>58</v>
      </c>
      <c r="F265">
        <v>16</v>
      </c>
      <c r="H265">
        <v>48</v>
      </c>
      <c r="I265">
        <v>5</v>
      </c>
      <c r="J265">
        <v>3</v>
      </c>
      <c r="K265">
        <v>1</v>
      </c>
      <c r="L265">
        <v>21</v>
      </c>
      <c r="M265">
        <v>2</v>
      </c>
      <c r="N265">
        <v>49</v>
      </c>
      <c r="O265">
        <v>11</v>
      </c>
      <c r="P265">
        <v>26</v>
      </c>
      <c r="Q265">
        <v>141</v>
      </c>
      <c r="R265">
        <v>38</v>
      </c>
    </row>
    <row r="266" spans="1:18" x14ac:dyDescent="0.3">
      <c r="A266" t="s">
        <v>326</v>
      </c>
      <c r="B266" t="s">
        <v>292</v>
      </c>
      <c r="C266" t="s">
        <v>291</v>
      </c>
      <c r="D266">
        <v>1</v>
      </c>
      <c r="E266">
        <v>8</v>
      </c>
      <c r="F266">
        <v>1</v>
      </c>
      <c r="G266">
        <v>1</v>
      </c>
      <c r="H266">
        <v>8</v>
      </c>
      <c r="I266">
        <v>4</v>
      </c>
      <c r="N266">
        <v>1</v>
      </c>
    </row>
    <row r="267" spans="1:18" x14ac:dyDescent="0.3">
      <c r="A267" t="s">
        <v>326</v>
      </c>
      <c r="B267" t="s">
        <v>311</v>
      </c>
      <c r="C267" t="s">
        <v>310</v>
      </c>
      <c r="D267">
        <v>7</v>
      </c>
      <c r="E267">
        <v>49</v>
      </c>
      <c r="F267">
        <v>38</v>
      </c>
      <c r="H267">
        <v>14</v>
      </c>
      <c r="I267">
        <v>10</v>
      </c>
      <c r="J267">
        <v>1</v>
      </c>
      <c r="K267">
        <v>1</v>
      </c>
      <c r="L267">
        <v>9</v>
      </c>
      <c r="M267">
        <v>10</v>
      </c>
      <c r="N267">
        <v>18</v>
      </c>
      <c r="O267">
        <v>15</v>
      </c>
      <c r="P267">
        <v>16</v>
      </c>
      <c r="Q267">
        <v>3</v>
      </c>
      <c r="R267">
        <v>4</v>
      </c>
    </row>
    <row r="268" spans="1:18" x14ac:dyDescent="0.3">
      <c r="A268" t="s">
        <v>328</v>
      </c>
      <c r="B268" t="s">
        <v>215</v>
      </c>
      <c r="C268" t="s">
        <v>214</v>
      </c>
      <c r="D268">
        <v>10</v>
      </c>
      <c r="E268">
        <v>76</v>
      </c>
      <c r="F268">
        <v>230</v>
      </c>
      <c r="H268">
        <v>37</v>
      </c>
      <c r="I268">
        <v>28</v>
      </c>
      <c r="L268">
        <v>3</v>
      </c>
      <c r="M268">
        <v>2</v>
      </c>
      <c r="N268">
        <v>7</v>
      </c>
      <c r="O268">
        <v>5</v>
      </c>
      <c r="P268">
        <v>3</v>
      </c>
      <c r="Q268">
        <v>3</v>
      </c>
      <c r="R268">
        <v>3</v>
      </c>
    </row>
    <row r="269" spans="1:18" x14ac:dyDescent="0.3">
      <c r="A269" t="s">
        <v>328</v>
      </c>
      <c r="B269" t="s">
        <v>287</v>
      </c>
      <c r="C269" t="s">
        <v>286</v>
      </c>
      <c r="D269">
        <v>4</v>
      </c>
      <c r="E269">
        <v>76</v>
      </c>
      <c r="G269">
        <v>2</v>
      </c>
      <c r="H269">
        <v>23</v>
      </c>
      <c r="I269">
        <v>18</v>
      </c>
      <c r="J269">
        <v>8</v>
      </c>
      <c r="L269">
        <v>11</v>
      </c>
      <c r="M269">
        <v>2</v>
      </c>
      <c r="N269">
        <v>15</v>
      </c>
      <c r="O269">
        <v>5</v>
      </c>
      <c r="P269">
        <v>4</v>
      </c>
      <c r="R269">
        <v>1</v>
      </c>
    </row>
    <row r="270" spans="1:18" x14ac:dyDescent="0.3">
      <c r="A270" t="s">
        <v>328</v>
      </c>
      <c r="B270" t="s">
        <v>292</v>
      </c>
      <c r="C270" t="s">
        <v>291</v>
      </c>
      <c r="D270">
        <v>1</v>
      </c>
      <c r="E270">
        <v>8</v>
      </c>
      <c r="G270">
        <v>1</v>
      </c>
      <c r="H270">
        <v>16</v>
      </c>
      <c r="I270">
        <v>13</v>
      </c>
      <c r="M270">
        <v>2</v>
      </c>
      <c r="O270">
        <v>2</v>
      </c>
    </row>
    <row r="271" spans="1:18" x14ac:dyDescent="0.3">
      <c r="A271" t="s">
        <v>412</v>
      </c>
      <c r="B271" t="s">
        <v>273</v>
      </c>
      <c r="C271" t="s">
        <v>272</v>
      </c>
      <c r="D271">
        <v>19</v>
      </c>
      <c r="E271">
        <v>87</v>
      </c>
      <c r="F271">
        <v>63</v>
      </c>
      <c r="G271">
        <v>24</v>
      </c>
      <c r="H271">
        <v>127</v>
      </c>
      <c r="I271">
        <v>82</v>
      </c>
      <c r="L271">
        <v>5</v>
      </c>
      <c r="M271">
        <v>1</v>
      </c>
      <c r="O271">
        <v>3</v>
      </c>
      <c r="P271">
        <v>1</v>
      </c>
      <c r="Q271">
        <v>2</v>
      </c>
      <c r="R271">
        <v>5</v>
      </c>
    </row>
    <row r="272" spans="1:18" x14ac:dyDescent="0.3">
      <c r="A272" t="s">
        <v>412</v>
      </c>
      <c r="B272" t="s">
        <v>292</v>
      </c>
      <c r="C272" t="s">
        <v>291</v>
      </c>
      <c r="D272">
        <v>1</v>
      </c>
      <c r="E272">
        <v>7</v>
      </c>
      <c r="F272">
        <v>3</v>
      </c>
      <c r="G272">
        <v>1</v>
      </c>
      <c r="H272">
        <v>11</v>
      </c>
      <c r="I272">
        <v>4</v>
      </c>
      <c r="M272">
        <v>4</v>
      </c>
      <c r="O272">
        <v>1</v>
      </c>
      <c r="P272">
        <v>2</v>
      </c>
      <c r="Q272">
        <v>1</v>
      </c>
    </row>
    <row r="273" spans="1:18" x14ac:dyDescent="0.3">
      <c r="A273" t="s">
        <v>412</v>
      </c>
      <c r="B273" t="s">
        <v>289</v>
      </c>
      <c r="C273" t="s">
        <v>288</v>
      </c>
      <c r="D273">
        <v>7</v>
      </c>
      <c r="E273">
        <v>49</v>
      </c>
      <c r="F273">
        <v>15</v>
      </c>
      <c r="G273">
        <v>1</v>
      </c>
      <c r="H273">
        <v>33</v>
      </c>
      <c r="I273">
        <v>12</v>
      </c>
      <c r="L273">
        <v>6</v>
      </c>
      <c r="M273">
        <v>7</v>
      </c>
      <c r="N273">
        <v>43</v>
      </c>
      <c r="O273">
        <v>9</v>
      </c>
      <c r="P273">
        <v>21</v>
      </c>
      <c r="Q273">
        <v>92</v>
      </c>
      <c r="R273">
        <v>32</v>
      </c>
    </row>
    <row r="274" spans="1:18" x14ac:dyDescent="0.3">
      <c r="A274" t="s">
        <v>320</v>
      </c>
      <c r="B274" t="s">
        <v>273</v>
      </c>
      <c r="C274" t="s">
        <v>272</v>
      </c>
      <c r="D274">
        <v>19</v>
      </c>
      <c r="E274">
        <v>83</v>
      </c>
      <c r="F274">
        <v>27</v>
      </c>
      <c r="G274">
        <v>4</v>
      </c>
      <c r="H274">
        <v>55</v>
      </c>
      <c r="I274">
        <v>5</v>
      </c>
      <c r="K274">
        <v>1</v>
      </c>
      <c r="L274">
        <v>3</v>
      </c>
      <c r="M274">
        <v>3</v>
      </c>
      <c r="N274">
        <v>2</v>
      </c>
      <c r="O274">
        <v>3</v>
      </c>
      <c r="P274">
        <v>2</v>
      </c>
    </row>
    <row r="275" spans="1:18" x14ac:dyDescent="0.3">
      <c r="A275" t="s">
        <v>320</v>
      </c>
      <c r="B275" t="s">
        <v>1209</v>
      </c>
      <c r="C275" t="s">
        <v>286</v>
      </c>
      <c r="D275">
        <v>3</v>
      </c>
      <c r="E275">
        <v>64</v>
      </c>
      <c r="F275">
        <v>6</v>
      </c>
      <c r="H275">
        <v>19</v>
      </c>
      <c r="I275">
        <v>14</v>
      </c>
      <c r="J275">
        <v>1</v>
      </c>
      <c r="L275">
        <v>1</v>
      </c>
      <c r="M275">
        <v>2</v>
      </c>
      <c r="N275">
        <v>14</v>
      </c>
      <c r="O275">
        <v>7</v>
      </c>
      <c r="P275">
        <v>10</v>
      </c>
      <c r="Q275">
        <v>7</v>
      </c>
      <c r="R275">
        <v>5</v>
      </c>
    </row>
    <row r="276" spans="1:18" x14ac:dyDescent="0.3">
      <c r="A276" t="s">
        <v>320</v>
      </c>
      <c r="B276" t="s">
        <v>289</v>
      </c>
      <c r="C276" t="s">
        <v>288</v>
      </c>
      <c r="D276">
        <v>5</v>
      </c>
      <c r="E276">
        <v>57</v>
      </c>
      <c r="F276">
        <v>18</v>
      </c>
      <c r="G276">
        <v>1</v>
      </c>
      <c r="H276">
        <v>27</v>
      </c>
      <c r="K276">
        <v>1</v>
      </c>
      <c r="L276">
        <v>4</v>
      </c>
      <c r="M276">
        <v>4</v>
      </c>
      <c r="N276">
        <v>16</v>
      </c>
      <c r="O276">
        <v>22</v>
      </c>
      <c r="P276">
        <v>12</v>
      </c>
      <c r="Q276">
        <v>9</v>
      </c>
      <c r="R276">
        <v>9</v>
      </c>
    </row>
    <row r="277" spans="1:18" x14ac:dyDescent="0.3">
      <c r="A277" t="s">
        <v>320</v>
      </c>
      <c r="B277" t="s">
        <v>294</v>
      </c>
      <c r="C277" t="s">
        <v>293</v>
      </c>
      <c r="D277">
        <v>32</v>
      </c>
      <c r="E277">
        <v>60</v>
      </c>
      <c r="F277">
        <v>8</v>
      </c>
      <c r="G277">
        <v>2</v>
      </c>
      <c r="H277">
        <v>16</v>
      </c>
      <c r="I277">
        <v>8</v>
      </c>
      <c r="L277">
        <v>1</v>
      </c>
      <c r="M277">
        <v>3</v>
      </c>
      <c r="N277">
        <v>5</v>
      </c>
      <c r="O277">
        <v>4</v>
      </c>
      <c r="P277">
        <v>1</v>
      </c>
      <c r="Q277">
        <v>4</v>
      </c>
      <c r="R277">
        <v>2</v>
      </c>
    </row>
    <row r="278" spans="1:18" x14ac:dyDescent="0.3">
      <c r="A278" t="s">
        <v>325</v>
      </c>
      <c r="B278" t="s">
        <v>215</v>
      </c>
      <c r="C278" t="s">
        <v>214</v>
      </c>
      <c r="D278">
        <v>22</v>
      </c>
      <c r="E278">
        <v>102</v>
      </c>
      <c r="F278">
        <v>142</v>
      </c>
      <c r="G278">
        <v>1</v>
      </c>
      <c r="H278">
        <v>48</v>
      </c>
      <c r="I278">
        <v>12</v>
      </c>
      <c r="K278">
        <v>1</v>
      </c>
      <c r="L278">
        <v>4</v>
      </c>
      <c r="M278">
        <v>3</v>
      </c>
      <c r="N278">
        <v>7</v>
      </c>
      <c r="O278">
        <v>5</v>
      </c>
      <c r="P278">
        <v>5</v>
      </c>
      <c r="Q278">
        <v>3</v>
      </c>
      <c r="R278">
        <v>2</v>
      </c>
    </row>
    <row r="279" spans="1:18" x14ac:dyDescent="0.3">
      <c r="A279" t="s">
        <v>325</v>
      </c>
      <c r="B279" t="s">
        <v>244</v>
      </c>
      <c r="C279" t="s">
        <v>243</v>
      </c>
      <c r="D279">
        <v>16</v>
      </c>
      <c r="E279">
        <v>72</v>
      </c>
      <c r="F279">
        <v>40</v>
      </c>
      <c r="G279">
        <v>8</v>
      </c>
      <c r="H279">
        <v>99</v>
      </c>
      <c r="I279">
        <v>92</v>
      </c>
      <c r="K279">
        <v>1</v>
      </c>
      <c r="L279">
        <v>2</v>
      </c>
      <c r="M279">
        <v>2</v>
      </c>
      <c r="N279">
        <v>2</v>
      </c>
      <c r="O279">
        <v>12</v>
      </c>
      <c r="P279">
        <v>11</v>
      </c>
      <c r="Q279">
        <v>7</v>
      </c>
      <c r="R279">
        <v>1</v>
      </c>
    </row>
    <row r="280" spans="1:18" x14ac:dyDescent="0.3">
      <c r="A280" t="s">
        <v>325</v>
      </c>
      <c r="B280" t="s">
        <v>255</v>
      </c>
      <c r="C280" t="s">
        <v>254</v>
      </c>
      <c r="D280">
        <v>1</v>
      </c>
      <c r="E280">
        <v>27</v>
      </c>
      <c r="F280">
        <v>19</v>
      </c>
      <c r="H280">
        <v>9</v>
      </c>
      <c r="I280">
        <v>9</v>
      </c>
      <c r="K280">
        <v>1</v>
      </c>
      <c r="L280">
        <v>11</v>
      </c>
      <c r="M280">
        <v>18</v>
      </c>
      <c r="N280">
        <v>4</v>
      </c>
      <c r="O280">
        <v>12</v>
      </c>
      <c r="P280">
        <v>4</v>
      </c>
      <c r="Q280">
        <v>4</v>
      </c>
    </row>
    <row r="281" spans="1:18" x14ac:dyDescent="0.3">
      <c r="A281" t="s">
        <v>325</v>
      </c>
      <c r="B281" t="s">
        <v>259</v>
      </c>
      <c r="C281" t="s">
        <v>258</v>
      </c>
      <c r="E281">
        <v>13</v>
      </c>
      <c r="F281">
        <v>11</v>
      </c>
      <c r="H281">
        <v>10</v>
      </c>
      <c r="I281">
        <v>2</v>
      </c>
      <c r="K281">
        <v>1</v>
      </c>
      <c r="L281">
        <v>1</v>
      </c>
      <c r="M281">
        <v>5</v>
      </c>
      <c r="N281">
        <v>4</v>
      </c>
      <c r="O281">
        <v>1</v>
      </c>
      <c r="P281">
        <v>1</v>
      </c>
    </row>
    <row r="282" spans="1:18" x14ac:dyDescent="0.3">
      <c r="A282" t="s">
        <v>325</v>
      </c>
      <c r="B282" t="s">
        <v>273</v>
      </c>
      <c r="C282" t="s">
        <v>272</v>
      </c>
      <c r="D282">
        <v>18</v>
      </c>
      <c r="E282">
        <v>90</v>
      </c>
      <c r="F282">
        <v>21</v>
      </c>
      <c r="G282">
        <v>3</v>
      </c>
      <c r="H282">
        <v>87</v>
      </c>
      <c r="I282">
        <v>1</v>
      </c>
      <c r="J282">
        <v>1</v>
      </c>
      <c r="L282">
        <v>5</v>
      </c>
      <c r="N282">
        <v>3</v>
      </c>
      <c r="O282">
        <v>3</v>
      </c>
      <c r="P282">
        <v>7</v>
      </c>
      <c r="Q282">
        <v>2</v>
      </c>
      <c r="R282">
        <v>1</v>
      </c>
    </row>
    <row r="283" spans="1:18" x14ac:dyDescent="0.3">
      <c r="A283" t="s">
        <v>325</v>
      </c>
      <c r="B283" t="s">
        <v>279</v>
      </c>
      <c r="C283" t="s">
        <v>278</v>
      </c>
      <c r="D283">
        <v>2</v>
      </c>
      <c r="E283">
        <v>20</v>
      </c>
      <c r="F283">
        <v>8</v>
      </c>
      <c r="H283">
        <v>6</v>
      </c>
      <c r="I283">
        <v>1</v>
      </c>
      <c r="L283">
        <v>9</v>
      </c>
      <c r="M283">
        <v>14</v>
      </c>
      <c r="N283">
        <v>4</v>
      </c>
      <c r="O283">
        <v>1</v>
      </c>
      <c r="P283">
        <v>3</v>
      </c>
      <c r="R283">
        <v>19</v>
      </c>
    </row>
    <row r="284" spans="1:18" x14ac:dyDescent="0.3">
      <c r="A284" t="s">
        <v>325</v>
      </c>
      <c r="B284" t="s">
        <v>300</v>
      </c>
      <c r="C284" t="s">
        <v>299</v>
      </c>
      <c r="E284">
        <v>15</v>
      </c>
      <c r="F284">
        <v>8</v>
      </c>
      <c r="G284">
        <v>7</v>
      </c>
      <c r="H284">
        <v>22</v>
      </c>
      <c r="I284">
        <v>12</v>
      </c>
      <c r="O284">
        <v>1</v>
      </c>
      <c r="P284">
        <v>1</v>
      </c>
    </row>
    <row r="285" spans="1:18" x14ac:dyDescent="0.3">
      <c r="A285" t="s">
        <v>326</v>
      </c>
      <c r="B285" t="s">
        <v>259</v>
      </c>
      <c r="C285" t="s">
        <v>258</v>
      </c>
      <c r="E285">
        <v>11</v>
      </c>
      <c r="F285">
        <v>13</v>
      </c>
      <c r="H285">
        <v>8</v>
      </c>
      <c r="I285">
        <v>5</v>
      </c>
      <c r="M285">
        <v>9</v>
      </c>
      <c r="N285">
        <v>4</v>
      </c>
      <c r="O285">
        <v>4</v>
      </c>
    </row>
    <row r="286" spans="1:18" x14ac:dyDescent="0.3">
      <c r="A286" t="s">
        <v>326</v>
      </c>
      <c r="B286" t="s">
        <v>294</v>
      </c>
      <c r="C286" t="s">
        <v>293</v>
      </c>
      <c r="D286">
        <v>25</v>
      </c>
      <c r="E286">
        <v>62</v>
      </c>
      <c r="F286">
        <v>15</v>
      </c>
      <c r="H286">
        <v>63</v>
      </c>
      <c r="I286">
        <v>31</v>
      </c>
      <c r="K286">
        <v>1</v>
      </c>
      <c r="L286">
        <v>5</v>
      </c>
      <c r="M286">
        <v>3</v>
      </c>
      <c r="N286">
        <v>3</v>
      </c>
      <c r="O286">
        <v>3</v>
      </c>
      <c r="Q286">
        <v>4</v>
      </c>
      <c r="R286">
        <v>5</v>
      </c>
    </row>
    <row r="287" spans="1:18" x14ac:dyDescent="0.3">
      <c r="A287" t="s">
        <v>326</v>
      </c>
      <c r="B287" t="s">
        <v>302</v>
      </c>
      <c r="C287" t="s">
        <v>301</v>
      </c>
      <c r="D287">
        <v>9</v>
      </c>
      <c r="E287">
        <v>52</v>
      </c>
      <c r="F287">
        <v>31</v>
      </c>
      <c r="G287">
        <v>2</v>
      </c>
      <c r="H287">
        <v>49</v>
      </c>
      <c r="I287">
        <v>20</v>
      </c>
      <c r="K287">
        <v>1</v>
      </c>
      <c r="L287">
        <v>8</v>
      </c>
      <c r="M287">
        <v>8</v>
      </c>
      <c r="N287">
        <v>41</v>
      </c>
      <c r="O287">
        <v>6</v>
      </c>
      <c r="P287">
        <v>13</v>
      </c>
      <c r="Q287">
        <v>12</v>
      </c>
      <c r="R287">
        <v>5</v>
      </c>
    </row>
    <row r="288" spans="1:18" x14ac:dyDescent="0.3">
      <c r="A288" t="s">
        <v>328</v>
      </c>
      <c r="B288" t="s">
        <v>1210</v>
      </c>
      <c r="C288" t="s">
        <v>254</v>
      </c>
      <c r="D288">
        <v>1</v>
      </c>
      <c r="E288">
        <v>23</v>
      </c>
      <c r="F288">
        <v>11</v>
      </c>
      <c r="H288">
        <v>4</v>
      </c>
      <c r="I288">
        <v>1</v>
      </c>
      <c r="L288">
        <v>68</v>
      </c>
      <c r="M288">
        <v>2</v>
      </c>
      <c r="N288">
        <v>2</v>
      </c>
      <c r="O288">
        <v>7</v>
      </c>
      <c r="P288">
        <v>3</v>
      </c>
      <c r="R288">
        <v>1</v>
      </c>
    </row>
    <row r="289" spans="1:18" x14ac:dyDescent="0.3">
      <c r="A289" t="s">
        <v>328</v>
      </c>
      <c r="B289" t="s">
        <v>296</v>
      </c>
      <c r="C289" t="s">
        <v>295</v>
      </c>
      <c r="D289">
        <v>4</v>
      </c>
      <c r="E289">
        <v>64</v>
      </c>
      <c r="F289">
        <v>86</v>
      </c>
      <c r="H289">
        <v>24</v>
      </c>
      <c r="I289">
        <v>43</v>
      </c>
      <c r="J289">
        <v>3</v>
      </c>
      <c r="K289">
        <v>6</v>
      </c>
      <c r="L289">
        <v>2</v>
      </c>
      <c r="M289">
        <v>6</v>
      </c>
      <c r="N289">
        <v>17</v>
      </c>
      <c r="O289">
        <v>8</v>
      </c>
      <c r="P289">
        <v>7</v>
      </c>
      <c r="Q289">
        <v>8</v>
      </c>
      <c r="R289">
        <v>2</v>
      </c>
    </row>
    <row r="290" spans="1:18" x14ac:dyDescent="0.3">
      <c r="A290" t="s">
        <v>328</v>
      </c>
      <c r="B290" t="s">
        <v>298</v>
      </c>
      <c r="C290" t="s">
        <v>297</v>
      </c>
      <c r="D290">
        <v>18</v>
      </c>
      <c r="E290">
        <v>32</v>
      </c>
      <c r="F290">
        <v>18</v>
      </c>
      <c r="H290">
        <v>26</v>
      </c>
      <c r="I290">
        <v>85</v>
      </c>
      <c r="L290">
        <v>4</v>
      </c>
      <c r="M290">
        <v>3</v>
      </c>
      <c r="N290">
        <v>6</v>
      </c>
      <c r="O290">
        <v>8</v>
      </c>
      <c r="P290">
        <v>5</v>
      </c>
    </row>
    <row r="291" spans="1:18" x14ac:dyDescent="0.3">
      <c r="A291" t="s">
        <v>412</v>
      </c>
      <c r="B291" t="s">
        <v>263</v>
      </c>
      <c r="C291" t="s">
        <v>262</v>
      </c>
      <c r="D291">
        <v>12</v>
      </c>
      <c r="E291">
        <v>39</v>
      </c>
      <c r="F291">
        <v>11</v>
      </c>
      <c r="G291">
        <v>1</v>
      </c>
      <c r="H291">
        <v>18</v>
      </c>
      <c r="I291">
        <v>3</v>
      </c>
      <c r="J291">
        <v>1</v>
      </c>
      <c r="K291">
        <v>9</v>
      </c>
      <c r="L291">
        <v>5</v>
      </c>
      <c r="M291">
        <v>34</v>
      </c>
      <c r="N291">
        <v>9</v>
      </c>
      <c r="O291">
        <v>10</v>
      </c>
      <c r="P291">
        <v>13</v>
      </c>
      <c r="Q291">
        <v>5</v>
      </c>
      <c r="R291">
        <v>3</v>
      </c>
    </row>
    <row r="292" spans="1:18" x14ac:dyDescent="0.3">
      <c r="A292" t="s">
        <v>412</v>
      </c>
      <c r="B292" t="s">
        <v>1204</v>
      </c>
      <c r="C292" t="s">
        <v>227</v>
      </c>
      <c r="D292">
        <v>3</v>
      </c>
      <c r="E292">
        <v>24</v>
      </c>
      <c r="F292">
        <v>24</v>
      </c>
      <c r="G292">
        <v>7</v>
      </c>
      <c r="H292">
        <v>81</v>
      </c>
      <c r="I292">
        <v>253</v>
      </c>
      <c r="J292">
        <v>1</v>
      </c>
      <c r="K292">
        <v>1</v>
      </c>
      <c r="L292">
        <v>2</v>
      </c>
      <c r="M292">
        <v>2</v>
      </c>
      <c r="N292">
        <v>3</v>
      </c>
      <c r="O292">
        <v>5</v>
      </c>
      <c r="P292">
        <v>1</v>
      </c>
      <c r="Q292">
        <v>2</v>
      </c>
      <c r="R292">
        <v>2</v>
      </c>
    </row>
    <row r="293" spans="1:18" x14ac:dyDescent="0.3">
      <c r="A293" t="s">
        <v>412</v>
      </c>
      <c r="B293" t="s">
        <v>255</v>
      </c>
      <c r="C293" t="s">
        <v>254</v>
      </c>
      <c r="E293">
        <v>21</v>
      </c>
      <c r="F293">
        <v>31</v>
      </c>
      <c r="H293">
        <v>6</v>
      </c>
      <c r="I293">
        <v>7</v>
      </c>
      <c r="K293">
        <v>3</v>
      </c>
      <c r="L293">
        <v>49</v>
      </c>
      <c r="M293">
        <v>5</v>
      </c>
      <c r="O293">
        <v>3</v>
      </c>
      <c r="P293">
        <v>4</v>
      </c>
      <c r="Q293">
        <v>1</v>
      </c>
      <c r="R293">
        <v>3</v>
      </c>
    </row>
    <row r="294" spans="1:18" x14ac:dyDescent="0.3">
      <c r="A294" t="s">
        <v>325</v>
      </c>
      <c r="B294" t="s">
        <v>289</v>
      </c>
      <c r="C294" t="s">
        <v>288</v>
      </c>
      <c r="D294">
        <v>10</v>
      </c>
      <c r="E294">
        <v>48</v>
      </c>
      <c r="F294">
        <v>22</v>
      </c>
      <c r="G294">
        <v>1</v>
      </c>
      <c r="H294">
        <v>31</v>
      </c>
      <c r="I294">
        <v>4</v>
      </c>
      <c r="L294">
        <v>7</v>
      </c>
      <c r="M294">
        <v>9</v>
      </c>
      <c r="N294">
        <v>37</v>
      </c>
      <c r="O294">
        <v>6</v>
      </c>
      <c r="P294">
        <v>11</v>
      </c>
      <c r="Q294">
        <v>10</v>
      </c>
      <c r="R294">
        <v>1</v>
      </c>
    </row>
    <row r="295" spans="1:18" x14ac:dyDescent="0.3">
      <c r="A295" t="s">
        <v>325</v>
      </c>
      <c r="B295" t="s">
        <v>302</v>
      </c>
      <c r="C295" t="s">
        <v>301</v>
      </c>
      <c r="D295">
        <v>6</v>
      </c>
      <c r="E295">
        <v>46</v>
      </c>
      <c r="F295">
        <v>27</v>
      </c>
      <c r="G295">
        <v>2</v>
      </c>
      <c r="H295">
        <v>45</v>
      </c>
      <c r="I295">
        <v>17</v>
      </c>
      <c r="L295">
        <v>13</v>
      </c>
      <c r="M295">
        <v>5</v>
      </c>
      <c r="N295">
        <v>43</v>
      </c>
      <c r="O295">
        <v>3</v>
      </c>
      <c r="P295">
        <v>17</v>
      </c>
      <c r="Q295">
        <v>12</v>
      </c>
      <c r="R295">
        <v>4</v>
      </c>
    </row>
    <row r="296" spans="1:18" x14ac:dyDescent="0.3">
      <c r="A296" t="s">
        <v>325</v>
      </c>
      <c r="B296" t="s">
        <v>304</v>
      </c>
      <c r="C296" t="s">
        <v>303</v>
      </c>
      <c r="D296">
        <v>12</v>
      </c>
      <c r="E296">
        <v>113</v>
      </c>
      <c r="F296">
        <v>26</v>
      </c>
      <c r="H296">
        <v>36</v>
      </c>
      <c r="I296">
        <v>1</v>
      </c>
      <c r="J296">
        <v>1</v>
      </c>
      <c r="K296">
        <v>1</v>
      </c>
      <c r="L296">
        <v>7</v>
      </c>
      <c r="M296">
        <v>3</v>
      </c>
      <c r="N296">
        <v>9</v>
      </c>
      <c r="O296">
        <v>8</v>
      </c>
      <c r="P296">
        <v>5</v>
      </c>
      <c r="Q296">
        <v>9</v>
      </c>
      <c r="R296">
        <v>7</v>
      </c>
    </row>
    <row r="297" spans="1:18" x14ac:dyDescent="0.3">
      <c r="A297" t="s">
        <v>325</v>
      </c>
      <c r="B297" t="s">
        <v>307</v>
      </c>
      <c r="C297" t="s">
        <v>306</v>
      </c>
      <c r="D297">
        <v>2</v>
      </c>
      <c r="E297">
        <v>37</v>
      </c>
      <c r="F297">
        <v>48</v>
      </c>
      <c r="G297">
        <v>2</v>
      </c>
      <c r="H297">
        <v>8</v>
      </c>
      <c r="I297">
        <v>1</v>
      </c>
      <c r="K297">
        <v>1</v>
      </c>
      <c r="L297">
        <v>4</v>
      </c>
      <c r="M297">
        <v>1</v>
      </c>
      <c r="N297">
        <v>2</v>
      </c>
      <c r="O297">
        <v>1</v>
      </c>
      <c r="P297">
        <v>2</v>
      </c>
      <c r="R297">
        <v>1</v>
      </c>
    </row>
    <row r="298" spans="1:18" x14ac:dyDescent="0.3">
      <c r="A298" t="s">
        <v>326</v>
      </c>
      <c r="B298" t="s">
        <v>1205</v>
      </c>
      <c r="C298" t="s">
        <v>223</v>
      </c>
      <c r="D298">
        <v>7</v>
      </c>
      <c r="E298">
        <v>38</v>
      </c>
      <c r="F298">
        <v>6</v>
      </c>
      <c r="H298">
        <v>9</v>
      </c>
      <c r="I298">
        <v>15</v>
      </c>
      <c r="K298">
        <v>2</v>
      </c>
      <c r="L298">
        <v>4</v>
      </c>
      <c r="M298">
        <v>7</v>
      </c>
      <c r="N298">
        <v>3</v>
      </c>
      <c r="O298">
        <v>2</v>
      </c>
      <c r="P298">
        <v>7</v>
      </c>
      <c r="R298">
        <v>3</v>
      </c>
    </row>
    <row r="299" spans="1:18" x14ac:dyDescent="0.3">
      <c r="A299" t="s">
        <v>326</v>
      </c>
      <c r="B299" t="s">
        <v>1206</v>
      </c>
      <c r="C299" t="s">
        <v>243</v>
      </c>
      <c r="D299">
        <v>13</v>
      </c>
      <c r="E299">
        <v>52</v>
      </c>
      <c r="F299">
        <v>25</v>
      </c>
      <c r="H299">
        <v>33</v>
      </c>
      <c r="I299">
        <v>204</v>
      </c>
      <c r="K299">
        <v>2</v>
      </c>
      <c r="L299">
        <v>3</v>
      </c>
      <c r="M299">
        <v>3</v>
      </c>
      <c r="N299">
        <v>6</v>
      </c>
      <c r="O299">
        <v>4</v>
      </c>
      <c r="P299">
        <v>5</v>
      </c>
      <c r="Q299">
        <v>5</v>
      </c>
      <c r="R299">
        <v>3</v>
      </c>
    </row>
    <row r="300" spans="1:18" x14ac:dyDescent="0.3">
      <c r="A300" t="s">
        <v>326</v>
      </c>
      <c r="B300" t="s">
        <v>1201</v>
      </c>
      <c r="C300" t="s">
        <v>282</v>
      </c>
      <c r="D300">
        <v>3</v>
      </c>
      <c r="E300">
        <v>11</v>
      </c>
      <c r="F300">
        <v>1</v>
      </c>
      <c r="G300">
        <v>3</v>
      </c>
      <c r="H300">
        <v>14</v>
      </c>
      <c r="I300">
        <v>1</v>
      </c>
      <c r="P300">
        <v>1</v>
      </c>
    </row>
    <row r="301" spans="1:18" x14ac:dyDescent="0.3">
      <c r="A301" t="s">
        <v>326</v>
      </c>
      <c r="B301" t="s">
        <v>298</v>
      </c>
      <c r="C301" t="s">
        <v>297</v>
      </c>
      <c r="D301">
        <v>16</v>
      </c>
      <c r="E301">
        <v>36</v>
      </c>
      <c r="F301">
        <v>3</v>
      </c>
      <c r="H301">
        <v>34</v>
      </c>
      <c r="I301">
        <v>52</v>
      </c>
      <c r="L301">
        <v>4</v>
      </c>
      <c r="M301">
        <v>3</v>
      </c>
      <c r="N301">
        <v>5</v>
      </c>
      <c r="O301">
        <v>3</v>
      </c>
      <c r="P301">
        <v>2</v>
      </c>
      <c r="R301">
        <v>2</v>
      </c>
    </row>
    <row r="302" spans="1:18" x14ac:dyDescent="0.3">
      <c r="A302" t="s">
        <v>326</v>
      </c>
      <c r="B302" t="s">
        <v>300</v>
      </c>
      <c r="C302" t="s">
        <v>299</v>
      </c>
      <c r="D302">
        <v>1</v>
      </c>
      <c r="E302">
        <v>16</v>
      </c>
      <c r="F302">
        <v>4</v>
      </c>
      <c r="G302">
        <v>6</v>
      </c>
      <c r="H302">
        <v>15</v>
      </c>
      <c r="I302">
        <v>17</v>
      </c>
      <c r="M302">
        <v>8</v>
      </c>
      <c r="O302">
        <v>2</v>
      </c>
      <c r="Q302">
        <v>1</v>
      </c>
      <c r="R302">
        <v>1</v>
      </c>
    </row>
    <row r="303" spans="1:18" x14ac:dyDescent="0.3">
      <c r="A303" t="s">
        <v>328</v>
      </c>
      <c r="B303" t="s">
        <v>247</v>
      </c>
      <c r="C303" t="s">
        <v>246</v>
      </c>
      <c r="D303">
        <v>15</v>
      </c>
      <c r="E303">
        <v>36</v>
      </c>
      <c r="F303">
        <v>219</v>
      </c>
      <c r="H303">
        <v>4</v>
      </c>
      <c r="I303">
        <v>16</v>
      </c>
      <c r="J303">
        <v>2</v>
      </c>
      <c r="K303">
        <v>3</v>
      </c>
      <c r="L303">
        <v>11</v>
      </c>
      <c r="M303">
        <v>4</v>
      </c>
      <c r="N303">
        <v>3</v>
      </c>
      <c r="O303">
        <v>6</v>
      </c>
      <c r="P303">
        <v>1</v>
      </c>
      <c r="R303">
        <v>3</v>
      </c>
    </row>
    <row r="304" spans="1:18" x14ac:dyDescent="0.3">
      <c r="A304" t="s">
        <v>328</v>
      </c>
      <c r="B304" t="s">
        <v>249</v>
      </c>
      <c r="C304" t="s">
        <v>248</v>
      </c>
      <c r="D304">
        <v>9</v>
      </c>
      <c r="E304">
        <v>59</v>
      </c>
      <c r="F304">
        <v>14</v>
      </c>
      <c r="H304">
        <v>11</v>
      </c>
      <c r="I304">
        <v>35</v>
      </c>
      <c r="K304">
        <v>1</v>
      </c>
      <c r="L304">
        <v>4</v>
      </c>
      <c r="M304">
        <v>4</v>
      </c>
      <c r="N304">
        <v>8</v>
      </c>
      <c r="O304">
        <v>3</v>
      </c>
      <c r="P304">
        <v>17</v>
      </c>
      <c r="Q304">
        <v>5</v>
      </c>
      <c r="R304">
        <v>8</v>
      </c>
    </row>
    <row r="305" spans="1:18" x14ac:dyDescent="0.3">
      <c r="A305" t="s">
        <v>328</v>
      </c>
      <c r="B305" t="s">
        <v>263</v>
      </c>
      <c r="C305" t="s">
        <v>262</v>
      </c>
      <c r="D305">
        <v>11</v>
      </c>
      <c r="E305">
        <v>38</v>
      </c>
      <c r="F305">
        <v>17</v>
      </c>
      <c r="H305">
        <v>21</v>
      </c>
      <c r="I305">
        <v>1</v>
      </c>
      <c r="K305">
        <v>3</v>
      </c>
      <c r="L305">
        <v>6</v>
      </c>
      <c r="M305">
        <v>33</v>
      </c>
      <c r="N305">
        <v>6</v>
      </c>
      <c r="O305">
        <v>13</v>
      </c>
      <c r="P305">
        <v>11</v>
      </c>
      <c r="Q305">
        <v>5</v>
      </c>
      <c r="R305">
        <v>2</v>
      </c>
    </row>
    <row r="306" spans="1:18" x14ac:dyDescent="0.3">
      <c r="A306" t="s">
        <v>328</v>
      </c>
      <c r="B306" t="s">
        <v>300</v>
      </c>
      <c r="C306" t="s">
        <v>299</v>
      </c>
      <c r="D306">
        <v>1</v>
      </c>
      <c r="E306">
        <v>13</v>
      </c>
      <c r="F306">
        <v>4</v>
      </c>
      <c r="G306">
        <v>5</v>
      </c>
      <c r="H306">
        <v>10</v>
      </c>
      <c r="I306">
        <v>27</v>
      </c>
      <c r="M306">
        <v>2</v>
      </c>
      <c r="O306">
        <v>1</v>
      </c>
    </row>
    <row r="307" spans="1:18" x14ac:dyDescent="0.3">
      <c r="A307" t="s">
        <v>328</v>
      </c>
      <c r="B307" t="s">
        <v>304</v>
      </c>
      <c r="C307" t="s">
        <v>303</v>
      </c>
      <c r="D307">
        <v>36</v>
      </c>
      <c r="E307">
        <v>123</v>
      </c>
      <c r="F307">
        <v>48</v>
      </c>
      <c r="H307">
        <v>35</v>
      </c>
      <c r="I307">
        <v>28</v>
      </c>
      <c r="L307">
        <v>8</v>
      </c>
      <c r="M307">
        <v>10</v>
      </c>
      <c r="N307">
        <v>29</v>
      </c>
      <c r="O307">
        <v>15</v>
      </c>
      <c r="P307">
        <v>15</v>
      </c>
      <c r="Q307">
        <v>15</v>
      </c>
      <c r="R307">
        <v>8</v>
      </c>
    </row>
    <row r="308" spans="1:18" x14ac:dyDescent="0.3">
      <c r="A308" t="s">
        <v>328</v>
      </c>
      <c r="B308" t="s">
        <v>309</v>
      </c>
      <c r="C308" t="s">
        <v>308</v>
      </c>
      <c r="D308">
        <v>3</v>
      </c>
      <c r="E308">
        <v>20</v>
      </c>
      <c r="F308">
        <v>15</v>
      </c>
      <c r="H308">
        <v>13</v>
      </c>
      <c r="I308">
        <v>25</v>
      </c>
      <c r="L308">
        <v>2</v>
      </c>
      <c r="N308">
        <v>2</v>
      </c>
      <c r="O308">
        <v>2</v>
      </c>
      <c r="P308">
        <v>10</v>
      </c>
      <c r="Q308">
        <v>6</v>
      </c>
    </row>
    <row r="309" spans="1:18" x14ac:dyDescent="0.3">
      <c r="A309" t="s">
        <v>412</v>
      </c>
      <c r="B309" t="s">
        <v>296</v>
      </c>
      <c r="C309" t="s">
        <v>295</v>
      </c>
      <c r="D309">
        <v>3</v>
      </c>
      <c r="E309">
        <v>67</v>
      </c>
      <c r="F309">
        <v>16</v>
      </c>
      <c r="G309">
        <v>1</v>
      </c>
      <c r="H309">
        <v>26</v>
      </c>
      <c r="I309">
        <v>30</v>
      </c>
      <c r="K309">
        <v>2</v>
      </c>
      <c r="L309">
        <v>3</v>
      </c>
      <c r="M309">
        <v>5</v>
      </c>
      <c r="N309">
        <v>12</v>
      </c>
      <c r="O309">
        <v>1</v>
      </c>
      <c r="P309">
        <v>4</v>
      </c>
      <c r="Q309">
        <v>13</v>
      </c>
      <c r="R309">
        <v>7</v>
      </c>
    </row>
    <row r="310" spans="1:18" x14ac:dyDescent="0.3">
      <c r="A310" t="s">
        <v>412</v>
      </c>
      <c r="B310" t="s">
        <v>277</v>
      </c>
      <c r="C310" t="s">
        <v>276</v>
      </c>
      <c r="D310">
        <v>4</v>
      </c>
      <c r="E310">
        <v>29</v>
      </c>
      <c r="F310">
        <v>16</v>
      </c>
      <c r="H310">
        <v>5</v>
      </c>
      <c r="I310">
        <v>5</v>
      </c>
      <c r="M310">
        <v>1</v>
      </c>
      <c r="O310">
        <v>3</v>
      </c>
      <c r="P310">
        <v>2</v>
      </c>
      <c r="Q310">
        <v>2</v>
      </c>
      <c r="R310">
        <v>5</v>
      </c>
    </row>
    <row r="311" spans="1:18" x14ac:dyDescent="0.3">
      <c r="A311" t="s">
        <v>412</v>
      </c>
      <c r="B311" t="s">
        <v>279</v>
      </c>
      <c r="C311" t="s">
        <v>278</v>
      </c>
      <c r="D311">
        <v>2</v>
      </c>
      <c r="E311">
        <v>26</v>
      </c>
      <c r="F311">
        <v>24</v>
      </c>
      <c r="H311">
        <v>9</v>
      </c>
      <c r="I311">
        <v>24</v>
      </c>
      <c r="K311">
        <v>2</v>
      </c>
      <c r="L311">
        <v>67</v>
      </c>
      <c r="M311">
        <v>1</v>
      </c>
      <c r="N311">
        <v>6</v>
      </c>
      <c r="O311">
        <v>10</v>
      </c>
      <c r="P311">
        <v>3</v>
      </c>
      <c r="Q311">
        <v>10</v>
      </c>
      <c r="R311">
        <v>18</v>
      </c>
    </row>
    <row r="312" spans="1:18" x14ac:dyDescent="0.3">
      <c r="A312" t="s">
        <v>412</v>
      </c>
      <c r="B312" t="s">
        <v>270</v>
      </c>
      <c r="C312" t="s">
        <v>269</v>
      </c>
      <c r="D312">
        <v>38</v>
      </c>
      <c r="E312">
        <v>141</v>
      </c>
      <c r="F312">
        <v>916</v>
      </c>
      <c r="G312">
        <v>5</v>
      </c>
      <c r="H312">
        <v>104</v>
      </c>
      <c r="I312">
        <v>9</v>
      </c>
      <c r="K312">
        <v>3</v>
      </c>
      <c r="L312">
        <v>28</v>
      </c>
      <c r="M312">
        <v>45</v>
      </c>
      <c r="N312">
        <v>56</v>
      </c>
      <c r="O312">
        <v>7</v>
      </c>
      <c r="P312">
        <v>11</v>
      </c>
      <c r="Q312">
        <v>20</v>
      </c>
      <c r="R312">
        <v>16</v>
      </c>
    </row>
    <row r="313" spans="1:18" x14ac:dyDescent="0.3">
      <c r="A313" t="s">
        <v>412</v>
      </c>
      <c r="B313" t="s">
        <v>1203</v>
      </c>
      <c r="C313" t="s">
        <v>219</v>
      </c>
      <c r="D313">
        <v>15</v>
      </c>
      <c r="E313">
        <v>80</v>
      </c>
      <c r="F313">
        <v>21</v>
      </c>
      <c r="H313">
        <v>23</v>
      </c>
      <c r="I313">
        <v>48</v>
      </c>
      <c r="K313">
        <v>5</v>
      </c>
      <c r="L313">
        <v>5</v>
      </c>
      <c r="M313">
        <v>1</v>
      </c>
      <c r="N313">
        <v>4</v>
      </c>
      <c r="O313">
        <v>4</v>
      </c>
      <c r="P313">
        <v>4</v>
      </c>
      <c r="Q313">
        <v>4</v>
      </c>
      <c r="R313">
        <v>9</v>
      </c>
    </row>
    <row r="314" spans="1:18" x14ac:dyDescent="0.3">
      <c r="A314" t="s">
        <v>412</v>
      </c>
      <c r="B314" t="s">
        <v>244</v>
      </c>
      <c r="C314" t="s">
        <v>243</v>
      </c>
      <c r="D314">
        <v>10</v>
      </c>
      <c r="E314">
        <v>60</v>
      </c>
      <c r="F314">
        <v>36</v>
      </c>
      <c r="G314">
        <v>9</v>
      </c>
      <c r="H314">
        <v>35</v>
      </c>
      <c r="I314">
        <v>291</v>
      </c>
      <c r="L314">
        <v>8</v>
      </c>
      <c r="M314">
        <v>95</v>
      </c>
      <c r="N314">
        <v>5</v>
      </c>
      <c r="O314">
        <v>4</v>
      </c>
      <c r="P314">
        <v>10</v>
      </c>
      <c r="Q314">
        <v>3</v>
      </c>
      <c r="R314">
        <v>2</v>
      </c>
    </row>
    <row r="315" spans="1:18" x14ac:dyDescent="0.3">
      <c r="A315" t="s">
        <v>318</v>
      </c>
      <c r="B315" t="s">
        <v>281</v>
      </c>
      <c r="C315" t="s">
        <v>280</v>
      </c>
      <c r="D315">
        <v>3</v>
      </c>
      <c r="E315">
        <v>6</v>
      </c>
      <c r="F315">
        <v>2</v>
      </c>
      <c r="H315">
        <v>5</v>
      </c>
      <c r="I315">
        <v>12</v>
      </c>
      <c r="M315">
        <v>4</v>
      </c>
      <c r="N315">
        <v>3</v>
      </c>
      <c r="P315">
        <v>6</v>
      </c>
      <c r="R315">
        <v>1</v>
      </c>
    </row>
    <row r="316" spans="1:18" x14ac:dyDescent="0.3">
      <c r="A316" t="s">
        <v>318</v>
      </c>
      <c r="B316" t="s">
        <v>311</v>
      </c>
      <c r="C316" t="s">
        <v>310</v>
      </c>
      <c r="D316">
        <v>9</v>
      </c>
      <c r="E316">
        <v>46</v>
      </c>
      <c r="F316">
        <v>5</v>
      </c>
      <c r="H316">
        <v>1</v>
      </c>
      <c r="L316">
        <v>1</v>
      </c>
      <c r="M316">
        <v>2</v>
      </c>
      <c r="N316">
        <v>5</v>
      </c>
      <c r="O316">
        <v>2</v>
      </c>
      <c r="P316">
        <v>12</v>
      </c>
      <c r="Q316">
        <v>2</v>
      </c>
      <c r="R316">
        <v>1</v>
      </c>
    </row>
    <row r="317" spans="1:18" x14ac:dyDescent="0.3">
      <c r="A317" t="s">
        <v>320</v>
      </c>
      <c r="B317" t="s">
        <v>215</v>
      </c>
      <c r="C317" t="s">
        <v>214</v>
      </c>
      <c r="D317">
        <v>14</v>
      </c>
      <c r="E317">
        <v>61</v>
      </c>
      <c r="F317">
        <v>180</v>
      </c>
      <c r="H317">
        <v>39</v>
      </c>
      <c r="I317">
        <v>1</v>
      </c>
      <c r="L317">
        <v>3</v>
      </c>
      <c r="M317">
        <v>4</v>
      </c>
      <c r="N317">
        <v>1</v>
      </c>
      <c r="O317">
        <v>2</v>
      </c>
      <c r="P317">
        <v>7</v>
      </c>
      <c r="Q317">
        <v>1</v>
      </c>
      <c r="R317">
        <v>2</v>
      </c>
    </row>
    <row r="318" spans="1:18" x14ac:dyDescent="0.3">
      <c r="A318" t="s">
        <v>320</v>
      </c>
      <c r="B318" t="s">
        <v>220</v>
      </c>
      <c r="C318" t="s">
        <v>219</v>
      </c>
      <c r="D318">
        <v>10</v>
      </c>
      <c r="E318">
        <v>106</v>
      </c>
      <c r="F318">
        <v>20</v>
      </c>
      <c r="G318">
        <v>1</v>
      </c>
      <c r="H318">
        <v>9</v>
      </c>
      <c r="I318">
        <v>12</v>
      </c>
      <c r="J318">
        <v>1</v>
      </c>
      <c r="K318">
        <v>1</v>
      </c>
      <c r="L318">
        <v>1</v>
      </c>
      <c r="M318">
        <v>2</v>
      </c>
      <c r="N318">
        <v>3</v>
      </c>
      <c r="O318">
        <v>6</v>
      </c>
      <c r="P318">
        <v>7</v>
      </c>
      <c r="Q318">
        <v>4</v>
      </c>
      <c r="R318">
        <v>3</v>
      </c>
    </row>
    <row r="319" spans="1:18" x14ac:dyDescent="0.3">
      <c r="A319" t="s">
        <v>320</v>
      </c>
      <c r="B319" t="s">
        <v>224</v>
      </c>
      <c r="C319" t="s">
        <v>223</v>
      </c>
      <c r="D319">
        <v>6</v>
      </c>
      <c r="E319">
        <v>42</v>
      </c>
      <c r="F319">
        <v>5</v>
      </c>
      <c r="H319">
        <v>16</v>
      </c>
      <c r="I319">
        <v>4</v>
      </c>
      <c r="J319">
        <v>1</v>
      </c>
      <c r="K319">
        <v>1</v>
      </c>
      <c r="L319">
        <v>2</v>
      </c>
      <c r="M319">
        <v>19</v>
      </c>
      <c r="N319">
        <v>5</v>
      </c>
      <c r="O319">
        <v>7</v>
      </c>
      <c r="P319">
        <v>9</v>
      </c>
      <c r="Q319">
        <v>4</v>
      </c>
      <c r="R319">
        <v>3</v>
      </c>
    </row>
    <row r="320" spans="1:18" x14ac:dyDescent="0.3">
      <c r="A320" t="s">
        <v>320</v>
      </c>
      <c r="B320" t="s">
        <v>281</v>
      </c>
      <c r="C320" t="s">
        <v>280</v>
      </c>
      <c r="D320">
        <v>4</v>
      </c>
      <c r="E320">
        <v>15</v>
      </c>
      <c r="F320">
        <v>4</v>
      </c>
      <c r="H320">
        <v>6</v>
      </c>
      <c r="I320">
        <v>15</v>
      </c>
      <c r="J320">
        <v>1</v>
      </c>
      <c r="K320">
        <v>1</v>
      </c>
      <c r="L320">
        <v>1</v>
      </c>
      <c r="M320">
        <v>2</v>
      </c>
      <c r="N320">
        <v>2</v>
      </c>
      <c r="O320">
        <v>3</v>
      </c>
      <c r="P320">
        <v>4</v>
      </c>
      <c r="Q320">
        <v>1</v>
      </c>
    </row>
    <row r="321" spans="1:18" x14ac:dyDescent="0.3">
      <c r="A321" t="s">
        <v>320</v>
      </c>
      <c r="B321" t="s">
        <v>1201</v>
      </c>
      <c r="C321" t="s">
        <v>282</v>
      </c>
      <c r="H321">
        <v>4</v>
      </c>
    </row>
    <row r="322" spans="1:18" x14ac:dyDescent="0.3">
      <c r="A322" t="s">
        <v>325</v>
      </c>
      <c r="B322" t="s">
        <v>224</v>
      </c>
      <c r="C322" t="s">
        <v>223</v>
      </c>
      <c r="D322">
        <v>6</v>
      </c>
      <c r="E322">
        <v>40</v>
      </c>
      <c r="F322">
        <v>7</v>
      </c>
      <c r="H322">
        <v>5</v>
      </c>
      <c r="I322">
        <v>14</v>
      </c>
      <c r="K322">
        <v>1</v>
      </c>
      <c r="L322">
        <v>1</v>
      </c>
      <c r="M322">
        <v>17</v>
      </c>
      <c r="N322">
        <v>8</v>
      </c>
      <c r="O322">
        <v>2</v>
      </c>
      <c r="P322">
        <v>3</v>
      </c>
      <c r="Q322">
        <v>1</v>
      </c>
    </row>
    <row r="323" spans="1:18" x14ac:dyDescent="0.3">
      <c r="A323" t="s">
        <v>325</v>
      </c>
      <c r="B323" t="s">
        <v>267</v>
      </c>
      <c r="C323" t="s">
        <v>1092</v>
      </c>
      <c r="D323">
        <v>2</v>
      </c>
      <c r="E323">
        <v>77</v>
      </c>
      <c r="F323">
        <v>199</v>
      </c>
      <c r="G323">
        <v>1</v>
      </c>
      <c r="H323">
        <v>10</v>
      </c>
      <c r="I323">
        <v>9</v>
      </c>
      <c r="J323">
        <v>1</v>
      </c>
      <c r="L323">
        <v>2</v>
      </c>
      <c r="M323">
        <v>2</v>
      </c>
      <c r="O323">
        <v>6</v>
      </c>
      <c r="P323">
        <v>4</v>
      </c>
    </row>
    <row r="324" spans="1:18" x14ac:dyDescent="0.3">
      <c r="A324" t="s">
        <v>326</v>
      </c>
      <c r="B324" t="s">
        <v>247</v>
      </c>
      <c r="C324" t="s">
        <v>246</v>
      </c>
      <c r="D324">
        <v>16</v>
      </c>
      <c r="E324">
        <v>37</v>
      </c>
      <c r="F324">
        <v>197</v>
      </c>
      <c r="G324">
        <v>1</v>
      </c>
      <c r="H324">
        <v>18</v>
      </c>
      <c r="I324">
        <v>16</v>
      </c>
      <c r="J324">
        <v>1</v>
      </c>
      <c r="L324">
        <v>8</v>
      </c>
      <c r="M324">
        <v>19</v>
      </c>
      <c r="N324">
        <v>4</v>
      </c>
      <c r="O324">
        <v>4</v>
      </c>
      <c r="P324">
        <v>3</v>
      </c>
      <c r="R324">
        <v>4</v>
      </c>
    </row>
    <row r="325" spans="1:18" x14ac:dyDescent="0.3">
      <c r="A325" t="s">
        <v>328</v>
      </c>
      <c r="B325" t="s">
        <v>1203</v>
      </c>
      <c r="C325" t="s">
        <v>219</v>
      </c>
      <c r="D325">
        <v>21</v>
      </c>
      <c r="E325">
        <v>81</v>
      </c>
      <c r="F325">
        <v>28</v>
      </c>
      <c r="G325">
        <v>2</v>
      </c>
      <c r="H325">
        <v>54</v>
      </c>
      <c r="I325">
        <v>114</v>
      </c>
      <c r="J325">
        <v>1</v>
      </c>
      <c r="K325">
        <v>5</v>
      </c>
      <c r="L325">
        <v>6</v>
      </c>
      <c r="M325">
        <v>5</v>
      </c>
      <c r="N325">
        <v>5</v>
      </c>
      <c r="O325">
        <v>11</v>
      </c>
      <c r="P325">
        <v>10</v>
      </c>
      <c r="Q325">
        <v>4</v>
      </c>
      <c r="R325">
        <v>8</v>
      </c>
    </row>
    <row r="326" spans="1:18" x14ac:dyDescent="0.3">
      <c r="A326" t="s">
        <v>328</v>
      </c>
      <c r="B326" t="s">
        <v>244</v>
      </c>
      <c r="C326" t="s">
        <v>243</v>
      </c>
      <c r="D326">
        <v>12</v>
      </c>
      <c r="E326">
        <v>91</v>
      </c>
      <c r="F326">
        <v>33</v>
      </c>
      <c r="G326">
        <v>2</v>
      </c>
      <c r="H326">
        <v>95</v>
      </c>
      <c r="I326">
        <v>320</v>
      </c>
      <c r="K326">
        <v>4</v>
      </c>
      <c r="L326">
        <v>4</v>
      </c>
      <c r="N326">
        <v>6</v>
      </c>
      <c r="O326">
        <v>5</v>
      </c>
      <c r="P326">
        <v>5</v>
      </c>
      <c r="Q326">
        <v>4</v>
      </c>
      <c r="R326">
        <v>1</v>
      </c>
    </row>
    <row r="327" spans="1:18" x14ac:dyDescent="0.3">
      <c r="A327" t="s">
        <v>328</v>
      </c>
      <c r="B327" t="s">
        <v>267</v>
      </c>
      <c r="C327" t="s">
        <v>1092</v>
      </c>
      <c r="D327">
        <v>13</v>
      </c>
      <c r="E327">
        <v>113</v>
      </c>
      <c r="F327">
        <v>230</v>
      </c>
      <c r="H327">
        <v>31</v>
      </c>
      <c r="I327">
        <v>45</v>
      </c>
      <c r="J327">
        <v>1</v>
      </c>
      <c r="K327">
        <v>2</v>
      </c>
      <c r="L327">
        <v>6</v>
      </c>
      <c r="M327">
        <v>47</v>
      </c>
      <c r="N327">
        <v>14</v>
      </c>
      <c r="O327">
        <v>7</v>
      </c>
      <c r="P327">
        <v>25</v>
      </c>
      <c r="Q327">
        <v>2</v>
      </c>
      <c r="R327">
        <v>3</v>
      </c>
    </row>
    <row r="328" spans="1:18" x14ac:dyDescent="0.3">
      <c r="A328" t="s">
        <v>328</v>
      </c>
      <c r="B328" t="s">
        <v>270</v>
      </c>
      <c r="C328" t="s">
        <v>269</v>
      </c>
      <c r="D328">
        <v>42</v>
      </c>
      <c r="E328">
        <v>133</v>
      </c>
      <c r="F328">
        <v>835</v>
      </c>
      <c r="G328">
        <v>8</v>
      </c>
      <c r="H328">
        <v>96</v>
      </c>
      <c r="I328">
        <v>46</v>
      </c>
      <c r="J328">
        <v>1</v>
      </c>
      <c r="K328">
        <v>2</v>
      </c>
      <c r="L328">
        <v>18</v>
      </c>
      <c r="M328">
        <v>38</v>
      </c>
      <c r="N328">
        <v>97</v>
      </c>
      <c r="O328">
        <v>20</v>
      </c>
      <c r="P328">
        <v>29</v>
      </c>
      <c r="Q328">
        <v>13</v>
      </c>
      <c r="R328">
        <v>23</v>
      </c>
    </row>
    <row r="329" spans="1:18" x14ac:dyDescent="0.3">
      <c r="A329" t="s">
        <v>328</v>
      </c>
      <c r="B329" t="s">
        <v>289</v>
      </c>
      <c r="C329" t="s">
        <v>288</v>
      </c>
      <c r="D329">
        <v>9</v>
      </c>
      <c r="E329">
        <v>48</v>
      </c>
      <c r="F329">
        <v>10</v>
      </c>
      <c r="G329">
        <v>1</v>
      </c>
      <c r="H329">
        <v>27</v>
      </c>
      <c r="I329">
        <v>3</v>
      </c>
      <c r="L329">
        <v>17</v>
      </c>
      <c r="M329">
        <v>15</v>
      </c>
      <c r="N329">
        <v>52</v>
      </c>
      <c r="O329">
        <v>14</v>
      </c>
      <c r="P329">
        <v>21</v>
      </c>
      <c r="Q329">
        <v>103</v>
      </c>
      <c r="R329">
        <v>24</v>
      </c>
    </row>
    <row r="330" spans="1:18" x14ac:dyDescent="0.3">
      <c r="A330" t="s">
        <v>412</v>
      </c>
      <c r="B330" t="s">
        <v>304</v>
      </c>
      <c r="C330" t="s">
        <v>303</v>
      </c>
      <c r="D330">
        <v>23</v>
      </c>
      <c r="E330">
        <v>116</v>
      </c>
      <c r="F330">
        <v>39</v>
      </c>
      <c r="H330">
        <v>35</v>
      </c>
      <c r="I330">
        <v>15</v>
      </c>
      <c r="K330">
        <v>2</v>
      </c>
      <c r="L330">
        <v>7</v>
      </c>
      <c r="M330">
        <v>6</v>
      </c>
      <c r="N330">
        <v>10</v>
      </c>
      <c r="O330">
        <v>10</v>
      </c>
      <c r="P330">
        <v>7</v>
      </c>
      <c r="Q330">
        <v>13</v>
      </c>
      <c r="R330">
        <v>6</v>
      </c>
    </row>
    <row r="331" spans="1:18" x14ac:dyDescent="0.3">
      <c r="A331" t="s">
        <v>412</v>
      </c>
      <c r="B331" t="s">
        <v>249</v>
      </c>
      <c r="C331" t="s">
        <v>248</v>
      </c>
      <c r="D331">
        <v>12</v>
      </c>
      <c r="E331">
        <v>56</v>
      </c>
      <c r="F331">
        <v>19</v>
      </c>
      <c r="H331">
        <v>9</v>
      </c>
      <c r="I331">
        <v>32</v>
      </c>
      <c r="L331">
        <v>1</v>
      </c>
      <c r="M331">
        <v>1</v>
      </c>
      <c r="N331">
        <v>5</v>
      </c>
      <c r="O331">
        <v>4</v>
      </c>
      <c r="P331">
        <v>11</v>
      </c>
      <c r="Q331">
        <v>2</v>
      </c>
      <c r="R331">
        <v>6</v>
      </c>
    </row>
    <row r="332" spans="1:18" x14ac:dyDescent="0.3">
      <c r="A332" t="s">
        <v>412</v>
      </c>
      <c r="B332" t="s">
        <v>259</v>
      </c>
      <c r="C332" t="s">
        <v>258</v>
      </c>
      <c r="D332">
        <v>1</v>
      </c>
      <c r="E332">
        <v>14</v>
      </c>
      <c r="F332">
        <v>10</v>
      </c>
      <c r="H332">
        <v>5</v>
      </c>
      <c r="I332">
        <v>10</v>
      </c>
      <c r="K332">
        <v>1</v>
      </c>
      <c r="L332">
        <v>1</v>
      </c>
      <c r="M332">
        <v>3</v>
      </c>
      <c r="P332">
        <v>1</v>
      </c>
      <c r="R332">
        <v>1</v>
      </c>
    </row>
    <row r="333" spans="1:18" x14ac:dyDescent="0.3">
      <c r="A333" t="s">
        <v>412</v>
      </c>
      <c r="B333" t="s">
        <v>240</v>
      </c>
      <c r="C333" t="s">
        <v>239</v>
      </c>
      <c r="D333">
        <v>3</v>
      </c>
      <c r="E333">
        <v>18</v>
      </c>
      <c r="F333">
        <v>3</v>
      </c>
      <c r="H333">
        <v>3</v>
      </c>
      <c r="I333">
        <v>3</v>
      </c>
      <c r="L333">
        <v>4</v>
      </c>
      <c r="M333">
        <v>6</v>
      </c>
      <c r="O333">
        <v>1</v>
      </c>
      <c r="P333">
        <v>6</v>
      </c>
    </row>
    <row r="334" spans="1:18" x14ac:dyDescent="0.3">
      <c r="A334" t="s">
        <v>412</v>
      </c>
      <c r="B334" t="s">
        <v>307</v>
      </c>
      <c r="C334" t="s">
        <v>306</v>
      </c>
      <c r="D334">
        <v>4</v>
      </c>
      <c r="E334">
        <v>42</v>
      </c>
      <c r="F334">
        <v>81</v>
      </c>
      <c r="G334">
        <v>1</v>
      </c>
      <c r="H334">
        <v>46</v>
      </c>
      <c r="I334">
        <v>13</v>
      </c>
      <c r="L334">
        <v>6</v>
      </c>
      <c r="M334">
        <v>3</v>
      </c>
      <c r="N334">
        <v>2</v>
      </c>
      <c r="O334">
        <v>2</v>
      </c>
      <c r="P334">
        <v>4</v>
      </c>
      <c r="Q334">
        <v>2</v>
      </c>
      <c r="R334">
        <v>2</v>
      </c>
    </row>
    <row r="335" spans="1:18" x14ac:dyDescent="0.3">
      <c r="A335" t="s">
        <v>412</v>
      </c>
      <c r="B335" t="s">
        <v>224</v>
      </c>
      <c r="C335" t="s">
        <v>223</v>
      </c>
      <c r="D335">
        <v>7</v>
      </c>
      <c r="E335">
        <v>40</v>
      </c>
      <c r="F335">
        <v>4</v>
      </c>
      <c r="H335">
        <v>6</v>
      </c>
      <c r="I335">
        <v>24</v>
      </c>
      <c r="L335">
        <v>7</v>
      </c>
      <c r="M335">
        <v>2</v>
      </c>
      <c r="N335">
        <v>2</v>
      </c>
      <c r="P335">
        <v>1</v>
      </c>
      <c r="Q335">
        <v>1</v>
      </c>
      <c r="R335">
        <v>2</v>
      </c>
    </row>
    <row r="336" spans="1:18" x14ac:dyDescent="0.3">
      <c r="A336" t="s">
        <v>365</v>
      </c>
      <c r="B336" t="s">
        <v>263</v>
      </c>
      <c r="C336" t="s">
        <v>262</v>
      </c>
      <c r="D336">
        <v>12</v>
      </c>
      <c r="E336">
        <v>52</v>
      </c>
      <c r="F336">
        <v>15</v>
      </c>
      <c r="G336">
        <v>1</v>
      </c>
      <c r="H336">
        <v>20</v>
      </c>
      <c r="I336">
        <v>2</v>
      </c>
      <c r="K336">
        <v>7</v>
      </c>
      <c r="L336">
        <v>27</v>
      </c>
      <c r="M336">
        <v>23</v>
      </c>
      <c r="N336">
        <v>17</v>
      </c>
      <c r="O336">
        <v>17</v>
      </c>
      <c r="P336">
        <v>30</v>
      </c>
      <c r="Q336">
        <v>10</v>
      </c>
      <c r="R336">
        <v>10</v>
      </c>
    </row>
    <row r="337" spans="1:18" x14ac:dyDescent="0.3">
      <c r="A337" t="s">
        <v>365</v>
      </c>
      <c r="B337" t="s">
        <v>1201</v>
      </c>
      <c r="C337" t="s">
        <v>282</v>
      </c>
      <c r="D337">
        <v>2</v>
      </c>
      <c r="E337">
        <v>6</v>
      </c>
      <c r="F337">
        <v>7</v>
      </c>
      <c r="H337">
        <v>2</v>
      </c>
      <c r="M337">
        <v>1</v>
      </c>
      <c r="Q337">
        <v>1</v>
      </c>
    </row>
    <row r="338" spans="1:18" x14ac:dyDescent="0.3">
      <c r="A338" t="s">
        <v>365</v>
      </c>
      <c r="B338" t="s">
        <v>292</v>
      </c>
      <c r="C338" t="s">
        <v>291</v>
      </c>
      <c r="D338">
        <v>1</v>
      </c>
      <c r="E338">
        <v>10</v>
      </c>
      <c r="F338">
        <v>1</v>
      </c>
      <c r="H338">
        <v>4</v>
      </c>
    </row>
    <row r="339" spans="1:18" x14ac:dyDescent="0.3">
      <c r="A339" t="s">
        <v>365</v>
      </c>
      <c r="B339" t="s">
        <v>307</v>
      </c>
      <c r="C339" t="s">
        <v>306</v>
      </c>
      <c r="D339">
        <v>1</v>
      </c>
      <c r="E339">
        <v>39</v>
      </c>
      <c r="F339">
        <v>105</v>
      </c>
      <c r="G339">
        <v>3</v>
      </c>
      <c r="H339">
        <v>43</v>
      </c>
      <c r="I339">
        <v>19</v>
      </c>
      <c r="K339">
        <v>1</v>
      </c>
      <c r="L339">
        <v>2</v>
      </c>
      <c r="M339">
        <v>1</v>
      </c>
      <c r="P339">
        <v>1</v>
      </c>
      <c r="Q339">
        <v>2</v>
      </c>
    </row>
    <row r="340" spans="1:18" x14ac:dyDescent="0.3">
      <c r="A340" t="s">
        <v>365</v>
      </c>
      <c r="B340" t="s">
        <v>309</v>
      </c>
      <c r="C340" t="s">
        <v>308</v>
      </c>
      <c r="D340">
        <v>2</v>
      </c>
      <c r="E340">
        <v>15</v>
      </c>
      <c r="F340">
        <v>9</v>
      </c>
      <c r="H340">
        <v>17</v>
      </c>
      <c r="I340">
        <v>1</v>
      </c>
      <c r="K340">
        <v>1</v>
      </c>
      <c r="L340">
        <v>2</v>
      </c>
      <c r="M340">
        <v>3</v>
      </c>
      <c r="N340">
        <v>6</v>
      </c>
      <c r="O340">
        <v>5</v>
      </c>
      <c r="P340">
        <v>104</v>
      </c>
      <c r="Q340">
        <v>7</v>
      </c>
      <c r="R340">
        <v>4</v>
      </c>
    </row>
    <row r="341" spans="1:18" x14ac:dyDescent="0.3">
      <c r="A341" t="s">
        <v>366</v>
      </c>
      <c r="B341" t="s">
        <v>270</v>
      </c>
      <c r="C341" t="s">
        <v>269</v>
      </c>
      <c r="D341">
        <v>69</v>
      </c>
      <c r="E341">
        <v>165</v>
      </c>
      <c r="F341">
        <v>1115</v>
      </c>
      <c r="G341">
        <v>27</v>
      </c>
      <c r="H341">
        <v>88</v>
      </c>
      <c r="I341">
        <v>6</v>
      </c>
      <c r="J341">
        <v>12</v>
      </c>
      <c r="K341">
        <v>5</v>
      </c>
      <c r="L341">
        <v>139</v>
      </c>
      <c r="M341">
        <v>61</v>
      </c>
      <c r="N341">
        <v>147</v>
      </c>
      <c r="O341">
        <v>33</v>
      </c>
      <c r="P341">
        <v>24</v>
      </c>
      <c r="Q341">
        <v>41</v>
      </c>
      <c r="R341">
        <v>24</v>
      </c>
    </row>
    <row r="342" spans="1:18" x14ac:dyDescent="0.3">
      <c r="A342" t="s">
        <v>366</v>
      </c>
      <c r="B342" t="s">
        <v>307</v>
      </c>
      <c r="C342" t="s">
        <v>306</v>
      </c>
      <c r="D342">
        <v>13</v>
      </c>
      <c r="E342">
        <v>40</v>
      </c>
      <c r="F342">
        <v>249</v>
      </c>
      <c r="G342">
        <v>3</v>
      </c>
      <c r="H342">
        <v>16</v>
      </c>
      <c r="I342">
        <v>3</v>
      </c>
      <c r="L342">
        <v>3</v>
      </c>
      <c r="M342">
        <v>3</v>
      </c>
      <c r="N342">
        <v>1</v>
      </c>
      <c r="O342">
        <v>4</v>
      </c>
      <c r="P342">
        <v>1</v>
      </c>
      <c r="Q342">
        <v>1</v>
      </c>
      <c r="R342">
        <v>3</v>
      </c>
    </row>
    <row r="343" spans="1:18" x14ac:dyDescent="0.3">
      <c r="A343" t="s">
        <v>341</v>
      </c>
      <c r="B343" t="s">
        <v>263</v>
      </c>
      <c r="C343" t="s">
        <v>262</v>
      </c>
      <c r="D343">
        <v>8</v>
      </c>
      <c r="E343">
        <v>47</v>
      </c>
      <c r="F343">
        <v>9</v>
      </c>
      <c r="G343">
        <v>1</v>
      </c>
      <c r="H343">
        <v>13</v>
      </c>
      <c r="I343">
        <v>2</v>
      </c>
      <c r="J343">
        <v>1</v>
      </c>
      <c r="K343">
        <v>5</v>
      </c>
      <c r="L343">
        <v>9</v>
      </c>
      <c r="M343">
        <v>22</v>
      </c>
      <c r="N343">
        <v>13</v>
      </c>
      <c r="O343">
        <v>2</v>
      </c>
      <c r="P343">
        <v>16</v>
      </c>
      <c r="Q343">
        <v>12</v>
      </c>
    </row>
    <row r="344" spans="1:18" x14ac:dyDescent="0.3">
      <c r="A344" t="s">
        <v>341</v>
      </c>
      <c r="B344" t="s">
        <v>279</v>
      </c>
      <c r="C344" t="s">
        <v>278</v>
      </c>
      <c r="D344">
        <v>3</v>
      </c>
      <c r="E344">
        <v>19</v>
      </c>
      <c r="F344">
        <v>21</v>
      </c>
      <c r="G344">
        <v>3</v>
      </c>
      <c r="H344">
        <v>10</v>
      </c>
      <c r="L344">
        <v>3</v>
      </c>
      <c r="M344">
        <v>31</v>
      </c>
      <c r="N344">
        <v>3</v>
      </c>
      <c r="P344">
        <v>3</v>
      </c>
      <c r="R344">
        <v>1</v>
      </c>
    </row>
    <row r="345" spans="1:18" x14ac:dyDescent="0.3">
      <c r="A345" t="s">
        <v>342</v>
      </c>
      <c r="B345" t="s">
        <v>228</v>
      </c>
      <c r="C345" t="s">
        <v>227</v>
      </c>
      <c r="D345">
        <v>5</v>
      </c>
      <c r="E345">
        <v>22</v>
      </c>
      <c r="F345">
        <v>25</v>
      </c>
      <c r="G345">
        <v>4</v>
      </c>
      <c r="H345">
        <v>62</v>
      </c>
      <c r="I345">
        <v>38</v>
      </c>
      <c r="L345">
        <v>4</v>
      </c>
      <c r="M345">
        <v>4</v>
      </c>
      <c r="N345">
        <v>5</v>
      </c>
      <c r="O345">
        <v>5</v>
      </c>
      <c r="P345">
        <v>3</v>
      </c>
      <c r="Q345">
        <v>3</v>
      </c>
      <c r="R345">
        <v>5</v>
      </c>
    </row>
    <row r="346" spans="1:18" x14ac:dyDescent="0.3">
      <c r="A346" t="s">
        <v>342</v>
      </c>
      <c r="B346" t="s">
        <v>249</v>
      </c>
      <c r="C346" t="s">
        <v>248</v>
      </c>
      <c r="D346">
        <v>5</v>
      </c>
      <c r="E346">
        <v>59</v>
      </c>
      <c r="F346">
        <v>8</v>
      </c>
      <c r="H346">
        <v>25</v>
      </c>
      <c r="I346">
        <v>7</v>
      </c>
      <c r="J346">
        <v>2</v>
      </c>
      <c r="L346">
        <v>4</v>
      </c>
      <c r="M346">
        <v>15</v>
      </c>
      <c r="N346">
        <v>9</v>
      </c>
      <c r="O346">
        <v>7</v>
      </c>
      <c r="P346">
        <v>10</v>
      </c>
      <c r="Q346">
        <v>12</v>
      </c>
      <c r="R346">
        <v>2</v>
      </c>
    </row>
    <row r="347" spans="1:18" x14ac:dyDescent="0.3">
      <c r="A347" t="s">
        <v>342</v>
      </c>
      <c r="B347" t="s">
        <v>263</v>
      </c>
      <c r="C347" t="s">
        <v>262</v>
      </c>
      <c r="D347">
        <v>14</v>
      </c>
      <c r="E347">
        <v>41</v>
      </c>
      <c r="F347">
        <v>5</v>
      </c>
      <c r="G347">
        <v>1</v>
      </c>
      <c r="H347">
        <v>13</v>
      </c>
      <c r="K347">
        <v>4</v>
      </c>
      <c r="L347">
        <v>11</v>
      </c>
      <c r="M347">
        <v>25</v>
      </c>
      <c r="N347">
        <v>11</v>
      </c>
      <c r="O347">
        <v>7</v>
      </c>
      <c r="P347">
        <v>18</v>
      </c>
      <c r="Q347">
        <v>6</v>
      </c>
      <c r="R347">
        <v>3</v>
      </c>
    </row>
    <row r="348" spans="1:18" x14ac:dyDescent="0.3">
      <c r="A348" t="s">
        <v>342</v>
      </c>
      <c r="B348" t="s">
        <v>279</v>
      </c>
      <c r="C348" t="s">
        <v>278</v>
      </c>
      <c r="D348">
        <v>3</v>
      </c>
      <c r="E348">
        <v>16</v>
      </c>
      <c r="F348">
        <v>32</v>
      </c>
      <c r="G348">
        <v>3</v>
      </c>
      <c r="H348">
        <v>5</v>
      </c>
      <c r="I348">
        <v>1</v>
      </c>
      <c r="J348">
        <v>2</v>
      </c>
      <c r="K348">
        <v>3</v>
      </c>
      <c r="L348">
        <v>11</v>
      </c>
      <c r="M348">
        <v>2</v>
      </c>
      <c r="N348">
        <v>4</v>
      </c>
      <c r="O348">
        <v>3</v>
      </c>
      <c r="P348">
        <v>4</v>
      </c>
      <c r="Q348">
        <v>2</v>
      </c>
      <c r="R348">
        <v>4</v>
      </c>
    </row>
    <row r="349" spans="1:18" x14ac:dyDescent="0.3">
      <c r="A349" t="s">
        <v>342</v>
      </c>
      <c r="B349" t="s">
        <v>302</v>
      </c>
      <c r="C349" t="s">
        <v>301</v>
      </c>
      <c r="D349">
        <v>11</v>
      </c>
      <c r="E349">
        <v>45</v>
      </c>
      <c r="F349">
        <v>32</v>
      </c>
      <c r="G349">
        <v>2</v>
      </c>
      <c r="H349">
        <v>67</v>
      </c>
      <c r="I349">
        <v>38</v>
      </c>
      <c r="J349">
        <v>1</v>
      </c>
      <c r="L349">
        <v>30</v>
      </c>
      <c r="M349">
        <v>28</v>
      </c>
      <c r="N349">
        <v>20</v>
      </c>
      <c r="O349">
        <v>14</v>
      </c>
      <c r="P349">
        <v>3</v>
      </c>
      <c r="Q349">
        <v>19</v>
      </c>
      <c r="R349">
        <v>9</v>
      </c>
    </row>
    <row r="350" spans="1:18" x14ac:dyDescent="0.3">
      <c r="A350" t="s">
        <v>213</v>
      </c>
      <c r="B350" t="s">
        <v>228</v>
      </c>
      <c r="C350" t="s">
        <v>227</v>
      </c>
      <c r="D350">
        <v>3</v>
      </c>
      <c r="E350">
        <v>35</v>
      </c>
      <c r="F350">
        <v>34</v>
      </c>
      <c r="G350">
        <v>4</v>
      </c>
      <c r="H350">
        <v>60</v>
      </c>
      <c r="I350">
        <v>40</v>
      </c>
      <c r="J350">
        <v>1</v>
      </c>
      <c r="L350">
        <v>5</v>
      </c>
      <c r="M350">
        <v>2</v>
      </c>
      <c r="N350">
        <v>12</v>
      </c>
      <c r="O350">
        <v>5</v>
      </c>
      <c r="P350">
        <v>8</v>
      </c>
      <c r="Q350">
        <v>5</v>
      </c>
      <c r="R350">
        <v>6</v>
      </c>
    </row>
    <row r="351" spans="1:18" x14ac:dyDescent="0.3">
      <c r="A351" t="s">
        <v>213</v>
      </c>
      <c r="B351" t="s">
        <v>244</v>
      </c>
      <c r="C351" t="s">
        <v>243</v>
      </c>
      <c r="D351">
        <v>12</v>
      </c>
      <c r="E351">
        <v>77</v>
      </c>
      <c r="F351">
        <v>32</v>
      </c>
      <c r="G351">
        <v>7</v>
      </c>
      <c r="H351">
        <v>86</v>
      </c>
      <c r="I351">
        <v>16</v>
      </c>
      <c r="J351">
        <v>5</v>
      </c>
      <c r="K351">
        <v>10</v>
      </c>
      <c r="L351">
        <v>17</v>
      </c>
      <c r="M351">
        <v>55</v>
      </c>
      <c r="N351">
        <v>30</v>
      </c>
      <c r="O351">
        <v>29</v>
      </c>
      <c r="P351">
        <v>17</v>
      </c>
      <c r="Q351">
        <v>34</v>
      </c>
      <c r="R351">
        <v>13</v>
      </c>
    </row>
    <row r="352" spans="1:18" x14ac:dyDescent="0.3">
      <c r="A352" t="s">
        <v>213</v>
      </c>
      <c r="B352" t="s">
        <v>253</v>
      </c>
      <c r="C352" t="s">
        <v>252</v>
      </c>
      <c r="D352">
        <v>2</v>
      </c>
      <c r="E352">
        <v>26</v>
      </c>
      <c r="F352">
        <v>19</v>
      </c>
      <c r="H352">
        <v>5</v>
      </c>
      <c r="I352">
        <v>1</v>
      </c>
      <c r="J352">
        <v>2</v>
      </c>
      <c r="L352">
        <v>7</v>
      </c>
      <c r="M352">
        <v>4</v>
      </c>
      <c r="N352">
        <v>12</v>
      </c>
      <c r="O352">
        <v>4</v>
      </c>
      <c r="Q352">
        <v>2</v>
      </c>
    </row>
    <row r="353" spans="1:18" x14ac:dyDescent="0.3">
      <c r="A353" t="s">
        <v>213</v>
      </c>
      <c r="B353" t="s">
        <v>255</v>
      </c>
      <c r="C353" t="s">
        <v>254</v>
      </c>
      <c r="D353">
        <v>7</v>
      </c>
      <c r="E353">
        <v>29</v>
      </c>
      <c r="F353">
        <v>6</v>
      </c>
      <c r="G353">
        <v>9</v>
      </c>
      <c r="H353">
        <v>30</v>
      </c>
      <c r="I353">
        <v>11</v>
      </c>
      <c r="K353">
        <v>1</v>
      </c>
      <c r="L353">
        <v>7</v>
      </c>
      <c r="M353">
        <v>16</v>
      </c>
      <c r="N353">
        <v>4</v>
      </c>
      <c r="O353">
        <v>13</v>
      </c>
      <c r="P353">
        <v>5</v>
      </c>
      <c r="Q353">
        <v>9</v>
      </c>
      <c r="R353">
        <v>2</v>
      </c>
    </row>
    <row r="354" spans="1:18" x14ac:dyDescent="0.3">
      <c r="A354" t="s">
        <v>213</v>
      </c>
      <c r="B354" t="s">
        <v>263</v>
      </c>
      <c r="C354" t="s">
        <v>262</v>
      </c>
      <c r="D354">
        <v>24</v>
      </c>
      <c r="E354">
        <v>46</v>
      </c>
      <c r="F354">
        <v>5</v>
      </c>
      <c r="G354">
        <v>1</v>
      </c>
      <c r="H354">
        <v>11</v>
      </c>
      <c r="I354">
        <v>18</v>
      </c>
      <c r="K354">
        <v>6</v>
      </c>
      <c r="L354">
        <v>19</v>
      </c>
      <c r="M354">
        <v>26</v>
      </c>
      <c r="N354">
        <v>8</v>
      </c>
      <c r="O354">
        <v>9</v>
      </c>
      <c r="P354">
        <v>13</v>
      </c>
      <c r="Q354">
        <v>10</v>
      </c>
      <c r="R354">
        <v>5</v>
      </c>
    </row>
    <row r="355" spans="1:18" x14ac:dyDescent="0.3">
      <c r="A355" t="s">
        <v>213</v>
      </c>
      <c r="B355" t="s">
        <v>277</v>
      </c>
      <c r="C355" t="s">
        <v>276</v>
      </c>
      <c r="D355">
        <v>2</v>
      </c>
      <c r="E355">
        <v>35</v>
      </c>
      <c r="F355">
        <v>7</v>
      </c>
      <c r="H355">
        <v>6</v>
      </c>
      <c r="J355">
        <v>1</v>
      </c>
      <c r="L355">
        <v>3</v>
      </c>
      <c r="M355">
        <v>10</v>
      </c>
      <c r="N355">
        <v>3</v>
      </c>
      <c r="O355">
        <v>3</v>
      </c>
      <c r="P355">
        <v>2</v>
      </c>
      <c r="Q355">
        <v>2</v>
      </c>
      <c r="R355">
        <v>4</v>
      </c>
    </row>
    <row r="356" spans="1:18" x14ac:dyDescent="0.3">
      <c r="A356" t="s">
        <v>213</v>
      </c>
      <c r="B356" t="s">
        <v>281</v>
      </c>
      <c r="C356" t="s">
        <v>280</v>
      </c>
      <c r="D356">
        <v>8</v>
      </c>
      <c r="E356">
        <v>31</v>
      </c>
      <c r="F356">
        <v>9</v>
      </c>
      <c r="G356">
        <v>1</v>
      </c>
      <c r="H356">
        <v>11</v>
      </c>
      <c r="I356">
        <v>28</v>
      </c>
      <c r="K356">
        <v>1</v>
      </c>
      <c r="L356">
        <v>4</v>
      </c>
      <c r="M356">
        <v>3</v>
      </c>
      <c r="N356">
        <v>14</v>
      </c>
      <c r="O356">
        <v>2</v>
      </c>
      <c r="P356">
        <v>7</v>
      </c>
      <c r="Q356">
        <v>8</v>
      </c>
      <c r="R356">
        <v>3</v>
      </c>
    </row>
    <row r="357" spans="1:18" x14ac:dyDescent="0.3">
      <c r="A357" t="s">
        <v>213</v>
      </c>
      <c r="B357" t="s">
        <v>296</v>
      </c>
      <c r="C357" t="s">
        <v>295</v>
      </c>
      <c r="D357">
        <v>1</v>
      </c>
      <c r="E357">
        <v>58</v>
      </c>
      <c r="F357">
        <v>17</v>
      </c>
      <c r="H357">
        <v>20</v>
      </c>
      <c r="I357">
        <v>14</v>
      </c>
      <c r="K357">
        <v>3</v>
      </c>
      <c r="L357">
        <v>10</v>
      </c>
      <c r="M357">
        <v>4</v>
      </c>
      <c r="N357">
        <v>5</v>
      </c>
      <c r="O357">
        <v>5</v>
      </c>
      <c r="P357">
        <v>16</v>
      </c>
      <c r="Q357">
        <v>6</v>
      </c>
      <c r="R357">
        <v>10</v>
      </c>
    </row>
    <row r="358" spans="1:18" x14ac:dyDescent="0.3">
      <c r="A358" t="s">
        <v>213</v>
      </c>
      <c r="B358" t="s">
        <v>300</v>
      </c>
      <c r="C358" t="s">
        <v>299</v>
      </c>
      <c r="E358">
        <v>8</v>
      </c>
      <c r="F358">
        <v>3</v>
      </c>
      <c r="H358">
        <v>2</v>
      </c>
      <c r="K358">
        <v>1</v>
      </c>
      <c r="L358">
        <v>1</v>
      </c>
      <c r="R358">
        <v>1</v>
      </c>
    </row>
    <row r="359" spans="1:18" x14ac:dyDescent="0.3">
      <c r="A359" t="s">
        <v>213</v>
      </c>
      <c r="B359" t="s">
        <v>309</v>
      </c>
      <c r="C359" t="s">
        <v>308</v>
      </c>
      <c r="D359">
        <v>5</v>
      </c>
      <c r="E359">
        <v>16</v>
      </c>
      <c r="F359">
        <v>17</v>
      </c>
      <c r="H359">
        <v>13</v>
      </c>
      <c r="I359">
        <v>1</v>
      </c>
      <c r="L359">
        <v>2</v>
      </c>
      <c r="M359">
        <v>1</v>
      </c>
      <c r="N359">
        <v>6</v>
      </c>
      <c r="O359">
        <v>3</v>
      </c>
      <c r="P359">
        <v>6</v>
      </c>
      <c r="Q359">
        <v>4</v>
      </c>
      <c r="R359">
        <v>5</v>
      </c>
    </row>
    <row r="360" spans="1:18" x14ac:dyDescent="0.3">
      <c r="A360" t="s">
        <v>312</v>
      </c>
      <c r="B360" t="s">
        <v>253</v>
      </c>
      <c r="C360" t="s">
        <v>252</v>
      </c>
      <c r="D360">
        <v>4</v>
      </c>
      <c r="E360">
        <v>32</v>
      </c>
      <c r="F360">
        <v>29</v>
      </c>
      <c r="H360">
        <v>6</v>
      </c>
      <c r="I360">
        <v>1</v>
      </c>
      <c r="K360">
        <v>1</v>
      </c>
      <c r="L360">
        <v>8</v>
      </c>
      <c r="M360">
        <v>8</v>
      </c>
      <c r="N360">
        <v>6</v>
      </c>
      <c r="O360">
        <v>1</v>
      </c>
      <c r="Q360">
        <v>4</v>
      </c>
      <c r="R360">
        <v>1</v>
      </c>
    </row>
    <row r="361" spans="1:18" x14ac:dyDescent="0.3">
      <c r="A361" t="s">
        <v>312</v>
      </c>
      <c r="B361" t="s">
        <v>277</v>
      </c>
      <c r="C361" t="s">
        <v>276</v>
      </c>
      <c r="D361">
        <v>2</v>
      </c>
      <c r="E361">
        <v>34</v>
      </c>
      <c r="F361">
        <v>8</v>
      </c>
      <c r="H361">
        <v>3</v>
      </c>
      <c r="I361">
        <v>1</v>
      </c>
      <c r="M361">
        <v>1</v>
      </c>
      <c r="N361">
        <v>1</v>
      </c>
      <c r="O361">
        <v>3</v>
      </c>
      <c r="Q361">
        <v>1</v>
      </c>
    </row>
    <row r="362" spans="1:18" x14ac:dyDescent="0.3">
      <c r="A362" t="s">
        <v>312</v>
      </c>
      <c r="B362" t="s">
        <v>1201</v>
      </c>
      <c r="C362" t="s">
        <v>282</v>
      </c>
    </row>
    <row r="363" spans="1:18" x14ac:dyDescent="0.3">
      <c r="A363" t="s">
        <v>312</v>
      </c>
      <c r="B363" t="s">
        <v>289</v>
      </c>
      <c r="C363" t="s">
        <v>288</v>
      </c>
      <c r="D363">
        <v>12</v>
      </c>
      <c r="E363">
        <v>50</v>
      </c>
      <c r="F363">
        <v>11</v>
      </c>
      <c r="G363">
        <v>2</v>
      </c>
      <c r="H363">
        <v>26</v>
      </c>
      <c r="I363">
        <v>3</v>
      </c>
      <c r="K363">
        <v>1</v>
      </c>
      <c r="L363">
        <v>11</v>
      </c>
      <c r="M363">
        <v>13</v>
      </c>
      <c r="N363">
        <v>25</v>
      </c>
      <c r="O363">
        <v>11</v>
      </c>
      <c r="P363">
        <v>29</v>
      </c>
      <c r="Q363">
        <v>92</v>
      </c>
      <c r="R363">
        <v>20</v>
      </c>
    </row>
    <row r="364" spans="1:18" x14ac:dyDescent="0.3">
      <c r="A364" t="s">
        <v>312</v>
      </c>
      <c r="B364" t="s">
        <v>302</v>
      </c>
      <c r="C364" t="s">
        <v>301</v>
      </c>
      <c r="D364">
        <v>7</v>
      </c>
      <c r="E364">
        <v>44</v>
      </c>
      <c r="F364">
        <v>31</v>
      </c>
      <c r="G364">
        <v>2</v>
      </c>
      <c r="H364">
        <v>40</v>
      </c>
      <c r="I364">
        <v>20</v>
      </c>
      <c r="J364">
        <v>2</v>
      </c>
      <c r="L364">
        <v>7</v>
      </c>
      <c r="M364">
        <v>7</v>
      </c>
      <c r="N364">
        <v>10</v>
      </c>
      <c r="O364">
        <v>10</v>
      </c>
      <c r="P364">
        <v>25</v>
      </c>
      <c r="Q364">
        <v>13</v>
      </c>
      <c r="R364">
        <v>7</v>
      </c>
    </row>
    <row r="365" spans="1:18" x14ac:dyDescent="0.3">
      <c r="A365" t="s">
        <v>318</v>
      </c>
      <c r="B365" t="s">
        <v>234</v>
      </c>
      <c r="C365" t="s">
        <v>233</v>
      </c>
      <c r="D365">
        <v>22</v>
      </c>
      <c r="E365">
        <v>90</v>
      </c>
      <c r="F365">
        <v>175</v>
      </c>
      <c r="G365">
        <v>4</v>
      </c>
      <c r="H365">
        <v>10</v>
      </c>
      <c r="I365">
        <v>11</v>
      </c>
      <c r="K365">
        <v>2</v>
      </c>
      <c r="L365">
        <v>20</v>
      </c>
      <c r="M365">
        <v>5</v>
      </c>
      <c r="N365">
        <v>8</v>
      </c>
      <c r="O365">
        <v>9</v>
      </c>
      <c r="P365">
        <v>2</v>
      </c>
      <c r="Q365">
        <v>6</v>
      </c>
    </row>
    <row r="366" spans="1:18" x14ac:dyDescent="0.3">
      <c r="A366" t="s">
        <v>318</v>
      </c>
      <c r="B366" t="s">
        <v>259</v>
      </c>
      <c r="C366" t="s">
        <v>258</v>
      </c>
      <c r="E366">
        <v>14</v>
      </c>
      <c r="F366">
        <v>1</v>
      </c>
      <c r="H366">
        <v>1</v>
      </c>
      <c r="M366">
        <v>2</v>
      </c>
      <c r="N366">
        <v>2</v>
      </c>
      <c r="R366">
        <v>1</v>
      </c>
    </row>
    <row r="367" spans="1:18" x14ac:dyDescent="0.3">
      <c r="A367" t="s">
        <v>318</v>
      </c>
      <c r="B367" t="s">
        <v>279</v>
      </c>
      <c r="C367" t="s">
        <v>278</v>
      </c>
      <c r="D367">
        <v>3</v>
      </c>
      <c r="E367">
        <v>20</v>
      </c>
      <c r="F367">
        <v>4</v>
      </c>
      <c r="L367">
        <v>4</v>
      </c>
      <c r="N367">
        <v>1</v>
      </c>
      <c r="O367">
        <v>2</v>
      </c>
      <c r="P367">
        <v>1</v>
      </c>
      <c r="R367">
        <v>2</v>
      </c>
    </row>
    <row r="368" spans="1:18" x14ac:dyDescent="0.3">
      <c r="A368" t="s">
        <v>318</v>
      </c>
      <c r="B368" t="s">
        <v>289</v>
      </c>
      <c r="C368" t="s">
        <v>316</v>
      </c>
      <c r="D368">
        <v>3</v>
      </c>
      <c r="E368">
        <v>41</v>
      </c>
      <c r="F368">
        <v>3</v>
      </c>
      <c r="G368">
        <v>1</v>
      </c>
      <c r="H368">
        <v>14</v>
      </c>
      <c r="I368">
        <v>1</v>
      </c>
      <c r="L368">
        <v>1</v>
      </c>
      <c r="M368">
        <v>2</v>
      </c>
      <c r="N368">
        <v>8</v>
      </c>
      <c r="O368">
        <v>4</v>
      </c>
      <c r="P368">
        <v>10</v>
      </c>
      <c r="Q368">
        <v>26</v>
      </c>
      <c r="R368">
        <v>3</v>
      </c>
    </row>
    <row r="369" spans="1:18" x14ac:dyDescent="0.3">
      <c r="A369" t="s">
        <v>318</v>
      </c>
      <c r="B369" t="s">
        <v>294</v>
      </c>
      <c r="C369" t="s">
        <v>496</v>
      </c>
      <c r="D369">
        <v>36</v>
      </c>
      <c r="E369">
        <v>68</v>
      </c>
      <c r="F369">
        <v>7</v>
      </c>
      <c r="G369">
        <v>9</v>
      </c>
      <c r="H369">
        <v>2</v>
      </c>
      <c r="I369">
        <v>15</v>
      </c>
      <c r="L369">
        <v>2</v>
      </c>
      <c r="M369">
        <v>2</v>
      </c>
      <c r="N369">
        <v>7</v>
      </c>
      <c r="O369">
        <v>1</v>
      </c>
      <c r="Q369">
        <v>3</v>
      </c>
    </row>
    <row r="370" spans="1:18" x14ac:dyDescent="0.3">
      <c r="A370" t="s">
        <v>318</v>
      </c>
      <c r="B370" t="s">
        <v>307</v>
      </c>
      <c r="C370" t="s">
        <v>306</v>
      </c>
      <c r="D370">
        <v>1</v>
      </c>
      <c r="E370">
        <v>49</v>
      </c>
      <c r="F370">
        <v>13</v>
      </c>
      <c r="G370">
        <v>2</v>
      </c>
      <c r="H370">
        <v>2</v>
      </c>
      <c r="I370">
        <v>2</v>
      </c>
      <c r="L370">
        <v>2</v>
      </c>
      <c r="M370">
        <v>2</v>
      </c>
      <c r="N370">
        <v>4</v>
      </c>
      <c r="O370">
        <v>1</v>
      </c>
      <c r="P370">
        <v>1</v>
      </c>
      <c r="R370">
        <v>1</v>
      </c>
    </row>
    <row r="371" spans="1:18" x14ac:dyDescent="0.3">
      <c r="A371" t="s">
        <v>318</v>
      </c>
      <c r="B371" t="s">
        <v>309</v>
      </c>
      <c r="C371" t="s">
        <v>308</v>
      </c>
      <c r="D371">
        <v>1</v>
      </c>
      <c r="E371">
        <v>8</v>
      </c>
      <c r="F371">
        <v>5</v>
      </c>
      <c r="H371">
        <v>2</v>
      </c>
      <c r="K371">
        <v>1</v>
      </c>
      <c r="L371">
        <v>1</v>
      </c>
      <c r="M371">
        <v>7</v>
      </c>
      <c r="O371">
        <v>1</v>
      </c>
      <c r="Q371">
        <v>1</v>
      </c>
      <c r="R371">
        <v>1</v>
      </c>
    </row>
    <row r="372" spans="1:18" x14ac:dyDescent="0.3">
      <c r="A372" t="s">
        <v>320</v>
      </c>
      <c r="B372" t="s">
        <v>247</v>
      </c>
      <c r="C372" t="s">
        <v>246</v>
      </c>
      <c r="D372">
        <v>11</v>
      </c>
      <c r="E372">
        <v>37</v>
      </c>
      <c r="F372">
        <v>189</v>
      </c>
      <c r="G372">
        <v>1</v>
      </c>
      <c r="H372">
        <v>8</v>
      </c>
      <c r="L372">
        <v>6</v>
      </c>
      <c r="M372">
        <v>3</v>
      </c>
      <c r="N372">
        <v>4</v>
      </c>
      <c r="O372">
        <v>3</v>
      </c>
      <c r="P372">
        <v>3</v>
      </c>
      <c r="Q372">
        <v>3</v>
      </c>
      <c r="R372">
        <v>3</v>
      </c>
    </row>
    <row r="373" spans="1:18" x14ac:dyDescent="0.3">
      <c r="A373" t="s">
        <v>320</v>
      </c>
      <c r="B373" t="s">
        <v>259</v>
      </c>
      <c r="C373" t="s">
        <v>258</v>
      </c>
      <c r="E373">
        <v>10</v>
      </c>
      <c r="F373">
        <v>4</v>
      </c>
      <c r="H373">
        <v>8</v>
      </c>
      <c r="M373">
        <v>1</v>
      </c>
    </row>
    <row r="374" spans="1:18" x14ac:dyDescent="0.3">
      <c r="A374" t="s">
        <v>320</v>
      </c>
      <c r="B374" t="s">
        <v>277</v>
      </c>
      <c r="C374" t="s">
        <v>276</v>
      </c>
      <c r="D374">
        <v>2</v>
      </c>
      <c r="E374">
        <v>28</v>
      </c>
      <c r="F374">
        <v>2</v>
      </c>
      <c r="H374">
        <v>3</v>
      </c>
      <c r="N374">
        <v>2</v>
      </c>
      <c r="O374">
        <v>2</v>
      </c>
      <c r="P374">
        <v>1</v>
      </c>
      <c r="R374">
        <v>3</v>
      </c>
    </row>
    <row r="375" spans="1:18" x14ac:dyDescent="0.3">
      <c r="A375" t="s">
        <v>320</v>
      </c>
      <c r="B375" t="s">
        <v>292</v>
      </c>
      <c r="C375" t="s">
        <v>291</v>
      </c>
      <c r="E375">
        <v>8</v>
      </c>
      <c r="G375">
        <v>2</v>
      </c>
      <c r="H375">
        <v>5</v>
      </c>
    </row>
    <row r="376" spans="1:18" x14ac:dyDescent="0.3">
      <c r="A376" t="s">
        <v>320</v>
      </c>
      <c r="B376" t="s">
        <v>307</v>
      </c>
      <c r="C376" t="s">
        <v>306</v>
      </c>
      <c r="D376">
        <v>1</v>
      </c>
      <c r="E376">
        <v>40</v>
      </c>
      <c r="F376">
        <v>86</v>
      </c>
      <c r="G376">
        <v>1</v>
      </c>
      <c r="H376">
        <v>10</v>
      </c>
      <c r="I376">
        <v>15</v>
      </c>
      <c r="K376">
        <v>1</v>
      </c>
      <c r="L376">
        <v>4</v>
      </c>
      <c r="M376">
        <v>1</v>
      </c>
      <c r="N376">
        <v>5</v>
      </c>
      <c r="O376">
        <v>2</v>
      </c>
      <c r="P376">
        <v>3</v>
      </c>
      <c r="Q376">
        <v>3</v>
      </c>
      <c r="R376">
        <v>3</v>
      </c>
    </row>
    <row r="377" spans="1:18" x14ac:dyDescent="0.3">
      <c r="A377" t="s">
        <v>325</v>
      </c>
      <c r="B377" t="s">
        <v>249</v>
      </c>
      <c r="C377" t="s">
        <v>248</v>
      </c>
      <c r="D377">
        <v>7</v>
      </c>
      <c r="E377">
        <v>51</v>
      </c>
      <c r="F377">
        <v>14</v>
      </c>
      <c r="H377">
        <v>10</v>
      </c>
      <c r="I377">
        <v>24</v>
      </c>
      <c r="L377">
        <v>4</v>
      </c>
      <c r="M377">
        <v>3</v>
      </c>
      <c r="N377">
        <v>18</v>
      </c>
      <c r="O377">
        <v>4</v>
      </c>
      <c r="P377">
        <v>13</v>
      </c>
      <c r="R377">
        <v>2</v>
      </c>
    </row>
    <row r="378" spans="1:18" x14ac:dyDescent="0.3">
      <c r="A378" t="s">
        <v>325</v>
      </c>
      <c r="B378" t="s">
        <v>253</v>
      </c>
      <c r="C378" t="s">
        <v>252</v>
      </c>
      <c r="D378">
        <v>5</v>
      </c>
      <c r="E378">
        <v>23</v>
      </c>
      <c r="F378">
        <v>12</v>
      </c>
      <c r="H378">
        <v>4</v>
      </c>
      <c r="L378">
        <v>1</v>
      </c>
      <c r="M378">
        <v>2</v>
      </c>
      <c r="N378">
        <v>4</v>
      </c>
      <c r="O378">
        <v>1</v>
      </c>
      <c r="P378">
        <v>1</v>
      </c>
    </row>
    <row r="379" spans="1:18" x14ac:dyDescent="0.3">
      <c r="A379" t="s">
        <v>325</v>
      </c>
      <c r="B379" t="s">
        <v>292</v>
      </c>
      <c r="C379" t="s">
        <v>291</v>
      </c>
      <c r="D379">
        <v>1</v>
      </c>
      <c r="E379">
        <v>5</v>
      </c>
      <c r="F379">
        <v>2</v>
      </c>
      <c r="H379">
        <v>1</v>
      </c>
    </row>
    <row r="380" spans="1:18" x14ac:dyDescent="0.3">
      <c r="A380" t="s">
        <v>325</v>
      </c>
      <c r="B380" t="s">
        <v>296</v>
      </c>
      <c r="C380" t="s">
        <v>295</v>
      </c>
      <c r="D380">
        <v>4</v>
      </c>
      <c r="E380">
        <v>65</v>
      </c>
      <c r="F380">
        <v>19</v>
      </c>
      <c r="H380">
        <v>28</v>
      </c>
      <c r="I380">
        <v>21</v>
      </c>
      <c r="L380">
        <v>4</v>
      </c>
      <c r="M380">
        <v>13</v>
      </c>
      <c r="N380">
        <v>13</v>
      </c>
      <c r="O380">
        <v>3</v>
      </c>
      <c r="P380">
        <v>8</v>
      </c>
      <c r="Q380">
        <v>12</v>
      </c>
    </row>
    <row r="381" spans="1:18" x14ac:dyDescent="0.3">
      <c r="A381" t="s">
        <v>326</v>
      </c>
      <c r="B381" t="s">
        <v>255</v>
      </c>
      <c r="C381" t="s">
        <v>254</v>
      </c>
      <c r="D381">
        <v>1</v>
      </c>
      <c r="E381">
        <v>25</v>
      </c>
      <c r="F381">
        <v>9</v>
      </c>
      <c r="H381">
        <v>20</v>
      </c>
      <c r="I381">
        <v>10</v>
      </c>
      <c r="L381">
        <v>31</v>
      </c>
      <c r="M381">
        <v>8</v>
      </c>
      <c r="N381">
        <v>3</v>
      </c>
      <c r="O381">
        <v>1</v>
      </c>
      <c r="P381">
        <v>6</v>
      </c>
      <c r="Q381">
        <v>1</v>
      </c>
      <c r="R381">
        <v>2</v>
      </c>
    </row>
    <row r="382" spans="1:18" x14ac:dyDescent="0.3">
      <c r="A382" t="s">
        <v>326</v>
      </c>
      <c r="B382" t="s">
        <v>267</v>
      </c>
      <c r="C382" t="s">
        <v>1092</v>
      </c>
      <c r="D382">
        <v>7</v>
      </c>
      <c r="E382">
        <v>113</v>
      </c>
      <c r="F382">
        <v>220</v>
      </c>
      <c r="H382">
        <v>17</v>
      </c>
      <c r="I382">
        <v>12</v>
      </c>
      <c r="L382">
        <v>1</v>
      </c>
      <c r="N382">
        <v>2</v>
      </c>
      <c r="O382">
        <v>2</v>
      </c>
      <c r="P382">
        <v>2</v>
      </c>
    </row>
    <row r="383" spans="1:18" x14ac:dyDescent="0.3">
      <c r="A383" t="s">
        <v>326</v>
      </c>
      <c r="B383" t="s">
        <v>270</v>
      </c>
      <c r="C383" t="s">
        <v>269</v>
      </c>
      <c r="D383">
        <v>13</v>
      </c>
      <c r="E383">
        <v>135</v>
      </c>
      <c r="F383">
        <v>528</v>
      </c>
      <c r="G383">
        <v>9</v>
      </c>
      <c r="H383">
        <v>104</v>
      </c>
      <c r="I383">
        <v>17</v>
      </c>
      <c r="J383">
        <v>2</v>
      </c>
      <c r="K383">
        <v>3</v>
      </c>
      <c r="L383">
        <v>24</v>
      </c>
      <c r="M383">
        <v>20</v>
      </c>
      <c r="N383">
        <v>27</v>
      </c>
      <c r="O383">
        <v>11</v>
      </c>
      <c r="P383">
        <v>3</v>
      </c>
      <c r="Q383">
        <v>8</v>
      </c>
      <c r="R383">
        <v>10</v>
      </c>
    </row>
    <row r="384" spans="1:18" x14ac:dyDescent="0.3">
      <c r="A384" t="s">
        <v>326</v>
      </c>
      <c r="B384" t="s">
        <v>273</v>
      </c>
      <c r="C384" t="s">
        <v>272</v>
      </c>
      <c r="D384">
        <v>19</v>
      </c>
      <c r="E384">
        <v>88</v>
      </c>
      <c r="F384">
        <v>37</v>
      </c>
      <c r="G384">
        <v>11</v>
      </c>
      <c r="H384">
        <v>167</v>
      </c>
      <c r="I384">
        <v>14</v>
      </c>
      <c r="L384">
        <v>3</v>
      </c>
      <c r="M384">
        <v>2</v>
      </c>
      <c r="N384">
        <v>5</v>
      </c>
      <c r="O384">
        <v>7</v>
      </c>
      <c r="P384">
        <v>4</v>
      </c>
      <c r="Q384">
        <v>2</v>
      </c>
      <c r="R384">
        <v>3</v>
      </c>
    </row>
    <row r="385" spans="1:18" x14ac:dyDescent="0.3">
      <c r="A385" t="s">
        <v>328</v>
      </c>
      <c r="B385" t="s">
        <v>273</v>
      </c>
      <c r="C385" t="s">
        <v>272</v>
      </c>
      <c r="D385">
        <v>22</v>
      </c>
      <c r="E385">
        <v>78</v>
      </c>
      <c r="F385">
        <v>88</v>
      </c>
      <c r="G385">
        <v>18</v>
      </c>
      <c r="H385">
        <v>137</v>
      </c>
      <c r="I385">
        <v>38</v>
      </c>
      <c r="L385">
        <v>4</v>
      </c>
      <c r="M385">
        <v>2</v>
      </c>
      <c r="N385">
        <v>5</v>
      </c>
      <c r="O385">
        <v>4</v>
      </c>
      <c r="P385">
        <v>4</v>
      </c>
      <c r="R385">
        <v>2</v>
      </c>
    </row>
    <row r="386" spans="1:18" x14ac:dyDescent="0.3">
      <c r="A386" t="s">
        <v>328</v>
      </c>
      <c r="B386" t="s">
        <v>1201</v>
      </c>
      <c r="C386" t="s">
        <v>282</v>
      </c>
      <c r="D386">
        <v>2</v>
      </c>
      <c r="E386">
        <v>10</v>
      </c>
      <c r="F386">
        <v>4</v>
      </c>
      <c r="G386">
        <v>1</v>
      </c>
      <c r="H386">
        <v>9</v>
      </c>
      <c r="I386">
        <v>5</v>
      </c>
      <c r="K386">
        <v>1</v>
      </c>
      <c r="O386">
        <v>2</v>
      </c>
      <c r="Q386">
        <v>1</v>
      </c>
      <c r="R386">
        <v>1</v>
      </c>
    </row>
  </sheetData>
  <pageMargins left="0.7" right="0.7" top="0.75" bottom="0.75" header="0.3" footer="0.3"/>
  <tableParts count="1">
    <tablePart r:id="rId1"/>
  </tableParts>
</worksheet>
</file>

<file path=xl/worksheets/sheet17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tabColor theme="3" tint="0.39997558519241921"/>
  </sheetPr>
  <dimension ref="B2:J20"/>
  <sheetViews>
    <sheetView topLeftCell="A4" workbookViewId="0">
      <selection activeCell="F10" sqref="F10"/>
    </sheetView>
  </sheetViews>
  <sheetFormatPr defaultRowHeight="14.4" x14ac:dyDescent="0.3"/>
  <cols>
    <col min="1" max="1" width="22.6640625" customWidth="1"/>
    <col min="2" max="2" width="27.44140625" bestFit="1" customWidth="1"/>
    <col min="3" max="3" width="13.21875" bestFit="1" customWidth="1"/>
    <col min="4" max="4" width="14.33203125" bestFit="1" customWidth="1"/>
    <col min="5" max="5" width="13.109375" bestFit="1" customWidth="1"/>
    <col min="6" max="6" width="14.21875" bestFit="1" customWidth="1"/>
    <col min="7" max="7" width="23" bestFit="1" customWidth="1"/>
    <col min="8" max="8" width="24.21875" bestFit="1" customWidth="1"/>
    <col min="9" max="9" width="21.5546875" bestFit="1" customWidth="1"/>
    <col min="10" max="10" width="22.77734375" bestFit="1" customWidth="1"/>
    <col min="11" max="11" width="1.88671875" bestFit="1" customWidth="1"/>
    <col min="12" max="12" width="1.6640625" bestFit="1" customWidth="1"/>
    <col min="13" max="13" width="2.109375" bestFit="1" customWidth="1"/>
    <col min="14" max="14" width="1.44140625" bestFit="1" customWidth="1"/>
    <col min="15" max="15" width="1.88671875" bestFit="1" customWidth="1"/>
    <col min="16" max="16" width="1.5546875" bestFit="1" customWidth="1"/>
    <col min="17" max="17" width="2.5546875" bestFit="1" customWidth="1"/>
    <col min="18" max="18" width="2.109375" bestFit="1" customWidth="1"/>
    <col min="19" max="20" width="1.88671875" bestFit="1" customWidth="1"/>
    <col min="21" max="21" width="1.6640625" bestFit="1" customWidth="1"/>
    <col min="22" max="22" width="1.88671875" bestFit="1" customWidth="1"/>
    <col min="23" max="23" width="13.109375" bestFit="1" customWidth="1"/>
    <col min="24" max="24" width="2.88671875" bestFit="1" customWidth="1"/>
    <col min="25" max="25" width="3.88671875" bestFit="1" customWidth="1"/>
    <col min="26" max="26" width="1.88671875" bestFit="1" customWidth="1"/>
    <col min="27" max="28" width="2.88671875" bestFit="1" customWidth="1"/>
    <col min="29" max="29" width="1.44140625" bestFit="1" customWidth="1"/>
    <col min="30" max="30" width="1.88671875" bestFit="1" customWidth="1"/>
    <col min="31" max="31" width="2.88671875" bestFit="1" customWidth="1"/>
    <col min="32" max="32" width="2.5546875" bestFit="1" customWidth="1"/>
    <col min="33" max="33" width="2.109375" bestFit="1" customWidth="1"/>
    <col min="34" max="37" width="1.88671875" bestFit="1" customWidth="1"/>
    <col min="38" max="38" width="14.33203125" bestFit="1" customWidth="1"/>
    <col min="39" max="41" width="1.88671875" bestFit="1" customWidth="1"/>
    <col min="42" max="42" width="1.6640625" bestFit="1" customWidth="1"/>
    <col min="43" max="43" width="2.109375" bestFit="1" customWidth="1"/>
    <col min="44" max="44" width="1.44140625" bestFit="1" customWidth="1"/>
    <col min="45" max="45" width="1.88671875" bestFit="1" customWidth="1"/>
    <col min="46" max="46" width="1.5546875" bestFit="1" customWidth="1"/>
    <col min="47" max="47" width="2.5546875" bestFit="1" customWidth="1"/>
    <col min="48" max="48" width="2.109375" bestFit="1" customWidth="1"/>
    <col min="49" max="50" width="1.88671875" bestFit="1" customWidth="1"/>
    <col min="51" max="51" width="1.6640625" bestFit="1" customWidth="1"/>
    <col min="52" max="52" width="1.88671875" bestFit="1" customWidth="1"/>
    <col min="53" max="53" width="23" bestFit="1" customWidth="1"/>
    <col min="54" max="56" width="1.88671875" bestFit="1" customWidth="1"/>
    <col min="57" max="57" width="1.6640625" bestFit="1" customWidth="1"/>
    <col min="58" max="58" width="2.109375" bestFit="1" customWidth="1"/>
    <col min="59" max="59" width="1.44140625" bestFit="1" customWidth="1"/>
    <col min="60" max="60" width="1.88671875" bestFit="1" customWidth="1"/>
    <col min="61" max="61" width="1.5546875" bestFit="1" customWidth="1"/>
    <col min="62" max="62" width="2.5546875" bestFit="1" customWidth="1"/>
    <col min="63" max="63" width="2.109375" bestFit="1" customWidth="1"/>
    <col min="64" max="65" width="1.88671875" bestFit="1" customWidth="1"/>
    <col min="66" max="66" width="1.6640625" bestFit="1" customWidth="1"/>
    <col min="67" max="67" width="1.88671875" bestFit="1" customWidth="1"/>
    <col min="68" max="68" width="24.109375" bestFit="1" customWidth="1"/>
    <col min="69" max="71" width="1.88671875" bestFit="1" customWidth="1"/>
    <col min="72" max="72" width="1.6640625" bestFit="1" customWidth="1"/>
    <col min="73" max="73" width="2.109375" bestFit="1" customWidth="1"/>
    <col min="74" max="74" width="1.44140625" bestFit="1" customWidth="1"/>
    <col min="75" max="75" width="1.88671875" bestFit="1" customWidth="1"/>
    <col min="76" max="76" width="1.5546875" bestFit="1" customWidth="1"/>
    <col min="77" max="77" width="2.5546875" bestFit="1" customWidth="1"/>
    <col min="78" max="78" width="2.109375" bestFit="1" customWidth="1"/>
    <col min="79" max="80" width="1.88671875" bestFit="1" customWidth="1"/>
    <col min="81" max="81" width="1.6640625" bestFit="1" customWidth="1"/>
    <col min="82" max="82" width="1.88671875" bestFit="1" customWidth="1"/>
    <col min="83" max="83" width="21.5546875" bestFit="1" customWidth="1"/>
    <col min="84" max="86" width="1.88671875" bestFit="1" customWidth="1"/>
    <col min="87" max="87" width="1.6640625" bestFit="1" customWidth="1"/>
    <col min="88" max="88" width="2.109375" bestFit="1" customWidth="1"/>
    <col min="89" max="89" width="1.44140625" bestFit="1" customWidth="1"/>
    <col min="90" max="91" width="1.88671875" bestFit="1" customWidth="1"/>
    <col min="92" max="92" width="2.5546875" bestFit="1" customWidth="1"/>
    <col min="93" max="93" width="2.109375" bestFit="1" customWidth="1"/>
    <col min="94" max="95" width="1.88671875" bestFit="1" customWidth="1"/>
    <col min="96" max="96" width="1.6640625" bestFit="1" customWidth="1"/>
    <col min="97" max="97" width="1.88671875" bestFit="1" customWidth="1"/>
    <col min="98" max="98" width="22.6640625" bestFit="1" customWidth="1"/>
    <col min="99" max="101" width="1.88671875" bestFit="1" customWidth="1"/>
    <col min="102" max="102" width="1.6640625" bestFit="1" customWidth="1"/>
    <col min="103" max="103" width="2.109375" bestFit="1" customWidth="1"/>
    <col min="104" max="104" width="1.44140625" bestFit="1" customWidth="1"/>
    <col min="105" max="105" width="1.88671875" bestFit="1" customWidth="1"/>
    <col min="106" max="106" width="1.5546875" bestFit="1" customWidth="1"/>
    <col min="107" max="107" width="2.5546875" bestFit="1" customWidth="1"/>
    <col min="108" max="108" width="2.109375" bestFit="1" customWidth="1"/>
    <col min="109" max="110" width="1.88671875" bestFit="1" customWidth="1"/>
    <col min="111" max="111" width="1.6640625" bestFit="1" customWidth="1"/>
    <col min="112" max="112" width="1.88671875" bestFit="1" customWidth="1"/>
    <col min="113" max="113" width="18" bestFit="1" customWidth="1"/>
    <col min="114" max="114" width="19.109375" bestFit="1" customWidth="1"/>
    <col min="115" max="115" width="17.88671875" bestFit="1" customWidth="1"/>
    <col min="116" max="116" width="19.109375" bestFit="1" customWidth="1"/>
    <col min="117" max="117" width="27.88671875" bestFit="1" customWidth="1"/>
    <col min="118" max="118" width="29" bestFit="1" customWidth="1"/>
    <col min="119" max="119" width="26.44140625" bestFit="1" customWidth="1"/>
    <col min="120" max="120" width="27.5546875" bestFit="1" customWidth="1"/>
  </cols>
  <sheetData>
    <row r="2" spans="2:10" x14ac:dyDescent="0.3">
      <c r="B2" s="386" t="s">
        <v>806</v>
      </c>
      <c r="C2" t="s">
        <v>412</v>
      </c>
    </row>
    <row r="4" spans="2:10" x14ac:dyDescent="0.3">
      <c r="B4" s="386" t="s">
        <v>350</v>
      </c>
      <c r="C4" t="s">
        <v>1214</v>
      </c>
      <c r="D4" t="s">
        <v>1215</v>
      </c>
      <c r="E4" t="s">
        <v>1216</v>
      </c>
      <c r="F4" t="s">
        <v>1217</v>
      </c>
      <c r="G4" t="s">
        <v>1218</v>
      </c>
      <c r="H4" t="s">
        <v>1219</v>
      </c>
      <c r="I4" t="s">
        <v>1220</v>
      </c>
      <c r="J4" t="s">
        <v>1221</v>
      </c>
    </row>
    <row r="5" spans="2:10" x14ac:dyDescent="0.3">
      <c r="B5" s="387" t="s">
        <v>1141</v>
      </c>
      <c r="C5">
        <v>1573</v>
      </c>
      <c r="D5">
        <v>9921.5</v>
      </c>
      <c r="E5">
        <v>21</v>
      </c>
      <c r="F5">
        <v>248.25</v>
      </c>
    </row>
    <row r="6" spans="2:10" x14ac:dyDescent="0.3">
      <c r="B6" s="387" t="s">
        <v>1142</v>
      </c>
      <c r="C6">
        <v>185</v>
      </c>
      <c r="D6">
        <v>974</v>
      </c>
      <c r="E6">
        <v>3</v>
      </c>
      <c r="F6">
        <v>35.5</v>
      </c>
      <c r="I6">
        <v>1</v>
      </c>
      <c r="J6">
        <v>7.25</v>
      </c>
    </row>
    <row r="7" spans="2:10" x14ac:dyDescent="0.3">
      <c r="B7" s="387" t="s">
        <v>1143</v>
      </c>
      <c r="C7">
        <v>23</v>
      </c>
      <c r="D7">
        <v>98.25</v>
      </c>
    </row>
    <row r="8" spans="2:10" x14ac:dyDescent="0.3">
      <c r="B8" s="387" t="s">
        <v>1144</v>
      </c>
      <c r="C8">
        <v>2547</v>
      </c>
      <c r="D8">
        <v>10887.5</v>
      </c>
      <c r="E8">
        <v>77</v>
      </c>
      <c r="F8">
        <v>436.5</v>
      </c>
      <c r="I8">
        <v>1</v>
      </c>
      <c r="J8">
        <v>9.75</v>
      </c>
    </row>
    <row r="9" spans="2:10" x14ac:dyDescent="0.3">
      <c r="B9" s="387" t="s">
        <v>1145</v>
      </c>
      <c r="C9">
        <v>292</v>
      </c>
      <c r="D9">
        <v>1805.25</v>
      </c>
      <c r="E9">
        <v>10</v>
      </c>
      <c r="F9">
        <v>103.5</v>
      </c>
    </row>
    <row r="10" spans="2:10" x14ac:dyDescent="0.3">
      <c r="B10" s="387" t="s">
        <v>1146</v>
      </c>
      <c r="C10">
        <v>80</v>
      </c>
      <c r="D10">
        <v>568.75</v>
      </c>
      <c r="E10">
        <v>9</v>
      </c>
      <c r="F10">
        <v>178</v>
      </c>
    </row>
    <row r="11" spans="2:10" x14ac:dyDescent="0.3">
      <c r="B11" s="387" t="s">
        <v>1147</v>
      </c>
      <c r="C11">
        <v>838</v>
      </c>
      <c r="D11">
        <v>5730.5</v>
      </c>
      <c r="E11">
        <v>87</v>
      </c>
      <c r="F11">
        <v>1215.5</v>
      </c>
      <c r="G11">
        <v>1</v>
      </c>
      <c r="H11">
        <v>35.5</v>
      </c>
      <c r="I11">
        <v>2</v>
      </c>
      <c r="J11">
        <v>51.25</v>
      </c>
    </row>
    <row r="12" spans="2:10" x14ac:dyDescent="0.3">
      <c r="B12" s="387" t="s">
        <v>1148</v>
      </c>
      <c r="C12">
        <v>297</v>
      </c>
      <c r="D12">
        <v>1838</v>
      </c>
      <c r="E12">
        <v>29</v>
      </c>
      <c r="F12">
        <v>272.25</v>
      </c>
      <c r="I12">
        <v>2</v>
      </c>
      <c r="J12">
        <v>18.5</v>
      </c>
    </row>
    <row r="13" spans="2:10" x14ac:dyDescent="0.3">
      <c r="B13" s="387" t="s">
        <v>1149</v>
      </c>
      <c r="C13">
        <v>210</v>
      </c>
      <c r="D13">
        <v>1064.25</v>
      </c>
      <c r="I13">
        <v>1</v>
      </c>
      <c r="J13">
        <v>6</v>
      </c>
    </row>
    <row r="14" spans="2:10" x14ac:dyDescent="0.3">
      <c r="B14" s="387" t="s">
        <v>1150</v>
      </c>
      <c r="C14">
        <v>159</v>
      </c>
      <c r="D14">
        <v>1030</v>
      </c>
      <c r="I14">
        <v>1</v>
      </c>
      <c r="J14">
        <v>29.75</v>
      </c>
    </row>
    <row r="15" spans="2:10" x14ac:dyDescent="0.3">
      <c r="B15" s="387" t="s">
        <v>1151</v>
      </c>
      <c r="C15">
        <v>1206</v>
      </c>
      <c r="D15">
        <v>6991</v>
      </c>
      <c r="E15">
        <v>38</v>
      </c>
      <c r="F15">
        <v>519.5</v>
      </c>
      <c r="G15">
        <v>1</v>
      </c>
      <c r="H15">
        <v>37.75</v>
      </c>
      <c r="I15">
        <v>3</v>
      </c>
      <c r="J15">
        <v>30.75</v>
      </c>
    </row>
    <row r="16" spans="2:10" x14ac:dyDescent="0.3">
      <c r="B16" s="387" t="s">
        <v>1152</v>
      </c>
      <c r="C16">
        <v>149</v>
      </c>
      <c r="D16">
        <v>858.25</v>
      </c>
      <c r="E16">
        <v>3</v>
      </c>
      <c r="F16">
        <v>29.75</v>
      </c>
      <c r="I16">
        <v>1</v>
      </c>
      <c r="J16">
        <v>10.5</v>
      </c>
    </row>
    <row r="17" spans="2:10" x14ac:dyDescent="0.3">
      <c r="B17" s="387" t="s">
        <v>1153</v>
      </c>
      <c r="C17">
        <v>34</v>
      </c>
      <c r="D17">
        <v>213.75</v>
      </c>
      <c r="E17">
        <v>2</v>
      </c>
      <c r="F17">
        <v>25.75</v>
      </c>
    </row>
    <row r="18" spans="2:10" x14ac:dyDescent="0.3">
      <c r="B18" s="387" t="s">
        <v>1154</v>
      </c>
      <c r="C18">
        <v>311</v>
      </c>
      <c r="D18">
        <v>2043.5</v>
      </c>
      <c r="E18">
        <v>1</v>
      </c>
      <c r="F18">
        <v>4.25</v>
      </c>
    </row>
    <row r="19" spans="2:10" x14ac:dyDescent="0.3">
      <c r="B19" s="387" t="s">
        <v>1155</v>
      </c>
      <c r="C19">
        <v>276</v>
      </c>
      <c r="D19">
        <v>1632</v>
      </c>
      <c r="E19">
        <v>4</v>
      </c>
      <c r="F19">
        <v>28.25</v>
      </c>
      <c r="I19">
        <v>2</v>
      </c>
      <c r="J19">
        <v>25.25</v>
      </c>
    </row>
    <row r="20" spans="2:10" x14ac:dyDescent="0.3">
      <c r="B20" s="387" t="s">
        <v>357</v>
      </c>
      <c r="C20">
        <v>8180</v>
      </c>
      <c r="D20">
        <v>45656.5</v>
      </c>
      <c r="E20">
        <v>284</v>
      </c>
      <c r="F20">
        <v>3097</v>
      </c>
      <c r="G20">
        <v>2</v>
      </c>
      <c r="H20">
        <v>73.25</v>
      </c>
      <c r="I20">
        <v>14</v>
      </c>
      <c r="J20">
        <v>189</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17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tabColor theme="3" tint="0.39997558519241921"/>
  </sheetPr>
  <dimension ref="B4:L184"/>
  <sheetViews>
    <sheetView topLeftCell="B169" workbookViewId="0">
      <selection activeCell="F10" sqref="F10"/>
    </sheetView>
  </sheetViews>
  <sheetFormatPr defaultRowHeight="14.4" x14ac:dyDescent="0.3"/>
  <cols>
    <col min="1" max="2" width="7.44140625" bestFit="1" customWidth="1"/>
    <col min="3" max="3" width="7" bestFit="1" customWidth="1"/>
    <col min="4" max="4" width="27.44140625" bestFit="1" customWidth="1"/>
    <col min="5" max="5" width="9.109375" bestFit="1" customWidth="1"/>
    <col min="6" max="6" width="10.21875" bestFit="1" customWidth="1"/>
    <col min="7" max="7" width="9" bestFit="1" customWidth="1"/>
    <col min="8" max="8" width="10.21875" bestFit="1" customWidth="1"/>
    <col min="9" max="9" width="18.77734375" bestFit="1" customWidth="1"/>
    <col min="10" max="10" width="20.109375" bestFit="1" customWidth="1"/>
    <col min="11" max="11" width="17.33203125" bestFit="1" customWidth="1"/>
    <col min="12" max="12" width="18.5546875" bestFit="1" customWidth="1"/>
  </cols>
  <sheetData>
    <row r="4" spans="2:12" x14ac:dyDescent="0.3">
      <c r="B4" t="s">
        <v>806</v>
      </c>
      <c r="C4" t="s">
        <v>1156</v>
      </c>
      <c r="D4" t="s">
        <v>1222</v>
      </c>
      <c r="E4" t="s">
        <v>1223</v>
      </c>
      <c r="F4" t="s">
        <v>1224</v>
      </c>
      <c r="G4" t="s">
        <v>1225</v>
      </c>
      <c r="H4" t="s">
        <v>1226</v>
      </c>
      <c r="I4" t="s">
        <v>1227</v>
      </c>
      <c r="J4" t="s">
        <v>1228</v>
      </c>
      <c r="K4" t="s">
        <v>1229</v>
      </c>
      <c r="L4" t="s">
        <v>1230</v>
      </c>
    </row>
    <row r="5" spans="2:12" x14ac:dyDescent="0.3">
      <c r="B5" t="s">
        <v>365</v>
      </c>
      <c r="C5" t="s">
        <v>1167</v>
      </c>
      <c r="D5" t="s">
        <v>1145</v>
      </c>
      <c r="E5">
        <v>330</v>
      </c>
      <c r="F5">
        <v>2088.25</v>
      </c>
      <c r="G5">
        <v>4</v>
      </c>
      <c r="H5">
        <v>37.5</v>
      </c>
    </row>
    <row r="6" spans="2:12" x14ac:dyDescent="0.3">
      <c r="B6" t="s">
        <v>365</v>
      </c>
      <c r="C6" t="s">
        <v>1170</v>
      </c>
      <c r="D6" t="s">
        <v>1151</v>
      </c>
      <c r="E6">
        <v>234</v>
      </c>
      <c r="F6">
        <v>1136.75</v>
      </c>
      <c r="G6">
        <v>17</v>
      </c>
      <c r="H6">
        <v>120</v>
      </c>
    </row>
    <row r="7" spans="2:12" x14ac:dyDescent="0.3">
      <c r="B7" t="s">
        <v>366</v>
      </c>
      <c r="C7" t="s">
        <v>1166</v>
      </c>
      <c r="D7" t="s">
        <v>1143</v>
      </c>
      <c r="E7">
        <v>35</v>
      </c>
      <c r="F7">
        <v>248.75</v>
      </c>
      <c r="G7">
        <v>1</v>
      </c>
      <c r="H7">
        <v>6.5</v>
      </c>
    </row>
    <row r="8" spans="2:12" x14ac:dyDescent="0.3">
      <c r="B8" t="s">
        <v>341</v>
      </c>
      <c r="C8" t="s">
        <v>1170</v>
      </c>
      <c r="D8" t="s">
        <v>1151</v>
      </c>
      <c r="E8">
        <v>338</v>
      </c>
      <c r="F8">
        <v>1664</v>
      </c>
      <c r="G8">
        <v>33</v>
      </c>
      <c r="H8">
        <v>287.5</v>
      </c>
      <c r="I8">
        <v>2</v>
      </c>
      <c r="J8">
        <v>39</v>
      </c>
      <c r="K8">
        <v>2</v>
      </c>
      <c r="L8">
        <v>7.25</v>
      </c>
    </row>
    <row r="9" spans="2:12" x14ac:dyDescent="0.3">
      <c r="B9" t="s">
        <v>341</v>
      </c>
      <c r="C9" t="s">
        <v>1166</v>
      </c>
      <c r="D9" t="s">
        <v>1143</v>
      </c>
      <c r="E9">
        <v>20</v>
      </c>
      <c r="F9">
        <v>104.5</v>
      </c>
      <c r="G9">
        <v>1</v>
      </c>
      <c r="H9">
        <v>11.5</v>
      </c>
    </row>
    <row r="10" spans="2:12" x14ac:dyDescent="0.3">
      <c r="B10" t="s">
        <v>341</v>
      </c>
      <c r="C10" t="s">
        <v>1172</v>
      </c>
      <c r="D10" t="s">
        <v>1148</v>
      </c>
      <c r="E10">
        <v>421</v>
      </c>
      <c r="F10">
        <v>2155.5</v>
      </c>
      <c r="G10">
        <v>61</v>
      </c>
      <c r="H10">
        <v>470.25</v>
      </c>
      <c r="I10">
        <v>1</v>
      </c>
      <c r="J10">
        <v>11.75</v>
      </c>
      <c r="K10">
        <v>1</v>
      </c>
      <c r="L10">
        <v>8.5</v>
      </c>
    </row>
    <row r="11" spans="2:12" x14ac:dyDescent="0.3">
      <c r="B11" t="s">
        <v>341</v>
      </c>
      <c r="C11" t="s">
        <v>1169</v>
      </c>
      <c r="D11" t="s">
        <v>1149</v>
      </c>
      <c r="E11">
        <v>264</v>
      </c>
      <c r="F11">
        <v>1213.5</v>
      </c>
      <c r="G11">
        <v>11</v>
      </c>
      <c r="H11">
        <v>97.25</v>
      </c>
    </row>
    <row r="12" spans="2:12" x14ac:dyDescent="0.3">
      <c r="B12" t="s">
        <v>342</v>
      </c>
      <c r="C12" t="s">
        <v>1170</v>
      </c>
      <c r="D12" t="s">
        <v>1151</v>
      </c>
      <c r="E12">
        <v>375</v>
      </c>
      <c r="F12">
        <v>1755</v>
      </c>
      <c r="G12">
        <v>33</v>
      </c>
      <c r="H12">
        <v>257.25</v>
      </c>
      <c r="K12">
        <v>1</v>
      </c>
      <c r="L12">
        <v>7.5</v>
      </c>
    </row>
    <row r="13" spans="2:12" x14ac:dyDescent="0.3">
      <c r="B13" t="s">
        <v>342</v>
      </c>
      <c r="C13" t="s">
        <v>1172</v>
      </c>
      <c r="D13" t="s">
        <v>1148</v>
      </c>
      <c r="E13">
        <v>294</v>
      </c>
      <c r="F13">
        <v>1469.5</v>
      </c>
      <c r="G13">
        <v>38</v>
      </c>
      <c r="H13">
        <v>329.5</v>
      </c>
      <c r="I13">
        <v>3</v>
      </c>
      <c r="J13">
        <v>32</v>
      </c>
      <c r="K13">
        <v>3</v>
      </c>
      <c r="L13">
        <v>17.75</v>
      </c>
    </row>
    <row r="14" spans="2:12" x14ac:dyDescent="0.3">
      <c r="B14" t="s">
        <v>213</v>
      </c>
      <c r="C14" t="s">
        <v>1163</v>
      </c>
      <c r="D14" t="s">
        <v>1150</v>
      </c>
      <c r="E14">
        <v>273</v>
      </c>
      <c r="F14">
        <v>1407.5</v>
      </c>
      <c r="G14">
        <v>10</v>
      </c>
      <c r="H14">
        <v>106.75</v>
      </c>
      <c r="K14">
        <v>1</v>
      </c>
      <c r="L14">
        <v>6.25</v>
      </c>
    </row>
    <row r="15" spans="2:12" x14ac:dyDescent="0.3">
      <c r="B15" t="s">
        <v>312</v>
      </c>
      <c r="C15" t="s">
        <v>1167</v>
      </c>
      <c r="D15" t="s">
        <v>1145</v>
      </c>
      <c r="E15">
        <v>294</v>
      </c>
      <c r="G15">
        <v>4</v>
      </c>
    </row>
    <row r="16" spans="2:12" x14ac:dyDescent="0.3">
      <c r="B16" t="s">
        <v>312</v>
      </c>
      <c r="C16" t="s">
        <v>1166</v>
      </c>
      <c r="D16" t="s">
        <v>1143</v>
      </c>
      <c r="E16">
        <v>25</v>
      </c>
    </row>
    <row r="17" spans="2:12" x14ac:dyDescent="0.3">
      <c r="B17" t="s">
        <v>318</v>
      </c>
      <c r="C17" t="s">
        <v>1164</v>
      </c>
      <c r="D17" t="s">
        <v>1153</v>
      </c>
      <c r="E17">
        <v>6</v>
      </c>
      <c r="F17">
        <v>28</v>
      </c>
    </row>
    <row r="18" spans="2:12" x14ac:dyDescent="0.3">
      <c r="B18" t="s">
        <v>320</v>
      </c>
      <c r="C18" t="s">
        <v>1167</v>
      </c>
      <c r="D18" t="s">
        <v>1145</v>
      </c>
      <c r="E18">
        <v>234</v>
      </c>
      <c r="F18">
        <v>1455.75</v>
      </c>
      <c r="G18">
        <v>4</v>
      </c>
      <c r="H18">
        <v>97</v>
      </c>
    </row>
    <row r="19" spans="2:12" x14ac:dyDescent="0.3">
      <c r="B19" t="s">
        <v>320</v>
      </c>
      <c r="C19" t="s">
        <v>1173</v>
      </c>
      <c r="D19" t="s">
        <v>1154</v>
      </c>
      <c r="E19">
        <v>178</v>
      </c>
      <c r="F19">
        <v>1167.5</v>
      </c>
      <c r="G19">
        <v>1</v>
      </c>
      <c r="H19">
        <v>13.75</v>
      </c>
    </row>
    <row r="20" spans="2:12" x14ac:dyDescent="0.3">
      <c r="B20" t="s">
        <v>325</v>
      </c>
      <c r="C20" t="s">
        <v>1171</v>
      </c>
      <c r="D20" t="s">
        <v>1146</v>
      </c>
      <c r="E20">
        <v>57</v>
      </c>
      <c r="F20">
        <v>325.5</v>
      </c>
      <c r="G20">
        <v>3</v>
      </c>
      <c r="H20">
        <v>37.25</v>
      </c>
    </row>
    <row r="21" spans="2:12" x14ac:dyDescent="0.3">
      <c r="B21" t="s">
        <v>325</v>
      </c>
      <c r="C21" t="s">
        <v>1172</v>
      </c>
      <c r="D21" t="s">
        <v>1148</v>
      </c>
      <c r="E21">
        <v>179</v>
      </c>
      <c r="F21">
        <v>1122.5</v>
      </c>
      <c r="G21">
        <v>16</v>
      </c>
      <c r="H21">
        <v>212</v>
      </c>
      <c r="K21">
        <v>1</v>
      </c>
      <c r="L21">
        <v>3</v>
      </c>
    </row>
    <row r="22" spans="2:12" x14ac:dyDescent="0.3">
      <c r="B22" t="s">
        <v>326</v>
      </c>
      <c r="C22" t="s">
        <v>1167</v>
      </c>
      <c r="D22" t="s">
        <v>1145</v>
      </c>
      <c r="E22">
        <v>267</v>
      </c>
      <c r="F22">
        <v>1896.25</v>
      </c>
      <c r="G22">
        <v>20</v>
      </c>
      <c r="H22">
        <v>278.25</v>
      </c>
    </row>
    <row r="23" spans="2:12" x14ac:dyDescent="0.3">
      <c r="B23" t="s">
        <v>326</v>
      </c>
      <c r="C23" t="s">
        <v>1159</v>
      </c>
      <c r="D23" t="s">
        <v>1152</v>
      </c>
      <c r="E23">
        <v>164</v>
      </c>
      <c r="F23">
        <v>1001.5</v>
      </c>
      <c r="G23">
        <v>5</v>
      </c>
      <c r="H23">
        <v>97.75</v>
      </c>
    </row>
    <row r="24" spans="2:12" x14ac:dyDescent="0.3">
      <c r="B24" t="s">
        <v>328</v>
      </c>
      <c r="C24" t="s">
        <v>1161</v>
      </c>
      <c r="D24" t="s">
        <v>1147</v>
      </c>
      <c r="E24">
        <v>934</v>
      </c>
      <c r="F24">
        <v>6491.75</v>
      </c>
      <c r="G24">
        <v>66</v>
      </c>
      <c r="H24">
        <v>987</v>
      </c>
      <c r="I24">
        <v>1</v>
      </c>
      <c r="J24">
        <v>64.5</v>
      </c>
      <c r="K24">
        <v>1</v>
      </c>
      <c r="L24">
        <v>19.75</v>
      </c>
    </row>
    <row r="25" spans="2:12" x14ac:dyDescent="0.3">
      <c r="B25" t="s">
        <v>365</v>
      </c>
      <c r="C25" t="s">
        <v>1173</v>
      </c>
      <c r="D25" t="s">
        <v>1154</v>
      </c>
      <c r="E25">
        <v>257</v>
      </c>
      <c r="F25">
        <v>1527</v>
      </c>
      <c r="G25">
        <v>3</v>
      </c>
      <c r="H25">
        <v>23.5</v>
      </c>
    </row>
    <row r="26" spans="2:12" x14ac:dyDescent="0.3">
      <c r="B26" t="s">
        <v>366</v>
      </c>
      <c r="C26" t="s">
        <v>1170</v>
      </c>
      <c r="D26" t="s">
        <v>1151</v>
      </c>
      <c r="E26">
        <v>317</v>
      </c>
      <c r="F26">
        <v>1475</v>
      </c>
      <c r="G26">
        <v>34</v>
      </c>
      <c r="H26">
        <v>285.75</v>
      </c>
    </row>
    <row r="27" spans="2:12" x14ac:dyDescent="0.3">
      <c r="B27" t="s">
        <v>366</v>
      </c>
      <c r="C27" t="s">
        <v>1172</v>
      </c>
      <c r="D27" t="s">
        <v>1148</v>
      </c>
      <c r="E27">
        <v>437</v>
      </c>
      <c r="F27">
        <v>2243.5</v>
      </c>
      <c r="G27">
        <v>57</v>
      </c>
      <c r="H27">
        <v>475.25</v>
      </c>
      <c r="I27">
        <v>2</v>
      </c>
      <c r="J27">
        <v>26.25</v>
      </c>
    </row>
    <row r="28" spans="2:12" x14ac:dyDescent="0.3">
      <c r="B28" t="s">
        <v>366</v>
      </c>
      <c r="C28" t="s">
        <v>1160</v>
      </c>
      <c r="D28" t="s">
        <v>1142</v>
      </c>
      <c r="E28">
        <v>476</v>
      </c>
      <c r="F28">
        <v>2044.25</v>
      </c>
      <c r="G28">
        <v>9</v>
      </c>
      <c r="H28">
        <v>74.75</v>
      </c>
    </row>
    <row r="29" spans="2:12" x14ac:dyDescent="0.3">
      <c r="B29" t="s">
        <v>341</v>
      </c>
      <c r="C29" t="s">
        <v>1159</v>
      </c>
      <c r="D29" t="s">
        <v>1152</v>
      </c>
      <c r="E29">
        <v>233</v>
      </c>
      <c r="F29">
        <v>1339.75</v>
      </c>
      <c r="G29">
        <v>10</v>
      </c>
      <c r="H29">
        <v>90.5</v>
      </c>
    </row>
    <row r="30" spans="2:12" x14ac:dyDescent="0.3">
      <c r="B30" t="s">
        <v>342</v>
      </c>
      <c r="C30" t="s">
        <v>1167</v>
      </c>
      <c r="D30" t="s">
        <v>1145</v>
      </c>
      <c r="E30">
        <v>342</v>
      </c>
      <c r="F30">
        <v>1662</v>
      </c>
      <c r="G30">
        <v>25</v>
      </c>
      <c r="H30">
        <v>274.25</v>
      </c>
    </row>
    <row r="31" spans="2:12" x14ac:dyDescent="0.3">
      <c r="B31" t="s">
        <v>342</v>
      </c>
      <c r="C31" t="s">
        <v>1161</v>
      </c>
      <c r="D31" t="s">
        <v>1147</v>
      </c>
      <c r="E31">
        <v>1018</v>
      </c>
      <c r="F31">
        <v>5856.5</v>
      </c>
      <c r="G31">
        <v>149</v>
      </c>
      <c r="H31">
        <v>1800.5</v>
      </c>
      <c r="I31">
        <v>9</v>
      </c>
      <c r="J31">
        <v>378.75</v>
      </c>
      <c r="K31">
        <v>6</v>
      </c>
      <c r="L31">
        <v>72.5</v>
      </c>
    </row>
    <row r="32" spans="2:12" x14ac:dyDescent="0.3">
      <c r="B32" t="s">
        <v>342</v>
      </c>
      <c r="C32" t="s">
        <v>1164</v>
      </c>
      <c r="D32" t="s">
        <v>1153</v>
      </c>
      <c r="E32">
        <v>55</v>
      </c>
      <c r="F32">
        <v>288</v>
      </c>
      <c r="G32">
        <v>4</v>
      </c>
      <c r="H32">
        <v>35.75</v>
      </c>
    </row>
    <row r="33" spans="2:12" x14ac:dyDescent="0.3">
      <c r="B33" t="s">
        <v>213</v>
      </c>
      <c r="C33" t="s">
        <v>1166</v>
      </c>
      <c r="D33" t="s">
        <v>1143</v>
      </c>
      <c r="E33">
        <v>30</v>
      </c>
      <c r="F33">
        <v>199.75</v>
      </c>
      <c r="G33">
        <v>1</v>
      </c>
      <c r="H33">
        <v>11.25</v>
      </c>
    </row>
    <row r="34" spans="2:12" x14ac:dyDescent="0.3">
      <c r="B34" t="s">
        <v>213</v>
      </c>
      <c r="C34" t="s">
        <v>1172</v>
      </c>
      <c r="D34" t="s">
        <v>1148</v>
      </c>
      <c r="E34">
        <v>329</v>
      </c>
      <c r="F34">
        <v>1704</v>
      </c>
      <c r="G34">
        <v>45</v>
      </c>
      <c r="H34">
        <v>386.75</v>
      </c>
      <c r="I34">
        <v>5</v>
      </c>
      <c r="J34">
        <v>80</v>
      </c>
    </row>
    <row r="35" spans="2:12" x14ac:dyDescent="0.3">
      <c r="B35" t="s">
        <v>213</v>
      </c>
      <c r="C35" t="s">
        <v>1173</v>
      </c>
      <c r="D35" t="s">
        <v>1154</v>
      </c>
      <c r="E35">
        <v>457</v>
      </c>
      <c r="F35">
        <v>2188.5</v>
      </c>
      <c r="G35">
        <v>13</v>
      </c>
      <c r="H35">
        <v>156.75</v>
      </c>
    </row>
    <row r="36" spans="2:12" x14ac:dyDescent="0.3">
      <c r="B36" t="s">
        <v>213</v>
      </c>
      <c r="C36" t="s">
        <v>1159</v>
      </c>
      <c r="D36" t="s">
        <v>1152</v>
      </c>
      <c r="E36">
        <v>179</v>
      </c>
      <c r="F36">
        <v>949</v>
      </c>
      <c r="G36">
        <v>10</v>
      </c>
      <c r="H36">
        <v>68.5</v>
      </c>
      <c r="I36">
        <v>1</v>
      </c>
    </row>
    <row r="37" spans="2:12" x14ac:dyDescent="0.3">
      <c r="B37" t="s">
        <v>312</v>
      </c>
      <c r="C37" t="s">
        <v>1171</v>
      </c>
      <c r="D37" t="s">
        <v>1146</v>
      </c>
      <c r="E37">
        <v>70</v>
      </c>
      <c r="G37">
        <v>1</v>
      </c>
    </row>
    <row r="38" spans="2:12" x14ac:dyDescent="0.3">
      <c r="B38" t="s">
        <v>312</v>
      </c>
      <c r="C38" t="s">
        <v>1164</v>
      </c>
      <c r="D38" t="s">
        <v>1153</v>
      </c>
      <c r="E38">
        <v>38</v>
      </c>
      <c r="G38">
        <v>1</v>
      </c>
    </row>
    <row r="39" spans="2:12" x14ac:dyDescent="0.3">
      <c r="B39" t="s">
        <v>312</v>
      </c>
      <c r="C39" t="s">
        <v>1163</v>
      </c>
      <c r="D39" t="s">
        <v>1150</v>
      </c>
      <c r="E39">
        <v>275</v>
      </c>
      <c r="G39">
        <v>4</v>
      </c>
      <c r="K39">
        <v>2</v>
      </c>
    </row>
    <row r="40" spans="2:12" x14ac:dyDescent="0.3">
      <c r="B40" t="s">
        <v>312</v>
      </c>
      <c r="C40" t="s">
        <v>1160</v>
      </c>
      <c r="D40" t="s">
        <v>1142</v>
      </c>
      <c r="E40">
        <v>234</v>
      </c>
      <c r="G40">
        <v>7</v>
      </c>
      <c r="K40">
        <v>1</v>
      </c>
    </row>
    <row r="41" spans="2:12" x14ac:dyDescent="0.3">
      <c r="B41" t="s">
        <v>318</v>
      </c>
      <c r="C41" t="s">
        <v>1168</v>
      </c>
      <c r="D41" t="s">
        <v>1144</v>
      </c>
      <c r="E41">
        <v>774</v>
      </c>
      <c r="F41">
        <v>2858.25</v>
      </c>
      <c r="G41">
        <v>35</v>
      </c>
      <c r="H41">
        <v>369.5</v>
      </c>
      <c r="I41">
        <v>1</v>
      </c>
      <c r="J41">
        <v>41.25</v>
      </c>
    </row>
    <row r="42" spans="2:12" x14ac:dyDescent="0.3">
      <c r="B42" t="s">
        <v>318</v>
      </c>
      <c r="C42" t="s">
        <v>1160</v>
      </c>
      <c r="D42" t="s">
        <v>1142</v>
      </c>
      <c r="E42">
        <v>82</v>
      </c>
      <c r="F42">
        <v>493.75</v>
      </c>
      <c r="G42">
        <v>2</v>
      </c>
      <c r="H42">
        <v>11.25</v>
      </c>
    </row>
    <row r="43" spans="2:12" x14ac:dyDescent="0.3">
      <c r="B43" t="s">
        <v>318</v>
      </c>
      <c r="C43" t="s">
        <v>1159</v>
      </c>
      <c r="D43" t="s">
        <v>1152</v>
      </c>
      <c r="E43">
        <v>48</v>
      </c>
      <c r="F43">
        <v>270.5</v>
      </c>
      <c r="G43">
        <v>2</v>
      </c>
      <c r="H43">
        <v>19.25</v>
      </c>
      <c r="K43">
        <v>1</v>
      </c>
      <c r="L43">
        <v>20</v>
      </c>
    </row>
    <row r="44" spans="2:12" x14ac:dyDescent="0.3">
      <c r="B44" t="s">
        <v>320</v>
      </c>
      <c r="C44" t="s">
        <v>1168</v>
      </c>
      <c r="D44" t="s">
        <v>1144</v>
      </c>
      <c r="E44">
        <v>1932</v>
      </c>
      <c r="F44">
        <v>7836.5</v>
      </c>
      <c r="G44">
        <v>52</v>
      </c>
      <c r="H44">
        <v>332.25</v>
      </c>
      <c r="I44">
        <v>2</v>
      </c>
      <c r="J44">
        <v>34.25</v>
      </c>
      <c r="K44">
        <v>2</v>
      </c>
      <c r="L44">
        <v>4.25</v>
      </c>
    </row>
    <row r="45" spans="2:12" x14ac:dyDescent="0.3">
      <c r="B45" t="s">
        <v>320</v>
      </c>
      <c r="C45" t="s">
        <v>1172</v>
      </c>
      <c r="D45" t="s">
        <v>1148</v>
      </c>
      <c r="E45">
        <v>120</v>
      </c>
      <c r="F45">
        <v>699.5</v>
      </c>
      <c r="G45">
        <v>12</v>
      </c>
      <c r="H45">
        <v>115.5</v>
      </c>
      <c r="K45">
        <v>1</v>
      </c>
      <c r="L45">
        <v>7.25</v>
      </c>
    </row>
    <row r="46" spans="2:12" x14ac:dyDescent="0.3">
      <c r="B46" t="s">
        <v>326</v>
      </c>
      <c r="C46" t="s">
        <v>1170</v>
      </c>
      <c r="D46" t="s">
        <v>1151</v>
      </c>
      <c r="E46">
        <v>1212</v>
      </c>
      <c r="F46">
        <v>6995.25</v>
      </c>
      <c r="G46">
        <v>44</v>
      </c>
      <c r="H46">
        <v>503</v>
      </c>
      <c r="I46">
        <v>1</v>
      </c>
      <c r="J46">
        <v>19.25</v>
      </c>
      <c r="K46">
        <v>1</v>
      </c>
      <c r="L46">
        <v>78</v>
      </c>
    </row>
    <row r="47" spans="2:12" x14ac:dyDescent="0.3">
      <c r="B47" t="s">
        <v>326</v>
      </c>
      <c r="C47" t="s">
        <v>1169</v>
      </c>
      <c r="D47" t="s">
        <v>1149</v>
      </c>
      <c r="E47">
        <v>249</v>
      </c>
      <c r="F47">
        <v>1198</v>
      </c>
    </row>
    <row r="48" spans="2:12" x14ac:dyDescent="0.3">
      <c r="B48" t="s">
        <v>328</v>
      </c>
      <c r="C48" t="s">
        <v>1166</v>
      </c>
      <c r="D48" t="s">
        <v>1143</v>
      </c>
      <c r="E48">
        <v>21</v>
      </c>
      <c r="F48">
        <v>103.75</v>
      </c>
    </row>
    <row r="49" spans="2:12" x14ac:dyDescent="0.3">
      <c r="B49" t="s">
        <v>328</v>
      </c>
      <c r="C49" t="s">
        <v>1159</v>
      </c>
      <c r="D49" t="s">
        <v>1152</v>
      </c>
      <c r="E49">
        <v>127</v>
      </c>
      <c r="F49">
        <v>712.5</v>
      </c>
      <c r="G49">
        <v>2</v>
      </c>
      <c r="H49">
        <v>16.75</v>
      </c>
    </row>
    <row r="50" spans="2:12" x14ac:dyDescent="0.3">
      <c r="B50" t="s">
        <v>412</v>
      </c>
      <c r="C50" t="s">
        <v>1170</v>
      </c>
      <c r="D50" t="s">
        <v>1151</v>
      </c>
      <c r="E50">
        <v>1206</v>
      </c>
      <c r="F50">
        <v>6991</v>
      </c>
      <c r="G50">
        <v>38</v>
      </c>
      <c r="H50">
        <v>519.5</v>
      </c>
      <c r="I50">
        <v>1</v>
      </c>
      <c r="J50">
        <v>37.75</v>
      </c>
      <c r="K50">
        <v>3</v>
      </c>
      <c r="L50">
        <v>30.75</v>
      </c>
    </row>
    <row r="51" spans="2:12" x14ac:dyDescent="0.3">
      <c r="B51" t="s">
        <v>412</v>
      </c>
      <c r="C51" t="s">
        <v>1173</v>
      </c>
      <c r="D51" t="s">
        <v>1154</v>
      </c>
      <c r="E51">
        <v>311</v>
      </c>
      <c r="F51">
        <v>2043.5</v>
      </c>
      <c r="G51">
        <v>1</v>
      </c>
      <c r="H51">
        <v>4.25</v>
      </c>
    </row>
    <row r="52" spans="2:12" x14ac:dyDescent="0.3">
      <c r="B52" t="s">
        <v>366</v>
      </c>
      <c r="C52" t="s">
        <v>1165</v>
      </c>
      <c r="D52" t="s">
        <v>1155</v>
      </c>
      <c r="E52">
        <v>598</v>
      </c>
      <c r="F52">
        <v>3214.5</v>
      </c>
      <c r="G52">
        <v>41</v>
      </c>
      <c r="H52">
        <v>283</v>
      </c>
      <c r="K52">
        <v>1</v>
      </c>
      <c r="L52">
        <v>11.5</v>
      </c>
    </row>
    <row r="53" spans="2:12" x14ac:dyDescent="0.3">
      <c r="B53" t="s">
        <v>342</v>
      </c>
      <c r="C53" t="s">
        <v>1171</v>
      </c>
      <c r="D53" t="s">
        <v>1146</v>
      </c>
      <c r="E53">
        <v>94</v>
      </c>
      <c r="F53">
        <v>573.5</v>
      </c>
      <c r="G53">
        <v>10</v>
      </c>
      <c r="H53">
        <v>114.75</v>
      </c>
      <c r="K53">
        <v>1</v>
      </c>
      <c r="L53">
        <v>2</v>
      </c>
    </row>
    <row r="54" spans="2:12" x14ac:dyDescent="0.3">
      <c r="B54" t="s">
        <v>342</v>
      </c>
      <c r="C54" t="s">
        <v>1166</v>
      </c>
      <c r="D54" t="s">
        <v>1143</v>
      </c>
      <c r="E54">
        <v>34</v>
      </c>
      <c r="F54">
        <v>183</v>
      </c>
      <c r="G54">
        <v>3</v>
      </c>
      <c r="H54">
        <v>56.5</v>
      </c>
    </row>
    <row r="55" spans="2:12" x14ac:dyDescent="0.3">
      <c r="B55" t="s">
        <v>342</v>
      </c>
      <c r="C55" t="s">
        <v>1160</v>
      </c>
      <c r="D55" t="s">
        <v>1142</v>
      </c>
      <c r="E55">
        <v>222</v>
      </c>
      <c r="F55">
        <v>1205.75</v>
      </c>
      <c r="G55">
        <v>6</v>
      </c>
      <c r="H55">
        <v>53.25</v>
      </c>
    </row>
    <row r="56" spans="2:12" x14ac:dyDescent="0.3">
      <c r="B56" t="s">
        <v>213</v>
      </c>
      <c r="C56" t="s">
        <v>1170</v>
      </c>
      <c r="D56" t="s">
        <v>1151</v>
      </c>
      <c r="E56">
        <v>301</v>
      </c>
      <c r="F56">
        <v>1377.25</v>
      </c>
      <c r="G56">
        <v>22</v>
      </c>
      <c r="H56">
        <v>192.75</v>
      </c>
    </row>
    <row r="57" spans="2:12" x14ac:dyDescent="0.3">
      <c r="B57" t="s">
        <v>312</v>
      </c>
      <c r="C57" t="s">
        <v>1168</v>
      </c>
      <c r="D57" t="s">
        <v>1144</v>
      </c>
      <c r="E57">
        <v>1738</v>
      </c>
      <c r="G57">
        <v>213</v>
      </c>
      <c r="I57">
        <v>1</v>
      </c>
      <c r="K57">
        <v>5</v>
      </c>
    </row>
    <row r="58" spans="2:12" x14ac:dyDescent="0.3">
      <c r="B58" t="s">
        <v>318</v>
      </c>
      <c r="C58" t="s">
        <v>1167</v>
      </c>
      <c r="D58" t="s">
        <v>1145</v>
      </c>
      <c r="E58">
        <v>212</v>
      </c>
      <c r="F58">
        <v>1131.5</v>
      </c>
      <c r="G58">
        <v>8</v>
      </c>
      <c r="H58">
        <v>173</v>
      </c>
    </row>
    <row r="59" spans="2:12" x14ac:dyDescent="0.3">
      <c r="B59" t="s">
        <v>318</v>
      </c>
      <c r="C59" t="s">
        <v>1162</v>
      </c>
      <c r="D59" t="s">
        <v>1141</v>
      </c>
      <c r="E59">
        <v>1326</v>
      </c>
      <c r="F59">
        <v>7506.25</v>
      </c>
      <c r="G59">
        <v>16</v>
      </c>
      <c r="H59">
        <v>203.5</v>
      </c>
    </row>
    <row r="60" spans="2:12" x14ac:dyDescent="0.3">
      <c r="B60" t="s">
        <v>320</v>
      </c>
      <c r="C60" t="s">
        <v>1171</v>
      </c>
      <c r="D60" t="s">
        <v>1146</v>
      </c>
      <c r="E60">
        <v>23</v>
      </c>
      <c r="F60">
        <v>170.25</v>
      </c>
      <c r="G60">
        <v>1</v>
      </c>
      <c r="H60">
        <v>12.25</v>
      </c>
    </row>
    <row r="61" spans="2:12" x14ac:dyDescent="0.3">
      <c r="B61" t="s">
        <v>320</v>
      </c>
      <c r="C61" t="s">
        <v>1164</v>
      </c>
      <c r="D61" t="s">
        <v>1153</v>
      </c>
      <c r="E61">
        <v>21</v>
      </c>
      <c r="F61">
        <v>163</v>
      </c>
    </row>
    <row r="62" spans="2:12" x14ac:dyDescent="0.3">
      <c r="B62" t="s">
        <v>320</v>
      </c>
      <c r="C62" t="s">
        <v>1159</v>
      </c>
      <c r="D62" t="s">
        <v>1152</v>
      </c>
      <c r="E62">
        <v>100</v>
      </c>
      <c r="F62">
        <v>607.25</v>
      </c>
    </row>
    <row r="63" spans="2:12" x14ac:dyDescent="0.3">
      <c r="B63" t="s">
        <v>325</v>
      </c>
      <c r="C63" t="s">
        <v>1166</v>
      </c>
      <c r="D63" t="s">
        <v>1143</v>
      </c>
      <c r="E63">
        <v>23</v>
      </c>
      <c r="F63">
        <v>126.75</v>
      </c>
      <c r="G63">
        <v>2</v>
      </c>
      <c r="H63">
        <v>12.75</v>
      </c>
    </row>
    <row r="64" spans="2:12" x14ac:dyDescent="0.3">
      <c r="B64" t="s">
        <v>325</v>
      </c>
      <c r="C64" t="s">
        <v>1159</v>
      </c>
      <c r="D64" t="s">
        <v>1152</v>
      </c>
      <c r="E64">
        <v>101</v>
      </c>
      <c r="F64">
        <v>621</v>
      </c>
      <c r="G64">
        <v>3</v>
      </c>
      <c r="H64">
        <v>33.25</v>
      </c>
    </row>
    <row r="65" spans="2:12" x14ac:dyDescent="0.3">
      <c r="B65" t="s">
        <v>326</v>
      </c>
      <c r="C65" t="s">
        <v>1161</v>
      </c>
      <c r="D65" t="s">
        <v>1147</v>
      </c>
      <c r="E65">
        <v>1020</v>
      </c>
      <c r="F65">
        <v>6979.5</v>
      </c>
      <c r="G65">
        <v>90</v>
      </c>
      <c r="H65">
        <v>1630.75</v>
      </c>
      <c r="I65">
        <v>2</v>
      </c>
      <c r="J65">
        <v>140.25</v>
      </c>
      <c r="K65">
        <v>4</v>
      </c>
      <c r="L65">
        <v>143.75</v>
      </c>
    </row>
    <row r="66" spans="2:12" x14ac:dyDescent="0.3">
      <c r="B66" t="s">
        <v>326</v>
      </c>
      <c r="C66" t="s">
        <v>1164</v>
      </c>
      <c r="D66" t="s">
        <v>1153</v>
      </c>
      <c r="E66">
        <v>25</v>
      </c>
      <c r="F66">
        <v>143.25</v>
      </c>
    </row>
    <row r="67" spans="2:12" x14ac:dyDescent="0.3">
      <c r="B67" t="s">
        <v>326</v>
      </c>
      <c r="C67" t="s">
        <v>1165</v>
      </c>
      <c r="D67" t="s">
        <v>1155</v>
      </c>
      <c r="E67">
        <v>293</v>
      </c>
      <c r="F67">
        <v>1643.5</v>
      </c>
      <c r="G67">
        <v>8</v>
      </c>
      <c r="H67">
        <v>109</v>
      </c>
      <c r="I67">
        <v>1</v>
      </c>
      <c r="J67">
        <v>25</v>
      </c>
      <c r="K67">
        <v>2</v>
      </c>
    </row>
    <row r="68" spans="2:12" x14ac:dyDescent="0.3">
      <c r="B68" t="s">
        <v>326</v>
      </c>
      <c r="C68" t="s">
        <v>1163</v>
      </c>
      <c r="D68" t="s">
        <v>1150</v>
      </c>
      <c r="E68">
        <v>170</v>
      </c>
      <c r="F68">
        <v>1127.25</v>
      </c>
      <c r="G68">
        <v>2</v>
      </c>
      <c r="H68">
        <v>37.25</v>
      </c>
      <c r="K68">
        <v>1</v>
      </c>
    </row>
    <row r="69" spans="2:12" x14ac:dyDescent="0.3">
      <c r="B69" t="s">
        <v>326</v>
      </c>
      <c r="C69" t="s">
        <v>1160</v>
      </c>
      <c r="D69" t="s">
        <v>1142</v>
      </c>
      <c r="E69">
        <v>220</v>
      </c>
      <c r="F69">
        <v>1402</v>
      </c>
      <c r="G69">
        <v>2</v>
      </c>
      <c r="H69">
        <v>19.25</v>
      </c>
    </row>
    <row r="70" spans="2:12" x14ac:dyDescent="0.3">
      <c r="B70" t="s">
        <v>328</v>
      </c>
      <c r="C70" t="s">
        <v>1163</v>
      </c>
      <c r="D70" t="s">
        <v>1150</v>
      </c>
      <c r="E70">
        <v>203</v>
      </c>
      <c r="F70">
        <v>1192.5</v>
      </c>
      <c r="G70">
        <v>6</v>
      </c>
      <c r="H70">
        <v>132.5</v>
      </c>
    </row>
    <row r="71" spans="2:12" x14ac:dyDescent="0.3">
      <c r="B71" t="s">
        <v>365</v>
      </c>
      <c r="C71" t="s">
        <v>1161</v>
      </c>
      <c r="D71" t="s">
        <v>1147</v>
      </c>
      <c r="E71">
        <v>1022</v>
      </c>
      <c r="F71">
        <v>6361.5</v>
      </c>
      <c r="G71">
        <v>87</v>
      </c>
      <c r="H71">
        <v>868.25</v>
      </c>
      <c r="I71">
        <v>6</v>
      </c>
      <c r="J71">
        <v>150.5</v>
      </c>
    </row>
    <row r="72" spans="2:12" x14ac:dyDescent="0.3">
      <c r="B72" t="s">
        <v>366</v>
      </c>
      <c r="C72" t="s">
        <v>1168</v>
      </c>
      <c r="D72" t="s">
        <v>1144</v>
      </c>
      <c r="E72">
        <v>2916</v>
      </c>
      <c r="F72">
        <v>10285.25</v>
      </c>
      <c r="G72">
        <v>146</v>
      </c>
      <c r="H72">
        <v>902.5</v>
      </c>
      <c r="I72">
        <v>2</v>
      </c>
      <c r="J72">
        <v>14.5</v>
      </c>
      <c r="K72">
        <v>1</v>
      </c>
      <c r="L72">
        <v>3.75</v>
      </c>
    </row>
    <row r="73" spans="2:12" x14ac:dyDescent="0.3">
      <c r="B73" t="s">
        <v>366</v>
      </c>
      <c r="C73" t="s">
        <v>1164</v>
      </c>
      <c r="D73" t="s">
        <v>1153</v>
      </c>
      <c r="E73">
        <v>48</v>
      </c>
      <c r="F73">
        <v>249.5</v>
      </c>
      <c r="G73">
        <v>1</v>
      </c>
      <c r="H73">
        <v>20.25</v>
      </c>
    </row>
    <row r="74" spans="2:12" x14ac:dyDescent="0.3">
      <c r="B74" t="s">
        <v>341</v>
      </c>
      <c r="C74" t="s">
        <v>1164</v>
      </c>
      <c r="D74" t="s">
        <v>1153</v>
      </c>
      <c r="E74">
        <v>63</v>
      </c>
      <c r="F74">
        <v>340.5</v>
      </c>
      <c r="G74">
        <v>3</v>
      </c>
      <c r="H74">
        <v>33.25</v>
      </c>
    </row>
    <row r="75" spans="2:12" x14ac:dyDescent="0.3">
      <c r="B75" t="s">
        <v>342</v>
      </c>
      <c r="C75" t="s">
        <v>1173</v>
      </c>
      <c r="D75" t="s">
        <v>1154</v>
      </c>
      <c r="E75">
        <v>255</v>
      </c>
      <c r="F75">
        <v>1437.75</v>
      </c>
      <c r="G75">
        <v>13</v>
      </c>
      <c r="H75">
        <v>146.5</v>
      </c>
    </row>
    <row r="76" spans="2:12" x14ac:dyDescent="0.3">
      <c r="B76" t="s">
        <v>213</v>
      </c>
      <c r="C76" t="s">
        <v>1171</v>
      </c>
      <c r="D76" t="s">
        <v>1146</v>
      </c>
      <c r="E76">
        <v>85</v>
      </c>
      <c r="F76">
        <v>435.5</v>
      </c>
      <c r="G76">
        <v>3</v>
      </c>
      <c r="H76">
        <v>61.25</v>
      </c>
      <c r="I76">
        <v>1</v>
      </c>
      <c r="J76">
        <v>38.25</v>
      </c>
    </row>
    <row r="77" spans="2:12" x14ac:dyDescent="0.3">
      <c r="B77" t="s">
        <v>312</v>
      </c>
      <c r="C77" t="s">
        <v>1159</v>
      </c>
      <c r="D77" t="s">
        <v>1152</v>
      </c>
      <c r="E77">
        <v>115</v>
      </c>
      <c r="G77">
        <v>2</v>
      </c>
    </row>
    <row r="78" spans="2:12" x14ac:dyDescent="0.3">
      <c r="B78" t="s">
        <v>318</v>
      </c>
      <c r="C78" t="s">
        <v>1161</v>
      </c>
      <c r="D78" t="s">
        <v>1147</v>
      </c>
      <c r="E78">
        <v>206</v>
      </c>
      <c r="F78">
        <v>1195.25</v>
      </c>
      <c r="G78">
        <v>24</v>
      </c>
      <c r="H78">
        <v>285.25</v>
      </c>
      <c r="I78">
        <v>1</v>
      </c>
      <c r="J78">
        <v>54.5</v>
      </c>
    </row>
    <row r="79" spans="2:12" x14ac:dyDescent="0.3">
      <c r="B79" t="s">
        <v>320</v>
      </c>
      <c r="C79" t="s">
        <v>1160</v>
      </c>
      <c r="D79" t="s">
        <v>1142</v>
      </c>
      <c r="E79">
        <v>165</v>
      </c>
      <c r="F79">
        <v>1100.75</v>
      </c>
      <c r="G79">
        <v>1</v>
      </c>
      <c r="H79">
        <v>4</v>
      </c>
      <c r="K79">
        <v>1</v>
      </c>
      <c r="L79">
        <v>8</v>
      </c>
    </row>
    <row r="80" spans="2:12" x14ac:dyDescent="0.3">
      <c r="B80" t="s">
        <v>326</v>
      </c>
      <c r="C80" t="s">
        <v>1162</v>
      </c>
      <c r="D80" t="s">
        <v>1141</v>
      </c>
      <c r="E80">
        <v>1578</v>
      </c>
      <c r="F80">
        <v>9945.75</v>
      </c>
      <c r="G80">
        <v>32</v>
      </c>
      <c r="H80">
        <v>384.25</v>
      </c>
      <c r="K80">
        <v>1</v>
      </c>
      <c r="L80">
        <v>57.25</v>
      </c>
    </row>
    <row r="81" spans="2:12" x14ac:dyDescent="0.3">
      <c r="B81" t="s">
        <v>326</v>
      </c>
      <c r="C81" t="s">
        <v>1166</v>
      </c>
      <c r="D81" t="s">
        <v>1143</v>
      </c>
      <c r="E81">
        <v>11</v>
      </c>
      <c r="F81">
        <v>69</v>
      </c>
    </row>
    <row r="82" spans="2:12" x14ac:dyDescent="0.3">
      <c r="B82" t="s">
        <v>328</v>
      </c>
      <c r="C82" t="s">
        <v>1171</v>
      </c>
      <c r="D82" t="s">
        <v>1146</v>
      </c>
      <c r="E82">
        <v>52</v>
      </c>
      <c r="F82">
        <v>336.25</v>
      </c>
      <c r="G82">
        <v>7</v>
      </c>
      <c r="H82">
        <v>74.5</v>
      </c>
    </row>
    <row r="83" spans="2:12" x14ac:dyDescent="0.3">
      <c r="B83" t="s">
        <v>328</v>
      </c>
      <c r="C83" t="s">
        <v>1164</v>
      </c>
      <c r="D83" t="s">
        <v>1153</v>
      </c>
      <c r="E83">
        <v>36</v>
      </c>
      <c r="F83">
        <v>212</v>
      </c>
      <c r="G83">
        <v>1</v>
      </c>
      <c r="H83">
        <v>18</v>
      </c>
    </row>
    <row r="84" spans="2:12" x14ac:dyDescent="0.3">
      <c r="B84" t="s">
        <v>328</v>
      </c>
      <c r="C84" t="s">
        <v>1160</v>
      </c>
      <c r="D84" t="s">
        <v>1142</v>
      </c>
      <c r="E84">
        <v>219</v>
      </c>
      <c r="F84">
        <v>1302.5</v>
      </c>
      <c r="G84">
        <v>5</v>
      </c>
      <c r="H84">
        <v>162.75</v>
      </c>
      <c r="I84">
        <v>1</v>
      </c>
      <c r="J84">
        <v>81.5</v>
      </c>
    </row>
    <row r="85" spans="2:12" x14ac:dyDescent="0.3">
      <c r="B85" t="s">
        <v>328</v>
      </c>
      <c r="C85" t="s">
        <v>1169</v>
      </c>
      <c r="D85" t="s">
        <v>1149</v>
      </c>
      <c r="E85">
        <v>212</v>
      </c>
      <c r="F85">
        <v>1052.25</v>
      </c>
    </row>
    <row r="86" spans="2:12" x14ac:dyDescent="0.3">
      <c r="B86" t="s">
        <v>412</v>
      </c>
      <c r="C86" t="s">
        <v>1171</v>
      </c>
      <c r="D86" t="s">
        <v>1146</v>
      </c>
      <c r="E86">
        <v>80</v>
      </c>
      <c r="F86">
        <v>568.75</v>
      </c>
      <c r="G86">
        <v>9</v>
      </c>
      <c r="H86">
        <v>178</v>
      </c>
    </row>
    <row r="87" spans="2:12" x14ac:dyDescent="0.3">
      <c r="B87" t="s">
        <v>412</v>
      </c>
      <c r="C87" t="s">
        <v>1165</v>
      </c>
      <c r="D87" t="s">
        <v>1155</v>
      </c>
      <c r="E87">
        <v>276</v>
      </c>
      <c r="F87">
        <v>1632</v>
      </c>
      <c r="G87">
        <v>4</v>
      </c>
      <c r="H87">
        <v>28.25</v>
      </c>
      <c r="K87">
        <v>2</v>
      </c>
      <c r="L87">
        <v>25.25</v>
      </c>
    </row>
    <row r="88" spans="2:12" x14ac:dyDescent="0.3">
      <c r="B88" t="s">
        <v>365</v>
      </c>
      <c r="C88" t="s">
        <v>1163</v>
      </c>
      <c r="D88" t="s">
        <v>1150</v>
      </c>
      <c r="E88">
        <v>343</v>
      </c>
      <c r="F88">
        <v>1793.75</v>
      </c>
      <c r="G88">
        <v>13</v>
      </c>
      <c r="H88">
        <v>95</v>
      </c>
      <c r="K88">
        <v>1</v>
      </c>
      <c r="L88">
        <v>12.5</v>
      </c>
    </row>
    <row r="89" spans="2:12" x14ac:dyDescent="0.3">
      <c r="B89" t="s">
        <v>366</v>
      </c>
      <c r="C89" t="s">
        <v>1162</v>
      </c>
      <c r="D89" t="s">
        <v>1141</v>
      </c>
      <c r="E89">
        <v>1667</v>
      </c>
      <c r="F89">
        <v>9716.25</v>
      </c>
      <c r="G89">
        <v>93</v>
      </c>
      <c r="H89">
        <v>978.75</v>
      </c>
      <c r="I89">
        <v>3</v>
      </c>
      <c r="J89">
        <v>76.25</v>
      </c>
    </row>
    <row r="90" spans="2:12" x14ac:dyDescent="0.3">
      <c r="B90" t="s">
        <v>366</v>
      </c>
      <c r="C90" t="s">
        <v>1159</v>
      </c>
      <c r="D90" t="s">
        <v>1152</v>
      </c>
      <c r="E90">
        <v>190</v>
      </c>
      <c r="F90">
        <v>988.5</v>
      </c>
      <c r="G90">
        <v>8</v>
      </c>
      <c r="H90">
        <v>62.25</v>
      </c>
      <c r="K90">
        <v>1</v>
      </c>
      <c r="L90">
        <v>5.5</v>
      </c>
    </row>
    <row r="91" spans="2:12" x14ac:dyDescent="0.3">
      <c r="B91" t="s">
        <v>341</v>
      </c>
      <c r="C91" t="s">
        <v>1171</v>
      </c>
      <c r="D91" t="s">
        <v>1146</v>
      </c>
      <c r="E91">
        <v>119</v>
      </c>
      <c r="F91">
        <v>607</v>
      </c>
      <c r="G91">
        <v>9</v>
      </c>
      <c r="H91">
        <v>83.5</v>
      </c>
      <c r="I91">
        <v>1</v>
      </c>
      <c r="J91">
        <v>6.75</v>
      </c>
    </row>
    <row r="92" spans="2:12" x14ac:dyDescent="0.3">
      <c r="B92" t="s">
        <v>341</v>
      </c>
      <c r="C92" t="s">
        <v>1161</v>
      </c>
      <c r="D92" t="s">
        <v>1147</v>
      </c>
      <c r="E92">
        <v>990</v>
      </c>
      <c r="F92">
        <v>5995.25</v>
      </c>
      <c r="G92">
        <v>148</v>
      </c>
      <c r="H92">
        <v>1626.25</v>
      </c>
      <c r="I92">
        <v>8</v>
      </c>
      <c r="J92">
        <v>268.5</v>
      </c>
      <c r="K92">
        <v>3</v>
      </c>
      <c r="L92">
        <v>20.75</v>
      </c>
    </row>
    <row r="93" spans="2:12" x14ac:dyDescent="0.3">
      <c r="B93" t="s">
        <v>342</v>
      </c>
      <c r="C93" t="s">
        <v>1162</v>
      </c>
      <c r="D93" t="s">
        <v>1141</v>
      </c>
      <c r="E93">
        <v>1599</v>
      </c>
      <c r="F93">
        <v>8671.5</v>
      </c>
      <c r="G93">
        <v>54</v>
      </c>
      <c r="H93">
        <v>593.75</v>
      </c>
    </row>
    <row r="94" spans="2:12" x14ac:dyDescent="0.3">
      <c r="B94" t="s">
        <v>213</v>
      </c>
      <c r="C94" t="s">
        <v>1167</v>
      </c>
      <c r="D94" t="s">
        <v>1145</v>
      </c>
      <c r="E94">
        <v>449</v>
      </c>
      <c r="F94">
        <v>2244.5</v>
      </c>
      <c r="G94">
        <v>22</v>
      </c>
      <c r="H94">
        <v>166.5</v>
      </c>
    </row>
    <row r="95" spans="2:12" x14ac:dyDescent="0.3">
      <c r="B95" t="s">
        <v>213</v>
      </c>
      <c r="C95" t="s">
        <v>1161</v>
      </c>
      <c r="D95" t="s">
        <v>1147</v>
      </c>
      <c r="E95">
        <v>921</v>
      </c>
      <c r="F95">
        <v>5130.75</v>
      </c>
      <c r="G95">
        <v>109</v>
      </c>
      <c r="H95">
        <v>1313.75</v>
      </c>
      <c r="I95">
        <v>5</v>
      </c>
      <c r="J95">
        <v>154</v>
      </c>
      <c r="K95">
        <v>4</v>
      </c>
      <c r="L95">
        <v>34</v>
      </c>
    </row>
    <row r="96" spans="2:12" x14ac:dyDescent="0.3">
      <c r="B96" t="s">
        <v>213</v>
      </c>
      <c r="C96" t="s">
        <v>1169</v>
      </c>
      <c r="D96" t="s">
        <v>1149</v>
      </c>
      <c r="E96">
        <v>263</v>
      </c>
      <c r="F96">
        <v>1314</v>
      </c>
      <c r="G96">
        <v>4</v>
      </c>
      <c r="H96">
        <v>38</v>
      </c>
    </row>
    <row r="97" spans="2:12" x14ac:dyDescent="0.3">
      <c r="B97" t="s">
        <v>312</v>
      </c>
      <c r="C97" t="s">
        <v>1161</v>
      </c>
      <c r="D97" t="s">
        <v>1147</v>
      </c>
      <c r="E97">
        <v>1017</v>
      </c>
      <c r="G97">
        <v>64</v>
      </c>
    </row>
    <row r="98" spans="2:12" x14ac:dyDescent="0.3">
      <c r="B98" t="s">
        <v>312</v>
      </c>
      <c r="C98" t="s">
        <v>1170</v>
      </c>
      <c r="D98" t="s">
        <v>1151</v>
      </c>
      <c r="E98">
        <v>458</v>
      </c>
      <c r="G98">
        <v>12</v>
      </c>
      <c r="K98">
        <v>2</v>
      </c>
    </row>
    <row r="99" spans="2:12" x14ac:dyDescent="0.3">
      <c r="B99" t="s">
        <v>312</v>
      </c>
      <c r="C99" t="s">
        <v>1172</v>
      </c>
      <c r="D99" t="s">
        <v>1148</v>
      </c>
      <c r="E99">
        <v>259</v>
      </c>
      <c r="G99">
        <v>30</v>
      </c>
      <c r="K99">
        <v>1</v>
      </c>
    </row>
    <row r="100" spans="2:12" x14ac:dyDescent="0.3">
      <c r="B100" t="s">
        <v>318</v>
      </c>
      <c r="C100" t="s">
        <v>1171</v>
      </c>
      <c r="D100" t="s">
        <v>1146</v>
      </c>
      <c r="E100">
        <v>34</v>
      </c>
      <c r="F100">
        <v>117</v>
      </c>
      <c r="G100">
        <v>3</v>
      </c>
      <c r="H100">
        <v>48.75</v>
      </c>
    </row>
    <row r="101" spans="2:12" x14ac:dyDescent="0.3">
      <c r="B101" t="s">
        <v>318</v>
      </c>
      <c r="C101" t="s">
        <v>1170</v>
      </c>
      <c r="D101" t="s">
        <v>1151</v>
      </c>
      <c r="E101">
        <v>109</v>
      </c>
      <c r="F101">
        <v>561.5</v>
      </c>
      <c r="G101">
        <v>6</v>
      </c>
      <c r="H101">
        <v>63.5</v>
      </c>
      <c r="I101">
        <v>1</v>
      </c>
      <c r="J101">
        <v>27.5</v>
      </c>
    </row>
    <row r="102" spans="2:12" x14ac:dyDescent="0.3">
      <c r="B102" t="s">
        <v>318</v>
      </c>
      <c r="C102" t="s">
        <v>1165</v>
      </c>
      <c r="D102" t="s">
        <v>1155</v>
      </c>
      <c r="E102">
        <v>119</v>
      </c>
      <c r="F102">
        <v>667.5</v>
      </c>
      <c r="G102">
        <v>6</v>
      </c>
      <c r="H102">
        <v>56.25</v>
      </c>
      <c r="K102">
        <v>1</v>
      </c>
      <c r="L102">
        <v>4</v>
      </c>
    </row>
    <row r="103" spans="2:12" x14ac:dyDescent="0.3">
      <c r="B103" t="s">
        <v>318</v>
      </c>
      <c r="C103" t="s">
        <v>1163</v>
      </c>
      <c r="D103" t="s">
        <v>1150</v>
      </c>
      <c r="E103">
        <v>59</v>
      </c>
      <c r="F103">
        <v>366.5</v>
      </c>
      <c r="G103">
        <v>3</v>
      </c>
      <c r="H103">
        <v>27.25</v>
      </c>
    </row>
    <row r="104" spans="2:12" x14ac:dyDescent="0.3">
      <c r="B104" t="s">
        <v>318</v>
      </c>
      <c r="C104" t="s">
        <v>1169</v>
      </c>
      <c r="D104" t="s">
        <v>1149</v>
      </c>
      <c r="E104">
        <v>62</v>
      </c>
      <c r="F104">
        <v>288.25</v>
      </c>
    </row>
    <row r="105" spans="2:12" x14ac:dyDescent="0.3">
      <c r="B105" t="s">
        <v>320</v>
      </c>
      <c r="C105" t="s">
        <v>1162</v>
      </c>
      <c r="D105" t="s">
        <v>1141</v>
      </c>
      <c r="E105">
        <v>1392</v>
      </c>
      <c r="F105">
        <v>9003</v>
      </c>
      <c r="G105">
        <v>17</v>
      </c>
      <c r="H105">
        <v>258.5</v>
      </c>
      <c r="I105">
        <v>1</v>
      </c>
      <c r="J105">
        <v>41</v>
      </c>
    </row>
    <row r="106" spans="2:12" x14ac:dyDescent="0.3">
      <c r="B106" t="s">
        <v>320</v>
      </c>
      <c r="C106" t="s">
        <v>1161</v>
      </c>
      <c r="D106" t="s">
        <v>1147</v>
      </c>
      <c r="E106">
        <v>588</v>
      </c>
      <c r="F106">
        <v>4421</v>
      </c>
      <c r="G106">
        <v>68</v>
      </c>
      <c r="H106">
        <v>848.75</v>
      </c>
      <c r="I106">
        <v>1</v>
      </c>
      <c r="J106">
        <v>29.75</v>
      </c>
      <c r="K106">
        <v>2</v>
      </c>
      <c r="L106">
        <v>11.5</v>
      </c>
    </row>
    <row r="107" spans="2:12" x14ac:dyDescent="0.3">
      <c r="B107" t="s">
        <v>320</v>
      </c>
      <c r="C107" t="s">
        <v>1169</v>
      </c>
      <c r="D107" t="s">
        <v>1149</v>
      </c>
      <c r="E107">
        <v>108</v>
      </c>
      <c r="F107">
        <v>655.75</v>
      </c>
      <c r="G107">
        <v>2</v>
      </c>
      <c r="H107">
        <v>27.75</v>
      </c>
    </row>
    <row r="108" spans="2:12" x14ac:dyDescent="0.3">
      <c r="B108" t="s">
        <v>325</v>
      </c>
      <c r="C108" t="s">
        <v>1170</v>
      </c>
      <c r="D108" t="s">
        <v>1151</v>
      </c>
      <c r="E108">
        <v>532</v>
      </c>
      <c r="F108">
        <v>2943.25</v>
      </c>
      <c r="G108">
        <v>15</v>
      </c>
      <c r="H108">
        <v>142.75</v>
      </c>
      <c r="I108">
        <v>1</v>
      </c>
      <c r="J108">
        <v>22.25</v>
      </c>
    </row>
    <row r="109" spans="2:12" x14ac:dyDescent="0.3">
      <c r="B109" t="s">
        <v>325</v>
      </c>
      <c r="C109" t="s">
        <v>1164</v>
      </c>
      <c r="D109" t="s">
        <v>1153</v>
      </c>
      <c r="E109">
        <v>20</v>
      </c>
      <c r="F109">
        <v>140</v>
      </c>
    </row>
    <row r="110" spans="2:12" x14ac:dyDescent="0.3">
      <c r="B110" t="s">
        <v>325</v>
      </c>
      <c r="C110" t="s">
        <v>1160</v>
      </c>
      <c r="D110" t="s">
        <v>1142</v>
      </c>
      <c r="E110">
        <v>167</v>
      </c>
      <c r="F110">
        <v>1148.75</v>
      </c>
      <c r="G110">
        <v>5</v>
      </c>
      <c r="H110">
        <v>46</v>
      </c>
    </row>
    <row r="111" spans="2:12" x14ac:dyDescent="0.3">
      <c r="B111" t="s">
        <v>326</v>
      </c>
      <c r="C111" t="s">
        <v>1168</v>
      </c>
      <c r="D111" t="s">
        <v>1144</v>
      </c>
      <c r="E111">
        <v>1765</v>
      </c>
      <c r="F111">
        <v>7900.75</v>
      </c>
      <c r="G111">
        <v>62</v>
      </c>
      <c r="H111">
        <v>473.5</v>
      </c>
      <c r="I111">
        <v>1</v>
      </c>
      <c r="J111">
        <v>30.25</v>
      </c>
      <c r="K111">
        <v>1</v>
      </c>
      <c r="L111">
        <v>4</v>
      </c>
    </row>
    <row r="112" spans="2:12" x14ac:dyDescent="0.3">
      <c r="B112" t="s">
        <v>328</v>
      </c>
      <c r="C112" t="s">
        <v>1167</v>
      </c>
      <c r="D112" t="s">
        <v>1145</v>
      </c>
      <c r="E112">
        <v>313</v>
      </c>
      <c r="F112">
        <v>2037.75</v>
      </c>
      <c r="G112">
        <v>7</v>
      </c>
      <c r="H112">
        <v>117.25</v>
      </c>
    </row>
    <row r="113" spans="2:12" x14ac:dyDescent="0.3">
      <c r="B113" t="s">
        <v>328</v>
      </c>
      <c r="C113" t="s">
        <v>1165</v>
      </c>
      <c r="D113" t="s">
        <v>1155</v>
      </c>
      <c r="E113">
        <v>336</v>
      </c>
      <c r="F113">
        <v>2007.25</v>
      </c>
      <c r="G113">
        <v>13</v>
      </c>
      <c r="H113">
        <v>80</v>
      </c>
      <c r="K113">
        <v>3</v>
      </c>
      <c r="L113">
        <v>36.5</v>
      </c>
    </row>
    <row r="114" spans="2:12" x14ac:dyDescent="0.3">
      <c r="B114" t="s">
        <v>412</v>
      </c>
      <c r="C114" t="s">
        <v>1162</v>
      </c>
      <c r="D114" t="s">
        <v>1141</v>
      </c>
      <c r="E114">
        <v>1573</v>
      </c>
      <c r="F114">
        <v>9921.5</v>
      </c>
      <c r="G114">
        <v>21</v>
      </c>
      <c r="H114">
        <v>248.25</v>
      </c>
    </row>
    <row r="115" spans="2:12" x14ac:dyDescent="0.3">
      <c r="B115" t="s">
        <v>412</v>
      </c>
      <c r="C115" t="s">
        <v>1161</v>
      </c>
      <c r="D115" t="s">
        <v>1147</v>
      </c>
      <c r="E115">
        <v>838</v>
      </c>
      <c r="F115">
        <v>5730.5</v>
      </c>
      <c r="G115">
        <v>87</v>
      </c>
      <c r="H115">
        <v>1215.5</v>
      </c>
      <c r="I115">
        <v>1</v>
      </c>
      <c r="J115">
        <v>35.5</v>
      </c>
      <c r="K115">
        <v>2</v>
      </c>
      <c r="L115">
        <v>51.25</v>
      </c>
    </row>
    <row r="116" spans="2:12" x14ac:dyDescent="0.3">
      <c r="B116" t="s">
        <v>412</v>
      </c>
      <c r="C116" t="s">
        <v>1172</v>
      </c>
      <c r="D116" t="s">
        <v>1148</v>
      </c>
      <c r="E116">
        <v>297</v>
      </c>
      <c r="F116">
        <v>1838</v>
      </c>
      <c r="G116">
        <v>29</v>
      </c>
      <c r="H116">
        <v>272.25</v>
      </c>
      <c r="K116">
        <v>2</v>
      </c>
      <c r="L116">
        <v>18.5</v>
      </c>
    </row>
    <row r="117" spans="2:12" x14ac:dyDescent="0.3">
      <c r="B117" t="s">
        <v>412</v>
      </c>
      <c r="C117" t="s">
        <v>1169</v>
      </c>
      <c r="D117" t="s">
        <v>1149</v>
      </c>
      <c r="E117">
        <v>210</v>
      </c>
      <c r="F117">
        <v>1064.25</v>
      </c>
      <c r="K117">
        <v>1</v>
      </c>
      <c r="L117">
        <v>6</v>
      </c>
    </row>
    <row r="118" spans="2:12" x14ac:dyDescent="0.3">
      <c r="B118" t="s">
        <v>365</v>
      </c>
      <c r="C118" t="s">
        <v>1165</v>
      </c>
      <c r="D118" t="s">
        <v>1155</v>
      </c>
      <c r="E118">
        <v>644</v>
      </c>
      <c r="F118">
        <v>3222.75</v>
      </c>
      <c r="G118">
        <v>39</v>
      </c>
      <c r="H118">
        <v>284.75</v>
      </c>
    </row>
    <row r="119" spans="2:12" x14ac:dyDescent="0.3">
      <c r="B119" t="s">
        <v>365</v>
      </c>
      <c r="C119" t="s">
        <v>1160</v>
      </c>
      <c r="D119" t="s">
        <v>1142</v>
      </c>
      <c r="E119">
        <v>388</v>
      </c>
      <c r="F119">
        <v>2008.75</v>
      </c>
      <c r="G119">
        <v>24</v>
      </c>
      <c r="H119">
        <v>214.75</v>
      </c>
    </row>
    <row r="120" spans="2:12" x14ac:dyDescent="0.3">
      <c r="B120" t="s">
        <v>366</v>
      </c>
      <c r="C120" t="s">
        <v>1167</v>
      </c>
      <c r="D120" t="s">
        <v>1145</v>
      </c>
      <c r="E120">
        <v>409</v>
      </c>
      <c r="F120">
        <v>2440</v>
      </c>
      <c r="G120">
        <v>42</v>
      </c>
      <c r="H120">
        <v>504.75</v>
      </c>
      <c r="I120">
        <v>1</v>
      </c>
      <c r="J120">
        <v>32</v>
      </c>
    </row>
    <row r="121" spans="2:12" x14ac:dyDescent="0.3">
      <c r="B121" t="s">
        <v>366</v>
      </c>
      <c r="C121" t="s">
        <v>1161</v>
      </c>
      <c r="D121" t="s">
        <v>1147</v>
      </c>
      <c r="E121">
        <v>1100</v>
      </c>
      <c r="F121">
        <v>6862.25</v>
      </c>
      <c r="G121">
        <v>163</v>
      </c>
      <c r="H121">
        <v>2008.25</v>
      </c>
      <c r="I121">
        <v>14</v>
      </c>
      <c r="J121">
        <v>436.5</v>
      </c>
    </row>
    <row r="122" spans="2:12" x14ac:dyDescent="0.3">
      <c r="B122" t="s">
        <v>366</v>
      </c>
      <c r="C122" t="s">
        <v>1163</v>
      </c>
      <c r="D122" t="s">
        <v>1150</v>
      </c>
      <c r="E122">
        <v>303</v>
      </c>
      <c r="F122">
        <v>1550.75</v>
      </c>
      <c r="G122">
        <v>17</v>
      </c>
      <c r="H122">
        <v>153</v>
      </c>
    </row>
    <row r="123" spans="2:12" x14ac:dyDescent="0.3">
      <c r="B123" t="s">
        <v>366</v>
      </c>
      <c r="C123" t="s">
        <v>1169</v>
      </c>
      <c r="D123" t="s">
        <v>1149</v>
      </c>
      <c r="E123">
        <v>364</v>
      </c>
      <c r="F123">
        <v>1734.75</v>
      </c>
      <c r="G123">
        <v>15</v>
      </c>
      <c r="H123">
        <v>95.75</v>
      </c>
    </row>
    <row r="124" spans="2:12" x14ac:dyDescent="0.3">
      <c r="B124" t="s">
        <v>341</v>
      </c>
      <c r="C124" t="s">
        <v>1163</v>
      </c>
      <c r="D124" t="s">
        <v>1150</v>
      </c>
      <c r="E124">
        <v>221</v>
      </c>
      <c r="F124">
        <v>1244.75</v>
      </c>
      <c r="G124">
        <v>14</v>
      </c>
      <c r="H124">
        <v>103.25</v>
      </c>
    </row>
    <row r="125" spans="2:12" x14ac:dyDescent="0.3">
      <c r="B125" t="s">
        <v>341</v>
      </c>
      <c r="C125" t="s">
        <v>1160</v>
      </c>
      <c r="D125" t="s">
        <v>1142</v>
      </c>
      <c r="E125">
        <v>319</v>
      </c>
      <c r="F125">
        <v>1744</v>
      </c>
      <c r="G125">
        <v>10</v>
      </c>
      <c r="H125">
        <v>102.75</v>
      </c>
    </row>
    <row r="126" spans="2:12" x14ac:dyDescent="0.3">
      <c r="B126" t="s">
        <v>342</v>
      </c>
      <c r="C126" t="s">
        <v>1165</v>
      </c>
      <c r="D126" t="s">
        <v>1155</v>
      </c>
      <c r="E126">
        <v>344</v>
      </c>
      <c r="F126">
        <v>1674.75</v>
      </c>
      <c r="G126">
        <v>18</v>
      </c>
      <c r="H126">
        <v>138.25</v>
      </c>
      <c r="I126">
        <v>1</v>
      </c>
      <c r="J126">
        <v>3</v>
      </c>
      <c r="K126">
        <v>2</v>
      </c>
      <c r="L126">
        <v>12.5</v>
      </c>
    </row>
    <row r="127" spans="2:12" x14ac:dyDescent="0.3">
      <c r="B127" t="s">
        <v>342</v>
      </c>
      <c r="C127" t="s">
        <v>1169</v>
      </c>
      <c r="D127" t="s">
        <v>1149</v>
      </c>
      <c r="E127">
        <v>217</v>
      </c>
      <c r="F127">
        <v>1101.5</v>
      </c>
      <c r="G127">
        <v>3</v>
      </c>
      <c r="H127">
        <v>26</v>
      </c>
    </row>
    <row r="128" spans="2:12" x14ac:dyDescent="0.3">
      <c r="B128" t="s">
        <v>312</v>
      </c>
      <c r="C128" t="s">
        <v>1165</v>
      </c>
      <c r="D128" t="s">
        <v>1155</v>
      </c>
      <c r="E128">
        <v>350</v>
      </c>
      <c r="G128">
        <v>8</v>
      </c>
      <c r="K128">
        <v>1</v>
      </c>
    </row>
    <row r="129" spans="2:12" x14ac:dyDescent="0.3">
      <c r="B129" t="s">
        <v>312</v>
      </c>
      <c r="C129" t="s">
        <v>1169</v>
      </c>
      <c r="D129" t="s">
        <v>1149</v>
      </c>
      <c r="E129">
        <v>283</v>
      </c>
      <c r="G129">
        <v>2</v>
      </c>
    </row>
    <row r="130" spans="2:12" x14ac:dyDescent="0.3">
      <c r="B130" t="s">
        <v>318</v>
      </c>
      <c r="C130" t="s">
        <v>1166</v>
      </c>
      <c r="D130" t="s">
        <v>1143</v>
      </c>
      <c r="E130">
        <v>10</v>
      </c>
      <c r="F130">
        <v>66.5</v>
      </c>
    </row>
    <row r="131" spans="2:12" x14ac:dyDescent="0.3">
      <c r="B131" t="s">
        <v>320</v>
      </c>
      <c r="C131" t="s">
        <v>1170</v>
      </c>
      <c r="D131" t="s">
        <v>1151</v>
      </c>
      <c r="E131">
        <v>272</v>
      </c>
      <c r="F131">
        <v>1519.25</v>
      </c>
      <c r="G131">
        <v>18</v>
      </c>
      <c r="H131">
        <v>254.75</v>
      </c>
      <c r="I131">
        <v>1</v>
      </c>
      <c r="J131">
        <v>65</v>
      </c>
    </row>
    <row r="132" spans="2:12" x14ac:dyDescent="0.3">
      <c r="B132" t="s">
        <v>320</v>
      </c>
      <c r="C132" t="s">
        <v>1166</v>
      </c>
      <c r="D132" t="s">
        <v>1143</v>
      </c>
      <c r="E132">
        <v>10</v>
      </c>
      <c r="F132">
        <v>95.25</v>
      </c>
    </row>
    <row r="133" spans="2:12" x14ac:dyDescent="0.3">
      <c r="B133" t="s">
        <v>320</v>
      </c>
      <c r="C133" t="s">
        <v>1165</v>
      </c>
      <c r="D133" t="s">
        <v>1155</v>
      </c>
      <c r="E133">
        <v>187</v>
      </c>
      <c r="F133">
        <v>1090.5</v>
      </c>
      <c r="G133">
        <v>6</v>
      </c>
      <c r="H133">
        <v>51</v>
      </c>
      <c r="K133">
        <v>2</v>
      </c>
      <c r="L133">
        <v>18</v>
      </c>
    </row>
    <row r="134" spans="2:12" x14ac:dyDescent="0.3">
      <c r="B134" t="s">
        <v>320</v>
      </c>
      <c r="C134" t="s">
        <v>1163</v>
      </c>
      <c r="D134" t="s">
        <v>1150</v>
      </c>
      <c r="E134">
        <v>172</v>
      </c>
      <c r="F134">
        <v>1113</v>
      </c>
      <c r="G134">
        <v>4</v>
      </c>
      <c r="H134">
        <v>36.25</v>
      </c>
    </row>
    <row r="135" spans="2:12" x14ac:dyDescent="0.3">
      <c r="B135" t="s">
        <v>325</v>
      </c>
      <c r="C135" t="s">
        <v>1162</v>
      </c>
      <c r="D135" t="s">
        <v>1141</v>
      </c>
      <c r="E135">
        <v>1575</v>
      </c>
      <c r="F135">
        <v>10482</v>
      </c>
      <c r="G135">
        <v>31</v>
      </c>
      <c r="H135">
        <v>586.75</v>
      </c>
    </row>
    <row r="136" spans="2:12" x14ac:dyDescent="0.3">
      <c r="B136" t="s">
        <v>325</v>
      </c>
      <c r="C136" t="s">
        <v>1168</v>
      </c>
      <c r="D136" t="s">
        <v>1144</v>
      </c>
      <c r="E136">
        <v>1859</v>
      </c>
      <c r="F136">
        <v>8252.5</v>
      </c>
      <c r="G136">
        <v>99</v>
      </c>
      <c r="H136">
        <v>781.75</v>
      </c>
    </row>
    <row r="137" spans="2:12" x14ac:dyDescent="0.3">
      <c r="B137" t="s">
        <v>325</v>
      </c>
      <c r="C137" t="s">
        <v>1161</v>
      </c>
      <c r="D137" t="s">
        <v>1147</v>
      </c>
      <c r="E137">
        <v>814</v>
      </c>
      <c r="F137">
        <v>5823.75</v>
      </c>
      <c r="G137">
        <v>84</v>
      </c>
      <c r="H137">
        <v>1269.5</v>
      </c>
      <c r="I137">
        <v>1</v>
      </c>
      <c r="J137">
        <v>76</v>
      </c>
      <c r="K137">
        <v>3</v>
      </c>
      <c r="L137">
        <v>31.5</v>
      </c>
    </row>
    <row r="138" spans="2:12" x14ac:dyDescent="0.3">
      <c r="B138" t="s">
        <v>325</v>
      </c>
      <c r="C138" t="s">
        <v>1173</v>
      </c>
      <c r="D138" t="s">
        <v>1154</v>
      </c>
      <c r="E138">
        <v>217</v>
      </c>
      <c r="F138">
        <v>1482.5</v>
      </c>
      <c r="G138">
        <v>2</v>
      </c>
      <c r="H138">
        <v>25.75</v>
      </c>
    </row>
    <row r="139" spans="2:12" x14ac:dyDescent="0.3">
      <c r="B139" t="s">
        <v>325</v>
      </c>
      <c r="C139" t="s">
        <v>1163</v>
      </c>
      <c r="D139" t="s">
        <v>1150</v>
      </c>
      <c r="E139">
        <v>162</v>
      </c>
      <c r="F139">
        <v>1142.5</v>
      </c>
      <c r="G139">
        <v>6</v>
      </c>
      <c r="H139">
        <v>56.5</v>
      </c>
    </row>
    <row r="140" spans="2:12" x14ac:dyDescent="0.3">
      <c r="B140" t="s">
        <v>325</v>
      </c>
      <c r="C140" t="s">
        <v>1169</v>
      </c>
      <c r="D140" t="s">
        <v>1149</v>
      </c>
      <c r="E140">
        <v>109</v>
      </c>
      <c r="F140">
        <v>656.75</v>
      </c>
      <c r="G140">
        <v>1</v>
      </c>
      <c r="H140">
        <v>4.75</v>
      </c>
      <c r="K140">
        <v>1</v>
      </c>
      <c r="L140">
        <v>18</v>
      </c>
    </row>
    <row r="141" spans="2:12" x14ac:dyDescent="0.3">
      <c r="B141" t="s">
        <v>326</v>
      </c>
      <c r="C141" t="s">
        <v>1171</v>
      </c>
      <c r="D141" t="s">
        <v>1146</v>
      </c>
      <c r="E141">
        <v>48</v>
      </c>
      <c r="F141">
        <v>313.25</v>
      </c>
      <c r="G141">
        <v>3</v>
      </c>
      <c r="H141">
        <v>27.75</v>
      </c>
    </row>
    <row r="142" spans="2:12" x14ac:dyDescent="0.3">
      <c r="B142" t="s">
        <v>412</v>
      </c>
      <c r="C142" t="s">
        <v>1167</v>
      </c>
      <c r="D142" t="s">
        <v>1145</v>
      </c>
      <c r="E142">
        <v>292</v>
      </c>
      <c r="F142">
        <v>1805.25</v>
      </c>
      <c r="G142">
        <v>10</v>
      </c>
      <c r="H142">
        <v>103.5</v>
      </c>
    </row>
    <row r="143" spans="2:12" x14ac:dyDescent="0.3">
      <c r="B143" t="s">
        <v>412</v>
      </c>
      <c r="C143" t="s">
        <v>1166</v>
      </c>
      <c r="D143" t="s">
        <v>1143</v>
      </c>
      <c r="E143">
        <v>23</v>
      </c>
      <c r="F143">
        <v>98.25</v>
      </c>
    </row>
    <row r="144" spans="2:12" x14ac:dyDescent="0.3">
      <c r="B144" t="s">
        <v>412</v>
      </c>
      <c r="C144" t="s">
        <v>1163</v>
      </c>
      <c r="D144" t="s">
        <v>1150</v>
      </c>
      <c r="E144">
        <v>159</v>
      </c>
      <c r="F144">
        <v>1030</v>
      </c>
      <c r="K144">
        <v>1</v>
      </c>
      <c r="L144">
        <v>29.75</v>
      </c>
    </row>
    <row r="145" spans="2:12" x14ac:dyDescent="0.3">
      <c r="B145" t="s">
        <v>365</v>
      </c>
      <c r="C145" t="s">
        <v>1162</v>
      </c>
      <c r="D145" t="s">
        <v>1141</v>
      </c>
      <c r="E145">
        <v>1456</v>
      </c>
      <c r="F145">
        <v>8821.25</v>
      </c>
      <c r="G145">
        <v>50</v>
      </c>
      <c r="H145">
        <v>482.25</v>
      </c>
      <c r="I145">
        <v>1</v>
      </c>
      <c r="J145">
        <v>31</v>
      </c>
    </row>
    <row r="146" spans="2:12" x14ac:dyDescent="0.3">
      <c r="B146" t="s">
        <v>365</v>
      </c>
      <c r="C146" t="s">
        <v>1168</v>
      </c>
      <c r="D146" t="s">
        <v>1144</v>
      </c>
      <c r="E146">
        <v>1871</v>
      </c>
      <c r="F146">
        <v>7024.75</v>
      </c>
      <c r="G146">
        <v>76</v>
      </c>
      <c r="H146">
        <v>361.75</v>
      </c>
      <c r="I146">
        <v>2</v>
      </c>
      <c r="J146">
        <v>19.25</v>
      </c>
      <c r="K146">
        <v>1</v>
      </c>
      <c r="L146">
        <v>7.5</v>
      </c>
    </row>
    <row r="147" spans="2:12" x14ac:dyDescent="0.3">
      <c r="B147" t="s">
        <v>365</v>
      </c>
      <c r="C147" t="s">
        <v>1166</v>
      </c>
      <c r="D147" t="s">
        <v>1143</v>
      </c>
      <c r="E147">
        <v>27</v>
      </c>
      <c r="F147">
        <v>201</v>
      </c>
      <c r="G147">
        <v>1</v>
      </c>
      <c r="H147">
        <v>4.75</v>
      </c>
    </row>
    <row r="148" spans="2:12" x14ac:dyDescent="0.3">
      <c r="B148" t="s">
        <v>365</v>
      </c>
      <c r="C148" t="s">
        <v>1172</v>
      </c>
      <c r="D148" t="s">
        <v>1148</v>
      </c>
      <c r="E148">
        <v>553</v>
      </c>
      <c r="F148">
        <v>2713</v>
      </c>
      <c r="G148">
        <v>43</v>
      </c>
      <c r="H148">
        <v>383.25</v>
      </c>
    </row>
    <row r="149" spans="2:12" x14ac:dyDescent="0.3">
      <c r="B149" t="s">
        <v>365</v>
      </c>
      <c r="C149" t="s">
        <v>1169</v>
      </c>
      <c r="D149" t="s">
        <v>1149</v>
      </c>
      <c r="E149">
        <v>333</v>
      </c>
      <c r="F149">
        <v>1754.75</v>
      </c>
      <c r="G149">
        <v>11</v>
      </c>
      <c r="H149">
        <v>75</v>
      </c>
      <c r="I149">
        <v>1</v>
      </c>
      <c r="J149">
        <v>5.5</v>
      </c>
    </row>
    <row r="150" spans="2:12" x14ac:dyDescent="0.3">
      <c r="B150" t="s">
        <v>365</v>
      </c>
      <c r="C150" t="s">
        <v>1159</v>
      </c>
      <c r="D150" t="s">
        <v>1152</v>
      </c>
      <c r="E150">
        <v>164</v>
      </c>
      <c r="F150">
        <v>872.25</v>
      </c>
      <c r="G150">
        <v>10</v>
      </c>
      <c r="H150">
        <v>110.25</v>
      </c>
    </row>
    <row r="151" spans="2:12" x14ac:dyDescent="0.3">
      <c r="B151" t="s">
        <v>341</v>
      </c>
      <c r="C151" t="s">
        <v>1167</v>
      </c>
      <c r="D151" t="s">
        <v>1145</v>
      </c>
      <c r="E151">
        <v>359</v>
      </c>
      <c r="F151">
        <v>1911.75</v>
      </c>
      <c r="G151">
        <v>37</v>
      </c>
      <c r="H151">
        <v>370.75</v>
      </c>
    </row>
    <row r="152" spans="2:12" x14ac:dyDescent="0.3">
      <c r="B152" t="s">
        <v>341</v>
      </c>
      <c r="C152" t="s">
        <v>1173</v>
      </c>
      <c r="D152" t="s">
        <v>1154</v>
      </c>
      <c r="E152">
        <v>350</v>
      </c>
      <c r="F152">
        <v>2174</v>
      </c>
      <c r="G152">
        <v>13</v>
      </c>
      <c r="H152">
        <v>160.75</v>
      </c>
    </row>
    <row r="153" spans="2:12" x14ac:dyDescent="0.3">
      <c r="B153" t="s">
        <v>342</v>
      </c>
      <c r="C153" t="s">
        <v>1163</v>
      </c>
      <c r="D153" t="s">
        <v>1150</v>
      </c>
      <c r="E153">
        <v>225</v>
      </c>
      <c r="F153">
        <v>1105.5</v>
      </c>
      <c r="G153">
        <v>15</v>
      </c>
      <c r="H153">
        <v>122.25</v>
      </c>
    </row>
    <row r="154" spans="2:12" x14ac:dyDescent="0.3">
      <c r="B154" t="s">
        <v>213</v>
      </c>
      <c r="C154" t="s">
        <v>1162</v>
      </c>
      <c r="D154" t="s">
        <v>1141</v>
      </c>
      <c r="E154">
        <v>1731</v>
      </c>
      <c r="F154">
        <v>9112.75</v>
      </c>
      <c r="G154">
        <v>44</v>
      </c>
      <c r="H154">
        <v>463.25</v>
      </c>
      <c r="I154">
        <v>1</v>
      </c>
      <c r="J154">
        <v>33.25</v>
      </c>
    </row>
    <row r="155" spans="2:12" x14ac:dyDescent="0.3">
      <c r="B155" t="s">
        <v>213</v>
      </c>
      <c r="C155" t="s">
        <v>1164</v>
      </c>
      <c r="D155" t="s">
        <v>1153</v>
      </c>
      <c r="E155">
        <v>59</v>
      </c>
      <c r="F155">
        <v>321.75</v>
      </c>
      <c r="G155">
        <v>1</v>
      </c>
      <c r="H155">
        <v>14</v>
      </c>
    </row>
    <row r="156" spans="2:12" x14ac:dyDescent="0.3">
      <c r="B156" t="s">
        <v>312</v>
      </c>
      <c r="C156" t="s">
        <v>1173</v>
      </c>
      <c r="D156" t="s">
        <v>1154</v>
      </c>
      <c r="E156">
        <v>266</v>
      </c>
      <c r="G156">
        <v>5</v>
      </c>
    </row>
    <row r="157" spans="2:12" x14ac:dyDescent="0.3">
      <c r="B157" t="s">
        <v>318</v>
      </c>
      <c r="C157" t="s">
        <v>1173</v>
      </c>
      <c r="D157" t="s">
        <v>1154</v>
      </c>
      <c r="E157">
        <v>66</v>
      </c>
      <c r="F157">
        <v>355.25</v>
      </c>
      <c r="G157">
        <v>1</v>
      </c>
      <c r="H157">
        <v>31.25</v>
      </c>
    </row>
    <row r="158" spans="2:12" x14ac:dyDescent="0.3">
      <c r="B158" t="s">
        <v>325</v>
      </c>
      <c r="C158" t="s">
        <v>1167</v>
      </c>
      <c r="D158" t="s">
        <v>1145</v>
      </c>
      <c r="E158">
        <v>287</v>
      </c>
      <c r="F158">
        <v>1929.75</v>
      </c>
      <c r="G158">
        <v>1</v>
      </c>
      <c r="H158">
        <v>17.25</v>
      </c>
    </row>
    <row r="159" spans="2:12" x14ac:dyDescent="0.3">
      <c r="B159" t="s">
        <v>325</v>
      </c>
      <c r="C159" t="s">
        <v>1165</v>
      </c>
      <c r="D159" t="s">
        <v>1155</v>
      </c>
      <c r="E159">
        <v>330</v>
      </c>
      <c r="F159">
        <v>2329</v>
      </c>
      <c r="G159">
        <v>12</v>
      </c>
      <c r="H159">
        <v>158.75</v>
      </c>
    </row>
    <row r="160" spans="2:12" x14ac:dyDescent="0.3">
      <c r="B160" t="s">
        <v>328</v>
      </c>
      <c r="C160" t="s">
        <v>1162</v>
      </c>
      <c r="D160" t="s">
        <v>1141</v>
      </c>
      <c r="E160">
        <v>1598</v>
      </c>
      <c r="F160">
        <v>10148.5</v>
      </c>
      <c r="G160">
        <v>31</v>
      </c>
      <c r="H160">
        <v>437.25</v>
      </c>
      <c r="K160">
        <v>2</v>
      </c>
      <c r="L160">
        <v>29.25</v>
      </c>
    </row>
    <row r="161" spans="2:12" x14ac:dyDescent="0.3">
      <c r="B161" t="s">
        <v>328</v>
      </c>
      <c r="C161" t="s">
        <v>1168</v>
      </c>
      <c r="D161" t="s">
        <v>1144</v>
      </c>
      <c r="E161">
        <v>2324</v>
      </c>
      <c r="F161">
        <v>10097</v>
      </c>
      <c r="G161">
        <v>76</v>
      </c>
      <c r="H161">
        <v>371.25</v>
      </c>
    </row>
    <row r="162" spans="2:12" x14ac:dyDescent="0.3">
      <c r="B162" t="s">
        <v>328</v>
      </c>
      <c r="C162" t="s">
        <v>1172</v>
      </c>
      <c r="D162" t="s">
        <v>1148</v>
      </c>
      <c r="E162">
        <v>289</v>
      </c>
      <c r="F162">
        <v>1658</v>
      </c>
      <c r="G162">
        <v>24</v>
      </c>
      <c r="H162">
        <v>270.75</v>
      </c>
    </row>
    <row r="163" spans="2:12" x14ac:dyDescent="0.3">
      <c r="B163" t="s">
        <v>412</v>
      </c>
      <c r="C163" t="s">
        <v>1164</v>
      </c>
      <c r="D163" t="s">
        <v>1153</v>
      </c>
      <c r="E163">
        <v>34</v>
      </c>
      <c r="F163">
        <v>213.75</v>
      </c>
      <c r="G163">
        <v>2</v>
      </c>
      <c r="H163">
        <v>25.75</v>
      </c>
    </row>
    <row r="164" spans="2:12" x14ac:dyDescent="0.3">
      <c r="B164" t="s">
        <v>412</v>
      </c>
      <c r="C164" t="s">
        <v>1160</v>
      </c>
      <c r="D164" t="s">
        <v>1142</v>
      </c>
      <c r="E164">
        <v>185</v>
      </c>
      <c r="F164">
        <v>974</v>
      </c>
      <c r="G164">
        <v>3</v>
      </c>
      <c r="H164">
        <v>35.5</v>
      </c>
      <c r="K164">
        <v>1</v>
      </c>
      <c r="L164">
        <v>7.25</v>
      </c>
    </row>
    <row r="165" spans="2:12" x14ac:dyDescent="0.3">
      <c r="B165" t="s">
        <v>412</v>
      </c>
      <c r="C165" t="s">
        <v>1159</v>
      </c>
      <c r="D165" t="s">
        <v>1152</v>
      </c>
      <c r="E165">
        <v>149</v>
      </c>
      <c r="F165">
        <v>858.25</v>
      </c>
      <c r="G165">
        <v>3</v>
      </c>
      <c r="H165">
        <v>29.75</v>
      </c>
      <c r="K165">
        <v>1</v>
      </c>
      <c r="L165">
        <v>10.5</v>
      </c>
    </row>
    <row r="166" spans="2:12" x14ac:dyDescent="0.3">
      <c r="B166" t="s">
        <v>365</v>
      </c>
      <c r="C166" t="s">
        <v>1171</v>
      </c>
      <c r="D166" t="s">
        <v>1146</v>
      </c>
      <c r="E166">
        <v>127</v>
      </c>
      <c r="F166">
        <v>588.75</v>
      </c>
      <c r="G166">
        <v>11</v>
      </c>
      <c r="H166">
        <v>66.25</v>
      </c>
      <c r="K166">
        <v>1</v>
      </c>
      <c r="L166">
        <v>5.5</v>
      </c>
    </row>
    <row r="167" spans="2:12" x14ac:dyDescent="0.3">
      <c r="B167" t="s">
        <v>365</v>
      </c>
      <c r="C167" t="s">
        <v>1164</v>
      </c>
      <c r="D167" t="s">
        <v>1153</v>
      </c>
      <c r="E167">
        <v>67</v>
      </c>
      <c r="F167">
        <v>370.5</v>
      </c>
      <c r="G167">
        <v>1</v>
      </c>
      <c r="H167">
        <v>7.25</v>
      </c>
    </row>
    <row r="168" spans="2:12" x14ac:dyDescent="0.3">
      <c r="B168" t="s">
        <v>366</v>
      </c>
      <c r="C168" t="s">
        <v>1171</v>
      </c>
      <c r="D168" t="s">
        <v>1146</v>
      </c>
      <c r="E168">
        <v>109</v>
      </c>
      <c r="F168">
        <v>654.75</v>
      </c>
      <c r="G168">
        <v>10</v>
      </c>
      <c r="H168">
        <v>118.75</v>
      </c>
      <c r="I168">
        <v>1</v>
      </c>
      <c r="J168">
        <v>26.5</v>
      </c>
    </row>
    <row r="169" spans="2:12" x14ac:dyDescent="0.3">
      <c r="B169" t="s">
        <v>366</v>
      </c>
      <c r="C169" t="s">
        <v>1173</v>
      </c>
      <c r="D169" t="s">
        <v>1154</v>
      </c>
      <c r="E169">
        <v>216</v>
      </c>
      <c r="F169">
        <v>1257</v>
      </c>
      <c r="G169">
        <v>12</v>
      </c>
      <c r="H169">
        <v>100</v>
      </c>
      <c r="K169">
        <v>1</v>
      </c>
      <c r="L169">
        <v>2.5</v>
      </c>
    </row>
    <row r="170" spans="2:12" x14ac:dyDescent="0.3">
      <c r="B170" t="s">
        <v>341</v>
      </c>
      <c r="C170" t="s">
        <v>1162</v>
      </c>
      <c r="D170" t="s">
        <v>1141</v>
      </c>
      <c r="E170">
        <v>1660</v>
      </c>
      <c r="F170">
        <v>9324.75</v>
      </c>
      <c r="G170">
        <v>59</v>
      </c>
      <c r="H170">
        <v>711.5</v>
      </c>
    </row>
    <row r="171" spans="2:12" x14ac:dyDescent="0.3">
      <c r="B171" t="s">
        <v>341</v>
      </c>
      <c r="C171" t="s">
        <v>1168</v>
      </c>
      <c r="D171" t="s">
        <v>1144</v>
      </c>
      <c r="E171">
        <v>2531</v>
      </c>
      <c r="F171">
        <v>8986</v>
      </c>
      <c r="G171">
        <v>119</v>
      </c>
      <c r="H171">
        <v>614</v>
      </c>
      <c r="I171">
        <v>9</v>
      </c>
      <c r="J171">
        <v>69.25</v>
      </c>
      <c r="K171">
        <v>4</v>
      </c>
      <c r="L171">
        <v>22.25</v>
      </c>
    </row>
    <row r="172" spans="2:12" x14ac:dyDescent="0.3">
      <c r="B172" t="s">
        <v>341</v>
      </c>
      <c r="C172" t="s">
        <v>1165</v>
      </c>
      <c r="D172" t="s">
        <v>1155</v>
      </c>
      <c r="E172">
        <v>497</v>
      </c>
      <c r="F172">
        <v>2570.75</v>
      </c>
      <c r="G172">
        <v>26</v>
      </c>
      <c r="H172">
        <v>227.75</v>
      </c>
      <c r="K172">
        <v>2</v>
      </c>
      <c r="L172">
        <v>13.5</v>
      </c>
    </row>
    <row r="173" spans="2:12" x14ac:dyDescent="0.3">
      <c r="B173" t="s">
        <v>342</v>
      </c>
      <c r="C173" t="s">
        <v>1168</v>
      </c>
      <c r="D173" t="s">
        <v>1144</v>
      </c>
      <c r="E173">
        <v>1986</v>
      </c>
      <c r="F173">
        <v>7167.75</v>
      </c>
      <c r="G173">
        <v>91</v>
      </c>
      <c r="H173">
        <v>794.5</v>
      </c>
      <c r="I173">
        <v>2</v>
      </c>
      <c r="J173">
        <v>51.75</v>
      </c>
      <c r="K173">
        <v>4</v>
      </c>
      <c r="L173">
        <v>16.25</v>
      </c>
    </row>
    <row r="174" spans="2:12" x14ac:dyDescent="0.3">
      <c r="B174" t="s">
        <v>342</v>
      </c>
      <c r="C174" t="s">
        <v>1159</v>
      </c>
      <c r="D174" t="s">
        <v>1152</v>
      </c>
      <c r="E174">
        <v>107</v>
      </c>
      <c r="F174">
        <v>536.5</v>
      </c>
      <c r="G174">
        <v>6</v>
      </c>
      <c r="H174">
        <v>39</v>
      </c>
    </row>
    <row r="175" spans="2:12" x14ac:dyDescent="0.3">
      <c r="B175" t="s">
        <v>213</v>
      </c>
      <c r="C175" t="s">
        <v>1168</v>
      </c>
      <c r="D175" t="s">
        <v>1144</v>
      </c>
      <c r="E175">
        <v>1804</v>
      </c>
      <c r="F175">
        <v>6780</v>
      </c>
      <c r="G175">
        <v>58</v>
      </c>
      <c r="H175">
        <v>572.5</v>
      </c>
      <c r="I175">
        <v>5</v>
      </c>
      <c r="J175">
        <v>167.25</v>
      </c>
      <c r="K175">
        <v>12</v>
      </c>
      <c r="L175">
        <v>181.25</v>
      </c>
    </row>
    <row r="176" spans="2:12" x14ac:dyDescent="0.3">
      <c r="B176" t="s">
        <v>213</v>
      </c>
      <c r="C176" t="s">
        <v>1165</v>
      </c>
      <c r="D176" t="s">
        <v>1155</v>
      </c>
      <c r="E176">
        <v>366</v>
      </c>
      <c r="F176">
        <v>1827.5</v>
      </c>
      <c r="G176">
        <v>16</v>
      </c>
      <c r="H176">
        <v>156.5</v>
      </c>
      <c r="I176">
        <v>3</v>
      </c>
      <c r="J176">
        <v>45.25</v>
      </c>
      <c r="K176">
        <v>3</v>
      </c>
      <c r="L176">
        <v>16</v>
      </c>
    </row>
    <row r="177" spans="2:12" x14ac:dyDescent="0.3">
      <c r="B177" t="s">
        <v>213</v>
      </c>
      <c r="C177" t="s">
        <v>1160</v>
      </c>
      <c r="D177" t="s">
        <v>1142</v>
      </c>
      <c r="E177">
        <v>261</v>
      </c>
      <c r="F177">
        <v>1459.5</v>
      </c>
      <c r="G177">
        <v>6</v>
      </c>
      <c r="H177">
        <v>50.75</v>
      </c>
    </row>
    <row r="178" spans="2:12" x14ac:dyDescent="0.3">
      <c r="B178" t="s">
        <v>312</v>
      </c>
      <c r="C178" t="s">
        <v>1162</v>
      </c>
      <c r="D178" t="s">
        <v>1141</v>
      </c>
      <c r="E178">
        <v>1451</v>
      </c>
      <c r="G178">
        <v>35</v>
      </c>
    </row>
    <row r="179" spans="2:12" x14ac:dyDescent="0.3">
      <c r="B179" t="s">
        <v>318</v>
      </c>
      <c r="C179" t="s">
        <v>1172</v>
      </c>
      <c r="D179" t="s">
        <v>1148</v>
      </c>
      <c r="E179">
        <v>67</v>
      </c>
      <c r="F179">
        <v>372.75</v>
      </c>
      <c r="G179">
        <v>6</v>
      </c>
      <c r="H179">
        <v>50</v>
      </c>
      <c r="K179">
        <v>1</v>
      </c>
    </row>
    <row r="180" spans="2:12" x14ac:dyDescent="0.3">
      <c r="B180" t="s">
        <v>326</v>
      </c>
      <c r="C180" t="s">
        <v>1172</v>
      </c>
      <c r="D180" t="s">
        <v>1148</v>
      </c>
      <c r="E180">
        <v>183</v>
      </c>
      <c r="F180">
        <v>1112.5</v>
      </c>
      <c r="G180">
        <v>22</v>
      </c>
      <c r="H180">
        <v>249</v>
      </c>
      <c r="K180">
        <v>2</v>
      </c>
      <c r="L180">
        <v>7.25</v>
      </c>
    </row>
    <row r="181" spans="2:12" x14ac:dyDescent="0.3">
      <c r="B181" t="s">
        <v>326</v>
      </c>
      <c r="C181" t="s">
        <v>1173</v>
      </c>
      <c r="D181" t="s">
        <v>1154</v>
      </c>
      <c r="E181">
        <v>157</v>
      </c>
      <c r="F181">
        <v>1092.5</v>
      </c>
      <c r="G181">
        <v>2</v>
      </c>
      <c r="H181">
        <v>21.25</v>
      </c>
    </row>
    <row r="182" spans="2:12" x14ac:dyDescent="0.3">
      <c r="B182" t="s">
        <v>328</v>
      </c>
      <c r="C182" t="s">
        <v>1170</v>
      </c>
      <c r="D182" t="s">
        <v>1151</v>
      </c>
      <c r="E182">
        <v>1506</v>
      </c>
      <c r="F182">
        <v>8422</v>
      </c>
      <c r="G182">
        <v>66</v>
      </c>
      <c r="H182">
        <v>744.25</v>
      </c>
    </row>
    <row r="183" spans="2:12" x14ac:dyDescent="0.3">
      <c r="B183" t="s">
        <v>328</v>
      </c>
      <c r="C183" t="s">
        <v>1173</v>
      </c>
      <c r="D183" t="s">
        <v>1154</v>
      </c>
      <c r="E183">
        <v>291</v>
      </c>
      <c r="F183">
        <v>1795.5</v>
      </c>
      <c r="G183">
        <v>3</v>
      </c>
      <c r="H183">
        <v>32.75</v>
      </c>
    </row>
    <row r="184" spans="2:12" x14ac:dyDescent="0.3">
      <c r="B184" t="s">
        <v>412</v>
      </c>
      <c r="C184" t="s">
        <v>1168</v>
      </c>
      <c r="D184" t="s">
        <v>1144</v>
      </c>
      <c r="E184">
        <v>2547</v>
      </c>
      <c r="F184">
        <v>10887.5</v>
      </c>
      <c r="G184">
        <v>77</v>
      </c>
      <c r="H184">
        <v>436.5</v>
      </c>
      <c r="K184">
        <v>1</v>
      </c>
      <c r="L184">
        <v>9.75</v>
      </c>
    </row>
  </sheetData>
  <pageMargins left="0.7" right="0.7" top="0.75" bottom="0.75" header="0.3" footer="0.3"/>
  <tableParts count="1">
    <tablePart r:id="rId1"/>
  </tableParts>
</worksheet>
</file>

<file path=xl/worksheets/sheet18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611B436-799D-4FDF-9301-4FC34C4AA5DE}">
  <sheetPr>
    <tabColor theme="3" tint="0.39997558519241921"/>
  </sheetPr>
  <dimension ref="B4:J21"/>
  <sheetViews>
    <sheetView topLeftCell="B1" workbookViewId="0">
      <selection activeCell="G24" sqref="G24"/>
    </sheetView>
  </sheetViews>
  <sheetFormatPr defaultRowHeight="14.4" x14ac:dyDescent="0.3"/>
  <cols>
    <col min="2" max="2" width="7.44140625" bestFit="1" customWidth="1"/>
    <col min="3" max="3" width="9.109375" bestFit="1" customWidth="1"/>
    <col min="4" max="4" width="10.21875" bestFit="1" customWidth="1"/>
    <col min="5" max="5" width="9" bestFit="1" customWidth="1"/>
    <col min="6" max="6" width="10.21875" bestFit="1" customWidth="1"/>
    <col min="7" max="7" width="18.77734375" bestFit="1" customWidth="1"/>
    <col min="8" max="8" width="20.109375" bestFit="1" customWidth="1"/>
    <col min="9" max="9" width="17.33203125" bestFit="1" customWidth="1"/>
    <col min="10" max="10" width="18.5546875" bestFit="1" customWidth="1"/>
  </cols>
  <sheetData>
    <row r="4" spans="2:10" x14ac:dyDescent="0.3">
      <c r="B4" t="s">
        <v>806</v>
      </c>
      <c r="C4" t="s">
        <v>1223</v>
      </c>
      <c r="D4" t="s">
        <v>1224</v>
      </c>
      <c r="E4" t="s">
        <v>1225</v>
      </c>
      <c r="F4" t="s">
        <v>1226</v>
      </c>
      <c r="G4" t="s">
        <v>1227</v>
      </c>
      <c r="H4" t="s">
        <v>1228</v>
      </c>
      <c r="I4" t="s">
        <v>1229</v>
      </c>
      <c r="J4" t="s">
        <v>1230</v>
      </c>
    </row>
    <row r="5" spans="2:10" x14ac:dyDescent="0.3">
      <c r="B5" t="s">
        <v>1158</v>
      </c>
      <c r="C5">
        <v>3797</v>
      </c>
      <c r="D5">
        <v>14034</v>
      </c>
      <c r="E5">
        <v>2264</v>
      </c>
      <c r="F5">
        <v>10793</v>
      </c>
      <c r="G5">
        <v>58</v>
      </c>
      <c r="H5">
        <v>300</v>
      </c>
      <c r="I5">
        <v>20</v>
      </c>
      <c r="J5">
        <v>127</v>
      </c>
    </row>
    <row r="6" spans="2:10" x14ac:dyDescent="0.3">
      <c r="B6" t="s">
        <v>510</v>
      </c>
      <c r="C6">
        <v>4947</v>
      </c>
      <c r="D6">
        <v>29138</v>
      </c>
      <c r="E6">
        <v>1797</v>
      </c>
      <c r="F6">
        <v>11747</v>
      </c>
      <c r="G6">
        <v>55</v>
      </c>
      <c r="H6">
        <v>453</v>
      </c>
      <c r="I6">
        <v>13</v>
      </c>
      <c r="J6">
        <v>94</v>
      </c>
    </row>
    <row r="7" spans="2:10" x14ac:dyDescent="0.3">
      <c r="B7" t="s">
        <v>362</v>
      </c>
      <c r="C7">
        <v>6829</v>
      </c>
      <c r="D7">
        <v>42023</v>
      </c>
      <c r="E7">
        <v>726</v>
      </c>
      <c r="F7">
        <v>7946</v>
      </c>
      <c r="G7">
        <v>40</v>
      </c>
      <c r="H7">
        <v>267</v>
      </c>
      <c r="I7">
        <v>26</v>
      </c>
      <c r="J7">
        <v>144</v>
      </c>
    </row>
    <row r="8" spans="2:10" x14ac:dyDescent="0.3">
      <c r="B8" t="s">
        <v>363</v>
      </c>
      <c r="C8">
        <v>7230</v>
      </c>
      <c r="D8">
        <v>34986</v>
      </c>
      <c r="E8">
        <v>764</v>
      </c>
      <c r="F8">
        <v>5742</v>
      </c>
      <c r="G8">
        <v>43</v>
      </c>
      <c r="H8">
        <v>251</v>
      </c>
      <c r="I8">
        <v>22</v>
      </c>
      <c r="J8">
        <v>100</v>
      </c>
    </row>
    <row r="9" spans="2:10" x14ac:dyDescent="0.3">
      <c r="B9" t="s">
        <v>364</v>
      </c>
      <c r="C9">
        <v>0</v>
      </c>
      <c r="D9">
        <v>0</v>
      </c>
      <c r="E9">
        <v>0</v>
      </c>
      <c r="F9">
        <v>0</v>
      </c>
      <c r="G9">
        <v>0</v>
      </c>
      <c r="H9">
        <v>0</v>
      </c>
      <c r="I9">
        <v>0</v>
      </c>
      <c r="J9">
        <v>0</v>
      </c>
    </row>
    <row r="10" spans="2:10" x14ac:dyDescent="0.3">
      <c r="B10" t="s">
        <v>365</v>
      </c>
      <c r="C10">
        <v>7816</v>
      </c>
      <c r="D10">
        <v>40485</v>
      </c>
      <c r="E10">
        <v>390</v>
      </c>
      <c r="F10">
        <v>3134.5</v>
      </c>
      <c r="G10">
        <v>10</v>
      </c>
      <c r="H10">
        <v>206.25</v>
      </c>
      <c r="I10">
        <v>3</v>
      </c>
      <c r="J10">
        <v>25.5</v>
      </c>
    </row>
    <row r="11" spans="2:10" x14ac:dyDescent="0.3">
      <c r="B11" t="s">
        <v>366</v>
      </c>
      <c r="C11">
        <v>9185</v>
      </c>
      <c r="D11">
        <v>44965</v>
      </c>
      <c r="E11">
        <v>649</v>
      </c>
      <c r="F11">
        <v>6069.5</v>
      </c>
      <c r="G11">
        <v>23</v>
      </c>
      <c r="H11">
        <v>612</v>
      </c>
      <c r="I11">
        <v>4</v>
      </c>
      <c r="J11">
        <v>23.25</v>
      </c>
    </row>
    <row r="12" spans="2:10" x14ac:dyDescent="0.3">
      <c r="B12" t="s">
        <v>341</v>
      </c>
      <c r="C12">
        <v>8385</v>
      </c>
      <c r="D12">
        <v>41376</v>
      </c>
      <c r="E12">
        <v>554</v>
      </c>
      <c r="F12">
        <v>4990.75</v>
      </c>
      <c r="G12">
        <v>21</v>
      </c>
      <c r="H12">
        <v>395.25</v>
      </c>
      <c r="I12">
        <v>12</v>
      </c>
      <c r="J12">
        <v>72.25</v>
      </c>
    </row>
    <row r="13" spans="2:10" x14ac:dyDescent="0.3">
      <c r="B13" t="s">
        <v>342</v>
      </c>
      <c r="C13">
        <v>7167</v>
      </c>
      <c r="D13">
        <v>34688.5</v>
      </c>
      <c r="E13">
        <v>468</v>
      </c>
      <c r="F13">
        <v>4782</v>
      </c>
      <c r="G13">
        <v>15</v>
      </c>
      <c r="H13">
        <v>465.5</v>
      </c>
      <c r="I13">
        <v>17</v>
      </c>
      <c r="J13">
        <v>128.5</v>
      </c>
    </row>
    <row r="14" spans="2:10" x14ac:dyDescent="0.3">
      <c r="B14" t="s">
        <v>213</v>
      </c>
      <c r="C14">
        <v>7508</v>
      </c>
      <c r="D14">
        <v>36452.25</v>
      </c>
      <c r="E14">
        <v>364</v>
      </c>
      <c r="F14">
        <v>3759.25</v>
      </c>
      <c r="G14">
        <v>22</v>
      </c>
      <c r="H14">
        <v>521.75</v>
      </c>
      <c r="I14">
        <v>20</v>
      </c>
      <c r="J14">
        <v>237.5</v>
      </c>
    </row>
    <row r="15" spans="2:10" x14ac:dyDescent="0.3">
      <c r="B15" t="s">
        <v>312</v>
      </c>
      <c r="C15">
        <v>6873</v>
      </c>
      <c r="D15">
        <v>31221</v>
      </c>
      <c r="E15">
        <v>388</v>
      </c>
      <c r="F15">
        <v>2309</v>
      </c>
      <c r="G15">
        <v>1</v>
      </c>
      <c r="H15">
        <v>11.5</v>
      </c>
      <c r="I15">
        <v>12</v>
      </c>
      <c r="J15">
        <v>36</v>
      </c>
    </row>
    <row r="16" spans="2:10" x14ac:dyDescent="0.3">
      <c r="B16" t="s">
        <v>318</v>
      </c>
      <c r="C16">
        <v>3200</v>
      </c>
      <c r="D16">
        <v>16371</v>
      </c>
      <c r="E16">
        <v>119</v>
      </c>
      <c r="F16">
        <v>1407.5</v>
      </c>
      <c r="G16">
        <v>3</v>
      </c>
      <c r="H16">
        <v>123</v>
      </c>
      <c r="I16">
        <v>3</v>
      </c>
      <c r="J16">
        <v>24</v>
      </c>
    </row>
    <row r="17" spans="2:10" x14ac:dyDescent="0.3">
      <c r="B17" t="s">
        <v>320</v>
      </c>
      <c r="C17">
        <v>5502</v>
      </c>
      <c r="D17">
        <v>31098.25</v>
      </c>
      <c r="E17">
        <v>186</v>
      </c>
      <c r="F17">
        <v>2051.75</v>
      </c>
      <c r="G17">
        <v>5</v>
      </c>
      <c r="H17">
        <v>170</v>
      </c>
      <c r="I17">
        <v>8</v>
      </c>
      <c r="J17">
        <v>49</v>
      </c>
    </row>
    <row r="18" spans="2:10" x14ac:dyDescent="0.3">
      <c r="B18" t="s">
        <v>325</v>
      </c>
      <c r="C18">
        <v>6432</v>
      </c>
      <c r="D18">
        <v>38526.5</v>
      </c>
      <c r="E18">
        <v>280</v>
      </c>
      <c r="F18">
        <v>3385</v>
      </c>
      <c r="G18">
        <v>2</v>
      </c>
      <c r="H18">
        <v>98.25</v>
      </c>
      <c r="I18">
        <v>5</v>
      </c>
      <c r="J18">
        <v>52.5</v>
      </c>
    </row>
    <row r="19" spans="2:10" x14ac:dyDescent="0.3">
      <c r="B19" t="s">
        <v>326</v>
      </c>
      <c r="C19">
        <v>7362</v>
      </c>
      <c r="D19">
        <v>42820.25</v>
      </c>
      <c r="E19">
        <v>292</v>
      </c>
      <c r="F19">
        <v>3831</v>
      </c>
      <c r="G19">
        <v>5</v>
      </c>
      <c r="H19">
        <v>214.75</v>
      </c>
      <c r="I19">
        <v>12</v>
      </c>
      <c r="J19">
        <v>290.25</v>
      </c>
    </row>
    <row r="20" spans="2:10" x14ac:dyDescent="0.3">
      <c r="B20" t="s">
        <v>328</v>
      </c>
      <c r="C20">
        <v>8461</v>
      </c>
      <c r="D20">
        <v>47569.5</v>
      </c>
      <c r="E20">
        <v>307</v>
      </c>
      <c r="F20">
        <v>3445</v>
      </c>
      <c r="G20">
        <v>2</v>
      </c>
      <c r="H20">
        <v>146</v>
      </c>
      <c r="I20">
        <v>6</v>
      </c>
      <c r="J20">
        <v>85.5</v>
      </c>
    </row>
    <row r="21" spans="2:10" x14ac:dyDescent="0.3">
      <c r="B21" t="s">
        <v>412</v>
      </c>
      <c r="C21">
        <v>8180</v>
      </c>
      <c r="D21">
        <v>45656.5</v>
      </c>
      <c r="E21">
        <v>284</v>
      </c>
      <c r="F21">
        <v>3097</v>
      </c>
      <c r="G21">
        <v>2</v>
      </c>
      <c r="H21">
        <v>73.25</v>
      </c>
      <c r="I21">
        <v>14</v>
      </c>
      <c r="J21">
        <v>189</v>
      </c>
    </row>
  </sheetData>
  <pageMargins left="0.7" right="0.7" top="0.75" bottom="0.75" header="0.3" footer="0.3"/>
  <tableParts count="1">
    <tablePart r:id="rId1"/>
  </tableParts>
</worksheet>
</file>

<file path=xl/worksheets/sheet18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EF78C3E-81A5-4D00-9092-22ACC7141332}">
  <sheetPr>
    <tabColor theme="3" tint="0.39997558519241921"/>
  </sheetPr>
  <dimension ref="B4:J22"/>
  <sheetViews>
    <sheetView workbookViewId="0">
      <selection activeCell="G24" sqref="G24"/>
    </sheetView>
  </sheetViews>
  <sheetFormatPr defaultRowHeight="14.4" x14ac:dyDescent="0.3"/>
  <cols>
    <col min="2" max="2" width="12.33203125" bestFit="1" customWidth="1"/>
    <col min="3" max="3" width="13.21875" bestFit="1" customWidth="1"/>
    <col min="4" max="4" width="14.33203125" bestFit="1" customWidth="1"/>
    <col min="5" max="5" width="13.109375" bestFit="1" customWidth="1"/>
    <col min="6" max="6" width="14.21875" bestFit="1" customWidth="1"/>
    <col min="7" max="7" width="23" bestFit="1" customWidth="1"/>
    <col min="8" max="8" width="24.21875" bestFit="1" customWidth="1"/>
    <col min="9" max="9" width="21.5546875" bestFit="1" customWidth="1"/>
    <col min="10" max="10" width="22.77734375" bestFit="1" customWidth="1"/>
  </cols>
  <sheetData>
    <row r="4" spans="2:10" x14ac:dyDescent="0.3">
      <c r="B4" s="386" t="s">
        <v>350</v>
      </c>
      <c r="C4" t="s">
        <v>1214</v>
      </c>
      <c r="D4" t="s">
        <v>1215</v>
      </c>
      <c r="E4" t="s">
        <v>1216</v>
      </c>
      <c r="F4" t="s">
        <v>1217</v>
      </c>
      <c r="G4" t="s">
        <v>1218</v>
      </c>
      <c r="H4" t="s">
        <v>1219</v>
      </c>
      <c r="I4" t="s">
        <v>1220</v>
      </c>
      <c r="J4" t="s">
        <v>1221</v>
      </c>
    </row>
    <row r="5" spans="2:10" x14ac:dyDescent="0.3">
      <c r="B5" s="387" t="s">
        <v>1158</v>
      </c>
      <c r="C5">
        <v>3797</v>
      </c>
      <c r="D5">
        <v>14034</v>
      </c>
      <c r="E5">
        <v>2264</v>
      </c>
      <c r="F5">
        <v>10793</v>
      </c>
      <c r="G5">
        <v>58</v>
      </c>
      <c r="H5">
        <v>300</v>
      </c>
      <c r="I5">
        <v>20</v>
      </c>
      <c r="J5">
        <v>127</v>
      </c>
    </row>
    <row r="6" spans="2:10" x14ac:dyDescent="0.3">
      <c r="B6" s="387" t="s">
        <v>510</v>
      </c>
      <c r="C6">
        <v>4947</v>
      </c>
      <c r="D6">
        <v>29138</v>
      </c>
      <c r="E6">
        <v>1797</v>
      </c>
      <c r="F6">
        <v>11747</v>
      </c>
      <c r="G6">
        <v>55</v>
      </c>
      <c r="H6">
        <v>453</v>
      </c>
      <c r="I6">
        <v>13</v>
      </c>
      <c r="J6">
        <v>94</v>
      </c>
    </row>
    <row r="7" spans="2:10" x14ac:dyDescent="0.3">
      <c r="B7" s="387" t="s">
        <v>362</v>
      </c>
      <c r="C7">
        <v>6829</v>
      </c>
      <c r="D7">
        <v>42023</v>
      </c>
      <c r="E7">
        <v>726</v>
      </c>
      <c r="F7">
        <v>7946</v>
      </c>
      <c r="G7">
        <v>40</v>
      </c>
      <c r="H7">
        <v>267</v>
      </c>
      <c r="I7">
        <v>26</v>
      </c>
      <c r="J7">
        <v>144</v>
      </c>
    </row>
    <row r="8" spans="2:10" x14ac:dyDescent="0.3">
      <c r="B8" s="387" t="s">
        <v>363</v>
      </c>
      <c r="C8">
        <v>7230</v>
      </c>
      <c r="D8">
        <v>34986</v>
      </c>
      <c r="E8">
        <v>764</v>
      </c>
      <c r="F8">
        <v>5742</v>
      </c>
      <c r="G8">
        <v>43</v>
      </c>
      <c r="H8">
        <v>251</v>
      </c>
      <c r="I8">
        <v>22</v>
      </c>
      <c r="J8">
        <v>100</v>
      </c>
    </row>
    <row r="9" spans="2:10" x14ac:dyDescent="0.3">
      <c r="B9" s="387" t="s">
        <v>364</v>
      </c>
      <c r="C9">
        <v>0</v>
      </c>
      <c r="D9">
        <v>0</v>
      </c>
      <c r="E9">
        <v>0</v>
      </c>
      <c r="F9">
        <v>0</v>
      </c>
      <c r="G9">
        <v>0</v>
      </c>
      <c r="H9">
        <v>0</v>
      </c>
      <c r="I9">
        <v>0</v>
      </c>
      <c r="J9">
        <v>0</v>
      </c>
    </row>
    <row r="10" spans="2:10" x14ac:dyDescent="0.3">
      <c r="B10" s="387" t="s">
        <v>365</v>
      </c>
      <c r="C10">
        <v>7816</v>
      </c>
      <c r="D10">
        <v>40485</v>
      </c>
      <c r="E10">
        <v>390</v>
      </c>
      <c r="F10">
        <v>3134.5</v>
      </c>
      <c r="G10">
        <v>10</v>
      </c>
      <c r="H10">
        <v>206.25</v>
      </c>
      <c r="I10">
        <v>3</v>
      </c>
      <c r="J10">
        <v>25.5</v>
      </c>
    </row>
    <row r="11" spans="2:10" x14ac:dyDescent="0.3">
      <c r="B11" s="387" t="s">
        <v>366</v>
      </c>
      <c r="C11">
        <v>9185</v>
      </c>
      <c r="D11">
        <v>44965</v>
      </c>
      <c r="E11">
        <v>649</v>
      </c>
      <c r="F11">
        <v>6069.5</v>
      </c>
      <c r="G11">
        <v>23</v>
      </c>
      <c r="H11">
        <v>612</v>
      </c>
      <c r="I11">
        <v>4</v>
      </c>
      <c r="J11">
        <v>23.25</v>
      </c>
    </row>
    <row r="12" spans="2:10" x14ac:dyDescent="0.3">
      <c r="B12" s="387" t="s">
        <v>341</v>
      </c>
      <c r="C12">
        <v>8385</v>
      </c>
      <c r="D12">
        <v>41376</v>
      </c>
      <c r="E12">
        <v>554</v>
      </c>
      <c r="F12">
        <v>4990.75</v>
      </c>
      <c r="G12">
        <v>21</v>
      </c>
      <c r="H12">
        <v>395.25</v>
      </c>
      <c r="I12">
        <v>12</v>
      </c>
      <c r="J12">
        <v>72.25</v>
      </c>
    </row>
    <row r="13" spans="2:10" x14ac:dyDescent="0.3">
      <c r="B13" s="387" t="s">
        <v>342</v>
      </c>
      <c r="C13">
        <v>7167</v>
      </c>
      <c r="D13">
        <v>34688.5</v>
      </c>
      <c r="E13">
        <v>468</v>
      </c>
      <c r="F13">
        <v>4782</v>
      </c>
      <c r="G13">
        <v>15</v>
      </c>
      <c r="H13">
        <v>465.5</v>
      </c>
      <c r="I13">
        <v>17</v>
      </c>
      <c r="J13">
        <v>128.5</v>
      </c>
    </row>
    <row r="14" spans="2:10" x14ac:dyDescent="0.3">
      <c r="B14" s="387" t="s">
        <v>213</v>
      </c>
      <c r="C14">
        <v>7508</v>
      </c>
      <c r="D14">
        <v>36452.25</v>
      </c>
      <c r="E14">
        <v>364</v>
      </c>
      <c r="F14">
        <v>3759.25</v>
      </c>
      <c r="G14">
        <v>22</v>
      </c>
      <c r="H14">
        <v>521.75</v>
      </c>
      <c r="I14">
        <v>20</v>
      </c>
      <c r="J14">
        <v>237.5</v>
      </c>
    </row>
    <row r="15" spans="2:10" x14ac:dyDescent="0.3">
      <c r="B15" s="387" t="s">
        <v>312</v>
      </c>
      <c r="C15">
        <v>6873</v>
      </c>
      <c r="D15">
        <v>31221</v>
      </c>
      <c r="E15">
        <v>388</v>
      </c>
      <c r="F15">
        <v>2309</v>
      </c>
      <c r="G15">
        <v>1</v>
      </c>
      <c r="H15">
        <v>11.5</v>
      </c>
      <c r="I15">
        <v>12</v>
      </c>
      <c r="J15">
        <v>36</v>
      </c>
    </row>
    <row r="16" spans="2:10" x14ac:dyDescent="0.3">
      <c r="B16" s="387" t="s">
        <v>318</v>
      </c>
      <c r="C16">
        <v>3200</v>
      </c>
      <c r="D16">
        <v>16371</v>
      </c>
      <c r="E16">
        <v>119</v>
      </c>
      <c r="F16">
        <v>1407.5</v>
      </c>
      <c r="G16">
        <v>3</v>
      </c>
      <c r="H16">
        <v>123</v>
      </c>
      <c r="I16">
        <v>3</v>
      </c>
      <c r="J16">
        <v>24</v>
      </c>
    </row>
    <row r="17" spans="2:10" x14ac:dyDescent="0.3">
      <c r="B17" s="387" t="s">
        <v>320</v>
      </c>
      <c r="C17">
        <v>5502</v>
      </c>
      <c r="D17">
        <v>31098.25</v>
      </c>
      <c r="E17">
        <v>186</v>
      </c>
      <c r="F17">
        <v>2051.75</v>
      </c>
      <c r="G17">
        <v>5</v>
      </c>
      <c r="H17">
        <v>170</v>
      </c>
      <c r="I17">
        <v>8</v>
      </c>
      <c r="J17">
        <v>49</v>
      </c>
    </row>
    <row r="18" spans="2:10" x14ac:dyDescent="0.3">
      <c r="B18" s="387" t="s">
        <v>325</v>
      </c>
      <c r="C18">
        <v>6432</v>
      </c>
      <c r="D18">
        <v>38526.5</v>
      </c>
      <c r="E18">
        <v>280</v>
      </c>
      <c r="F18">
        <v>3385</v>
      </c>
      <c r="G18">
        <v>2</v>
      </c>
      <c r="H18">
        <v>98.25</v>
      </c>
      <c r="I18">
        <v>5</v>
      </c>
      <c r="J18">
        <v>52.5</v>
      </c>
    </row>
    <row r="19" spans="2:10" x14ac:dyDescent="0.3">
      <c r="B19" s="387" t="s">
        <v>326</v>
      </c>
      <c r="C19">
        <v>7362</v>
      </c>
      <c r="D19">
        <v>42820.25</v>
      </c>
      <c r="E19">
        <v>292</v>
      </c>
      <c r="F19">
        <v>3831</v>
      </c>
      <c r="G19">
        <v>5</v>
      </c>
      <c r="H19">
        <v>214.75</v>
      </c>
      <c r="I19">
        <v>12</v>
      </c>
      <c r="J19">
        <v>290.25</v>
      </c>
    </row>
    <row r="20" spans="2:10" x14ac:dyDescent="0.3">
      <c r="B20" s="387" t="s">
        <v>328</v>
      </c>
      <c r="C20">
        <v>8461</v>
      </c>
      <c r="D20">
        <v>47569.5</v>
      </c>
      <c r="E20">
        <v>307</v>
      </c>
      <c r="F20">
        <v>3445</v>
      </c>
      <c r="G20">
        <v>2</v>
      </c>
      <c r="H20">
        <v>146</v>
      </c>
      <c r="I20">
        <v>6</v>
      </c>
      <c r="J20">
        <v>85.5</v>
      </c>
    </row>
    <row r="21" spans="2:10" x14ac:dyDescent="0.3">
      <c r="B21" s="387" t="s">
        <v>412</v>
      </c>
      <c r="C21">
        <v>8180</v>
      </c>
      <c r="D21">
        <v>45656.5</v>
      </c>
      <c r="E21">
        <v>284</v>
      </c>
      <c r="F21">
        <v>3097</v>
      </c>
      <c r="G21">
        <v>2</v>
      </c>
      <c r="H21">
        <v>73.25</v>
      </c>
      <c r="I21">
        <v>14</v>
      </c>
      <c r="J21">
        <v>189</v>
      </c>
    </row>
    <row r="22" spans="2:10" x14ac:dyDescent="0.3">
      <c r="B22" s="387" t="s">
        <v>357</v>
      </c>
      <c r="C22">
        <v>108874</v>
      </c>
      <c r="D22">
        <v>571410.75</v>
      </c>
      <c r="E22">
        <v>9832</v>
      </c>
      <c r="F22">
        <v>78490.25</v>
      </c>
      <c r="G22">
        <v>307</v>
      </c>
      <c r="H22">
        <v>4308.5</v>
      </c>
      <c r="I22">
        <v>197</v>
      </c>
      <c r="J22">
        <v>1678.25</v>
      </c>
    </row>
  </sheetData>
  <pageMargins left="0.7" right="0.7" top="0.75" bottom="0.75" header="0.3" footer="0.3"/>
</worksheet>
</file>

<file path=xl/worksheets/sheet18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Sheet34">
    <tabColor theme="3" tint="0.39997558519241921"/>
    <pageSetUpPr fitToPage="1"/>
  </sheetPr>
  <dimension ref="A1:S63"/>
  <sheetViews>
    <sheetView showGridLines="0" zoomScale="85" zoomScaleNormal="85" workbookViewId="0">
      <pane ySplit="2" topLeftCell="A3" activePane="bottomLeft" state="frozen"/>
      <selection pane="bottomLeft"/>
    </sheetView>
  </sheetViews>
  <sheetFormatPr defaultRowHeight="14.4" x14ac:dyDescent="0.3"/>
  <cols>
    <col min="1" max="1" width="22.5546875" customWidth="1"/>
    <col min="2" max="2" width="9.109375" bestFit="1" customWidth="1"/>
    <col min="3" max="3" width="10.33203125" bestFit="1" customWidth="1"/>
    <col min="4" max="4" width="9" bestFit="1" customWidth="1"/>
    <col min="5" max="5" width="10.109375" bestFit="1" customWidth="1"/>
    <col min="6" max="6" width="8.44140625" bestFit="1" customWidth="1"/>
    <col min="7" max="7" width="9.109375" bestFit="1" customWidth="1"/>
    <col min="8" max="8" width="18.88671875" bestFit="1" customWidth="1"/>
    <col min="9" max="9" width="20.109375" bestFit="1" customWidth="1"/>
    <col min="10" max="10" width="17.44140625" bestFit="1" customWidth="1"/>
    <col min="11" max="11" width="18.5546875" bestFit="1" customWidth="1"/>
    <col min="12" max="12" width="12.33203125" customWidth="1"/>
    <col min="13" max="13" width="10.88671875" customWidth="1"/>
    <col min="14" max="14" width="14.6640625" customWidth="1"/>
    <col min="15" max="16" width="13.88671875" customWidth="1"/>
    <col min="17" max="17" width="12.88671875" customWidth="1"/>
    <col min="18" max="18" width="13" customWidth="1"/>
  </cols>
  <sheetData>
    <row r="1" spans="1:17" ht="15.6" x14ac:dyDescent="0.3">
      <c r="A1" s="513" t="s">
        <v>1118</v>
      </c>
    </row>
    <row r="2" spans="1:17" x14ac:dyDescent="0.3">
      <c r="A2" s="498" t="s">
        <v>202</v>
      </c>
    </row>
    <row r="3" spans="1:17" x14ac:dyDescent="0.3">
      <c r="A3" s="25"/>
    </row>
    <row r="4" spans="1:17" ht="15.75" customHeight="1" x14ac:dyDescent="0.3">
      <c r="A4" s="1059" t="s">
        <v>1231</v>
      </c>
      <c r="B4" s="1059"/>
      <c r="C4" s="1059"/>
      <c r="D4" s="1059"/>
      <c r="E4" s="1059"/>
      <c r="F4" s="1059"/>
      <c r="G4" s="1059"/>
      <c r="H4" s="1059"/>
      <c r="I4" s="1059"/>
      <c r="J4" s="1059"/>
      <c r="K4" s="1059"/>
      <c r="L4" s="1059"/>
      <c r="M4" s="1059"/>
      <c r="N4" s="1059"/>
      <c r="O4" s="1059"/>
      <c r="P4" s="1059"/>
      <c r="Q4" s="1059"/>
    </row>
    <row r="5" spans="1:17" ht="15.6" x14ac:dyDescent="0.3">
      <c r="A5" t="s">
        <v>203</v>
      </c>
      <c r="B5" t="s">
        <v>190</v>
      </c>
      <c r="C5" s="499"/>
      <c r="D5" s="499"/>
      <c r="E5" s="499"/>
      <c r="F5" s="499"/>
      <c r="G5" s="499"/>
      <c r="H5" s="499"/>
      <c r="I5" s="499"/>
      <c r="J5" s="499"/>
      <c r="K5" s="499"/>
      <c r="L5" s="499"/>
      <c r="M5" s="499"/>
    </row>
    <row r="6" spans="1:17" ht="15.6" x14ac:dyDescent="0.3">
      <c r="A6" t="s">
        <v>204</v>
      </c>
      <c r="B6" t="s">
        <v>205</v>
      </c>
      <c r="C6" s="499"/>
      <c r="D6" s="499"/>
      <c r="E6" s="499"/>
      <c r="F6" s="499"/>
      <c r="G6" s="499"/>
      <c r="H6" s="499"/>
      <c r="I6" s="499"/>
      <c r="J6" s="499"/>
      <c r="K6" s="499"/>
      <c r="L6" s="499"/>
      <c r="M6" s="499"/>
    </row>
    <row r="7" spans="1:17" ht="15.6" x14ac:dyDescent="0.3">
      <c r="A7" t="s">
        <v>206</v>
      </c>
      <c r="B7" t="s">
        <v>207</v>
      </c>
      <c r="C7" s="499"/>
      <c r="D7" s="499"/>
      <c r="E7" s="499"/>
      <c r="F7" s="499"/>
      <c r="G7" s="499"/>
      <c r="H7" s="499"/>
      <c r="I7" s="499"/>
      <c r="J7" s="499"/>
      <c r="K7" s="499"/>
      <c r="L7" s="499"/>
      <c r="M7" s="499"/>
      <c r="N7" s="25"/>
      <c r="O7" s="25"/>
      <c r="P7" s="25"/>
      <c r="Q7" s="25"/>
    </row>
    <row r="9" spans="1:17" ht="37.5" customHeight="1" x14ac:dyDescent="0.3">
      <c r="B9" s="1082" t="s">
        <v>1232</v>
      </c>
      <c r="C9" s="1082"/>
      <c r="D9" s="1082" t="s">
        <v>1233</v>
      </c>
      <c r="E9" s="1082"/>
      <c r="F9" s="1082" t="s">
        <v>1184</v>
      </c>
      <c r="G9" s="1082"/>
      <c r="H9" s="1082" t="s">
        <v>1234</v>
      </c>
      <c r="I9" s="1082"/>
      <c r="J9" s="1082" t="s">
        <v>1235</v>
      </c>
      <c r="K9" s="1082"/>
      <c r="M9" s="546"/>
      <c r="N9" s="1083" t="s">
        <v>1236</v>
      </c>
      <c r="O9" s="1083"/>
      <c r="P9" s="1083"/>
    </row>
    <row r="10" spans="1:17" ht="40.200000000000003" x14ac:dyDescent="0.3">
      <c r="A10" s="956" t="s">
        <v>208</v>
      </c>
      <c r="B10" s="956" t="s">
        <v>346</v>
      </c>
      <c r="C10" s="956" t="s">
        <v>1237</v>
      </c>
      <c r="D10" s="956" t="s">
        <v>346</v>
      </c>
      <c r="E10" s="956" t="s">
        <v>1237</v>
      </c>
      <c r="F10" s="956" t="s">
        <v>346</v>
      </c>
      <c r="G10" s="956" t="s">
        <v>1237</v>
      </c>
      <c r="H10" s="956" t="s">
        <v>346</v>
      </c>
      <c r="I10" s="956" t="s">
        <v>1237</v>
      </c>
      <c r="J10" s="956" t="s">
        <v>346</v>
      </c>
      <c r="K10" s="956" t="s">
        <v>1237</v>
      </c>
      <c r="L10" s="807" t="s">
        <v>1238</v>
      </c>
      <c r="M10" s="541" t="s">
        <v>1232</v>
      </c>
      <c r="N10" s="321" t="s">
        <v>1233</v>
      </c>
      <c r="O10" s="321" t="s">
        <v>1239</v>
      </c>
      <c r="P10" s="797" t="s">
        <v>1240</v>
      </c>
    </row>
    <row r="11" spans="1:17" x14ac:dyDescent="0.3">
      <c r="A11" s="957" t="s">
        <v>1158</v>
      </c>
      <c r="B11" s="368">
        <f>GETPIVOTDATA("Sum of A_Tally",AuditsOutcomePivot!$B$4,"FisYr",A11)</f>
        <v>3797</v>
      </c>
      <c r="C11" s="368">
        <f>GETPIVOTDATA("Sum of A_Hours",AuditsOutcomePivot!$B$4,"FisYr",A11)</f>
        <v>14034</v>
      </c>
      <c r="D11" s="368">
        <f>GETPIVOTDATA("Sum of B_Tally",AuditsOutcomePivot!$B$4,"FisYr",A11)</f>
        <v>2264</v>
      </c>
      <c r="E11" s="368">
        <f>GETPIVOTDATA("Sum of B_Hours",AuditsOutcomePivot!$B$4,"FisYr",A11)</f>
        <v>10793</v>
      </c>
      <c r="F11" s="368">
        <f>B11+D11</f>
        <v>6061</v>
      </c>
      <c r="G11" s="368">
        <f>C11+E11</f>
        <v>24827</v>
      </c>
      <c r="H11" s="368">
        <f>GETPIVOTDATA("Sum of Enforcement_Tally",AuditsOutcomePivot!$B$4,"FisYr",A11)</f>
        <v>58</v>
      </c>
      <c r="I11" s="368">
        <f>GETPIVOTDATA("Sum of Enforcement_Hours",AuditsOutcomePivot!$B$4,"FisYr",A11)</f>
        <v>300</v>
      </c>
      <c r="J11" s="368">
        <f>GETPIVOTDATA("Sum of Prohibition_Tally",AuditsOutcomePivot!$B$4,"FisYr",A11)</f>
        <v>20</v>
      </c>
      <c r="K11" s="963">
        <f>GETPIVOTDATA("Sum of Prohibition_Hours",AuditsOutcomePivot!$B$4,"FisYr",A11)</f>
        <v>127</v>
      </c>
      <c r="L11" s="808">
        <f>B11/F11*100</f>
        <v>62.646427982181166</v>
      </c>
      <c r="M11" s="608">
        <f>C11/B11</f>
        <v>3.6960758493547536</v>
      </c>
      <c r="N11" s="806">
        <f>E11/D11</f>
        <v>4.7672261484098941</v>
      </c>
      <c r="O11" s="806">
        <f>I11/H11</f>
        <v>5.1724137931034484</v>
      </c>
      <c r="P11" s="798">
        <f>K11/J11</f>
        <v>6.35</v>
      </c>
    </row>
    <row r="12" spans="1:17" x14ac:dyDescent="0.3">
      <c r="A12" s="957" t="s">
        <v>510</v>
      </c>
      <c r="B12" s="368">
        <f>GETPIVOTDATA("Sum of A_Tally",AuditsOutcomePivot!$B$4,"FisYr",A12)</f>
        <v>4947</v>
      </c>
      <c r="C12" s="368">
        <f>GETPIVOTDATA("Sum of A_Hours",AuditsOutcomePivot!$B$4,"FisYr",A12)</f>
        <v>29138</v>
      </c>
      <c r="D12" s="368">
        <f>GETPIVOTDATA("Sum of B_Tally",AuditsOutcomePivot!$B$4,"FisYr",A12)</f>
        <v>1797</v>
      </c>
      <c r="E12" s="368">
        <f>GETPIVOTDATA("Sum of B_Hours",AuditsOutcomePivot!$B$4,"FisYr",A12)</f>
        <v>11747</v>
      </c>
      <c r="F12" s="368">
        <f t="shared" ref="F12:F26" si="0">B12+D12</f>
        <v>6744</v>
      </c>
      <c r="G12" s="368">
        <f t="shared" ref="G12:G26" si="1">C12+E12</f>
        <v>40885</v>
      </c>
      <c r="H12" s="368">
        <f>GETPIVOTDATA("Sum of Enforcement_Tally",AuditsOutcomePivot!$B$4,"FisYr",A12)</f>
        <v>55</v>
      </c>
      <c r="I12" s="368">
        <f>GETPIVOTDATA("Sum of Enforcement_Hours",AuditsOutcomePivot!$B$4,"FisYr",A12)</f>
        <v>453</v>
      </c>
      <c r="J12" s="368">
        <f>GETPIVOTDATA("Sum of Prohibition_Tally",AuditsOutcomePivot!$B$4,"FisYr",A12)</f>
        <v>13</v>
      </c>
      <c r="K12" s="964">
        <f>GETPIVOTDATA("Sum of Prohibition_Hours",AuditsOutcomePivot!$B$4,"FisYr",A12)</f>
        <v>94</v>
      </c>
      <c r="L12" s="808">
        <f t="shared" ref="L12:L26" si="2">B12/F12*100</f>
        <v>73.354092526690394</v>
      </c>
      <c r="M12" s="608">
        <f t="shared" ref="M12:M26" si="3">C12/B12</f>
        <v>5.8900343642611688</v>
      </c>
      <c r="N12" s="806">
        <f t="shared" ref="N12:N26" si="4">E12/D12</f>
        <v>6.5370061213132997</v>
      </c>
      <c r="O12" s="806">
        <f t="shared" ref="O12:O26" si="5">I12/H12</f>
        <v>8.2363636363636363</v>
      </c>
      <c r="P12" s="799">
        <f t="shared" ref="P12:P26" si="6">K12/J12</f>
        <v>7.2307692307692308</v>
      </c>
    </row>
    <row r="13" spans="1:17" x14ac:dyDescent="0.3">
      <c r="A13" s="957" t="s">
        <v>362</v>
      </c>
      <c r="B13" s="368">
        <f>GETPIVOTDATA("Sum of A_Tally",AuditsOutcomePivot!$B$4,"FisYr",A13)</f>
        <v>6829</v>
      </c>
      <c r="C13" s="368">
        <f>GETPIVOTDATA("Sum of A_Hours",AuditsOutcomePivot!$B$4,"FisYr",A13)</f>
        <v>42023</v>
      </c>
      <c r="D13" s="368">
        <f>GETPIVOTDATA("Sum of B_Tally",AuditsOutcomePivot!$B$4,"FisYr",A13)</f>
        <v>726</v>
      </c>
      <c r="E13" s="368">
        <f>GETPIVOTDATA("Sum of B_Hours",AuditsOutcomePivot!$B$4,"FisYr",A13)</f>
        <v>7946</v>
      </c>
      <c r="F13" s="368">
        <f t="shared" si="0"/>
        <v>7555</v>
      </c>
      <c r="G13" s="368">
        <f t="shared" si="1"/>
        <v>49969</v>
      </c>
      <c r="H13" s="368">
        <f>GETPIVOTDATA("Sum of Enforcement_Tally",AuditsOutcomePivot!$B$4,"FisYr",A13)</f>
        <v>40</v>
      </c>
      <c r="I13" s="368">
        <f>GETPIVOTDATA("Sum of Enforcement_Hours",AuditsOutcomePivot!$B$4,"FisYr",A13)</f>
        <v>267</v>
      </c>
      <c r="J13" s="368">
        <f>GETPIVOTDATA("Sum of Prohibition_Tally",AuditsOutcomePivot!$B$4,"FisYr",A13)</f>
        <v>26</v>
      </c>
      <c r="K13" s="964">
        <f>GETPIVOTDATA("Sum of Prohibition_Hours",AuditsOutcomePivot!$B$4,"FisYr",A13)</f>
        <v>144</v>
      </c>
      <c r="L13" s="808">
        <f t="shared" si="2"/>
        <v>90.390469887491733</v>
      </c>
      <c r="M13" s="608">
        <f t="shared" si="3"/>
        <v>6.1536096060916678</v>
      </c>
      <c r="N13" s="806">
        <f t="shared" si="4"/>
        <v>10.944903581267218</v>
      </c>
      <c r="O13" s="806">
        <f t="shared" si="5"/>
        <v>6.6749999999999998</v>
      </c>
      <c r="P13" s="799">
        <f t="shared" si="6"/>
        <v>5.5384615384615383</v>
      </c>
    </row>
    <row r="14" spans="1:17" x14ac:dyDescent="0.3">
      <c r="A14" s="805" t="s">
        <v>363</v>
      </c>
      <c r="B14" s="368">
        <f>GETPIVOTDATA("Sum of A_Tally",AuditsOutcomePivot!$B$4,"FisYr",A14)</f>
        <v>7230</v>
      </c>
      <c r="C14" s="368">
        <f>GETPIVOTDATA("Sum of A_Hours",AuditsOutcomePivot!$B$4,"FisYr",A14)</f>
        <v>34986</v>
      </c>
      <c r="D14" s="368">
        <f>GETPIVOTDATA("Sum of B_Tally",AuditsOutcomePivot!$B$4,"FisYr",A14)</f>
        <v>764</v>
      </c>
      <c r="E14" s="368">
        <f>GETPIVOTDATA("Sum of B_Hours",AuditsOutcomePivot!$B$4,"FisYr",A14)</f>
        <v>5742</v>
      </c>
      <c r="F14" s="368">
        <f t="shared" si="0"/>
        <v>7994</v>
      </c>
      <c r="G14" s="368">
        <f t="shared" si="1"/>
        <v>40728</v>
      </c>
      <c r="H14" s="368">
        <f>GETPIVOTDATA("Sum of Enforcement_Tally",AuditsOutcomePivot!$B$4,"FisYr",A14)</f>
        <v>43</v>
      </c>
      <c r="I14" s="368">
        <f>GETPIVOTDATA("Sum of Enforcement_Hours",AuditsOutcomePivot!$B$4,"FisYr",A14)</f>
        <v>251</v>
      </c>
      <c r="J14" s="368">
        <f>GETPIVOTDATA("Sum of Prohibition_Tally",AuditsOutcomePivot!$B$4,"FisYr",A14)</f>
        <v>22</v>
      </c>
      <c r="K14" s="964">
        <f>GETPIVOTDATA("Sum of Prohibition_Hours",AuditsOutcomePivot!$B$4,"FisYr",A14)</f>
        <v>100</v>
      </c>
      <c r="L14" s="808">
        <f t="shared" si="2"/>
        <v>90.442832124093059</v>
      </c>
      <c r="M14" s="608">
        <f t="shared" si="3"/>
        <v>4.839004149377593</v>
      </c>
      <c r="N14" s="806">
        <f t="shared" si="4"/>
        <v>7.5157068062827221</v>
      </c>
      <c r="O14" s="806">
        <f t="shared" si="5"/>
        <v>5.8372093023255811</v>
      </c>
      <c r="P14" s="799">
        <f t="shared" si="6"/>
        <v>4.5454545454545459</v>
      </c>
    </row>
    <row r="15" spans="1:17" x14ac:dyDescent="0.3">
      <c r="A15" s="957" t="s">
        <v>364</v>
      </c>
      <c r="B15" s="368">
        <f>GETPIVOTDATA("Sum of A_Tally",AuditsOutcomePivot!$B$4,"FisYr",A15)</f>
        <v>0</v>
      </c>
      <c r="C15" s="368">
        <f>GETPIVOTDATA("Sum of A_Hours",AuditsOutcomePivot!$B$4,"FisYr",A15)</f>
        <v>0</v>
      </c>
      <c r="D15" s="368">
        <f>GETPIVOTDATA("Sum of B_Tally",AuditsOutcomePivot!$B$4,"FisYr",A15)</f>
        <v>0</v>
      </c>
      <c r="E15" s="368">
        <f>GETPIVOTDATA("Sum of B_Hours",AuditsOutcomePivot!$B$4,"FisYr",A15)</f>
        <v>0</v>
      </c>
      <c r="F15" s="368">
        <f t="shared" si="0"/>
        <v>0</v>
      </c>
      <c r="G15" s="368">
        <f t="shared" si="1"/>
        <v>0</v>
      </c>
      <c r="H15" s="368">
        <f>GETPIVOTDATA("Sum of Enforcement_Tally",AuditsOutcomePivot!$B$4,"FisYr",A15)</f>
        <v>0</v>
      </c>
      <c r="I15" s="368">
        <f>GETPIVOTDATA("Sum of Enforcement_Hours",AuditsOutcomePivot!$B$4,"FisYr",A15)</f>
        <v>0</v>
      </c>
      <c r="J15" s="368">
        <f>GETPIVOTDATA("Sum of Prohibition_Tally",AuditsOutcomePivot!$B$4,"FisYr",A15)</f>
        <v>0</v>
      </c>
      <c r="K15" s="964">
        <f>GETPIVOTDATA("Sum of Prohibition_Hours",AuditsOutcomePivot!$B$4,"FisYr",A15)</f>
        <v>0</v>
      </c>
      <c r="L15" s="808" t="s">
        <v>619</v>
      </c>
      <c r="M15" s="959" t="s">
        <v>619</v>
      </c>
      <c r="N15" s="960" t="s">
        <v>619</v>
      </c>
      <c r="O15" s="960" t="s">
        <v>619</v>
      </c>
      <c r="P15" s="961" t="s">
        <v>619</v>
      </c>
    </row>
    <row r="16" spans="1:17" x14ac:dyDescent="0.3">
      <c r="A16" s="957" t="s">
        <v>365</v>
      </c>
      <c r="B16" s="368">
        <f>GETPIVOTDATA("Sum of A_Tally",AuditsOutcomePivot!$B$4,"FisYr",A16)</f>
        <v>7816</v>
      </c>
      <c r="C16" s="368">
        <f>GETPIVOTDATA("Sum of A_Hours",AuditsOutcomePivot!$B$4,"FisYr",A16)</f>
        <v>40485</v>
      </c>
      <c r="D16" s="368">
        <f>GETPIVOTDATA("Sum of B_Tally",AuditsOutcomePivot!$B$4,"FisYr",A16)</f>
        <v>390</v>
      </c>
      <c r="E16" s="368">
        <f>GETPIVOTDATA("Sum of B_Hours",AuditsOutcomePivot!$B$4,"FisYr",A16)</f>
        <v>3134.5</v>
      </c>
      <c r="F16" s="368">
        <f t="shared" si="0"/>
        <v>8206</v>
      </c>
      <c r="G16" s="368">
        <f t="shared" si="1"/>
        <v>43619.5</v>
      </c>
      <c r="H16" s="368">
        <f>GETPIVOTDATA("Sum of Enforcement_Tally",AuditsOutcomePivot!$B$4,"FisYr",A16)</f>
        <v>10</v>
      </c>
      <c r="I16" s="368">
        <f>GETPIVOTDATA("Sum of Enforcement_Hours",AuditsOutcomePivot!$B$4,"FisYr",A16)</f>
        <v>206.25</v>
      </c>
      <c r="J16" s="368">
        <f>GETPIVOTDATA("Sum of Prohibition_Tally",AuditsOutcomePivot!$B$4,"FisYr",A16)</f>
        <v>3</v>
      </c>
      <c r="K16" s="964">
        <f>GETPIVOTDATA("Sum of Prohibition_Hours",AuditsOutcomePivot!$B$4,"FisYr",A16)</f>
        <v>25.5</v>
      </c>
      <c r="L16" s="808">
        <f t="shared" si="2"/>
        <v>95.247379965878622</v>
      </c>
      <c r="M16" s="608">
        <f t="shared" si="3"/>
        <v>5.1797594677584442</v>
      </c>
      <c r="N16" s="806">
        <f t="shared" si="4"/>
        <v>8.0371794871794879</v>
      </c>
      <c r="O16" s="806">
        <f t="shared" si="5"/>
        <v>20.625</v>
      </c>
      <c r="P16" s="799">
        <f t="shared" si="6"/>
        <v>8.5</v>
      </c>
    </row>
    <row r="17" spans="1:18" x14ac:dyDescent="0.3">
      <c r="A17" s="957" t="s">
        <v>366</v>
      </c>
      <c r="B17" s="368">
        <f>GETPIVOTDATA("Sum of A_Tally",AuditsOutcomePivot!$B$4,"FisYr",A17)</f>
        <v>9185</v>
      </c>
      <c r="C17" s="368">
        <f>GETPIVOTDATA("Sum of A_Hours",AuditsOutcomePivot!$B$4,"FisYr",A17)</f>
        <v>44965</v>
      </c>
      <c r="D17" s="368">
        <f>GETPIVOTDATA("Sum of B_Tally",AuditsOutcomePivot!$B$4,"FisYr",A17)</f>
        <v>649</v>
      </c>
      <c r="E17" s="368">
        <f>GETPIVOTDATA("Sum of B_Hours",AuditsOutcomePivot!$B$4,"FisYr",A17)</f>
        <v>6069.5</v>
      </c>
      <c r="F17" s="368">
        <f t="shared" si="0"/>
        <v>9834</v>
      </c>
      <c r="G17" s="368">
        <f t="shared" si="1"/>
        <v>51034.5</v>
      </c>
      <c r="H17" s="368">
        <f>GETPIVOTDATA("Sum of Enforcement_Tally",AuditsOutcomePivot!$B$4,"FisYr",A17)</f>
        <v>23</v>
      </c>
      <c r="I17" s="368">
        <f>GETPIVOTDATA("Sum of Enforcement_Hours",AuditsOutcomePivot!$B$4,"FisYr",A17)</f>
        <v>612</v>
      </c>
      <c r="J17" s="368">
        <f>GETPIVOTDATA("Sum of Prohibition_Tally",AuditsOutcomePivot!$B$4,"FisYr",A17)</f>
        <v>4</v>
      </c>
      <c r="K17" s="964">
        <f>GETPIVOTDATA("Sum of Prohibition_Hours",AuditsOutcomePivot!$B$4,"FisYr",A17)</f>
        <v>23.25</v>
      </c>
      <c r="L17" s="808">
        <f t="shared" si="2"/>
        <v>93.400447427293059</v>
      </c>
      <c r="M17" s="608">
        <f t="shared" si="3"/>
        <v>4.895481763745237</v>
      </c>
      <c r="N17" s="806">
        <f t="shared" si="4"/>
        <v>9.352080123266564</v>
      </c>
      <c r="O17" s="806">
        <f t="shared" si="5"/>
        <v>26.608695652173914</v>
      </c>
      <c r="P17" s="799">
        <f t="shared" si="6"/>
        <v>5.8125</v>
      </c>
    </row>
    <row r="18" spans="1:18" x14ac:dyDescent="0.3">
      <c r="A18" s="957" t="s">
        <v>341</v>
      </c>
      <c r="B18" s="368">
        <f>GETPIVOTDATA("Sum of A_Tally",AuditsOutcomePivot!$B$4,"FisYr",A18)</f>
        <v>8385</v>
      </c>
      <c r="C18" s="368">
        <f>GETPIVOTDATA("Sum of A_Hours",AuditsOutcomePivot!$B$4,"FisYr",A18)</f>
        <v>41376</v>
      </c>
      <c r="D18" s="368">
        <f>GETPIVOTDATA("Sum of B_Tally",AuditsOutcomePivot!$B$4,"FisYr",A18)</f>
        <v>554</v>
      </c>
      <c r="E18" s="368">
        <f>GETPIVOTDATA("Sum of B_Hours",AuditsOutcomePivot!$B$4,"FisYr",A18)</f>
        <v>4990.75</v>
      </c>
      <c r="F18" s="368">
        <f t="shared" si="0"/>
        <v>8939</v>
      </c>
      <c r="G18" s="368">
        <f t="shared" si="1"/>
        <v>46366.75</v>
      </c>
      <c r="H18" s="368">
        <f>GETPIVOTDATA("Sum of Enforcement_Tally",AuditsOutcomePivot!$B$4,"FisYr",A18)</f>
        <v>21</v>
      </c>
      <c r="I18" s="368">
        <f>GETPIVOTDATA("Sum of Enforcement_Hours",AuditsOutcomePivot!$B$4,"FisYr",A18)</f>
        <v>395.25</v>
      </c>
      <c r="J18" s="368">
        <f>GETPIVOTDATA("Sum of Prohibition_Tally",AuditsOutcomePivot!$B$4,"FisYr",A18)</f>
        <v>12</v>
      </c>
      <c r="K18" s="964">
        <f>GETPIVOTDATA("Sum of Prohibition_Hours",AuditsOutcomePivot!$B$4,"FisYr",A18)</f>
        <v>72.25</v>
      </c>
      <c r="L18" s="808">
        <f t="shared" si="2"/>
        <v>93.802438751538205</v>
      </c>
      <c r="M18" s="608">
        <f t="shared" si="3"/>
        <v>4.9345259391771021</v>
      </c>
      <c r="N18" s="806">
        <f t="shared" si="4"/>
        <v>9.0085740072202167</v>
      </c>
      <c r="O18" s="806">
        <f t="shared" si="5"/>
        <v>18.821428571428573</v>
      </c>
      <c r="P18" s="799">
        <f t="shared" si="6"/>
        <v>6.020833333333333</v>
      </c>
    </row>
    <row r="19" spans="1:18" x14ac:dyDescent="0.3">
      <c r="A19" s="957" t="s">
        <v>342</v>
      </c>
      <c r="B19" s="368">
        <f>GETPIVOTDATA("Sum of A_Tally",AuditsOutcomePivot!$B$4,"FisYr",A19)</f>
        <v>7167</v>
      </c>
      <c r="C19" s="368">
        <f>GETPIVOTDATA("Sum of A_Hours",AuditsOutcomePivot!$B$4,"FisYr",A19)</f>
        <v>34688.5</v>
      </c>
      <c r="D19" s="368">
        <f>GETPIVOTDATA("Sum of B_Tally",AuditsOutcomePivot!$B$4,"FisYr",A19)</f>
        <v>468</v>
      </c>
      <c r="E19" s="368">
        <f>GETPIVOTDATA("Sum of B_Hours",AuditsOutcomePivot!$B$4,"FisYr",A19)</f>
        <v>4782</v>
      </c>
      <c r="F19" s="368">
        <f t="shared" si="0"/>
        <v>7635</v>
      </c>
      <c r="G19" s="368">
        <f t="shared" si="1"/>
        <v>39470.5</v>
      </c>
      <c r="H19" s="368">
        <f>GETPIVOTDATA("Sum of Enforcement_Tally",AuditsOutcomePivot!$B$4,"FisYr",A19)</f>
        <v>15</v>
      </c>
      <c r="I19" s="368">
        <f>GETPIVOTDATA("Sum of Enforcement_Hours",AuditsOutcomePivot!$B$4,"FisYr",A19)</f>
        <v>465.5</v>
      </c>
      <c r="J19" s="368">
        <f>GETPIVOTDATA("Sum of Prohibition_Tally",AuditsOutcomePivot!$B$4,"FisYr",A19)</f>
        <v>17</v>
      </c>
      <c r="K19" s="964">
        <f>GETPIVOTDATA("Sum of Prohibition_Hours",AuditsOutcomePivot!$B$4,"FisYr",A19)</f>
        <v>128.5</v>
      </c>
      <c r="L19" s="808">
        <f t="shared" si="2"/>
        <v>93.870333988212181</v>
      </c>
      <c r="M19" s="608">
        <f t="shared" si="3"/>
        <v>4.8400306962466866</v>
      </c>
      <c r="N19" s="806">
        <f t="shared" si="4"/>
        <v>10.217948717948717</v>
      </c>
      <c r="O19" s="806">
        <f t="shared" si="5"/>
        <v>31.033333333333335</v>
      </c>
      <c r="P19" s="799">
        <f t="shared" si="6"/>
        <v>7.5588235294117645</v>
      </c>
    </row>
    <row r="20" spans="1:18" x14ac:dyDescent="0.3">
      <c r="A20" s="957" t="s">
        <v>213</v>
      </c>
      <c r="B20" s="368">
        <f>GETPIVOTDATA("Sum of A_Tally",AuditsOutcomePivot!$B$4,"FisYr",A20)</f>
        <v>7508</v>
      </c>
      <c r="C20" s="368">
        <f>GETPIVOTDATA("Sum of A_Hours",AuditsOutcomePivot!$B$4,"FisYr",A20)</f>
        <v>36452.25</v>
      </c>
      <c r="D20" s="368">
        <f>GETPIVOTDATA("Sum of B_Tally",AuditsOutcomePivot!$B$4,"FisYr",A20)</f>
        <v>364</v>
      </c>
      <c r="E20" s="368">
        <f>GETPIVOTDATA("Sum of B_Hours",AuditsOutcomePivot!$B$4,"FisYr",A20)</f>
        <v>3759.25</v>
      </c>
      <c r="F20" s="368">
        <f t="shared" si="0"/>
        <v>7872</v>
      </c>
      <c r="G20" s="368">
        <f t="shared" si="1"/>
        <v>40211.5</v>
      </c>
      <c r="H20" s="368">
        <f>GETPIVOTDATA("Sum of Enforcement_Tally",AuditsOutcomePivot!$B$4,"FisYr",A20)</f>
        <v>22</v>
      </c>
      <c r="I20" s="368">
        <f>GETPIVOTDATA("Sum of Enforcement_Hours",AuditsOutcomePivot!$B$4,"FisYr",A20)</f>
        <v>521.75</v>
      </c>
      <c r="J20" s="368">
        <f>GETPIVOTDATA("Sum of Prohibition_Tally",AuditsOutcomePivot!$B$4,"FisYr",A20)</f>
        <v>20</v>
      </c>
      <c r="K20" s="964">
        <f>GETPIVOTDATA("Sum of Prohibition_Hours",AuditsOutcomePivot!$B$4,"FisYr",A20)</f>
        <v>237.5</v>
      </c>
      <c r="L20" s="808">
        <f t="shared" si="2"/>
        <v>95.376016260162601</v>
      </c>
      <c r="M20" s="608">
        <f t="shared" si="3"/>
        <v>4.8551212040490146</v>
      </c>
      <c r="N20" s="806">
        <f t="shared" si="4"/>
        <v>10.327609890109891</v>
      </c>
      <c r="O20" s="806">
        <f t="shared" si="5"/>
        <v>23.71590909090909</v>
      </c>
      <c r="P20" s="799">
        <f t="shared" si="6"/>
        <v>11.875</v>
      </c>
    </row>
    <row r="21" spans="1:18" x14ac:dyDescent="0.3">
      <c r="A21" s="957" t="s">
        <v>312</v>
      </c>
      <c r="B21" s="368">
        <f>GETPIVOTDATA("Sum of A_Tally",AuditsOutcomePivot!$B$4,"FisYr",A21)</f>
        <v>6873</v>
      </c>
      <c r="C21" s="368">
        <f>GETPIVOTDATA("Sum of A_Hours",AuditsOutcomePivot!$B$4,"FisYr",A21)</f>
        <v>31221</v>
      </c>
      <c r="D21" s="368">
        <f>GETPIVOTDATA("Sum of B_Tally",AuditsOutcomePivot!$B$4,"FisYr",A21)</f>
        <v>388</v>
      </c>
      <c r="E21" s="368">
        <f>GETPIVOTDATA("Sum of B_Hours",AuditsOutcomePivot!$B$4,"FisYr",A21)</f>
        <v>2309</v>
      </c>
      <c r="F21" s="368">
        <f t="shared" si="0"/>
        <v>7261</v>
      </c>
      <c r="G21" s="368">
        <f t="shared" si="1"/>
        <v>33530</v>
      </c>
      <c r="H21" s="368">
        <f>GETPIVOTDATA("Sum of Enforcement_Tally",AuditsOutcomePivot!$B$4,"FisYr",A21)</f>
        <v>1</v>
      </c>
      <c r="I21" s="368">
        <f>GETPIVOTDATA("Sum of Enforcement_Hours",AuditsOutcomePivot!$B$4,"FisYr",A21)</f>
        <v>11.5</v>
      </c>
      <c r="J21" s="368">
        <f>GETPIVOTDATA("Sum of Prohibition_Tally",AuditsOutcomePivot!$B$4,"FisYr",A21)</f>
        <v>12</v>
      </c>
      <c r="K21" s="964">
        <f>GETPIVOTDATA("Sum of Prohibition_Hours",AuditsOutcomePivot!$B$4,"FisYr",A21)</f>
        <v>36</v>
      </c>
      <c r="L21" s="808">
        <f t="shared" si="2"/>
        <v>94.656383418261953</v>
      </c>
      <c r="M21" s="608">
        <f t="shared" si="3"/>
        <v>4.542557835006547</v>
      </c>
      <c r="N21" s="806">
        <f t="shared" si="4"/>
        <v>5.9510309278350517</v>
      </c>
      <c r="O21" s="806">
        <f t="shared" si="5"/>
        <v>11.5</v>
      </c>
      <c r="P21" s="799">
        <f t="shared" si="6"/>
        <v>3</v>
      </c>
    </row>
    <row r="22" spans="1:18" x14ac:dyDescent="0.3">
      <c r="A22" s="957" t="s">
        <v>318</v>
      </c>
      <c r="B22" s="368">
        <f>GETPIVOTDATA("Sum of A_Tally",AuditsOutcomePivot!$B$4,"FisYr",A22)</f>
        <v>3200</v>
      </c>
      <c r="C22" s="368">
        <f>GETPIVOTDATA("Sum of A_Hours",AuditsOutcomePivot!$B$4,"FisYr",A22)</f>
        <v>16371</v>
      </c>
      <c r="D22" s="368">
        <f>GETPIVOTDATA("Sum of B_Tally",AuditsOutcomePivot!$B$4,"FisYr",A22)</f>
        <v>119</v>
      </c>
      <c r="E22" s="368">
        <f>GETPIVOTDATA("Sum of B_Hours",AuditsOutcomePivot!$B$4,"FisYr",A22)</f>
        <v>1407.5</v>
      </c>
      <c r="F22" s="368">
        <f t="shared" si="0"/>
        <v>3319</v>
      </c>
      <c r="G22" s="368">
        <f t="shared" si="1"/>
        <v>17778.5</v>
      </c>
      <c r="H22" s="368">
        <f>GETPIVOTDATA("Sum of Enforcement_Tally",AuditsOutcomePivot!$B$4,"FisYr",A22)</f>
        <v>3</v>
      </c>
      <c r="I22" s="368">
        <f>GETPIVOTDATA("Sum of Enforcement_Hours",AuditsOutcomePivot!$B$4,"FisYr",A22)</f>
        <v>123</v>
      </c>
      <c r="J22" s="368">
        <f>GETPIVOTDATA("Sum of Prohibition_Tally",AuditsOutcomePivot!$B$4,"FisYr",A22)</f>
        <v>3</v>
      </c>
      <c r="K22" s="964">
        <f>GETPIVOTDATA("Sum of Prohibition_Hours",AuditsOutcomePivot!$B$4,"FisYr",A22)</f>
        <v>24</v>
      </c>
      <c r="L22" s="808">
        <f t="shared" si="2"/>
        <v>96.414582705634217</v>
      </c>
      <c r="M22" s="608">
        <f t="shared" si="3"/>
        <v>5.1159375000000002</v>
      </c>
      <c r="N22" s="806">
        <f t="shared" si="4"/>
        <v>11.827731092436975</v>
      </c>
      <c r="O22" s="806">
        <f t="shared" si="5"/>
        <v>41</v>
      </c>
      <c r="P22" s="799">
        <f t="shared" si="6"/>
        <v>8</v>
      </c>
    </row>
    <row r="23" spans="1:18" x14ac:dyDescent="0.3">
      <c r="A23" s="957" t="s">
        <v>320</v>
      </c>
      <c r="B23" s="368">
        <f>GETPIVOTDATA("Sum of A_Tally",AuditsOutcomePivot!$B$4,"FisYr",A23)</f>
        <v>5502</v>
      </c>
      <c r="C23" s="368">
        <f>GETPIVOTDATA("Sum of A_Hours",AuditsOutcomePivot!$B$4,"FisYr",A23)</f>
        <v>31098.25</v>
      </c>
      <c r="D23" s="368">
        <f>GETPIVOTDATA("Sum of B_Tally",AuditsOutcomePivot!$B$4,"FisYr",A23)</f>
        <v>186</v>
      </c>
      <c r="E23" s="368">
        <f>GETPIVOTDATA("Sum of B_Hours",AuditsOutcomePivot!$B$4,"FisYr",A23)</f>
        <v>2051.75</v>
      </c>
      <c r="F23" s="368">
        <f t="shared" si="0"/>
        <v>5688</v>
      </c>
      <c r="G23" s="368">
        <f t="shared" si="1"/>
        <v>33150</v>
      </c>
      <c r="H23" s="368">
        <f>GETPIVOTDATA("Sum of Enforcement_Tally",AuditsOutcomePivot!$B$4,"FisYr",A23)</f>
        <v>5</v>
      </c>
      <c r="I23" s="368">
        <f>GETPIVOTDATA("Sum of Enforcement_Hours",AuditsOutcomePivot!$B$4,"FisYr",A23)</f>
        <v>170</v>
      </c>
      <c r="J23" s="368">
        <f>GETPIVOTDATA("Sum of Prohibition_Tally",AuditsOutcomePivot!$B$4,"FisYr",A23)</f>
        <v>8</v>
      </c>
      <c r="K23" s="964">
        <f>GETPIVOTDATA("Sum of Prohibition_Hours",AuditsOutcomePivot!$B$4,"FisYr",A23)</f>
        <v>49</v>
      </c>
      <c r="L23" s="808">
        <f t="shared" si="2"/>
        <v>96.729957805907176</v>
      </c>
      <c r="M23" s="608">
        <f t="shared" si="3"/>
        <v>5.6521719374772807</v>
      </c>
      <c r="N23" s="806">
        <f t="shared" si="4"/>
        <v>11.030913978494624</v>
      </c>
      <c r="O23" s="806">
        <f t="shared" si="5"/>
        <v>34</v>
      </c>
      <c r="P23" s="799">
        <f t="shared" si="6"/>
        <v>6.125</v>
      </c>
    </row>
    <row r="24" spans="1:18" x14ac:dyDescent="0.3">
      <c r="A24" s="957" t="s">
        <v>325</v>
      </c>
      <c r="B24" s="368">
        <f>GETPIVOTDATA("Sum of A_Tally",AuditsOutcomePivot!$B$4,"FisYr",A24)</f>
        <v>6432</v>
      </c>
      <c r="C24" s="368">
        <f>GETPIVOTDATA("Sum of A_Hours",AuditsOutcomePivot!$B$4,"FisYr",A24)</f>
        <v>38526.5</v>
      </c>
      <c r="D24" s="368">
        <f>GETPIVOTDATA("Sum of B_Tally",AuditsOutcomePivot!$B$4,"FisYr",A24)</f>
        <v>280</v>
      </c>
      <c r="E24" s="368">
        <f>GETPIVOTDATA("Sum of B_Hours",AuditsOutcomePivot!$B$4,"FisYr",A24)</f>
        <v>3385</v>
      </c>
      <c r="F24" s="368">
        <f t="shared" si="0"/>
        <v>6712</v>
      </c>
      <c r="G24" s="368">
        <f t="shared" si="1"/>
        <v>41911.5</v>
      </c>
      <c r="H24" s="368">
        <f>GETPIVOTDATA("Sum of Enforcement_Tally",AuditsOutcomePivot!$B$4,"FisYr",A24)</f>
        <v>2</v>
      </c>
      <c r="I24" s="368">
        <f>GETPIVOTDATA("Sum of Enforcement_Hours",AuditsOutcomePivot!$B$4,"FisYr",A24)</f>
        <v>98.25</v>
      </c>
      <c r="J24" s="368">
        <f>GETPIVOTDATA("Sum of Prohibition_Tally",AuditsOutcomePivot!$B$4,"FisYr",A24)</f>
        <v>5</v>
      </c>
      <c r="K24" s="964">
        <f>GETPIVOTDATA("Sum of Prohibition_Hours",AuditsOutcomePivot!$B$4,"FisYr",A24)</f>
        <v>52.5</v>
      </c>
      <c r="L24" s="808">
        <f t="shared" si="2"/>
        <v>95.828367103694873</v>
      </c>
      <c r="M24" s="608">
        <f t="shared" si="3"/>
        <v>5.9898165422885574</v>
      </c>
      <c r="N24" s="806">
        <f t="shared" si="4"/>
        <v>12.089285714285714</v>
      </c>
      <c r="O24" s="806">
        <f t="shared" si="5"/>
        <v>49.125</v>
      </c>
      <c r="P24" s="799">
        <f t="shared" si="6"/>
        <v>10.5</v>
      </c>
    </row>
    <row r="25" spans="1:18" x14ac:dyDescent="0.3">
      <c r="A25" s="957" t="s">
        <v>326</v>
      </c>
      <c r="B25" s="368">
        <f>GETPIVOTDATA("Sum of A_Tally",AuditsOutcomePivot!$B$4,"FisYr",A25)</f>
        <v>7362</v>
      </c>
      <c r="C25" s="368">
        <f>GETPIVOTDATA("Sum of A_Hours",AuditsOutcomePivot!$B$4,"FisYr",A25)</f>
        <v>42820.25</v>
      </c>
      <c r="D25" s="368">
        <f>GETPIVOTDATA("Sum of B_Tally",AuditsOutcomePivot!$B$4,"FisYr",A25)</f>
        <v>292</v>
      </c>
      <c r="E25" s="368">
        <f>GETPIVOTDATA("Sum of B_Hours",AuditsOutcomePivot!$B$4,"FisYr",A25)</f>
        <v>3831</v>
      </c>
      <c r="F25" s="368">
        <f t="shared" si="0"/>
        <v>7654</v>
      </c>
      <c r="G25" s="368">
        <f t="shared" si="1"/>
        <v>46651.25</v>
      </c>
      <c r="H25" s="368">
        <f>GETPIVOTDATA("Sum of Enforcement_Tally",AuditsOutcomePivot!$B$4,"FisYr",A25)</f>
        <v>5</v>
      </c>
      <c r="I25" s="368">
        <f>GETPIVOTDATA("Sum of Enforcement_Hours",AuditsOutcomePivot!$B$4,"FisYr",A25)</f>
        <v>214.75</v>
      </c>
      <c r="J25" s="368">
        <f>GETPIVOTDATA("Sum of Prohibition_Tally",AuditsOutcomePivot!$B$4,"FisYr",A25)</f>
        <v>12</v>
      </c>
      <c r="K25" s="964">
        <f>GETPIVOTDATA("Sum of Prohibition_Hours",AuditsOutcomePivot!$B$4,"FisYr",A25)</f>
        <v>290.25</v>
      </c>
      <c r="L25" s="808">
        <f t="shared" si="2"/>
        <v>96.185001306506408</v>
      </c>
      <c r="M25" s="608">
        <f t="shared" si="3"/>
        <v>5.8163882097256181</v>
      </c>
      <c r="N25" s="806">
        <f t="shared" si="4"/>
        <v>13.11986301369863</v>
      </c>
      <c r="O25" s="806">
        <f t="shared" si="5"/>
        <v>42.95</v>
      </c>
      <c r="P25" s="799">
        <f t="shared" si="6"/>
        <v>24.1875</v>
      </c>
      <c r="Q25" s="246"/>
      <c r="R25" s="246"/>
    </row>
    <row r="26" spans="1:18" x14ac:dyDescent="0.3">
      <c r="A26" s="1013" t="s">
        <v>328</v>
      </c>
      <c r="B26" s="368">
        <f>GETPIVOTDATA("Sum of A_Tally",AuditsOutcomePivot!$B$4,"FisYr",A26)</f>
        <v>8461</v>
      </c>
      <c r="C26" s="368">
        <f>GETPIVOTDATA("Sum of A_Hours",AuditsOutcomePivot!$B$4,"FisYr",A26)</f>
        <v>47569.5</v>
      </c>
      <c r="D26" s="368">
        <f>GETPIVOTDATA("Sum of B_Tally",AuditsOutcomePivot!$B$4,"FisYr",A26)</f>
        <v>307</v>
      </c>
      <c r="E26" s="368">
        <f>GETPIVOTDATA("Sum of B_Hours",AuditsOutcomePivot!$B$4,"FisYr",A26)</f>
        <v>3445</v>
      </c>
      <c r="F26" s="368">
        <f t="shared" si="0"/>
        <v>8768</v>
      </c>
      <c r="G26" s="368">
        <f t="shared" si="1"/>
        <v>51014.5</v>
      </c>
      <c r="H26" s="368">
        <f>GETPIVOTDATA("Sum of Enforcement_Tally",AuditsOutcomePivot!$B$4,"FisYr",A26)</f>
        <v>2</v>
      </c>
      <c r="I26" s="368">
        <f>GETPIVOTDATA("Sum of Enforcement_Hours",AuditsOutcomePivot!$B$4,"FisYr",A26)</f>
        <v>146</v>
      </c>
      <c r="J26" s="368">
        <f>GETPIVOTDATA("Sum of Prohibition_Tally",AuditsOutcomePivot!$B$4,"FisYr",A26)</f>
        <v>6</v>
      </c>
      <c r="K26" s="964">
        <f>GETPIVOTDATA("Sum of Prohibition_Hours",AuditsOutcomePivot!$B$4,"FisYr",A26)</f>
        <v>85.5</v>
      </c>
      <c r="L26" s="1014">
        <f t="shared" si="2"/>
        <v>96.498631386861305</v>
      </c>
      <c r="M26" s="806">
        <f t="shared" si="3"/>
        <v>5.6222077768585272</v>
      </c>
      <c r="N26" s="806">
        <f t="shared" si="4"/>
        <v>11.221498371335505</v>
      </c>
      <c r="O26" s="806">
        <f t="shared" si="5"/>
        <v>73</v>
      </c>
      <c r="P26" s="799">
        <f t="shared" si="6"/>
        <v>14.25</v>
      </c>
      <c r="Q26" s="15"/>
    </row>
    <row r="27" spans="1:18" x14ac:dyDescent="0.3">
      <c r="A27" s="962" t="s">
        <v>412</v>
      </c>
      <c r="B27" s="965">
        <f>GETPIVOTDATA("Sum of A_Tally",AuditsOutcomePivot!$B$4,"FisYr",A27)</f>
        <v>8180</v>
      </c>
      <c r="C27" s="965">
        <f>GETPIVOTDATA("Sum of A_Hours",AuditsOutcomePivot!$B$4,"FisYr",A27)</f>
        <v>45656.5</v>
      </c>
      <c r="D27" s="965">
        <f>GETPIVOTDATA("Sum of B_Tally",AuditsOutcomePivot!$B$4,"FisYr",A27)</f>
        <v>284</v>
      </c>
      <c r="E27" s="965">
        <f>GETPIVOTDATA("Sum of B_Hours",AuditsOutcomePivot!$B$4,"FisYr",A27)</f>
        <v>3097</v>
      </c>
      <c r="F27" s="965">
        <f t="shared" ref="F27" si="7">B27+D27</f>
        <v>8464</v>
      </c>
      <c r="G27" s="965">
        <f t="shared" ref="G27" si="8">C27+E27</f>
        <v>48753.5</v>
      </c>
      <c r="H27" s="965">
        <f>GETPIVOTDATA("Sum of Enforcement_Tally",AuditsOutcomePivot!$B$4,"FisYr",A27)</f>
        <v>2</v>
      </c>
      <c r="I27" s="965">
        <f>GETPIVOTDATA("Sum of Enforcement_Hours",AuditsOutcomePivot!$B$4,"FisYr",A27)</f>
        <v>73.25</v>
      </c>
      <c r="J27" s="965">
        <f>GETPIVOTDATA("Sum of Prohibition_Tally",AuditsOutcomePivot!$B$4,"FisYr",A27)</f>
        <v>14</v>
      </c>
      <c r="K27" s="966">
        <f>GETPIVOTDATA("Sum of Prohibition_Hours",AuditsOutcomePivot!$B$4,"FisYr",A27)</f>
        <v>189</v>
      </c>
      <c r="L27" s="958">
        <f t="shared" ref="L27" si="9">B27/F27*100</f>
        <v>96.644612476370511</v>
      </c>
      <c r="M27" s="777">
        <f t="shared" ref="M27" si="10">C27/B27</f>
        <v>5.5814792176039116</v>
      </c>
      <c r="N27" s="778">
        <f t="shared" ref="N27" si="11">E27/D27</f>
        <v>10.904929577464788</v>
      </c>
      <c r="O27" s="778">
        <f t="shared" ref="O27" si="12">I27/H27</f>
        <v>36.625</v>
      </c>
      <c r="P27" s="800">
        <f t="shared" ref="P27" si="13">K27/J27</f>
        <v>13.5</v>
      </c>
      <c r="Q27" s="15"/>
    </row>
    <row r="28" spans="1:18" x14ac:dyDescent="0.3">
      <c r="A28" s="336" t="s">
        <v>329</v>
      </c>
      <c r="B28" s="15"/>
      <c r="C28" s="15"/>
      <c r="D28" s="15"/>
      <c r="E28" s="15"/>
      <c r="F28" s="15"/>
      <c r="G28" s="15"/>
      <c r="H28" s="277"/>
      <c r="I28" s="277"/>
      <c r="J28" s="15"/>
      <c r="K28" s="15"/>
      <c r="L28" s="570"/>
      <c r="M28" s="570"/>
      <c r="N28" s="570"/>
      <c r="O28" s="570"/>
      <c r="P28" s="570"/>
      <c r="Q28" s="15"/>
    </row>
    <row r="29" spans="1:18" x14ac:dyDescent="0.3">
      <c r="A29" s="810" t="s">
        <v>1241</v>
      </c>
      <c r="B29" s="15"/>
      <c r="C29" s="15"/>
      <c r="D29" s="15"/>
      <c r="E29" s="15"/>
      <c r="F29" s="15"/>
      <c r="G29" s="15"/>
      <c r="H29" s="277"/>
      <c r="I29" s="277"/>
      <c r="J29" s="15"/>
      <c r="K29" s="15"/>
      <c r="L29" s="15"/>
      <c r="M29" s="15"/>
      <c r="N29" s="15"/>
      <c r="O29" s="15"/>
      <c r="P29" s="15"/>
      <c r="Q29" s="15"/>
    </row>
    <row r="30" spans="1:18" x14ac:dyDescent="0.3">
      <c r="A30" s="810" t="s">
        <v>1242</v>
      </c>
      <c r="B30" s="15"/>
      <c r="C30" s="15"/>
      <c r="D30" s="15"/>
      <c r="E30" s="15"/>
      <c r="F30" s="15"/>
      <c r="G30" s="15"/>
      <c r="H30" s="15"/>
      <c r="I30" s="15"/>
      <c r="J30" s="15"/>
      <c r="K30" s="15"/>
      <c r="L30" s="15"/>
      <c r="M30" s="15"/>
      <c r="N30" s="15"/>
      <c r="O30" s="15"/>
      <c r="P30" s="15"/>
      <c r="Q30" s="570"/>
      <c r="R30" s="570"/>
    </row>
    <row r="31" spans="1:18" ht="45.9" customHeight="1" x14ac:dyDescent="0.3">
      <c r="A31" s="1085" t="s">
        <v>1243</v>
      </c>
      <c r="B31" s="1085"/>
      <c r="C31" s="1085"/>
      <c r="D31" s="1085"/>
      <c r="E31" s="1085"/>
      <c r="F31" s="1085"/>
      <c r="G31" s="1085"/>
      <c r="H31" s="1085"/>
      <c r="I31" s="1085"/>
      <c r="J31" s="570"/>
      <c r="K31" s="570"/>
      <c r="L31" s="15"/>
      <c r="M31" s="15"/>
      <c r="N31" s="15"/>
      <c r="O31" s="15"/>
      <c r="P31" s="15"/>
      <c r="Q31" s="15"/>
    </row>
    <row r="32" spans="1:18" ht="15.6" x14ac:dyDescent="0.3">
      <c r="A32" s="338" t="s">
        <v>1244</v>
      </c>
      <c r="B32" s="15"/>
      <c r="C32" s="15"/>
      <c r="D32" s="15"/>
      <c r="E32" s="15"/>
      <c r="F32" s="15"/>
      <c r="G32" s="15"/>
      <c r="H32" s="15"/>
      <c r="I32" s="15"/>
      <c r="J32" s="15"/>
      <c r="K32" s="15"/>
      <c r="L32" s="420"/>
      <c r="M32" s="420"/>
      <c r="N32" s="420"/>
      <c r="O32" s="420"/>
      <c r="P32" s="420"/>
      <c r="Q32" s="15"/>
    </row>
    <row r="33" spans="1:17" ht="15.6" x14ac:dyDescent="0.3">
      <c r="A33" s="338"/>
      <c r="B33" s="15"/>
      <c r="C33" s="15"/>
      <c r="D33" s="15"/>
      <c r="E33" s="15"/>
      <c r="F33" s="15"/>
      <c r="G33" s="15"/>
      <c r="H33" s="15"/>
      <c r="I33" s="15"/>
      <c r="J33" s="15"/>
      <c r="K33" s="15"/>
      <c r="L33" s="499"/>
      <c r="M33" s="499"/>
      <c r="Q33" s="15"/>
    </row>
    <row r="34" spans="1:17" ht="15.6" x14ac:dyDescent="0.3">
      <c r="A34" s="15"/>
      <c r="B34" s="15"/>
      <c r="C34" s="15"/>
      <c r="D34" s="15"/>
      <c r="E34" s="15"/>
      <c r="F34" s="15"/>
      <c r="G34" s="15"/>
      <c r="H34" s="15"/>
      <c r="I34" s="15"/>
      <c r="J34" s="15"/>
      <c r="K34" s="15"/>
      <c r="L34" s="499"/>
      <c r="M34" s="499"/>
      <c r="Q34" s="420"/>
    </row>
    <row r="35" spans="1:17" ht="15.6" x14ac:dyDescent="0.3">
      <c r="A35" s="420" t="s">
        <v>1245</v>
      </c>
      <c r="B35" s="420"/>
      <c r="C35" s="420"/>
      <c r="D35" s="420"/>
      <c r="E35" s="420"/>
      <c r="F35" s="420"/>
      <c r="G35" s="420"/>
      <c r="H35" s="420"/>
      <c r="I35" s="420"/>
      <c r="J35" s="420"/>
      <c r="K35" s="420"/>
      <c r="L35" s="499"/>
      <c r="M35" s="499"/>
      <c r="N35" s="25"/>
      <c r="O35" s="25"/>
      <c r="P35" s="25"/>
    </row>
    <row r="36" spans="1:17" ht="15.6" x14ac:dyDescent="0.3">
      <c r="A36" t="s">
        <v>203</v>
      </c>
      <c r="B36" t="s">
        <v>191</v>
      </c>
      <c r="C36" s="499"/>
      <c r="D36" s="499"/>
      <c r="E36" s="499"/>
      <c r="F36" s="499"/>
      <c r="G36" s="499"/>
      <c r="H36" s="499"/>
      <c r="I36" s="499"/>
      <c r="J36" s="499"/>
      <c r="K36" s="499"/>
      <c r="L36" s="420"/>
      <c r="M36" s="420"/>
      <c r="N36" s="420"/>
      <c r="O36" s="420"/>
      <c r="P36" s="420"/>
    </row>
    <row r="37" spans="1:17" ht="15.6" x14ac:dyDescent="0.3">
      <c r="A37" t="s">
        <v>204</v>
      </c>
      <c r="B37" t="s">
        <v>205</v>
      </c>
      <c r="C37" s="499"/>
      <c r="D37" s="499"/>
      <c r="E37" s="499"/>
      <c r="F37" s="499"/>
      <c r="G37" s="499"/>
      <c r="H37" s="499"/>
      <c r="I37" s="499"/>
      <c r="J37" s="499"/>
      <c r="K37" s="499"/>
      <c r="L37" s="420"/>
      <c r="M37" s="420"/>
      <c r="N37" s="420"/>
      <c r="O37" s="420"/>
      <c r="P37" s="420"/>
      <c r="Q37" s="25"/>
    </row>
    <row r="38" spans="1:17" ht="15.6" x14ac:dyDescent="0.3">
      <c r="A38" t="s">
        <v>206</v>
      </c>
      <c r="B38" t="s">
        <v>207</v>
      </c>
      <c r="C38" s="499"/>
      <c r="D38" s="499"/>
      <c r="E38" s="499"/>
      <c r="F38" s="499"/>
      <c r="G38" s="499"/>
      <c r="H38" s="499"/>
      <c r="I38" s="499"/>
      <c r="J38" s="499"/>
      <c r="K38" s="499"/>
    </row>
    <row r="39" spans="1:17" ht="29.1" customHeight="1" x14ac:dyDescent="0.3">
      <c r="A39" s="420"/>
      <c r="B39" s="420"/>
      <c r="C39" s="420"/>
      <c r="D39" s="420"/>
      <c r="E39" s="420"/>
      <c r="F39" s="420"/>
      <c r="G39" s="420"/>
      <c r="H39" s="420"/>
      <c r="I39" s="420"/>
      <c r="J39" s="420"/>
      <c r="K39" s="420"/>
    </row>
    <row r="40" spans="1:17" x14ac:dyDescent="0.3">
      <c r="A40" s="12"/>
      <c r="B40" s="1082" t="s">
        <v>1232</v>
      </c>
      <c r="C40" s="1082"/>
      <c r="D40" s="1082" t="s">
        <v>1233</v>
      </c>
      <c r="E40" s="1082"/>
      <c r="F40" s="1084" t="s">
        <v>1184</v>
      </c>
      <c r="G40" s="1084"/>
      <c r="H40" s="1086" t="s">
        <v>1234</v>
      </c>
      <c r="I40" s="1084"/>
      <c r="J40" s="1084" t="s">
        <v>1235</v>
      </c>
      <c r="K40" s="1084"/>
      <c r="O40" s="582" t="s">
        <v>1246</v>
      </c>
    </row>
    <row r="41" spans="1:17" ht="46.5" customHeight="1" x14ac:dyDescent="0.3">
      <c r="A41" s="247" t="s">
        <v>1222</v>
      </c>
      <c r="B41" s="248" t="s">
        <v>346</v>
      </c>
      <c r="C41" s="248" t="s">
        <v>1237</v>
      </c>
      <c r="D41" s="248" t="s">
        <v>346</v>
      </c>
      <c r="E41" s="248" t="s">
        <v>1237</v>
      </c>
      <c r="F41" s="249" t="s">
        <v>185</v>
      </c>
      <c r="G41" s="3" t="s">
        <v>1237</v>
      </c>
      <c r="H41" s="544" t="s">
        <v>346</v>
      </c>
      <c r="I41" s="248" t="s">
        <v>1237</v>
      </c>
      <c r="J41" s="248" t="s">
        <v>346</v>
      </c>
      <c r="K41" s="248" t="s">
        <v>1237</v>
      </c>
      <c r="L41" s="873" t="s">
        <v>1247</v>
      </c>
      <c r="M41" s="541" t="s">
        <v>1232</v>
      </c>
      <c r="N41" s="321" t="s">
        <v>1233</v>
      </c>
      <c r="O41" s="321" t="s">
        <v>1239</v>
      </c>
      <c r="P41" s="321" t="s">
        <v>1240</v>
      </c>
      <c r="Q41" s="397"/>
    </row>
    <row r="42" spans="1:17" x14ac:dyDescent="0.3">
      <c r="A42" s="250" t="s">
        <v>1145</v>
      </c>
      <c r="B42" s="244">
        <f>GETPIVOTDATA("Sum of A_Tally",auditsoutcomepremisespivot!$B$4,"Type of Premises",A42)</f>
        <v>292</v>
      </c>
      <c r="C42" s="244">
        <f>GETPIVOTDATA("Sum of A_Hours",auditsoutcomepremisespivot!$B$4,"Type of Premises",A42)</f>
        <v>1805.25</v>
      </c>
      <c r="D42" s="244">
        <f>GETPIVOTDATA("Sum of B_Tally",auditsoutcomepremisespivot!$B$4,"Type of Premises",A42)</f>
        <v>10</v>
      </c>
      <c r="E42" s="244">
        <f>GETPIVOTDATA("Sum of B_Hours",auditsoutcomepremisespivot!$B$4,"Type of Premises",A42)</f>
        <v>103.5</v>
      </c>
      <c r="F42" s="245">
        <f t="shared" ref="F42:F56" si="14">B42+D42</f>
        <v>302</v>
      </c>
      <c r="G42" s="968">
        <f t="shared" ref="G42:G56" si="15">E42+C42</f>
        <v>1908.75</v>
      </c>
      <c r="H42" s="967">
        <f>GETPIVOTDATA("Sum of Enforcement_Tally",auditsoutcomepremisespivot!$B$4,"Type of Premises",A42)</f>
        <v>0</v>
      </c>
      <c r="I42" s="244">
        <f>GETPIVOTDATA("Sum of Enforcement_Hours",auditsoutcomepremisespivot!$B$4,"Type of Premises",A42)</f>
        <v>0</v>
      </c>
      <c r="J42" s="244">
        <f>GETPIVOTDATA("Sum of Prohibition_Tally",auditsoutcomepremisespivot!$B$4,"Type of Premises",A42)</f>
        <v>0</v>
      </c>
      <c r="K42" s="244">
        <f>GETPIVOTDATA("Sum of Prohibition_Hours",auditsoutcomepremisespivot!$B$4,"Type of Premises",A42)</f>
        <v>0</v>
      </c>
      <c r="L42" s="542">
        <f>B42/F42%</f>
        <v>96.688741721854299</v>
      </c>
      <c r="M42" s="876">
        <f>C42/B42</f>
        <v>6.1823630136986303</v>
      </c>
      <c r="N42" s="877">
        <f>E42/D42</f>
        <v>10.35</v>
      </c>
      <c r="O42" s="877">
        <f>IF(H42=0, 0, I42/H42)</f>
        <v>0</v>
      </c>
      <c r="P42" s="877">
        <f>IF(K42=0, 0, K42/J42)</f>
        <v>0</v>
      </c>
      <c r="Q42" s="397"/>
    </row>
    <row r="43" spans="1:17" x14ac:dyDescent="0.3">
      <c r="A43" s="250" t="s">
        <v>1141</v>
      </c>
      <c r="B43" s="244">
        <f>GETPIVOTDATA("Sum of A_Tally",auditsoutcomepremisespivot!$B$4,"Type of Premises",A43)</f>
        <v>1573</v>
      </c>
      <c r="C43" s="244">
        <f>GETPIVOTDATA("Sum of A_Hours",auditsoutcomepremisespivot!$B$4,"Type of Premises",A43)</f>
        <v>9921.5</v>
      </c>
      <c r="D43" s="244">
        <f>GETPIVOTDATA("Sum of B_Tally",auditsoutcomepremisespivot!$B$4,"Type of Premises",A43)</f>
        <v>21</v>
      </c>
      <c r="E43" s="244">
        <f>GETPIVOTDATA("Sum of B_Hours",auditsoutcomepremisespivot!$B$4,"Type of Premises",A43)</f>
        <v>248.25</v>
      </c>
      <c r="F43" s="245">
        <f t="shared" si="14"/>
        <v>1594</v>
      </c>
      <c r="G43" s="969">
        <f t="shared" si="15"/>
        <v>10169.75</v>
      </c>
      <c r="H43" s="244">
        <f>GETPIVOTDATA("Sum of Enforcement_Tally",auditsoutcomepremisespivot!$B$4,"Type of Premises",A43)</f>
        <v>0</v>
      </c>
      <c r="I43" s="244">
        <f>GETPIVOTDATA("Sum of Enforcement_Hours",auditsoutcomepremisespivot!$B$4,"Type of Premises",A43)</f>
        <v>0</v>
      </c>
      <c r="J43" s="244">
        <f>GETPIVOTDATA("Sum of Prohibition_Tally",auditsoutcomepremisespivot!$B$4,"Type of Premises",A43)</f>
        <v>0</v>
      </c>
      <c r="K43" s="244">
        <f>GETPIVOTDATA("Sum of Prohibition_Hours",auditsoutcomepremisespivot!$B$4,"Type of Premises",A43)</f>
        <v>0</v>
      </c>
      <c r="L43" s="542">
        <f t="shared" ref="L43:L56" si="16">B43/F43%</f>
        <v>98.68255959849435</v>
      </c>
      <c r="M43" s="876">
        <f t="shared" ref="M43:M57" si="17">C43/B43</f>
        <v>6.3073744437380803</v>
      </c>
      <c r="N43" s="877">
        <f t="shared" ref="N43:N57" si="18">E43/D43</f>
        <v>11.821428571428571</v>
      </c>
      <c r="O43" s="877">
        <f t="shared" ref="O43:O57" si="19">IF(H43=0, 0, I43/H43)</f>
        <v>0</v>
      </c>
      <c r="P43" s="877">
        <f t="shared" ref="P43:P57" si="20">IF(K43=0, 0, K43/J43)</f>
        <v>0</v>
      </c>
      <c r="Q43" s="397"/>
    </row>
    <row r="44" spans="1:17" x14ac:dyDescent="0.3">
      <c r="A44" s="250" t="s">
        <v>1144</v>
      </c>
      <c r="B44" s="244">
        <f>GETPIVOTDATA("Sum of A_Tally",auditsoutcomepremisespivot!$B$4,"Type of Premises",A44)</f>
        <v>2547</v>
      </c>
      <c r="C44" s="244">
        <f>GETPIVOTDATA("Sum of A_Hours",auditsoutcomepremisespivot!$B$4,"Type of Premises",A44)</f>
        <v>10887.5</v>
      </c>
      <c r="D44" s="244">
        <f>GETPIVOTDATA("Sum of B_Tally",auditsoutcomepremisespivot!$B$4,"Type of Premises",A44)</f>
        <v>77</v>
      </c>
      <c r="E44" s="244">
        <f>GETPIVOTDATA("Sum of B_Hours",auditsoutcomepremisespivot!$B$4,"Type of Premises",A44)</f>
        <v>436.5</v>
      </c>
      <c r="F44" s="245">
        <f t="shared" si="14"/>
        <v>2624</v>
      </c>
      <c r="G44" s="969">
        <f t="shared" si="15"/>
        <v>11324</v>
      </c>
      <c r="H44" s="244">
        <f>GETPIVOTDATA("Sum of Enforcement_Tally",auditsoutcomepremisespivot!$B$4,"Type of Premises",A44)</f>
        <v>0</v>
      </c>
      <c r="I44" s="244">
        <f>GETPIVOTDATA("Sum of Enforcement_Hours",auditsoutcomepremisespivot!$B$4,"Type of Premises",A44)</f>
        <v>0</v>
      </c>
      <c r="J44" s="244">
        <f>GETPIVOTDATA("Sum of Prohibition_Tally",auditsoutcomepremisespivot!$B$4,"Type of Premises",A44)</f>
        <v>1</v>
      </c>
      <c r="K44" s="244">
        <f>GETPIVOTDATA("Sum of Prohibition_Hours",auditsoutcomepremisespivot!$B$4,"Type of Premises",A44)</f>
        <v>9.75</v>
      </c>
      <c r="L44" s="542">
        <f t="shared" si="16"/>
        <v>97.065548780487816</v>
      </c>
      <c r="M44" s="876">
        <f t="shared" si="17"/>
        <v>4.2746368276403608</v>
      </c>
      <c r="N44" s="877">
        <f t="shared" si="18"/>
        <v>5.6688311688311686</v>
      </c>
      <c r="O44" s="877">
        <f t="shared" si="19"/>
        <v>0</v>
      </c>
      <c r="P44" s="877">
        <f t="shared" si="20"/>
        <v>9.75</v>
      </c>
      <c r="Q44" s="397"/>
    </row>
    <row r="45" spans="1:17" x14ac:dyDescent="0.3">
      <c r="A45" s="250" t="s">
        <v>1146</v>
      </c>
      <c r="B45" s="244">
        <f>GETPIVOTDATA("Sum of A_Tally",auditsoutcomepremisespivot!$B$4,"Type of Premises",A45)</f>
        <v>80</v>
      </c>
      <c r="C45" s="244">
        <f>GETPIVOTDATA("Sum of A_Hours",auditsoutcomepremisespivot!$B$4,"Type of Premises",A45)</f>
        <v>568.75</v>
      </c>
      <c r="D45" s="244">
        <f>GETPIVOTDATA("Sum of B_Tally",auditsoutcomepremisespivot!$B$4,"Type of Premises",A45)</f>
        <v>9</v>
      </c>
      <c r="E45" s="244">
        <f>GETPIVOTDATA("Sum of B_Hours",auditsoutcomepremisespivot!$B$4,"Type of Premises",A45)</f>
        <v>178</v>
      </c>
      <c r="F45" s="245">
        <f t="shared" si="14"/>
        <v>89</v>
      </c>
      <c r="G45" s="969">
        <f t="shared" si="15"/>
        <v>746.75</v>
      </c>
      <c r="H45" s="244">
        <f>GETPIVOTDATA("Sum of Enforcement_Tally",auditsoutcomepremisespivot!$B$4,"Type of Premises",A45)</f>
        <v>0</v>
      </c>
      <c r="I45" s="244">
        <f>GETPIVOTDATA("Sum of Enforcement_Hours",auditsoutcomepremisespivot!$B$4,"Type of Premises",A45)</f>
        <v>0</v>
      </c>
      <c r="J45" s="244">
        <f>GETPIVOTDATA("Sum of Prohibition_Tally",auditsoutcomepremisespivot!$B$4,"Type of Premises",A45)</f>
        <v>0</v>
      </c>
      <c r="K45" s="244">
        <f>GETPIVOTDATA("Sum of Prohibition_Hours",auditsoutcomepremisespivot!$B$4,"Type of Premises",A45)</f>
        <v>0</v>
      </c>
      <c r="L45" s="542">
        <f t="shared" si="16"/>
        <v>89.887640449438194</v>
      </c>
      <c r="M45" s="876">
        <f t="shared" si="17"/>
        <v>7.109375</v>
      </c>
      <c r="N45" s="877">
        <f t="shared" si="18"/>
        <v>19.777777777777779</v>
      </c>
      <c r="O45" s="877">
        <f t="shared" si="19"/>
        <v>0</v>
      </c>
      <c r="P45" s="877">
        <f t="shared" si="20"/>
        <v>0</v>
      </c>
      <c r="Q45" s="397"/>
    </row>
    <row r="46" spans="1:17" x14ac:dyDescent="0.3">
      <c r="A46" s="250" t="s">
        <v>1147</v>
      </c>
      <c r="B46" s="244">
        <f>GETPIVOTDATA("Sum of A_Tally",auditsoutcomepremisespivot!$B$4,"Type of Premises",A46)</f>
        <v>838</v>
      </c>
      <c r="C46" s="244">
        <f>GETPIVOTDATA("Sum of A_Hours",auditsoutcomepremisespivot!$B$4,"Type of Premises",A46)</f>
        <v>5730.5</v>
      </c>
      <c r="D46" s="244">
        <f>GETPIVOTDATA("Sum of B_Tally",auditsoutcomepremisespivot!$B$4,"Type of Premises",A46)</f>
        <v>87</v>
      </c>
      <c r="E46" s="244">
        <f>GETPIVOTDATA("Sum of B_Hours",auditsoutcomepremisespivot!$B$4,"Type of Premises",A46)</f>
        <v>1215.5</v>
      </c>
      <c r="F46" s="245">
        <f t="shared" si="14"/>
        <v>925</v>
      </c>
      <c r="G46" s="969">
        <f t="shared" si="15"/>
        <v>6946</v>
      </c>
      <c r="H46" s="244">
        <f>GETPIVOTDATA("Sum of Enforcement_Tally",auditsoutcomepremisespivot!$B$4,"Type of Premises",A46)</f>
        <v>1</v>
      </c>
      <c r="I46" s="244">
        <f>GETPIVOTDATA("Sum of Enforcement_Hours",auditsoutcomepremisespivot!$B$4,"Type of Premises",A46)</f>
        <v>35.5</v>
      </c>
      <c r="J46" s="244">
        <f>GETPIVOTDATA("Sum of Prohibition_Tally",auditsoutcomepremisespivot!$B$4,"Type of Premises",A46)</f>
        <v>2</v>
      </c>
      <c r="K46" s="244">
        <f>GETPIVOTDATA("Sum of Prohibition_Hours",auditsoutcomepremisespivot!$B$4,"Type of Premises",A46)</f>
        <v>51.25</v>
      </c>
      <c r="L46" s="542">
        <f t="shared" si="16"/>
        <v>90.594594594594597</v>
      </c>
      <c r="M46" s="876">
        <f t="shared" si="17"/>
        <v>6.8383054892601436</v>
      </c>
      <c r="N46" s="877">
        <f t="shared" si="18"/>
        <v>13.971264367816092</v>
      </c>
      <c r="O46" s="877">
        <f t="shared" si="19"/>
        <v>35.5</v>
      </c>
      <c r="P46" s="877">
        <f t="shared" si="20"/>
        <v>25.625</v>
      </c>
      <c r="Q46" s="397"/>
    </row>
    <row r="47" spans="1:17" x14ac:dyDescent="0.3">
      <c r="A47" s="250" t="s">
        <v>1151</v>
      </c>
      <c r="B47" s="244">
        <f>GETPIVOTDATA("Sum of A_Tally",auditsoutcomepremisespivot!$B$4,"Type of Premises",A47)</f>
        <v>1206</v>
      </c>
      <c r="C47" s="244">
        <f>GETPIVOTDATA("Sum of A_Hours",auditsoutcomepremisespivot!$B$4,"Type of Premises",A47)</f>
        <v>6991</v>
      </c>
      <c r="D47" s="244">
        <f>GETPIVOTDATA("Sum of B_Tally",auditsoutcomepremisespivot!$B$4,"Type of Premises",A47)</f>
        <v>38</v>
      </c>
      <c r="E47" s="244">
        <f>GETPIVOTDATA("Sum of B_Hours",auditsoutcomepremisespivot!$B$4,"Type of Premises",A47)</f>
        <v>519.5</v>
      </c>
      <c r="F47" s="245">
        <f t="shared" si="14"/>
        <v>1244</v>
      </c>
      <c r="G47" s="969">
        <f t="shared" si="15"/>
        <v>7510.5</v>
      </c>
      <c r="H47" s="244">
        <f>GETPIVOTDATA("Sum of Enforcement_Tally",auditsoutcomepremisespivot!$B$4,"Type of Premises",A47)</f>
        <v>1</v>
      </c>
      <c r="I47" s="244">
        <f>GETPIVOTDATA("Sum of Enforcement_Hours",auditsoutcomepremisespivot!$B$4,"Type of Premises",A47)</f>
        <v>37.75</v>
      </c>
      <c r="J47" s="244">
        <f>GETPIVOTDATA("Sum of Prohibition_Tally",auditsoutcomepremisespivot!$B$4,"Type of Premises",A47)</f>
        <v>3</v>
      </c>
      <c r="K47" s="244">
        <f>GETPIVOTDATA("Sum of Prohibition_Hours",auditsoutcomepremisespivot!$B$4,"Type of Premises",A47)</f>
        <v>30.75</v>
      </c>
      <c r="L47" s="542">
        <f t="shared" si="16"/>
        <v>96.945337620578783</v>
      </c>
      <c r="M47" s="876">
        <f t="shared" si="17"/>
        <v>5.7968490878938637</v>
      </c>
      <c r="N47" s="877">
        <f t="shared" si="18"/>
        <v>13.671052631578947</v>
      </c>
      <c r="O47" s="877">
        <f t="shared" si="19"/>
        <v>37.75</v>
      </c>
      <c r="P47" s="877">
        <f t="shared" si="20"/>
        <v>10.25</v>
      </c>
      <c r="Q47" s="397"/>
    </row>
    <row r="48" spans="1:17" x14ac:dyDescent="0.3">
      <c r="A48" s="250" t="s">
        <v>1143</v>
      </c>
      <c r="B48" s="244">
        <f>GETPIVOTDATA("Sum of A_Tally",auditsoutcomepremisespivot!$B$4,"Type of Premises",A48)</f>
        <v>23</v>
      </c>
      <c r="C48" s="244">
        <f>GETPIVOTDATA("Sum of A_Hours",auditsoutcomepremisespivot!$B$4,"Type of Premises",A48)</f>
        <v>98.25</v>
      </c>
      <c r="D48" s="244">
        <f>GETPIVOTDATA("Sum of B_Tally",auditsoutcomepremisespivot!$B$4,"Type of Premises",A48)</f>
        <v>0</v>
      </c>
      <c r="E48" s="244">
        <f>GETPIVOTDATA("Sum of B_Hours",auditsoutcomepremisespivot!$B$4,"Type of Premises",A48)</f>
        <v>0</v>
      </c>
      <c r="F48" s="245">
        <f t="shared" si="14"/>
        <v>23</v>
      </c>
      <c r="G48" s="969">
        <f t="shared" si="15"/>
        <v>98.25</v>
      </c>
      <c r="H48" s="244">
        <f>GETPIVOTDATA("Sum of Enforcement_Tally",auditsoutcomepremisespivot!$B$4,"Type of Premises",A48)</f>
        <v>0</v>
      </c>
      <c r="I48" s="244">
        <f>GETPIVOTDATA("Sum of Enforcement_Hours",auditsoutcomepremisespivot!$B$4,"Type of Premises",A48)</f>
        <v>0</v>
      </c>
      <c r="J48" s="244">
        <f>GETPIVOTDATA("Sum of Prohibition_Tally",auditsoutcomepremisespivot!$B$4,"Type of Premises",A48)</f>
        <v>0</v>
      </c>
      <c r="K48" s="244">
        <f>GETPIVOTDATA("Sum of Prohibition_Hours",auditsoutcomepremisespivot!$B$4,"Type of Premises",A48)</f>
        <v>0</v>
      </c>
      <c r="L48" s="542">
        <f t="shared" si="16"/>
        <v>100</v>
      </c>
      <c r="M48" s="876">
        <f t="shared" si="17"/>
        <v>4.2717391304347823</v>
      </c>
      <c r="N48" s="877" t="str">
        <f>IFERROR("-",E48/D48)</f>
        <v>-</v>
      </c>
      <c r="O48" s="877">
        <f t="shared" si="19"/>
        <v>0</v>
      </c>
      <c r="P48" s="877">
        <f t="shared" si="20"/>
        <v>0</v>
      </c>
      <c r="Q48" s="397"/>
    </row>
    <row r="49" spans="1:19" x14ac:dyDescent="0.3">
      <c r="A49" s="250" t="s">
        <v>1153</v>
      </c>
      <c r="B49" s="244">
        <f>GETPIVOTDATA("Sum of A_Tally",auditsoutcomepremisespivot!$B$4,"Type of Premises",A49)</f>
        <v>34</v>
      </c>
      <c r="C49" s="244">
        <f>GETPIVOTDATA("Sum of A_Hours",auditsoutcomepremisespivot!$B$4,"Type of Premises",A49)</f>
        <v>213.75</v>
      </c>
      <c r="D49" s="244">
        <f>GETPIVOTDATA("Sum of B_Tally",auditsoutcomepremisespivot!$B$4,"Type of Premises",A49)</f>
        <v>2</v>
      </c>
      <c r="E49" s="244">
        <f>GETPIVOTDATA("Sum of B_Hours",auditsoutcomepremisespivot!$B$4,"Type of Premises",A49)</f>
        <v>25.75</v>
      </c>
      <c r="F49" s="245">
        <f t="shared" si="14"/>
        <v>36</v>
      </c>
      <c r="G49" s="969">
        <f t="shared" si="15"/>
        <v>239.5</v>
      </c>
      <c r="H49" s="244">
        <f>GETPIVOTDATA("Sum of Enforcement_Tally",auditsoutcomepremisespivot!$B$4,"Type of Premises",A49)</f>
        <v>0</v>
      </c>
      <c r="I49" s="244">
        <f>GETPIVOTDATA("Sum of Enforcement_Hours",auditsoutcomepremisespivot!$B$4,"Type of Premises",A49)</f>
        <v>0</v>
      </c>
      <c r="J49" s="244">
        <f>GETPIVOTDATA("Sum of Prohibition_Tally",auditsoutcomepremisespivot!$B$4,"Type of Premises",A49)</f>
        <v>0</v>
      </c>
      <c r="K49" s="244">
        <f>GETPIVOTDATA("Sum of Prohibition_Hours",auditsoutcomepremisespivot!$B$4,"Type of Premises",A49)</f>
        <v>0</v>
      </c>
      <c r="L49" s="542">
        <f t="shared" si="16"/>
        <v>94.444444444444443</v>
      </c>
      <c r="M49" s="876">
        <f t="shared" si="17"/>
        <v>6.2867647058823533</v>
      </c>
      <c r="N49" s="877" t="str">
        <f>IFERROR("-",E49/D49)</f>
        <v>-</v>
      </c>
      <c r="O49" s="877">
        <f t="shared" si="19"/>
        <v>0</v>
      </c>
      <c r="P49" s="877">
        <f t="shared" si="20"/>
        <v>0</v>
      </c>
      <c r="Q49" s="397"/>
    </row>
    <row r="50" spans="1:19" x14ac:dyDescent="0.3">
      <c r="A50" s="250" t="s">
        <v>1148</v>
      </c>
      <c r="B50" s="244">
        <f>GETPIVOTDATA("Sum of A_Tally",auditsoutcomepremisespivot!$B$4,"Type of Premises",A50)</f>
        <v>297</v>
      </c>
      <c r="C50" s="244">
        <f>GETPIVOTDATA("Sum of A_Hours",auditsoutcomepremisespivot!$B$4,"Type of Premises",A50)</f>
        <v>1838</v>
      </c>
      <c r="D50" s="244">
        <f>GETPIVOTDATA("Sum of B_Tally",auditsoutcomepremisespivot!$B$4,"Type of Premises",A50)</f>
        <v>29</v>
      </c>
      <c r="E50" s="244">
        <f>GETPIVOTDATA("Sum of B_Hours",auditsoutcomepremisespivot!$B$4,"Type of Premises",A50)</f>
        <v>272.25</v>
      </c>
      <c r="F50" s="245">
        <f t="shared" si="14"/>
        <v>326</v>
      </c>
      <c r="G50" s="969">
        <f t="shared" si="15"/>
        <v>2110.25</v>
      </c>
      <c r="H50" s="244">
        <f>GETPIVOTDATA("Sum of Enforcement_Tally",auditsoutcomepremisespivot!$B$4,"Type of Premises",A50)</f>
        <v>0</v>
      </c>
      <c r="I50" s="244">
        <f>GETPIVOTDATA("Sum of Enforcement_Hours",auditsoutcomepremisespivot!$B$4,"Type of Premises",A50)</f>
        <v>0</v>
      </c>
      <c r="J50" s="244">
        <f>GETPIVOTDATA("Sum of Prohibition_Tally",auditsoutcomepremisespivot!$B$4,"Type of Premises",A50)</f>
        <v>2</v>
      </c>
      <c r="K50" s="244">
        <f>GETPIVOTDATA("Sum of Prohibition_Hours",auditsoutcomepremisespivot!$B$4,"Type of Premises",A50)</f>
        <v>18.5</v>
      </c>
      <c r="L50" s="542">
        <f t="shared" si="16"/>
        <v>91.104294478527606</v>
      </c>
      <c r="M50" s="876">
        <f t="shared" si="17"/>
        <v>6.1885521885521886</v>
      </c>
      <c r="N50" s="877">
        <f t="shared" si="18"/>
        <v>9.387931034482758</v>
      </c>
      <c r="O50" s="877">
        <f t="shared" si="19"/>
        <v>0</v>
      </c>
      <c r="P50" s="877">
        <f t="shared" si="20"/>
        <v>9.25</v>
      </c>
      <c r="Q50" s="397"/>
    </row>
    <row r="51" spans="1:19" x14ac:dyDescent="0.3">
      <c r="A51" s="250" t="s">
        <v>1154</v>
      </c>
      <c r="B51" s="244">
        <f>GETPIVOTDATA("Sum of A_Tally",auditsoutcomepremisespivot!$B$4,"Type of Premises",A51)</f>
        <v>311</v>
      </c>
      <c r="C51" s="244">
        <f>GETPIVOTDATA("Sum of A_Hours",auditsoutcomepremisespivot!$B$4,"Type of Premises",A51)</f>
        <v>2043.5</v>
      </c>
      <c r="D51" s="244">
        <f>GETPIVOTDATA("Sum of B_Tally",auditsoutcomepremisespivot!$B$4,"Type of Premises",A51)</f>
        <v>1</v>
      </c>
      <c r="E51" s="244">
        <f>GETPIVOTDATA("Sum of B_Hours",auditsoutcomepremisespivot!$B$4,"Type of Premises",A51)</f>
        <v>4.25</v>
      </c>
      <c r="F51" s="245">
        <f t="shared" si="14"/>
        <v>312</v>
      </c>
      <c r="G51" s="969">
        <f t="shared" si="15"/>
        <v>2047.75</v>
      </c>
      <c r="H51" s="244">
        <f>GETPIVOTDATA("Sum of Enforcement_Tally",auditsoutcomepremisespivot!$B$4,"Type of Premises",A51)</f>
        <v>0</v>
      </c>
      <c r="I51" s="244">
        <f>GETPIVOTDATA("Sum of Enforcement_Hours",auditsoutcomepremisespivot!$B$4,"Type of Premises",A51)</f>
        <v>0</v>
      </c>
      <c r="J51" s="244">
        <f>GETPIVOTDATA("Sum of Prohibition_Tally",auditsoutcomepremisespivot!$B$4,"Type of Premises",A51)</f>
        <v>0</v>
      </c>
      <c r="K51" s="244">
        <f>GETPIVOTDATA("Sum of Prohibition_Hours",auditsoutcomepremisespivot!$B$4,"Type of Premises",A51)</f>
        <v>0</v>
      </c>
      <c r="L51" s="542">
        <f t="shared" si="16"/>
        <v>99.679487179487182</v>
      </c>
      <c r="M51" s="876">
        <f t="shared" si="17"/>
        <v>6.570739549839228</v>
      </c>
      <c r="N51" s="877">
        <f t="shared" si="18"/>
        <v>4.25</v>
      </c>
      <c r="O51" s="877">
        <f t="shared" si="19"/>
        <v>0</v>
      </c>
      <c r="P51" s="877">
        <f t="shared" si="20"/>
        <v>0</v>
      </c>
      <c r="Q51" s="397"/>
    </row>
    <row r="52" spans="1:19" x14ac:dyDescent="0.3">
      <c r="A52" s="250" t="s">
        <v>1155</v>
      </c>
      <c r="B52" s="244">
        <f>GETPIVOTDATA("Sum of A_Tally",auditsoutcomepremisespivot!$B$4,"Type of Premises",A52)</f>
        <v>276</v>
      </c>
      <c r="C52" s="244">
        <f>GETPIVOTDATA("Sum of A_Hours",auditsoutcomepremisespivot!$B$4,"Type of Premises",A52)</f>
        <v>1632</v>
      </c>
      <c r="D52" s="244">
        <f>GETPIVOTDATA("Sum of B_Tally",auditsoutcomepremisespivot!$B$4,"Type of Premises",A52)</f>
        <v>4</v>
      </c>
      <c r="E52" s="244">
        <f>GETPIVOTDATA("Sum of B_Hours",auditsoutcomepremisespivot!$B$4,"Type of Premises",A52)</f>
        <v>28.25</v>
      </c>
      <c r="F52" s="245">
        <f t="shared" si="14"/>
        <v>280</v>
      </c>
      <c r="G52" s="969">
        <f t="shared" si="15"/>
        <v>1660.25</v>
      </c>
      <c r="H52" s="244">
        <f>GETPIVOTDATA("Sum of Enforcement_Tally",auditsoutcomepremisespivot!$B$4,"Type of Premises",A52)</f>
        <v>0</v>
      </c>
      <c r="I52" s="244">
        <f>GETPIVOTDATA("Sum of Enforcement_Hours",auditsoutcomepremisespivot!$B$4,"Type of Premises",A52)</f>
        <v>0</v>
      </c>
      <c r="J52" s="244">
        <f>GETPIVOTDATA("Sum of Prohibition_Tally",auditsoutcomepremisespivot!$B$4,"Type of Premises",A52)</f>
        <v>2</v>
      </c>
      <c r="K52" s="244">
        <f>GETPIVOTDATA("Sum of Prohibition_Hours",auditsoutcomepremisespivot!$B$4,"Type of Premises",A52)</f>
        <v>25.25</v>
      </c>
      <c r="L52" s="542">
        <f t="shared" si="16"/>
        <v>98.571428571428584</v>
      </c>
      <c r="M52" s="876">
        <f t="shared" si="17"/>
        <v>5.9130434782608692</v>
      </c>
      <c r="N52" s="877">
        <f t="shared" si="18"/>
        <v>7.0625</v>
      </c>
      <c r="O52" s="877">
        <f t="shared" si="19"/>
        <v>0</v>
      </c>
      <c r="P52" s="877">
        <f t="shared" si="20"/>
        <v>12.625</v>
      </c>
      <c r="Q52" s="397"/>
    </row>
    <row r="53" spans="1:19" x14ac:dyDescent="0.3">
      <c r="A53" s="250" t="s">
        <v>1150</v>
      </c>
      <c r="B53" s="244">
        <f>GETPIVOTDATA("Sum of A_Tally",auditsoutcomepremisespivot!$B$4,"Type of Premises",A53)</f>
        <v>159</v>
      </c>
      <c r="C53" s="244">
        <f>GETPIVOTDATA("Sum of A_Hours",auditsoutcomepremisespivot!$B$4,"Type of Premises",A53)</f>
        <v>1030</v>
      </c>
      <c r="D53" s="244">
        <f>GETPIVOTDATA("Sum of B_Tally",auditsoutcomepremisespivot!$B$4,"Type of Premises",A53)</f>
        <v>0</v>
      </c>
      <c r="E53" s="244">
        <f>GETPIVOTDATA("Sum of B_Hours",auditsoutcomepremisespivot!$B$4,"Type of Premises",A53)</f>
        <v>0</v>
      </c>
      <c r="F53" s="245">
        <f t="shared" si="14"/>
        <v>159</v>
      </c>
      <c r="G53" s="969">
        <f t="shared" si="15"/>
        <v>1030</v>
      </c>
      <c r="H53" s="244">
        <f>GETPIVOTDATA("Sum of Enforcement_Tally",auditsoutcomepremisespivot!$B$4,"Type of Premises",A53)</f>
        <v>0</v>
      </c>
      <c r="I53" s="244">
        <f>GETPIVOTDATA("Sum of Enforcement_Hours",auditsoutcomepremisespivot!$B$4,"Type of Premises",A53)</f>
        <v>0</v>
      </c>
      <c r="J53" s="244">
        <f>GETPIVOTDATA("Sum of Prohibition_Tally",auditsoutcomepremisespivot!$B$4,"Type of Premises",A53)</f>
        <v>1</v>
      </c>
      <c r="K53" s="244">
        <f>GETPIVOTDATA("Sum of Prohibition_Hours",auditsoutcomepremisespivot!$B$4,"Type of Premises",A53)</f>
        <v>29.75</v>
      </c>
      <c r="L53" s="542">
        <f t="shared" si="16"/>
        <v>100</v>
      </c>
      <c r="M53" s="876">
        <f t="shared" si="17"/>
        <v>6.4779874213836477</v>
      </c>
      <c r="N53" s="877" t="e">
        <f t="shared" si="18"/>
        <v>#DIV/0!</v>
      </c>
      <c r="O53" s="877">
        <f t="shared" si="19"/>
        <v>0</v>
      </c>
      <c r="P53" s="877">
        <f t="shared" si="20"/>
        <v>29.75</v>
      </c>
      <c r="Q53" s="397"/>
    </row>
    <row r="54" spans="1:19" x14ac:dyDescent="0.3">
      <c r="A54" s="12" t="s">
        <v>1142</v>
      </c>
      <c r="B54" s="244">
        <f>GETPIVOTDATA("Sum of A_Tally",auditsoutcomepremisespivot!$B$4,"Type of Premises",A54)</f>
        <v>185</v>
      </c>
      <c r="C54" s="244">
        <f>GETPIVOTDATA("Sum of A_Hours",auditsoutcomepremisespivot!$B$4,"Type of Premises",A54)</f>
        <v>974</v>
      </c>
      <c r="D54" s="244">
        <f>GETPIVOTDATA("Sum of B_Tally",auditsoutcomepremisespivot!$B$4,"Type of Premises",A54)</f>
        <v>3</v>
      </c>
      <c r="E54" s="244">
        <f>GETPIVOTDATA("Sum of B_Hours",auditsoutcomepremisespivot!$B$4,"Type of Premises",A54)</f>
        <v>35.5</v>
      </c>
      <c r="F54" s="245">
        <f t="shared" si="14"/>
        <v>188</v>
      </c>
      <c r="G54" s="969">
        <f t="shared" si="15"/>
        <v>1009.5</v>
      </c>
      <c r="H54" s="244">
        <f>GETPIVOTDATA("Sum of Enforcement_Tally",auditsoutcomepremisespivot!$B$4,"Type of Premises",A54)</f>
        <v>0</v>
      </c>
      <c r="I54" s="244">
        <f>GETPIVOTDATA("Sum of Enforcement_Hours",auditsoutcomepremisespivot!$B$4,"Type of Premises",A54)</f>
        <v>0</v>
      </c>
      <c r="J54" s="244">
        <f>GETPIVOTDATA("Sum of Prohibition_Tally",auditsoutcomepremisespivot!$B$4,"Type of Premises",A54)</f>
        <v>1</v>
      </c>
      <c r="K54" s="244">
        <f>GETPIVOTDATA("Sum of Prohibition_Hours",auditsoutcomepremisespivot!$B$4,"Type of Premises",A54)</f>
        <v>7.25</v>
      </c>
      <c r="L54" s="542">
        <f t="shared" si="16"/>
        <v>98.404255319148945</v>
      </c>
      <c r="M54" s="876">
        <f t="shared" si="17"/>
        <v>5.2648648648648653</v>
      </c>
      <c r="N54" s="877">
        <f t="shared" si="18"/>
        <v>11.833333333333334</v>
      </c>
      <c r="O54" s="877">
        <f t="shared" si="19"/>
        <v>0</v>
      </c>
      <c r="P54" s="877">
        <f t="shared" si="20"/>
        <v>7.25</v>
      </c>
      <c r="Q54" s="397"/>
    </row>
    <row r="55" spans="1:19" x14ac:dyDescent="0.3">
      <c r="A55" s="250" t="s">
        <v>1149</v>
      </c>
      <c r="B55" s="244">
        <f>GETPIVOTDATA("Sum of A_Tally",auditsoutcomepremisespivot!$B$4,"Type of Premises",A55)</f>
        <v>210</v>
      </c>
      <c r="C55" s="244">
        <f>GETPIVOTDATA("Sum of A_Hours",auditsoutcomepremisespivot!$B$4,"Type of Premises",A55)</f>
        <v>1064.25</v>
      </c>
      <c r="D55" s="244">
        <f>GETPIVOTDATA("Sum of B_Tally",auditsoutcomepremisespivot!$B$4,"Type of Premises",A55)</f>
        <v>0</v>
      </c>
      <c r="E55" s="244">
        <f>GETPIVOTDATA("Sum of B_Hours",auditsoutcomepremisespivot!$B$4,"Type of Premises",A55)</f>
        <v>0</v>
      </c>
      <c r="F55" s="245">
        <f t="shared" si="14"/>
        <v>210</v>
      </c>
      <c r="G55" s="970">
        <f t="shared" si="15"/>
        <v>1064.25</v>
      </c>
      <c r="H55" s="244">
        <f>GETPIVOTDATA("Sum of Enforcement_Tally",auditsoutcomepremisespivot!$B$4,"Type of Premises",A55)</f>
        <v>0</v>
      </c>
      <c r="I55" s="244">
        <f>GETPIVOTDATA("Sum of Enforcement_Hours",auditsoutcomepremisespivot!$B$4,"Type of Premises",A55)</f>
        <v>0</v>
      </c>
      <c r="J55" s="244">
        <f>GETPIVOTDATA("Sum of Prohibition_Tally",auditsoutcomepremisespivot!$B$4,"Type of Premises",A55)</f>
        <v>1</v>
      </c>
      <c r="K55" s="244">
        <f>GETPIVOTDATA("Sum of Prohibition_Hours",auditsoutcomepremisespivot!$B$4,"Type of Premises",A55)</f>
        <v>6</v>
      </c>
      <c r="L55" s="542">
        <f t="shared" si="16"/>
        <v>100</v>
      </c>
      <c r="M55" s="876">
        <f t="shared" si="17"/>
        <v>5.0678571428571431</v>
      </c>
      <c r="N55" s="877" t="str">
        <f>IFERROR("-",E55/D55)</f>
        <v>-</v>
      </c>
      <c r="O55" s="877">
        <f t="shared" si="19"/>
        <v>0</v>
      </c>
      <c r="P55" s="877">
        <f t="shared" si="20"/>
        <v>6</v>
      </c>
      <c r="S55" s="397"/>
    </row>
    <row r="56" spans="1:19" x14ac:dyDescent="0.3">
      <c r="A56" s="250" t="s">
        <v>1183</v>
      </c>
      <c r="B56" s="244">
        <f>GETPIVOTDATA("Sum of A_Tally",auditsoutcomepremisespivot!$B$4,"Type of Premises",A56)</f>
        <v>149</v>
      </c>
      <c r="C56" s="244">
        <f>GETPIVOTDATA("Sum of A_Hours",auditsoutcomepremisespivot!$B$4,"Type of Premises",A56)</f>
        <v>858.25</v>
      </c>
      <c r="D56" s="244">
        <f>GETPIVOTDATA("Sum of B_Tally",auditsoutcomepremisespivot!$B$4,"Type of Premises",A56)</f>
        <v>3</v>
      </c>
      <c r="E56" s="244">
        <f>GETPIVOTDATA("Sum of B_Hours",auditsoutcomepremisespivot!$B$4,"Type of Premises",A56)</f>
        <v>29.75</v>
      </c>
      <c r="F56" s="245">
        <f t="shared" si="14"/>
        <v>152</v>
      </c>
      <c r="G56" s="971">
        <f t="shared" si="15"/>
        <v>888</v>
      </c>
      <c r="H56" s="244">
        <f>GETPIVOTDATA("Sum of Enforcement_Tally",auditsoutcomepremisespivot!$B$4,"Type of Premises",A56)</f>
        <v>0</v>
      </c>
      <c r="I56" s="244">
        <f>GETPIVOTDATA("Sum of Enforcement_Hours",auditsoutcomepremisespivot!$B$4,"Type of Premises",A56)</f>
        <v>0</v>
      </c>
      <c r="J56" s="244">
        <f>GETPIVOTDATA("Sum of Prohibition_Tally",auditsoutcomepremisespivot!$B$4,"Type of Premises",A56)</f>
        <v>1</v>
      </c>
      <c r="K56" s="244">
        <f>GETPIVOTDATA("Sum of Prohibition_Hours",auditsoutcomepremisespivot!$B$4,"Type of Premises",A56)</f>
        <v>10.5</v>
      </c>
      <c r="L56" s="542">
        <f t="shared" si="16"/>
        <v>98.026315789473685</v>
      </c>
      <c r="M56" s="876">
        <f t="shared" si="17"/>
        <v>5.7600671140939594</v>
      </c>
      <c r="N56" s="877" t="str">
        <f>IFERROR("-",E56/D56)</f>
        <v>-</v>
      </c>
      <c r="O56" s="877">
        <f t="shared" si="19"/>
        <v>0</v>
      </c>
      <c r="P56" s="877">
        <f t="shared" si="20"/>
        <v>10.5</v>
      </c>
    </row>
    <row r="57" spans="1:19" ht="15" thickBot="1" x14ac:dyDescent="0.35">
      <c r="A57" s="33" t="s">
        <v>348</v>
      </c>
      <c r="B57" s="251">
        <f>SUM(B42:B56)</f>
        <v>8180</v>
      </c>
      <c r="C57" s="251">
        <f>SUM(C42:C56)</f>
        <v>45656.5</v>
      </c>
      <c r="D57" s="251">
        <f t="shared" ref="D57:E57" si="21">SUM(D42:D56)</f>
        <v>284</v>
      </c>
      <c r="E57" s="251">
        <f t="shared" si="21"/>
        <v>3097</v>
      </c>
      <c r="F57" s="251">
        <f>SUM(F42:F56)</f>
        <v>8464</v>
      </c>
      <c r="G57" s="251">
        <f>SUM(G42:G56)</f>
        <v>48753.5</v>
      </c>
      <c r="H57" s="545">
        <f t="shared" ref="H57:K57" si="22">SUM(H42:H56)</f>
        <v>2</v>
      </c>
      <c r="I57" s="251">
        <f t="shared" si="22"/>
        <v>73.25</v>
      </c>
      <c r="J57" s="251">
        <f t="shared" si="22"/>
        <v>14</v>
      </c>
      <c r="K57" s="251">
        <f t="shared" si="22"/>
        <v>189</v>
      </c>
      <c r="L57" s="543">
        <f>B57/F57%</f>
        <v>96.644612476370511</v>
      </c>
      <c r="M57" s="874">
        <f t="shared" si="17"/>
        <v>5.5814792176039116</v>
      </c>
      <c r="N57" s="875">
        <f t="shared" si="18"/>
        <v>10.904929577464788</v>
      </c>
      <c r="O57" s="875">
        <f t="shared" si="19"/>
        <v>36.625</v>
      </c>
      <c r="P57" s="875">
        <f t="shared" si="20"/>
        <v>13.5</v>
      </c>
      <c r="Q57" s="255"/>
    </row>
    <row r="58" spans="1:19" ht="18" customHeight="1" x14ac:dyDescent="0.3">
      <c r="A58" s="29"/>
      <c r="B58" s="252"/>
      <c r="C58" s="252"/>
      <c r="D58" s="252"/>
      <c r="E58" s="252"/>
      <c r="F58" s="252"/>
      <c r="G58" s="252"/>
      <c r="H58" s="252"/>
      <c r="I58" s="253"/>
      <c r="J58" s="252"/>
      <c r="K58" s="254"/>
      <c r="L58" s="15"/>
      <c r="M58" s="15"/>
      <c r="N58" s="15"/>
      <c r="O58" s="15"/>
      <c r="P58" s="15"/>
      <c r="Q58" s="15"/>
    </row>
    <row r="59" spans="1:19" x14ac:dyDescent="0.3">
      <c r="A59" s="336" t="s">
        <v>329</v>
      </c>
      <c r="B59" s="15"/>
      <c r="C59" s="15"/>
      <c r="D59" s="15"/>
      <c r="E59" s="15"/>
      <c r="F59" s="15"/>
      <c r="G59" s="15"/>
      <c r="H59" s="277"/>
      <c r="I59" s="277"/>
      <c r="J59" s="15"/>
      <c r="K59" s="15"/>
      <c r="L59" s="570"/>
      <c r="M59" s="570"/>
      <c r="N59" s="570"/>
      <c r="O59" s="570"/>
      <c r="P59" s="570"/>
      <c r="Q59" s="15"/>
    </row>
    <row r="60" spans="1:19" x14ac:dyDescent="0.3">
      <c r="A60" s="338" t="s">
        <v>1241</v>
      </c>
      <c r="B60" s="15"/>
      <c r="C60" s="15"/>
      <c r="D60" s="15"/>
      <c r="E60" s="15"/>
      <c r="F60" s="15"/>
      <c r="G60" s="15"/>
      <c r="H60" s="277"/>
      <c r="I60" s="277"/>
      <c r="J60" s="15"/>
      <c r="K60" s="15"/>
      <c r="L60" s="15"/>
      <c r="M60" s="15"/>
      <c r="N60" s="15"/>
      <c r="O60" s="15"/>
      <c r="P60" s="15"/>
      <c r="Q60" s="570"/>
      <c r="R60" s="570"/>
    </row>
    <row r="61" spans="1:19" ht="47.1" customHeight="1" x14ac:dyDescent="0.3">
      <c r="A61" s="1040" t="s">
        <v>1248</v>
      </c>
      <c r="B61" s="1040"/>
      <c r="C61" s="1040"/>
      <c r="D61" s="1040"/>
      <c r="E61" s="1040"/>
      <c r="F61" s="1040"/>
      <c r="G61" s="1040"/>
      <c r="H61" s="1040"/>
      <c r="I61" s="570"/>
      <c r="J61" s="570"/>
      <c r="K61" s="570"/>
      <c r="Q61" s="15"/>
    </row>
    <row r="62" spans="1:19" x14ac:dyDescent="0.3">
      <c r="A62" s="338" t="s">
        <v>1244</v>
      </c>
      <c r="B62" s="15"/>
      <c r="C62" s="15"/>
      <c r="D62" s="15"/>
      <c r="E62" s="15"/>
      <c r="F62" s="15"/>
      <c r="G62" s="15"/>
      <c r="H62" s="15"/>
      <c r="I62" s="15"/>
      <c r="J62" s="15"/>
      <c r="K62" s="15"/>
    </row>
    <row r="63" spans="1:19" x14ac:dyDescent="0.3">
      <c r="A63" s="338"/>
    </row>
  </sheetData>
  <sheetProtection algorithmName="SHA-512" hashValue="/U4KkKAPGdLm4JowVlBlFfftUm188VbjzGspns2sNd2TYEXB/eaCWF9SWnqSUzE3JMNk2szUBBTX6Ld1KCLpag==" saltValue="g8feq/vzAxwBMX4V7p5+kA==" spinCount="100000" sheet="1" scenarios="1" formatCells="0" sort="0" autoFilter="0" pivotTables="0"/>
  <mergeCells count="14">
    <mergeCell ref="A61:H61"/>
    <mergeCell ref="B40:C40"/>
    <mergeCell ref="F40:G40"/>
    <mergeCell ref="A31:I31"/>
    <mergeCell ref="J40:K40"/>
    <mergeCell ref="H40:I40"/>
    <mergeCell ref="D40:E40"/>
    <mergeCell ref="F9:G9"/>
    <mergeCell ref="A4:Q4"/>
    <mergeCell ref="B9:C9"/>
    <mergeCell ref="D9:E9"/>
    <mergeCell ref="H9:I9"/>
    <mergeCell ref="J9:K9"/>
    <mergeCell ref="N9:P9"/>
  </mergeCells>
  <phoneticPr fontId="53" type="noConversion"/>
  <hyperlinks>
    <hyperlink ref="A2" location="'Table of Contents'!A1" display="Back to Table of Contents" xr:uid="{00000000-0004-0000-A800-000000000000}"/>
  </hyperlinks>
  <pageMargins left="0.70866141732283472" right="0.70866141732283472" top="0.74803149606299213" bottom="0.74803149606299213" header="0.31496062992125984" footer="0.31496062992125984"/>
  <pageSetup paperSize="9" scale="62" orientation="landscape" r:id="rId1"/>
  <drawing r:id="rId2"/>
  <extLst>
    <ext xmlns:x14="http://schemas.microsoft.com/office/spreadsheetml/2009/9/main" uri="{A8765BA9-456A-4dab-B4F3-ACF838C121DE}">
      <x14:slicerList>
        <x14:slicer r:id="rId3"/>
      </x14:slicerList>
    </ext>
  </extLst>
</worksheet>
</file>

<file path=xl/worksheets/sheet18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tabColor theme="3" tint="0.39997558519241921"/>
  </sheetPr>
  <dimension ref="A1:I36"/>
  <sheetViews>
    <sheetView workbookViewId="0">
      <selection activeCell="C10" sqref="C10"/>
    </sheetView>
  </sheetViews>
  <sheetFormatPr defaultRowHeight="14.4" x14ac:dyDescent="0.3"/>
  <cols>
    <col min="1" max="1" width="20.33203125" bestFit="1" customWidth="1"/>
    <col min="2" max="2" width="13.21875" bestFit="1" customWidth="1"/>
    <col min="3" max="3" width="14.33203125" bestFit="1" customWidth="1"/>
    <col min="4" max="4" width="13.109375" bestFit="1" customWidth="1"/>
    <col min="5" max="5" width="14.21875" bestFit="1" customWidth="1"/>
    <col min="6" max="6" width="23" bestFit="1" customWidth="1"/>
    <col min="7" max="7" width="24.21875" bestFit="1" customWidth="1"/>
    <col min="8" max="8" width="21.5546875" bestFit="1" customWidth="1"/>
    <col min="9" max="9" width="22.77734375" bestFit="1" customWidth="1"/>
  </cols>
  <sheetData>
    <row r="1" spans="1:9" x14ac:dyDescent="0.3">
      <c r="A1" s="386" t="s">
        <v>208</v>
      </c>
      <c r="B1" t="s">
        <v>412</v>
      </c>
    </row>
    <row r="3" spans="1:9" x14ac:dyDescent="0.3">
      <c r="A3" s="386" t="s">
        <v>350</v>
      </c>
      <c r="B3" t="s">
        <v>1214</v>
      </c>
      <c r="C3" t="s">
        <v>1215</v>
      </c>
      <c r="D3" t="s">
        <v>1216</v>
      </c>
      <c r="E3" t="s">
        <v>1217</v>
      </c>
      <c r="F3" t="s">
        <v>1218</v>
      </c>
      <c r="G3" t="s">
        <v>1219</v>
      </c>
      <c r="H3" t="s">
        <v>1220</v>
      </c>
      <c r="I3" t="s">
        <v>1221</v>
      </c>
    </row>
    <row r="4" spans="1:9" x14ac:dyDescent="0.3">
      <c r="A4" s="387" t="s">
        <v>215</v>
      </c>
      <c r="B4">
        <v>396</v>
      </c>
      <c r="C4">
        <v>2709.5</v>
      </c>
      <c r="D4">
        <v>3</v>
      </c>
      <c r="E4">
        <v>43.25</v>
      </c>
    </row>
    <row r="5" spans="1:9" x14ac:dyDescent="0.3">
      <c r="A5" s="387" t="s">
        <v>220</v>
      </c>
      <c r="B5">
        <v>221</v>
      </c>
      <c r="C5">
        <v>1585.25</v>
      </c>
      <c r="D5">
        <v>2</v>
      </c>
      <c r="E5">
        <v>23.75</v>
      </c>
      <c r="H5">
        <v>1</v>
      </c>
      <c r="I5">
        <v>36.75</v>
      </c>
    </row>
    <row r="6" spans="1:9" x14ac:dyDescent="0.3">
      <c r="A6" s="387" t="s">
        <v>224</v>
      </c>
      <c r="B6">
        <v>96</v>
      </c>
      <c r="C6">
        <v>601.75</v>
      </c>
    </row>
    <row r="7" spans="1:9" x14ac:dyDescent="0.3">
      <c r="A7" s="387" t="s">
        <v>228</v>
      </c>
      <c r="B7">
        <v>374</v>
      </c>
      <c r="C7">
        <v>2016.25</v>
      </c>
      <c r="D7">
        <v>37</v>
      </c>
      <c r="E7">
        <v>518.5</v>
      </c>
    </row>
    <row r="8" spans="1:9" x14ac:dyDescent="0.3">
      <c r="A8" s="387" t="s">
        <v>234</v>
      </c>
      <c r="B8">
        <v>884</v>
      </c>
      <c r="C8">
        <v>4017</v>
      </c>
      <c r="D8">
        <v>82</v>
      </c>
      <c r="E8">
        <v>519.5</v>
      </c>
      <c r="H8">
        <v>3</v>
      </c>
      <c r="I8">
        <v>42.25</v>
      </c>
    </row>
    <row r="9" spans="1:9" x14ac:dyDescent="0.3">
      <c r="A9" s="387" t="s">
        <v>240</v>
      </c>
      <c r="B9">
        <v>45</v>
      </c>
      <c r="C9">
        <v>302.75</v>
      </c>
      <c r="D9">
        <v>2</v>
      </c>
      <c r="E9">
        <v>19</v>
      </c>
    </row>
    <row r="10" spans="1:9" x14ac:dyDescent="0.3">
      <c r="A10" s="387" t="s">
        <v>244</v>
      </c>
      <c r="B10">
        <v>560</v>
      </c>
      <c r="C10">
        <v>3992.75</v>
      </c>
      <c r="D10">
        <v>8</v>
      </c>
      <c r="E10">
        <v>71.25</v>
      </c>
    </row>
    <row r="11" spans="1:9" x14ac:dyDescent="0.3">
      <c r="A11" s="387" t="s">
        <v>247</v>
      </c>
      <c r="B11">
        <v>322</v>
      </c>
      <c r="C11">
        <v>1368.5</v>
      </c>
    </row>
    <row r="12" spans="1:9" x14ac:dyDescent="0.3">
      <c r="A12" s="387" t="s">
        <v>249</v>
      </c>
      <c r="B12">
        <v>152</v>
      </c>
      <c r="C12">
        <v>651.25</v>
      </c>
      <c r="D12">
        <v>6</v>
      </c>
      <c r="E12">
        <v>45</v>
      </c>
      <c r="H12">
        <v>1</v>
      </c>
      <c r="I12">
        <v>18.75</v>
      </c>
    </row>
    <row r="13" spans="1:9" x14ac:dyDescent="0.3">
      <c r="A13" s="387" t="s">
        <v>253</v>
      </c>
      <c r="B13">
        <v>68</v>
      </c>
      <c r="C13">
        <v>490.75</v>
      </c>
      <c r="D13">
        <v>2</v>
      </c>
      <c r="E13">
        <v>44.75</v>
      </c>
    </row>
    <row r="14" spans="1:9" x14ac:dyDescent="0.3">
      <c r="A14" s="387" t="s">
        <v>255</v>
      </c>
      <c r="B14">
        <v>130</v>
      </c>
      <c r="C14">
        <v>759.5</v>
      </c>
      <c r="D14">
        <v>3</v>
      </c>
      <c r="E14">
        <v>20.75</v>
      </c>
    </row>
    <row r="15" spans="1:9" x14ac:dyDescent="0.3">
      <c r="A15" s="387" t="s">
        <v>259</v>
      </c>
      <c r="B15">
        <v>47</v>
      </c>
      <c r="C15">
        <v>301.75</v>
      </c>
    </row>
    <row r="16" spans="1:9" x14ac:dyDescent="0.3">
      <c r="A16" s="387" t="s">
        <v>263</v>
      </c>
      <c r="B16">
        <v>172</v>
      </c>
      <c r="C16">
        <v>929.25</v>
      </c>
      <c r="D16">
        <v>1</v>
      </c>
      <c r="E16">
        <v>18.25</v>
      </c>
    </row>
    <row r="17" spans="1:9" x14ac:dyDescent="0.3">
      <c r="A17" s="387" t="s">
        <v>267</v>
      </c>
      <c r="B17">
        <v>361</v>
      </c>
      <c r="C17">
        <v>2371.5</v>
      </c>
      <c r="D17">
        <v>6</v>
      </c>
      <c r="E17">
        <v>69.25</v>
      </c>
      <c r="H17">
        <v>1</v>
      </c>
      <c r="I17">
        <v>7</v>
      </c>
    </row>
    <row r="18" spans="1:9" x14ac:dyDescent="0.3">
      <c r="A18" s="387" t="s">
        <v>270</v>
      </c>
      <c r="B18">
        <v>1356</v>
      </c>
      <c r="C18">
        <v>5511.25</v>
      </c>
      <c r="D18">
        <v>43</v>
      </c>
      <c r="E18">
        <v>288</v>
      </c>
      <c r="H18">
        <v>4</v>
      </c>
      <c r="I18">
        <v>47</v>
      </c>
    </row>
    <row r="19" spans="1:9" x14ac:dyDescent="0.3">
      <c r="A19" s="387" t="s">
        <v>273</v>
      </c>
      <c r="B19">
        <v>398</v>
      </c>
      <c r="C19">
        <v>3116.25</v>
      </c>
      <c r="D19">
        <v>21</v>
      </c>
      <c r="E19">
        <v>472.5</v>
      </c>
      <c r="H19">
        <v>1</v>
      </c>
      <c r="I19">
        <v>9.75</v>
      </c>
    </row>
    <row r="20" spans="1:9" x14ac:dyDescent="0.3">
      <c r="A20" s="387" t="s">
        <v>277</v>
      </c>
      <c r="B20">
        <v>72</v>
      </c>
      <c r="C20">
        <v>511</v>
      </c>
    </row>
    <row r="21" spans="1:9" x14ac:dyDescent="0.3">
      <c r="A21" s="387" t="s">
        <v>279</v>
      </c>
      <c r="B21">
        <v>193</v>
      </c>
      <c r="C21">
        <v>1192.25</v>
      </c>
      <c r="D21">
        <v>9</v>
      </c>
      <c r="E21">
        <v>64.5</v>
      </c>
    </row>
    <row r="22" spans="1:9" x14ac:dyDescent="0.3">
      <c r="A22" s="387" t="s">
        <v>281</v>
      </c>
      <c r="B22">
        <v>54</v>
      </c>
      <c r="C22">
        <v>419.75</v>
      </c>
      <c r="D22">
        <v>1</v>
      </c>
      <c r="E22">
        <v>18</v>
      </c>
    </row>
    <row r="23" spans="1:9" x14ac:dyDescent="0.3">
      <c r="A23" s="387" t="s">
        <v>283</v>
      </c>
      <c r="B23">
        <v>40</v>
      </c>
      <c r="C23">
        <v>238</v>
      </c>
      <c r="D23">
        <v>2</v>
      </c>
      <c r="E23">
        <v>50</v>
      </c>
      <c r="F23">
        <v>1</v>
      </c>
      <c r="G23">
        <v>37.75</v>
      </c>
    </row>
    <row r="24" spans="1:9" x14ac:dyDescent="0.3">
      <c r="A24" s="387" t="s">
        <v>287</v>
      </c>
      <c r="B24">
        <v>144</v>
      </c>
      <c r="C24">
        <v>892.75</v>
      </c>
      <c r="D24">
        <v>4</v>
      </c>
      <c r="E24">
        <v>66.5</v>
      </c>
      <c r="H24">
        <v>1</v>
      </c>
      <c r="I24">
        <v>2.5</v>
      </c>
    </row>
    <row r="25" spans="1:9" x14ac:dyDescent="0.3">
      <c r="A25" s="387" t="s">
        <v>289</v>
      </c>
      <c r="B25">
        <v>320</v>
      </c>
      <c r="C25">
        <v>1593.75</v>
      </c>
      <c r="D25">
        <v>7</v>
      </c>
      <c r="E25">
        <v>97.75</v>
      </c>
    </row>
    <row r="26" spans="1:9" x14ac:dyDescent="0.3">
      <c r="A26" s="387" t="s">
        <v>292</v>
      </c>
      <c r="B26">
        <v>33</v>
      </c>
      <c r="C26">
        <v>171.25</v>
      </c>
      <c r="D26">
        <v>2</v>
      </c>
      <c r="E26">
        <v>85.25</v>
      </c>
      <c r="F26">
        <v>1</v>
      </c>
      <c r="G26">
        <v>35.5</v>
      </c>
      <c r="H26">
        <v>1</v>
      </c>
      <c r="I26">
        <v>14.5</v>
      </c>
    </row>
    <row r="27" spans="1:9" x14ac:dyDescent="0.3">
      <c r="A27" s="387" t="s">
        <v>294</v>
      </c>
      <c r="B27">
        <v>243</v>
      </c>
      <c r="C27">
        <v>1186</v>
      </c>
      <c r="D27">
        <v>12</v>
      </c>
      <c r="E27">
        <v>171</v>
      </c>
    </row>
    <row r="28" spans="1:9" x14ac:dyDescent="0.3">
      <c r="A28" s="387" t="s">
        <v>296</v>
      </c>
      <c r="B28">
        <v>186</v>
      </c>
      <c r="C28">
        <v>1070</v>
      </c>
      <c r="D28">
        <v>4</v>
      </c>
      <c r="E28">
        <v>55.5</v>
      </c>
    </row>
    <row r="29" spans="1:9" x14ac:dyDescent="0.3">
      <c r="A29" s="387" t="s">
        <v>298</v>
      </c>
      <c r="B29">
        <v>241</v>
      </c>
      <c r="C29">
        <v>1208</v>
      </c>
      <c r="D29">
        <v>10</v>
      </c>
      <c r="E29">
        <v>91.75</v>
      </c>
    </row>
    <row r="30" spans="1:9" x14ac:dyDescent="0.3">
      <c r="A30" s="387" t="s">
        <v>300</v>
      </c>
      <c r="B30">
        <v>50</v>
      </c>
      <c r="C30">
        <v>254.75</v>
      </c>
      <c r="D30">
        <v>8</v>
      </c>
      <c r="E30">
        <v>119</v>
      </c>
    </row>
    <row r="31" spans="1:9" x14ac:dyDescent="0.3">
      <c r="A31" s="387" t="s">
        <v>302</v>
      </c>
      <c r="B31">
        <v>219</v>
      </c>
      <c r="C31">
        <v>1075.75</v>
      </c>
    </row>
    <row r="32" spans="1:9" x14ac:dyDescent="0.3">
      <c r="A32" s="387" t="s">
        <v>304</v>
      </c>
      <c r="B32">
        <v>286</v>
      </c>
      <c r="C32">
        <v>2213</v>
      </c>
      <c r="D32">
        <v>3</v>
      </c>
      <c r="E32">
        <v>68</v>
      </c>
    </row>
    <row r="33" spans="1:9" x14ac:dyDescent="0.3">
      <c r="A33" s="387" t="s">
        <v>307</v>
      </c>
      <c r="B33">
        <v>205</v>
      </c>
      <c r="C33">
        <v>1328.75</v>
      </c>
      <c r="D33">
        <v>3</v>
      </c>
      <c r="E33">
        <v>32.25</v>
      </c>
    </row>
    <row r="34" spans="1:9" x14ac:dyDescent="0.3">
      <c r="A34" s="387" t="s">
        <v>309</v>
      </c>
      <c r="B34">
        <v>110</v>
      </c>
      <c r="C34">
        <v>560</v>
      </c>
      <c r="D34">
        <v>1</v>
      </c>
      <c r="E34">
        <v>7.25</v>
      </c>
    </row>
    <row r="35" spans="1:9" x14ac:dyDescent="0.3">
      <c r="A35" s="387" t="s">
        <v>311</v>
      </c>
      <c r="B35">
        <v>202</v>
      </c>
      <c r="C35">
        <v>1016.25</v>
      </c>
      <c r="D35">
        <v>2</v>
      </c>
      <c r="E35">
        <v>16.5</v>
      </c>
      <c r="H35">
        <v>1</v>
      </c>
      <c r="I35">
        <v>10.5</v>
      </c>
    </row>
    <row r="36" spans="1:9" x14ac:dyDescent="0.3">
      <c r="A36" s="387" t="s">
        <v>357</v>
      </c>
      <c r="B36">
        <v>8180</v>
      </c>
      <c r="C36">
        <v>45656.5</v>
      </c>
      <c r="D36">
        <v>284</v>
      </c>
      <c r="E36">
        <v>3097</v>
      </c>
      <c r="F36">
        <v>2</v>
      </c>
      <c r="G36">
        <v>73.25</v>
      </c>
      <c r="H36">
        <v>14</v>
      </c>
      <c r="I36">
        <v>189</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18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tabColor theme="3" tint="0.39997558519241921"/>
  </sheetPr>
  <dimension ref="A1:K385"/>
  <sheetViews>
    <sheetView topLeftCell="A157" workbookViewId="0">
      <selection activeCell="F170" sqref="F170"/>
    </sheetView>
  </sheetViews>
  <sheetFormatPr defaultRowHeight="14.4" x14ac:dyDescent="0.3"/>
  <cols>
    <col min="1" max="1" width="7.44140625" bestFit="1" customWidth="1"/>
    <col min="2" max="2" width="20.33203125" bestFit="1" customWidth="1"/>
    <col min="3" max="3" width="10.44140625" bestFit="1" customWidth="1"/>
    <col min="4" max="4" width="9.109375" bestFit="1" customWidth="1"/>
    <col min="5" max="5" width="10.21875" bestFit="1" customWidth="1"/>
    <col min="6" max="6" width="9" bestFit="1" customWidth="1"/>
    <col min="7" max="7" width="10.21875" bestFit="1" customWidth="1"/>
    <col min="8" max="8" width="18.77734375" bestFit="1" customWidth="1"/>
    <col min="9" max="9" width="20.109375" bestFit="1" customWidth="1"/>
    <col min="10" max="10" width="17.33203125" bestFit="1" customWidth="1"/>
    <col min="11" max="11" width="18.5546875" bestFit="1" customWidth="1"/>
  </cols>
  <sheetData>
    <row r="1" spans="1:11" x14ac:dyDescent="0.3">
      <c r="A1" t="s">
        <v>806</v>
      </c>
      <c r="B1" t="s">
        <v>912</v>
      </c>
      <c r="C1" t="s">
        <v>1082</v>
      </c>
      <c r="D1" t="s">
        <v>1223</v>
      </c>
      <c r="E1" t="s">
        <v>1224</v>
      </c>
      <c r="F1" t="s">
        <v>1225</v>
      </c>
      <c r="G1" t="s">
        <v>1226</v>
      </c>
      <c r="H1" t="s">
        <v>1227</v>
      </c>
      <c r="I1" t="s">
        <v>1228</v>
      </c>
      <c r="J1" t="s">
        <v>1229</v>
      </c>
      <c r="K1" t="s">
        <v>1230</v>
      </c>
    </row>
    <row r="2" spans="1:11" x14ac:dyDescent="0.3">
      <c r="A2" t="s">
        <v>365</v>
      </c>
      <c r="B2" t="s">
        <v>215</v>
      </c>
      <c r="C2" t="s">
        <v>214</v>
      </c>
      <c r="D2">
        <v>356</v>
      </c>
      <c r="E2">
        <v>1936.75</v>
      </c>
      <c r="F2">
        <v>13</v>
      </c>
      <c r="G2">
        <v>138.5</v>
      </c>
      <c r="H2">
        <v>2</v>
      </c>
      <c r="I2">
        <v>19.25</v>
      </c>
    </row>
    <row r="3" spans="1:11" x14ac:dyDescent="0.3">
      <c r="A3" t="s">
        <v>365</v>
      </c>
      <c r="B3" t="s">
        <v>267</v>
      </c>
      <c r="C3" t="s">
        <v>1092</v>
      </c>
      <c r="D3">
        <v>483</v>
      </c>
      <c r="E3">
        <v>1857.5</v>
      </c>
      <c r="F3">
        <v>15</v>
      </c>
      <c r="G3">
        <v>104.75</v>
      </c>
    </row>
    <row r="4" spans="1:11" x14ac:dyDescent="0.3">
      <c r="A4" t="s">
        <v>365</v>
      </c>
      <c r="B4" t="s">
        <v>281</v>
      </c>
      <c r="C4" t="s">
        <v>280</v>
      </c>
      <c r="D4">
        <v>110</v>
      </c>
      <c r="E4">
        <v>771.25</v>
      </c>
      <c r="F4">
        <v>4</v>
      </c>
      <c r="G4">
        <v>72.5</v>
      </c>
    </row>
    <row r="5" spans="1:11" x14ac:dyDescent="0.3">
      <c r="A5" t="s">
        <v>365</v>
      </c>
      <c r="B5" t="s">
        <v>283</v>
      </c>
      <c r="C5" t="s">
        <v>282</v>
      </c>
      <c r="D5">
        <v>18</v>
      </c>
      <c r="E5">
        <v>138.5</v>
      </c>
      <c r="F5">
        <v>1</v>
      </c>
      <c r="G5">
        <v>13.25</v>
      </c>
    </row>
    <row r="6" spans="1:11" x14ac:dyDescent="0.3">
      <c r="A6" t="s">
        <v>365</v>
      </c>
      <c r="B6" t="s">
        <v>292</v>
      </c>
      <c r="C6" t="s">
        <v>291</v>
      </c>
      <c r="D6">
        <v>16</v>
      </c>
      <c r="E6">
        <v>108.5</v>
      </c>
    </row>
    <row r="7" spans="1:11" x14ac:dyDescent="0.3">
      <c r="A7" t="s">
        <v>365</v>
      </c>
      <c r="B7" t="s">
        <v>296</v>
      </c>
      <c r="C7" t="s">
        <v>295</v>
      </c>
      <c r="D7">
        <v>212</v>
      </c>
      <c r="E7">
        <v>1318.75</v>
      </c>
      <c r="F7">
        <v>3</v>
      </c>
      <c r="G7">
        <v>28.75</v>
      </c>
    </row>
    <row r="8" spans="1:11" x14ac:dyDescent="0.3">
      <c r="A8" t="s">
        <v>365</v>
      </c>
      <c r="B8" t="s">
        <v>298</v>
      </c>
      <c r="C8" t="s">
        <v>297</v>
      </c>
      <c r="D8">
        <v>332</v>
      </c>
      <c r="E8">
        <v>1463</v>
      </c>
      <c r="F8">
        <v>49</v>
      </c>
      <c r="G8">
        <v>381.75</v>
      </c>
      <c r="H8">
        <v>1</v>
      </c>
      <c r="I8">
        <v>31</v>
      </c>
    </row>
    <row r="9" spans="1:11" x14ac:dyDescent="0.3">
      <c r="A9" t="s">
        <v>365</v>
      </c>
      <c r="B9" t="s">
        <v>309</v>
      </c>
      <c r="C9" t="s">
        <v>308</v>
      </c>
      <c r="D9">
        <v>176</v>
      </c>
      <c r="E9">
        <v>797.25</v>
      </c>
    </row>
    <row r="10" spans="1:11" x14ac:dyDescent="0.3">
      <c r="A10" t="s">
        <v>366</v>
      </c>
      <c r="B10" t="s">
        <v>240</v>
      </c>
      <c r="C10" t="s">
        <v>239</v>
      </c>
      <c r="D10">
        <v>51</v>
      </c>
      <c r="E10">
        <v>190</v>
      </c>
    </row>
    <row r="11" spans="1:11" x14ac:dyDescent="0.3">
      <c r="A11" t="s">
        <v>366</v>
      </c>
      <c r="B11" t="s">
        <v>259</v>
      </c>
      <c r="C11" t="s">
        <v>258</v>
      </c>
      <c r="D11">
        <v>54</v>
      </c>
      <c r="E11">
        <v>343.75</v>
      </c>
      <c r="F11">
        <v>3</v>
      </c>
      <c r="G11">
        <v>60</v>
      </c>
    </row>
    <row r="12" spans="1:11" x14ac:dyDescent="0.3">
      <c r="A12" t="s">
        <v>366</v>
      </c>
      <c r="B12" t="s">
        <v>292</v>
      </c>
      <c r="C12" t="s">
        <v>291</v>
      </c>
      <c r="D12">
        <v>31</v>
      </c>
      <c r="E12">
        <v>146.75</v>
      </c>
      <c r="F12">
        <v>1</v>
      </c>
      <c r="G12">
        <v>13.25</v>
      </c>
    </row>
    <row r="13" spans="1:11" x14ac:dyDescent="0.3">
      <c r="A13" t="s">
        <v>341</v>
      </c>
      <c r="B13" t="s">
        <v>215</v>
      </c>
      <c r="C13" t="s">
        <v>214</v>
      </c>
      <c r="D13">
        <v>415</v>
      </c>
      <c r="E13">
        <v>2311</v>
      </c>
      <c r="F13">
        <v>20</v>
      </c>
      <c r="G13">
        <v>156.5</v>
      </c>
      <c r="H13">
        <v>7</v>
      </c>
      <c r="I13">
        <v>48</v>
      </c>
    </row>
    <row r="14" spans="1:11" x14ac:dyDescent="0.3">
      <c r="A14" t="s">
        <v>341</v>
      </c>
      <c r="B14" t="s">
        <v>255</v>
      </c>
      <c r="C14" t="s">
        <v>254</v>
      </c>
      <c r="D14">
        <v>126</v>
      </c>
      <c r="E14">
        <v>481.75</v>
      </c>
      <c r="F14">
        <v>13</v>
      </c>
      <c r="G14">
        <v>102.25</v>
      </c>
    </row>
    <row r="15" spans="1:11" x14ac:dyDescent="0.3">
      <c r="A15" t="s">
        <v>341</v>
      </c>
      <c r="B15" t="s">
        <v>304</v>
      </c>
      <c r="C15" t="s">
        <v>303</v>
      </c>
      <c r="D15">
        <v>243</v>
      </c>
      <c r="E15">
        <v>1452.5</v>
      </c>
      <c r="F15">
        <v>8</v>
      </c>
      <c r="G15">
        <v>235.75</v>
      </c>
      <c r="H15">
        <v>1</v>
      </c>
      <c r="I15">
        <v>72.25</v>
      </c>
    </row>
    <row r="16" spans="1:11" x14ac:dyDescent="0.3">
      <c r="A16" t="s">
        <v>341</v>
      </c>
      <c r="B16" t="s">
        <v>307</v>
      </c>
      <c r="C16" t="s">
        <v>306</v>
      </c>
      <c r="D16">
        <v>146</v>
      </c>
      <c r="E16">
        <v>598.5</v>
      </c>
      <c r="F16">
        <v>14</v>
      </c>
      <c r="G16">
        <v>101.25</v>
      </c>
    </row>
    <row r="17" spans="1:11" x14ac:dyDescent="0.3">
      <c r="A17" t="s">
        <v>342</v>
      </c>
      <c r="B17" t="s">
        <v>220</v>
      </c>
      <c r="C17" t="s">
        <v>219</v>
      </c>
      <c r="D17">
        <v>317</v>
      </c>
      <c r="E17">
        <v>2121</v>
      </c>
      <c r="F17">
        <v>27</v>
      </c>
      <c r="G17">
        <v>291.25</v>
      </c>
      <c r="J17">
        <v>1</v>
      </c>
      <c r="K17">
        <v>23.25</v>
      </c>
    </row>
    <row r="18" spans="1:11" x14ac:dyDescent="0.3">
      <c r="A18" t="s">
        <v>342</v>
      </c>
      <c r="B18" t="s">
        <v>244</v>
      </c>
      <c r="C18" t="s">
        <v>243</v>
      </c>
      <c r="D18">
        <v>346</v>
      </c>
      <c r="E18">
        <v>1646</v>
      </c>
      <c r="F18">
        <v>33</v>
      </c>
      <c r="G18">
        <v>312.25</v>
      </c>
    </row>
    <row r="19" spans="1:11" x14ac:dyDescent="0.3">
      <c r="A19" t="s">
        <v>342</v>
      </c>
      <c r="B19" t="s">
        <v>253</v>
      </c>
      <c r="C19" t="s">
        <v>252</v>
      </c>
      <c r="D19">
        <v>86</v>
      </c>
      <c r="E19">
        <v>611</v>
      </c>
      <c r="F19">
        <v>6</v>
      </c>
      <c r="G19">
        <v>67.25</v>
      </c>
    </row>
    <row r="20" spans="1:11" x14ac:dyDescent="0.3">
      <c r="A20" t="s">
        <v>342</v>
      </c>
      <c r="B20" t="s">
        <v>300</v>
      </c>
      <c r="C20" t="s">
        <v>299</v>
      </c>
      <c r="D20">
        <v>22</v>
      </c>
      <c r="E20">
        <v>189</v>
      </c>
      <c r="F20">
        <v>1</v>
      </c>
      <c r="G20">
        <v>8</v>
      </c>
      <c r="J20">
        <v>1</v>
      </c>
      <c r="K20">
        <v>3.5</v>
      </c>
    </row>
    <row r="21" spans="1:11" x14ac:dyDescent="0.3">
      <c r="A21" t="s">
        <v>213</v>
      </c>
      <c r="B21" t="s">
        <v>220</v>
      </c>
      <c r="C21" t="s">
        <v>219</v>
      </c>
      <c r="D21">
        <v>344</v>
      </c>
      <c r="E21">
        <v>1895</v>
      </c>
      <c r="F21">
        <v>29</v>
      </c>
      <c r="G21">
        <v>240.5</v>
      </c>
      <c r="J21">
        <v>1</v>
      </c>
      <c r="K21">
        <v>7.5</v>
      </c>
    </row>
    <row r="22" spans="1:11" x14ac:dyDescent="0.3">
      <c r="A22" t="s">
        <v>213</v>
      </c>
      <c r="B22" t="s">
        <v>289</v>
      </c>
      <c r="C22" t="s">
        <v>288</v>
      </c>
      <c r="D22">
        <v>294</v>
      </c>
      <c r="E22">
        <v>1348</v>
      </c>
      <c r="F22">
        <v>13</v>
      </c>
      <c r="G22">
        <v>182.75</v>
      </c>
      <c r="H22">
        <v>2</v>
      </c>
      <c r="I22">
        <v>68.75</v>
      </c>
      <c r="J22">
        <v>1</v>
      </c>
      <c r="K22">
        <v>63</v>
      </c>
    </row>
    <row r="23" spans="1:11" x14ac:dyDescent="0.3">
      <c r="A23" t="s">
        <v>312</v>
      </c>
      <c r="B23" t="s">
        <v>228</v>
      </c>
      <c r="C23" t="s">
        <v>227</v>
      </c>
      <c r="D23">
        <v>275</v>
      </c>
      <c r="F23">
        <v>7</v>
      </c>
    </row>
    <row r="24" spans="1:11" x14ac:dyDescent="0.3">
      <c r="A24" t="s">
        <v>312</v>
      </c>
      <c r="B24" t="s">
        <v>247</v>
      </c>
      <c r="C24" t="s">
        <v>246</v>
      </c>
      <c r="D24">
        <v>419</v>
      </c>
      <c r="F24">
        <v>5</v>
      </c>
    </row>
    <row r="25" spans="1:11" x14ac:dyDescent="0.3">
      <c r="A25" t="s">
        <v>312</v>
      </c>
      <c r="B25" t="s">
        <v>249</v>
      </c>
      <c r="C25" t="s">
        <v>248</v>
      </c>
      <c r="D25">
        <v>105</v>
      </c>
      <c r="F25">
        <v>5</v>
      </c>
    </row>
    <row r="26" spans="1:11" x14ac:dyDescent="0.3">
      <c r="A26" t="s">
        <v>312</v>
      </c>
      <c r="B26" t="s">
        <v>259</v>
      </c>
      <c r="C26" t="s">
        <v>258</v>
      </c>
      <c r="D26">
        <v>28</v>
      </c>
    </row>
    <row r="27" spans="1:11" x14ac:dyDescent="0.3">
      <c r="A27" t="s">
        <v>312</v>
      </c>
      <c r="B27" t="s">
        <v>267</v>
      </c>
      <c r="C27" t="s">
        <v>1092</v>
      </c>
      <c r="D27">
        <v>335</v>
      </c>
      <c r="F27">
        <v>82</v>
      </c>
      <c r="J27">
        <v>2</v>
      </c>
    </row>
    <row r="28" spans="1:11" x14ac:dyDescent="0.3">
      <c r="A28" t="s">
        <v>318</v>
      </c>
      <c r="B28" t="s">
        <v>244</v>
      </c>
      <c r="C28" t="s">
        <v>243</v>
      </c>
      <c r="D28">
        <v>122</v>
      </c>
      <c r="E28">
        <v>533.25</v>
      </c>
      <c r="F28">
        <v>5</v>
      </c>
      <c r="G28">
        <v>39.25</v>
      </c>
    </row>
    <row r="29" spans="1:11" x14ac:dyDescent="0.3">
      <c r="A29" t="s">
        <v>318</v>
      </c>
      <c r="B29" t="s">
        <v>279</v>
      </c>
      <c r="C29" t="s">
        <v>278</v>
      </c>
      <c r="D29">
        <v>35</v>
      </c>
      <c r="E29">
        <v>292.25</v>
      </c>
      <c r="F29">
        <v>2</v>
      </c>
      <c r="G29">
        <v>31.75</v>
      </c>
    </row>
    <row r="30" spans="1:11" x14ac:dyDescent="0.3">
      <c r="A30" t="s">
        <v>320</v>
      </c>
      <c r="B30" t="s">
        <v>253</v>
      </c>
      <c r="C30" t="s">
        <v>252</v>
      </c>
      <c r="D30">
        <v>67</v>
      </c>
      <c r="E30">
        <v>330.5</v>
      </c>
      <c r="F30">
        <v>5</v>
      </c>
      <c r="G30">
        <v>29.25</v>
      </c>
    </row>
    <row r="31" spans="1:11" x14ac:dyDescent="0.3">
      <c r="A31" t="s">
        <v>320</v>
      </c>
      <c r="B31" t="s">
        <v>263</v>
      </c>
      <c r="C31" t="s">
        <v>262</v>
      </c>
      <c r="D31">
        <v>107</v>
      </c>
      <c r="E31">
        <v>523</v>
      </c>
      <c r="F31">
        <v>5</v>
      </c>
      <c r="G31">
        <v>53.5</v>
      </c>
    </row>
    <row r="32" spans="1:11" x14ac:dyDescent="0.3">
      <c r="A32" t="s">
        <v>320</v>
      </c>
      <c r="B32" t="s">
        <v>304</v>
      </c>
      <c r="C32" t="s">
        <v>303</v>
      </c>
      <c r="D32">
        <v>156</v>
      </c>
      <c r="E32">
        <v>1502.5</v>
      </c>
      <c r="F32">
        <v>9</v>
      </c>
      <c r="G32">
        <v>137.25</v>
      </c>
    </row>
    <row r="33" spans="1:11" x14ac:dyDescent="0.3">
      <c r="A33" t="s">
        <v>325</v>
      </c>
      <c r="B33" t="s">
        <v>270</v>
      </c>
      <c r="C33" t="s">
        <v>269</v>
      </c>
      <c r="D33">
        <v>1019</v>
      </c>
      <c r="E33">
        <v>5074.75</v>
      </c>
      <c r="F33">
        <v>92</v>
      </c>
      <c r="G33">
        <v>844</v>
      </c>
      <c r="J33">
        <v>1</v>
      </c>
      <c r="K33">
        <v>18</v>
      </c>
    </row>
    <row r="34" spans="1:11" x14ac:dyDescent="0.3">
      <c r="A34" t="s">
        <v>325</v>
      </c>
      <c r="B34" t="s">
        <v>283</v>
      </c>
      <c r="C34" t="s">
        <v>282</v>
      </c>
      <c r="D34">
        <v>32</v>
      </c>
      <c r="E34">
        <v>144.75</v>
      </c>
      <c r="F34">
        <v>2</v>
      </c>
      <c r="G34">
        <v>12.5</v>
      </c>
    </row>
    <row r="35" spans="1:11" x14ac:dyDescent="0.3">
      <c r="A35" t="s">
        <v>325</v>
      </c>
      <c r="B35" t="s">
        <v>296</v>
      </c>
      <c r="C35" t="s">
        <v>295</v>
      </c>
      <c r="D35">
        <v>187</v>
      </c>
      <c r="E35">
        <v>947.75</v>
      </c>
      <c r="F35">
        <v>3</v>
      </c>
      <c r="G35">
        <v>24.5</v>
      </c>
      <c r="J35">
        <v>1</v>
      </c>
      <c r="K35">
        <v>11</v>
      </c>
    </row>
    <row r="36" spans="1:11" x14ac:dyDescent="0.3">
      <c r="A36" t="s">
        <v>326</v>
      </c>
      <c r="B36" t="s">
        <v>1251</v>
      </c>
      <c r="C36" t="s">
        <v>262</v>
      </c>
      <c r="D36">
        <v>121</v>
      </c>
      <c r="E36">
        <v>721.75</v>
      </c>
      <c r="F36">
        <v>1</v>
      </c>
      <c r="G36">
        <v>33</v>
      </c>
    </row>
    <row r="37" spans="1:11" x14ac:dyDescent="0.3">
      <c r="A37" t="s">
        <v>326</v>
      </c>
      <c r="B37" t="s">
        <v>277</v>
      </c>
      <c r="C37" t="s">
        <v>276</v>
      </c>
      <c r="D37">
        <v>88</v>
      </c>
      <c r="E37">
        <v>492</v>
      </c>
      <c r="F37">
        <v>3</v>
      </c>
      <c r="G37">
        <v>41.5</v>
      </c>
    </row>
    <row r="38" spans="1:11" x14ac:dyDescent="0.3">
      <c r="A38" t="s">
        <v>326</v>
      </c>
      <c r="B38" t="s">
        <v>281</v>
      </c>
      <c r="C38" t="s">
        <v>280</v>
      </c>
      <c r="D38">
        <v>116</v>
      </c>
      <c r="E38">
        <v>902</v>
      </c>
      <c r="F38">
        <v>9</v>
      </c>
      <c r="G38">
        <v>198.5</v>
      </c>
    </row>
    <row r="39" spans="1:11" x14ac:dyDescent="0.3">
      <c r="A39" t="s">
        <v>328</v>
      </c>
      <c r="B39" t="s">
        <v>247</v>
      </c>
      <c r="C39" t="s">
        <v>246</v>
      </c>
      <c r="D39">
        <v>316</v>
      </c>
      <c r="E39">
        <v>1340.5</v>
      </c>
      <c r="F39">
        <v>7</v>
      </c>
      <c r="G39">
        <v>75</v>
      </c>
    </row>
    <row r="40" spans="1:11" x14ac:dyDescent="0.3">
      <c r="A40" t="s">
        <v>328</v>
      </c>
      <c r="B40" t="s">
        <v>298</v>
      </c>
      <c r="C40" t="s">
        <v>297</v>
      </c>
      <c r="D40">
        <v>197</v>
      </c>
      <c r="E40">
        <v>1006</v>
      </c>
      <c r="F40">
        <v>8</v>
      </c>
      <c r="G40">
        <v>72</v>
      </c>
    </row>
    <row r="41" spans="1:11" x14ac:dyDescent="0.3">
      <c r="A41" t="s">
        <v>328</v>
      </c>
      <c r="B41" t="s">
        <v>302</v>
      </c>
      <c r="C41" t="s">
        <v>301</v>
      </c>
      <c r="D41">
        <v>277</v>
      </c>
      <c r="E41">
        <v>1628</v>
      </c>
      <c r="F41">
        <v>3</v>
      </c>
      <c r="G41">
        <v>34.5</v>
      </c>
      <c r="J41">
        <v>1</v>
      </c>
      <c r="K41">
        <v>10.75</v>
      </c>
    </row>
    <row r="42" spans="1:11" x14ac:dyDescent="0.3">
      <c r="A42" t="s">
        <v>412</v>
      </c>
      <c r="B42" t="s">
        <v>234</v>
      </c>
      <c r="C42" t="s">
        <v>233</v>
      </c>
      <c r="D42">
        <v>884</v>
      </c>
      <c r="E42">
        <v>4017</v>
      </c>
      <c r="F42">
        <v>82</v>
      </c>
      <c r="G42">
        <v>519.5</v>
      </c>
      <c r="J42">
        <v>3</v>
      </c>
      <c r="K42">
        <v>42.25</v>
      </c>
    </row>
    <row r="43" spans="1:11" x14ac:dyDescent="0.3">
      <c r="A43" t="s">
        <v>412</v>
      </c>
      <c r="B43" t="s">
        <v>296</v>
      </c>
      <c r="C43" t="s">
        <v>295</v>
      </c>
      <c r="D43">
        <v>186</v>
      </c>
      <c r="E43">
        <v>1070</v>
      </c>
      <c r="F43">
        <v>4</v>
      </c>
      <c r="G43">
        <v>55.5</v>
      </c>
    </row>
    <row r="44" spans="1:11" x14ac:dyDescent="0.3">
      <c r="A44" t="s">
        <v>412</v>
      </c>
      <c r="B44" t="s">
        <v>302</v>
      </c>
      <c r="C44" t="s">
        <v>301</v>
      </c>
      <c r="D44">
        <v>219</v>
      </c>
      <c r="E44">
        <v>1075.75</v>
      </c>
    </row>
    <row r="45" spans="1:11" x14ac:dyDescent="0.3">
      <c r="A45" t="s">
        <v>365</v>
      </c>
      <c r="B45" t="s">
        <v>240</v>
      </c>
      <c r="C45" t="s">
        <v>239</v>
      </c>
      <c r="D45">
        <v>42</v>
      </c>
      <c r="E45">
        <v>247.25</v>
      </c>
      <c r="F45">
        <v>2</v>
      </c>
      <c r="G45">
        <v>16</v>
      </c>
    </row>
    <row r="46" spans="1:11" x14ac:dyDescent="0.3">
      <c r="A46" t="s">
        <v>365</v>
      </c>
      <c r="B46" t="s">
        <v>255</v>
      </c>
      <c r="C46" t="s">
        <v>254</v>
      </c>
      <c r="D46">
        <v>96</v>
      </c>
      <c r="E46">
        <v>335.5</v>
      </c>
      <c r="F46">
        <v>6</v>
      </c>
      <c r="G46">
        <v>37.5</v>
      </c>
    </row>
    <row r="47" spans="1:11" x14ac:dyDescent="0.3">
      <c r="A47" t="s">
        <v>365</v>
      </c>
      <c r="B47" t="s">
        <v>263</v>
      </c>
      <c r="C47" t="s">
        <v>262</v>
      </c>
      <c r="D47">
        <v>232</v>
      </c>
      <c r="E47">
        <v>1156</v>
      </c>
      <c r="F47">
        <v>11</v>
      </c>
      <c r="G47">
        <v>105.25</v>
      </c>
    </row>
    <row r="48" spans="1:11" x14ac:dyDescent="0.3">
      <c r="A48" t="s">
        <v>365</v>
      </c>
      <c r="B48" t="s">
        <v>279</v>
      </c>
      <c r="C48" t="s">
        <v>278</v>
      </c>
      <c r="D48">
        <v>122</v>
      </c>
      <c r="E48">
        <v>365.5</v>
      </c>
      <c r="F48">
        <v>4</v>
      </c>
      <c r="G48">
        <v>31.25</v>
      </c>
    </row>
    <row r="49" spans="1:11" x14ac:dyDescent="0.3">
      <c r="A49" t="s">
        <v>366</v>
      </c>
      <c r="B49" t="s">
        <v>220</v>
      </c>
      <c r="C49" t="s">
        <v>219</v>
      </c>
      <c r="D49">
        <v>334</v>
      </c>
      <c r="E49">
        <v>2016.25</v>
      </c>
      <c r="F49">
        <v>39</v>
      </c>
      <c r="G49">
        <v>438</v>
      </c>
      <c r="H49">
        <v>1</v>
      </c>
      <c r="I49">
        <v>28.25</v>
      </c>
    </row>
    <row r="50" spans="1:11" x14ac:dyDescent="0.3">
      <c r="A50" t="s">
        <v>366</v>
      </c>
      <c r="B50" t="s">
        <v>279</v>
      </c>
      <c r="C50" t="s">
        <v>278</v>
      </c>
      <c r="D50">
        <v>96</v>
      </c>
      <c r="E50">
        <v>321.75</v>
      </c>
      <c r="F50">
        <v>2</v>
      </c>
      <c r="G50">
        <v>7.75</v>
      </c>
    </row>
    <row r="51" spans="1:11" x14ac:dyDescent="0.3">
      <c r="A51" t="s">
        <v>366</v>
      </c>
      <c r="B51" t="s">
        <v>283</v>
      </c>
      <c r="C51" t="s">
        <v>282</v>
      </c>
      <c r="D51">
        <v>5</v>
      </c>
      <c r="E51">
        <v>27.25</v>
      </c>
      <c r="F51">
        <v>4</v>
      </c>
      <c r="G51">
        <v>78.75</v>
      </c>
    </row>
    <row r="52" spans="1:11" x14ac:dyDescent="0.3">
      <c r="A52" t="s">
        <v>341</v>
      </c>
      <c r="B52" t="s">
        <v>253</v>
      </c>
      <c r="C52" t="s">
        <v>252</v>
      </c>
      <c r="D52">
        <v>77</v>
      </c>
      <c r="E52">
        <v>520.25</v>
      </c>
      <c r="F52">
        <v>4</v>
      </c>
      <c r="G52">
        <v>57</v>
      </c>
    </row>
    <row r="53" spans="1:11" x14ac:dyDescent="0.3">
      <c r="A53" t="s">
        <v>341</v>
      </c>
      <c r="B53" t="s">
        <v>277</v>
      </c>
      <c r="C53" t="s">
        <v>276</v>
      </c>
      <c r="D53">
        <v>107</v>
      </c>
      <c r="E53">
        <v>429.5</v>
      </c>
      <c r="F53">
        <v>8</v>
      </c>
      <c r="G53">
        <v>55</v>
      </c>
    </row>
    <row r="54" spans="1:11" x14ac:dyDescent="0.3">
      <c r="A54" t="s">
        <v>341</v>
      </c>
      <c r="B54" t="s">
        <v>281</v>
      </c>
      <c r="C54" t="s">
        <v>280</v>
      </c>
      <c r="D54">
        <v>136</v>
      </c>
      <c r="E54">
        <v>833.25</v>
      </c>
      <c r="F54">
        <v>6</v>
      </c>
      <c r="G54">
        <v>94.25</v>
      </c>
      <c r="H54">
        <v>1</v>
      </c>
      <c r="I54">
        <v>7</v>
      </c>
    </row>
    <row r="55" spans="1:11" x14ac:dyDescent="0.3">
      <c r="A55" t="s">
        <v>341</v>
      </c>
      <c r="B55" t="s">
        <v>302</v>
      </c>
      <c r="C55" t="s">
        <v>301</v>
      </c>
      <c r="D55">
        <v>294</v>
      </c>
      <c r="E55">
        <v>1861.5</v>
      </c>
      <c r="F55">
        <v>16</v>
      </c>
      <c r="G55">
        <v>121.75</v>
      </c>
      <c r="H55">
        <v>1</v>
      </c>
      <c r="I55">
        <v>17.25</v>
      </c>
    </row>
    <row r="56" spans="1:11" x14ac:dyDescent="0.3">
      <c r="A56" t="s">
        <v>342</v>
      </c>
      <c r="B56" t="s">
        <v>273</v>
      </c>
      <c r="C56" t="s">
        <v>272</v>
      </c>
      <c r="D56">
        <v>227</v>
      </c>
      <c r="E56">
        <v>1333</v>
      </c>
      <c r="F56">
        <v>59</v>
      </c>
      <c r="G56">
        <v>1064.25</v>
      </c>
      <c r="H56">
        <v>6</v>
      </c>
      <c r="I56">
        <v>232</v>
      </c>
      <c r="J56">
        <v>4</v>
      </c>
      <c r="K56">
        <v>38.5</v>
      </c>
    </row>
    <row r="57" spans="1:11" x14ac:dyDescent="0.3">
      <c r="A57" t="s">
        <v>342</v>
      </c>
      <c r="B57" t="s">
        <v>289</v>
      </c>
      <c r="C57" t="s">
        <v>288</v>
      </c>
      <c r="D57">
        <v>344</v>
      </c>
      <c r="E57">
        <v>1826.5</v>
      </c>
      <c r="F57">
        <v>7</v>
      </c>
      <c r="G57">
        <v>65.5</v>
      </c>
    </row>
    <row r="58" spans="1:11" x14ac:dyDescent="0.3">
      <c r="A58" t="s">
        <v>213</v>
      </c>
      <c r="B58" t="s">
        <v>247</v>
      </c>
      <c r="C58" t="s">
        <v>246</v>
      </c>
      <c r="D58">
        <v>371</v>
      </c>
      <c r="E58">
        <v>1559.5</v>
      </c>
      <c r="F58">
        <v>10</v>
      </c>
      <c r="G58">
        <v>90.75</v>
      </c>
      <c r="J58">
        <v>3</v>
      </c>
      <c r="K58">
        <v>23.5</v>
      </c>
    </row>
    <row r="59" spans="1:11" x14ac:dyDescent="0.3">
      <c r="A59" t="s">
        <v>213</v>
      </c>
      <c r="B59" t="s">
        <v>255</v>
      </c>
      <c r="C59" t="s">
        <v>254</v>
      </c>
      <c r="D59">
        <v>144</v>
      </c>
      <c r="E59">
        <v>567.25</v>
      </c>
      <c r="F59">
        <v>5</v>
      </c>
      <c r="G59">
        <v>34.5</v>
      </c>
    </row>
    <row r="60" spans="1:11" x14ac:dyDescent="0.3">
      <c r="A60" t="s">
        <v>213</v>
      </c>
      <c r="B60" t="s">
        <v>263</v>
      </c>
      <c r="C60" t="s">
        <v>262</v>
      </c>
      <c r="D60">
        <v>201</v>
      </c>
      <c r="E60">
        <v>1063.25</v>
      </c>
    </row>
    <row r="61" spans="1:11" x14ac:dyDescent="0.3">
      <c r="A61" t="s">
        <v>213</v>
      </c>
      <c r="B61" t="s">
        <v>279</v>
      </c>
      <c r="C61" t="s">
        <v>278</v>
      </c>
      <c r="D61">
        <v>131</v>
      </c>
      <c r="E61">
        <v>878.5</v>
      </c>
      <c r="F61">
        <v>7</v>
      </c>
      <c r="G61">
        <v>91.25</v>
      </c>
    </row>
    <row r="62" spans="1:11" x14ac:dyDescent="0.3">
      <c r="A62" t="s">
        <v>213</v>
      </c>
      <c r="B62" t="s">
        <v>294</v>
      </c>
      <c r="C62" t="s">
        <v>293</v>
      </c>
      <c r="D62">
        <v>281</v>
      </c>
      <c r="E62">
        <v>1204.5</v>
      </c>
      <c r="F62">
        <v>12</v>
      </c>
      <c r="G62">
        <v>81</v>
      </c>
      <c r="H62">
        <v>1</v>
      </c>
      <c r="I62">
        <v>14.25</v>
      </c>
    </row>
    <row r="63" spans="1:11" x14ac:dyDescent="0.3">
      <c r="A63" t="s">
        <v>213</v>
      </c>
      <c r="B63" t="s">
        <v>300</v>
      </c>
      <c r="C63" t="s">
        <v>299</v>
      </c>
      <c r="D63">
        <v>14</v>
      </c>
      <c r="E63">
        <v>110.25</v>
      </c>
      <c r="F63">
        <v>2</v>
      </c>
      <c r="G63">
        <v>23.75</v>
      </c>
    </row>
    <row r="64" spans="1:11" x14ac:dyDescent="0.3">
      <c r="A64" t="s">
        <v>312</v>
      </c>
      <c r="B64" t="s">
        <v>220</v>
      </c>
      <c r="C64" t="s">
        <v>219</v>
      </c>
      <c r="D64">
        <v>345</v>
      </c>
      <c r="F64">
        <v>6</v>
      </c>
    </row>
    <row r="65" spans="1:11" x14ac:dyDescent="0.3">
      <c r="A65" t="s">
        <v>312</v>
      </c>
      <c r="B65" t="s">
        <v>277</v>
      </c>
      <c r="C65" t="s">
        <v>276</v>
      </c>
      <c r="D65">
        <v>51</v>
      </c>
      <c r="F65">
        <v>3</v>
      </c>
    </row>
    <row r="66" spans="1:11" x14ac:dyDescent="0.3">
      <c r="A66" t="s">
        <v>312</v>
      </c>
      <c r="B66" t="s">
        <v>279</v>
      </c>
      <c r="C66" t="s">
        <v>278</v>
      </c>
      <c r="D66">
        <v>64</v>
      </c>
      <c r="F66">
        <v>6</v>
      </c>
    </row>
    <row r="67" spans="1:11" x14ac:dyDescent="0.3">
      <c r="A67" t="s">
        <v>312</v>
      </c>
      <c r="B67" t="s">
        <v>292</v>
      </c>
      <c r="C67" t="s">
        <v>291</v>
      </c>
      <c r="D67">
        <v>23</v>
      </c>
    </row>
    <row r="68" spans="1:11" x14ac:dyDescent="0.3">
      <c r="A68" t="s">
        <v>312</v>
      </c>
      <c r="B68" t="s">
        <v>300</v>
      </c>
      <c r="C68" t="s">
        <v>299</v>
      </c>
      <c r="D68">
        <v>11</v>
      </c>
    </row>
    <row r="69" spans="1:11" x14ac:dyDescent="0.3">
      <c r="A69" t="s">
        <v>318</v>
      </c>
      <c r="B69" t="s">
        <v>289</v>
      </c>
      <c r="C69" t="s">
        <v>316</v>
      </c>
      <c r="D69">
        <v>115</v>
      </c>
      <c r="E69">
        <v>395.25</v>
      </c>
      <c r="F69">
        <v>2</v>
      </c>
      <c r="G69">
        <v>10.5</v>
      </c>
    </row>
    <row r="70" spans="1:11" x14ac:dyDescent="0.3">
      <c r="A70" t="s">
        <v>318</v>
      </c>
      <c r="B70" t="s">
        <v>307</v>
      </c>
      <c r="C70" t="s">
        <v>306</v>
      </c>
      <c r="D70">
        <v>74</v>
      </c>
      <c r="E70">
        <v>377.5</v>
      </c>
      <c r="F70">
        <v>6</v>
      </c>
      <c r="G70">
        <v>138.5</v>
      </c>
      <c r="H70">
        <v>1</v>
      </c>
      <c r="I70">
        <v>54.5</v>
      </c>
    </row>
    <row r="71" spans="1:11" x14ac:dyDescent="0.3">
      <c r="A71" t="s">
        <v>318</v>
      </c>
      <c r="B71" t="s">
        <v>309</v>
      </c>
      <c r="C71" t="s">
        <v>308</v>
      </c>
      <c r="D71">
        <v>28</v>
      </c>
      <c r="E71">
        <v>102.5</v>
      </c>
    </row>
    <row r="72" spans="1:11" x14ac:dyDescent="0.3">
      <c r="A72" t="s">
        <v>318</v>
      </c>
      <c r="B72" t="s">
        <v>311</v>
      </c>
      <c r="C72" t="s">
        <v>310</v>
      </c>
      <c r="D72">
        <v>86</v>
      </c>
      <c r="E72">
        <v>305.5</v>
      </c>
    </row>
    <row r="73" spans="1:11" x14ac:dyDescent="0.3">
      <c r="A73" t="s">
        <v>320</v>
      </c>
      <c r="B73" t="s">
        <v>224</v>
      </c>
      <c r="C73" t="s">
        <v>223</v>
      </c>
      <c r="D73">
        <v>124</v>
      </c>
      <c r="E73">
        <v>657</v>
      </c>
    </row>
    <row r="74" spans="1:11" x14ac:dyDescent="0.3">
      <c r="A74" t="s">
        <v>320</v>
      </c>
      <c r="B74" t="s">
        <v>228</v>
      </c>
      <c r="C74" t="s">
        <v>227</v>
      </c>
      <c r="D74">
        <v>173</v>
      </c>
      <c r="E74">
        <v>911.75</v>
      </c>
      <c r="F74">
        <v>16</v>
      </c>
      <c r="G74">
        <v>148.75</v>
      </c>
    </row>
    <row r="75" spans="1:11" x14ac:dyDescent="0.3">
      <c r="A75" t="s">
        <v>320</v>
      </c>
      <c r="B75" t="s">
        <v>244</v>
      </c>
      <c r="C75" t="s">
        <v>243</v>
      </c>
      <c r="D75">
        <v>140</v>
      </c>
      <c r="E75">
        <v>836.25</v>
      </c>
      <c r="F75">
        <v>1</v>
      </c>
      <c r="G75">
        <v>6.25</v>
      </c>
    </row>
    <row r="76" spans="1:11" x14ac:dyDescent="0.3">
      <c r="A76" t="s">
        <v>320</v>
      </c>
      <c r="B76" t="s">
        <v>277</v>
      </c>
      <c r="C76" t="s">
        <v>276</v>
      </c>
      <c r="D76">
        <v>43</v>
      </c>
      <c r="E76">
        <v>225.75</v>
      </c>
    </row>
    <row r="77" spans="1:11" x14ac:dyDescent="0.3">
      <c r="A77" t="s">
        <v>325</v>
      </c>
      <c r="B77" t="s">
        <v>234</v>
      </c>
      <c r="C77" t="s">
        <v>233</v>
      </c>
      <c r="D77">
        <v>536</v>
      </c>
      <c r="E77">
        <v>2521</v>
      </c>
      <c r="F77">
        <v>28</v>
      </c>
      <c r="G77">
        <v>135</v>
      </c>
      <c r="J77">
        <v>2</v>
      </c>
      <c r="K77">
        <v>8</v>
      </c>
    </row>
    <row r="78" spans="1:11" x14ac:dyDescent="0.3">
      <c r="A78" t="s">
        <v>325</v>
      </c>
      <c r="B78" t="s">
        <v>255</v>
      </c>
      <c r="C78" t="s">
        <v>254</v>
      </c>
      <c r="D78">
        <v>116</v>
      </c>
      <c r="E78">
        <v>695</v>
      </c>
      <c r="F78">
        <v>3</v>
      </c>
      <c r="G78">
        <v>32</v>
      </c>
    </row>
    <row r="79" spans="1:11" x14ac:dyDescent="0.3">
      <c r="A79" t="s">
        <v>325</v>
      </c>
      <c r="B79" t="s">
        <v>287</v>
      </c>
      <c r="C79" t="s">
        <v>286</v>
      </c>
      <c r="D79">
        <v>263</v>
      </c>
      <c r="E79">
        <v>2036.75</v>
      </c>
      <c r="F79">
        <v>8</v>
      </c>
      <c r="G79">
        <v>119.5</v>
      </c>
    </row>
    <row r="80" spans="1:11" x14ac:dyDescent="0.3">
      <c r="A80" t="s">
        <v>325</v>
      </c>
      <c r="B80" t="s">
        <v>311</v>
      </c>
      <c r="C80" t="s">
        <v>310</v>
      </c>
      <c r="D80">
        <v>109</v>
      </c>
      <c r="E80">
        <v>544</v>
      </c>
      <c r="F80">
        <v>2</v>
      </c>
      <c r="G80">
        <v>10</v>
      </c>
    </row>
    <row r="81" spans="1:11" x14ac:dyDescent="0.3">
      <c r="A81" t="s">
        <v>328</v>
      </c>
      <c r="B81" t="s">
        <v>253</v>
      </c>
      <c r="C81" t="s">
        <v>252</v>
      </c>
      <c r="D81">
        <v>71</v>
      </c>
      <c r="E81">
        <v>426.25</v>
      </c>
      <c r="F81">
        <v>4</v>
      </c>
      <c r="G81">
        <v>38.75</v>
      </c>
    </row>
    <row r="82" spans="1:11" x14ac:dyDescent="0.3">
      <c r="A82" t="s">
        <v>328</v>
      </c>
      <c r="B82" t="s">
        <v>311</v>
      </c>
      <c r="C82" t="s">
        <v>310</v>
      </c>
      <c r="D82">
        <v>240</v>
      </c>
      <c r="E82">
        <v>1183.5</v>
      </c>
    </row>
    <row r="83" spans="1:11" x14ac:dyDescent="0.3">
      <c r="A83" t="s">
        <v>412</v>
      </c>
      <c r="B83" t="s">
        <v>1205</v>
      </c>
      <c r="C83" t="s">
        <v>223</v>
      </c>
      <c r="D83">
        <v>96</v>
      </c>
      <c r="E83">
        <v>601.75</v>
      </c>
    </row>
    <row r="84" spans="1:11" x14ac:dyDescent="0.3">
      <c r="A84" t="s">
        <v>412</v>
      </c>
      <c r="B84" t="s">
        <v>1204</v>
      </c>
      <c r="C84" t="s">
        <v>227</v>
      </c>
      <c r="D84">
        <v>374</v>
      </c>
      <c r="E84">
        <v>2016.25</v>
      </c>
      <c r="F84">
        <v>37</v>
      </c>
      <c r="G84">
        <v>518.5</v>
      </c>
    </row>
    <row r="85" spans="1:11" x14ac:dyDescent="0.3">
      <c r="A85" t="s">
        <v>412</v>
      </c>
      <c r="B85" t="s">
        <v>277</v>
      </c>
      <c r="C85" t="s">
        <v>276</v>
      </c>
      <c r="D85">
        <v>72</v>
      </c>
      <c r="E85">
        <v>511</v>
      </c>
    </row>
    <row r="86" spans="1:11" x14ac:dyDescent="0.3">
      <c r="A86" t="s">
        <v>412</v>
      </c>
      <c r="B86" t="s">
        <v>287</v>
      </c>
      <c r="C86" t="s">
        <v>286</v>
      </c>
      <c r="D86">
        <v>144</v>
      </c>
      <c r="E86">
        <v>892.75</v>
      </c>
      <c r="F86">
        <v>4</v>
      </c>
      <c r="G86">
        <v>66.5</v>
      </c>
      <c r="J86">
        <v>1</v>
      </c>
      <c r="K86">
        <v>2.5</v>
      </c>
    </row>
    <row r="87" spans="1:11" x14ac:dyDescent="0.3">
      <c r="A87" t="s">
        <v>412</v>
      </c>
      <c r="B87" t="s">
        <v>294</v>
      </c>
      <c r="C87" t="s">
        <v>293</v>
      </c>
      <c r="D87">
        <v>243</v>
      </c>
      <c r="E87">
        <v>1186</v>
      </c>
      <c r="F87">
        <v>12</v>
      </c>
      <c r="G87">
        <v>171</v>
      </c>
    </row>
    <row r="88" spans="1:11" x14ac:dyDescent="0.3">
      <c r="A88" t="s">
        <v>412</v>
      </c>
      <c r="B88" t="s">
        <v>300</v>
      </c>
      <c r="C88" t="s">
        <v>299</v>
      </c>
      <c r="D88">
        <v>50</v>
      </c>
      <c r="E88">
        <v>254.75</v>
      </c>
      <c r="F88">
        <v>8</v>
      </c>
      <c r="G88">
        <v>119</v>
      </c>
    </row>
    <row r="89" spans="1:11" x14ac:dyDescent="0.3">
      <c r="A89" t="s">
        <v>365</v>
      </c>
      <c r="B89" t="s">
        <v>224</v>
      </c>
      <c r="C89" t="s">
        <v>223</v>
      </c>
      <c r="D89">
        <v>202</v>
      </c>
      <c r="E89">
        <v>853.5</v>
      </c>
      <c r="F89">
        <v>4</v>
      </c>
      <c r="G89">
        <v>21.75</v>
      </c>
    </row>
    <row r="90" spans="1:11" x14ac:dyDescent="0.3">
      <c r="A90" t="s">
        <v>365</v>
      </c>
      <c r="B90" t="s">
        <v>234</v>
      </c>
      <c r="C90" t="s">
        <v>233</v>
      </c>
      <c r="D90">
        <v>903</v>
      </c>
      <c r="E90">
        <v>3293.5</v>
      </c>
      <c r="F90">
        <v>53</v>
      </c>
      <c r="G90">
        <v>292</v>
      </c>
      <c r="H90">
        <v>1</v>
      </c>
      <c r="I90">
        <v>5.5</v>
      </c>
    </row>
    <row r="91" spans="1:11" x14ac:dyDescent="0.3">
      <c r="A91" t="s">
        <v>365</v>
      </c>
      <c r="B91" t="s">
        <v>244</v>
      </c>
      <c r="C91" t="s">
        <v>243</v>
      </c>
      <c r="D91">
        <v>177</v>
      </c>
      <c r="E91">
        <v>785.25</v>
      </c>
      <c r="F91">
        <v>36</v>
      </c>
      <c r="G91">
        <v>306.5</v>
      </c>
      <c r="J91">
        <v>1</v>
      </c>
      <c r="K91">
        <v>12.5</v>
      </c>
    </row>
    <row r="92" spans="1:11" x14ac:dyDescent="0.3">
      <c r="A92" t="s">
        <v>365</v>
      </c>
      <c r="B92" t="s">
        <v>270</v>
      </c>
      <c r="C92" t="s">
        <v>269</v>
      </c>
      <c r="D92">
        <v>1045</v>
      </c>
      <c r="E92">
        <v>5340</v>
      </c>
      <c r="F92">
        <v>77</v>
      </c>
      <c r="G92">
        <v>444</v>
      </c>
      <c r="J92">
        <v>1</v>
      </c>
      <c r="K92">
        <v>5.5</v>
      </c>
    </row>
    <row r="93" spans="1:11" x14ac:dyDescent="0.3">
      <c r="A93" t="s">
        <v>365</v>
      </c>
      <c r="B93" t="s">
        <v>289</v>
      </c>
      <c r="C93" t="s">
        <v>288</v>
      </c>
      <c r="D93">
        <v>298</v>
      </c>
      <c r="E93">
        <v>2166.75</v>
      </c>
      <c r="F93">
        <v>3</v>
      </c>
      <c r="G93">
        <v>23.75</v>
      </c>
    </row>
    <row r="94" spans="1:11" x14ac:dyDescent="0.3">
      <c r="A94" t="s">
        <v>365</v>
      </c>
      <c r="B94" t="s">
        <v>307</v>
      </c>
      <c r="C94" t="s">
        <v>306</v>
      </c>
      <c r="D94">
        <v>210</v>
      </c>
      <c r="E94">
        <v>875.75</v>
      </c>
      <c r="F94">
        <v>7</v>
      </c>
      <c r="G94">
        <v>49.25</v>
      </c>
    </row>
    <row r="95" spans="1:11" x14ac:dyDescent="0.3">
      <c r="A95" t="s">
        <v>366</v>
      </c>
      <c r="B95" t="s">
        <v>273</v>
      </c>
      <c r="C95" t="s">
        <v>272</v>
      </c>
      <c r="D95">
        <v>287</v>
      </c>
      <c r="E95">
        <v>1820.25</v>
      </c>
      <c r="F95">
        <v>49</v>
      </c>
      <c r="G95">
        <v>847.75</v>
      </c>
      <c r="H95">
        <v>10</v>
      </c>
      <c r="I95">
        <v>256.5</v>
      </c>
    </row>
    <row r="96" spans="1:11" x14ac:dyDescent="0.3">
      <c r="A96" t="s">
        <v>366</v>
      </c>
      <c r="B96" t="s">
        <v>277</v>
      </c>
      <c r="C96" t="s">
        <v>276</v>
      </c>
      <c r="D96">
        <v>62</v>
      </c>
      <c r="E96">
        <v>263.75</v>
      </c>
      <c r="F96">
        <v>1</v>
      </c>
      <c r="G96">
        <v>17.25</v>
      </c>
    </row>
    <row r="97" spans="1:11" x14ac:dyDescent="0.3">
      <c r="A97" t="s">
        <v>366</v>
      </c>
      <c r="B97" t="s">
        <v>304</v>
      </c>
      <c r="C97" t="s">
        <v>303</v>
      </c>
      <c r="D97">
        <v>243</v>
      </c>
      <c r="E97">
        <v>1871.5</v>
      </c>
      <c r="F97">
        <v>7</v>
      </c>
      <c r="G97">
        <v>246.25</v>
      </c>
      <c r="H97">
        <v>1</v>
      </c>
      <c r="I97">
        <v>90.5</v>
      </c>
    </row>
    <row r="98" spans="1:11" x14ac:dyDescent="0.3">
      <c r="A98" t="s">
        <v>366</v>
      </c>
      <c r="B98" t="s">
        <v>307</v>
      </c>
      <c r="C98" t="s">
        <v>306</v>
      </c>
      <c r="D98">
        <v>332</v>
      </c>
      <c r="E98">
        <v>1013.5</v>
      </c>
      <c r="F98">
        <v>8</v>
      </c>
      <c r="G98">
        <v>39</v>
      </c>
      <c r="H98">
        <v>1</v>
      </c>
      <c r="I98">
        <v>21.75</v>
      </c>
      <c r="J98">
        <v>1</v>
      </c>
      <c r="K98">
        <v>2.5</v>
      </c>
    </row>
    <row r="99" spans="1:11" x14ac:dyDescent="0.3">
      <c r="A99" t="s">
        <v>366</v>
      </c>
      <c r="B99" t="s">
        <v>309</v>
      </c>
      <c r="C99" t="s">
        <v>308</v>
      </c>
      <c r="D99">
        <v>212</v>
      </c>
      <c r="E99">
        <v>933.75</v>
      </c>
      <c r="F99">
        <v>8</v>
      </c>
      <c r="G99">
        <v>99.75</v>
      </c>
    </row>
    <row r="100" spans="1:11" x14ac:dyDescent="0.3">
      <c r="A100" t="s">
        <v>341</v>
      </c>
      <c r="B100" t="s">
        <v>249</v>
      </c>
      <c r="C100" t="s">
        <v>248</v>
      </c>
      <c r="D100">
        <v>152</v>
      </c>
      <c r="E100">
        <v>1162.5</v>
      </c>
      <c r="F100">
        <v>12</v>
      </c>
      <c r="G100">
        <v>126.25</v>
      </c>
      <c r="H100">
        <v>1</v>
      </c>
      <c r="I100">
        <v>12.75</v>
      </c>
    </row>
    <row r="101" spans="1:11" x14ac:dyDescent="0.3">
      <c r="A101" t="s">
        <v>341</v>
      </c>
      <c r="B101" t="s">
        <v>296</v>
      </c>
      <c r="C101" t="s">
        <v>295</v>
      </c>
      <c r="D101">
        <v>164</v>
      </c>
      <c r="E101">
        <v>1078.5</v>
      </c>
      <c r="F101">
        <v>5</v>
      </c>
      <c r="G101">
        <v>60</v>
      </c>
    </row>
    <row r="102" spans="1:11" x14ac:dyDescent="0.3">
      <c r="A102" t="s">
        <v>342</v>
      </c>
      <c r="B102" t="s">
        <v>215</v>
      </c>
      <c r="C102" t="s">
        <v>214</v>
      </c>
      <c r="D102">
        <v>294</v>
      </c>
      <c r="E102">
        <v>1570.5</v>
      </c>
      <c r="F102">
        <v>21</v>
      </c>
      <c r="G102">
        <v>212.25</v>
      </c>
      <c r="H102">
        <v>2</v>
      </c>
      <c r="I102">
        <v>57.5</v>
      </c>
      <c r="J102">
        <v>1</v>
      </c>
      <c r="K102">
        <v>3.5</v>
      </c>
    </row>
    <row r="103" spans="1:11" x14ac:dyDescent="0.3">
      <c r="A103" t="s">
        <v>342</v>
      </c>
      <c r="B103" t="s">
        <v>255</v>
      </c>
      <c r="C103" t="s">
        <v>254</v>
      </c>
      <c r="D103">
        <v>138</v>
      </c>
      <c r="E103">
        <v>536.5</v>
      </c>
      <c r="F103">
        <v>6</v>
      </c>
      <c r="G103">
        <v>35.75</v>
      </c>
    </row>
    <row r="104" spans="1:11" x14ac:dyDescent="0.3">
      <c r="A104" t="s">
        <v>342</v>
      </c>
      <c r="B104" t="s">
        <v>267</v>
      </c>
      <c r="C104" t="s">
        <v>1092</v>
      </c>
      <c r="D104">
        <v>450</v>
      </c>
      <c r="E104">
        <v>1686.5</v>
      </c>
      <c r="F104">
        <v>14</v>
      </c>
      <c r="G104">
        <v>150.5</v>
      </c>
      <c r="H104">
        <v>2</v>
      </c>
      <c r="I104">
        <v>38.75</v>
      </c>
      <c r="J104">
        <v>2</v>
      </c>
      <c r="K104">
        <v>19.5</v>
      </c>
    </row>
    <row r="105" spans="1:11" x14ac:dyDescent="0.3">
      <c r="A105" t="s">
        <v>213</v>
      </c>
      <c r="B105" t="s">
        <v>234</v>
      </c>
      <c r="C105" t="s">
        <v>233</v>
      </c>
      <c r="D105">
        <v>672</v>
      </c>
      <c r="E105">
        <v>2918.5</v>
      </c>
      <c r="F105">
        <v>42</v>
      </c>
      <c r="G105">
        <v>362.75</v>
      </c>
      <c r="H105">
        <v>5</v>
      </c>
      <c r="I105">
        <v>63.5</v>
      </c>
      <c r="J105">
        <v>4</v>
      </c>
      <c r="K105">
        <v>16</v>
      </c>
    </row>
    <row r="106" spans="1:11" x14ac:dyDescent="0.3">
      <c r="A106" t="s">
        <v>213</v>
      </c>
      <c r="B106" t="s">
        <v>244</v>
      </c>
      <c r="C106" t="s">
        <v>243</v>
      </c>
      <c r="D106">
        <v>420</v>
      </c>
      <c r="E106">
        <v>2070.25</v>
      </c>
      <c r="F106">
        <v>20</v>
      </c>
      <c r="G106">
        <v>205.5</v>
      </c>
      <c r="H106">
        <v>2</v>
      </c>
      <c r="I106">
        <v>17</v>
      </c>
    </row>
    <row r="107" spans="1:11" x14ac:dyDescent="0.3">
      <c r="A107" t="s">
        <v>213</v>
      </c>
      <c r="B107" t="s">
        <v>302</v>
      </c>
      <c r="C107" t="s">
        <v>301</v>
      </c>
      <c r="D107">
        <v>216</v>
      </c>
      <c r="E107">
        <v>1373.25</v>
      </c>
      <c r="F107">
        <v>13</v>
      </c>
      <c r="G107">
        <v>108</v>
      </c>
      <c r="H107">
        <v>3</v>
      </c>
      <c r="I107">
        <v>44.25</v>
      </c>
      <c r="J107">
        <v>1</v>
      </c>
    </row>
    <row r="108" spans="1:11" x14ac:dyDescent="0.3">
      <c r="A108" t="s">
        <v>312</v>
      </c>
      <c r="B108" t="s">
        <v>270</v>
      </c>
      <c r="C108" t="s">
        <v>269</v>
      </c>
      <c r="D108">
        <v>897</v>
      </c>
      <c r="F108">
        <v>142</v>
      </c>
      <c r="J108">
        <v>3</v>
      </c>
    </row>
    <row r="109" spans="1:11" x14ac:dyDescent="0.3">
      <c r="A109" t="s">
        <v>312</v>
      </c>
      <c r="B109" t="s">
        <v>273</v>
      </c>
      <c r="C109" t="s">
        <v>272</v>
      </c>
      <c r="D109">
        <v>462</v>
      </c>
      <c r="F109">
        <v>31</v>
      </c>
      <c r="J109">
        <v>3</v>
      </c>
    </row>
    <row r="110" spans="1:11" x14ac:dyDescent="0.3">
      <c r="A110" t="s">
        <v>312</v>
      </c>
      <c r="B110" t="s">
        <v>281</v>
      </c>
      <c r="C110" t="s">
        <v>280</v>
      </c>
      <c r="D110">
        <v>91</v>
      </c>
      <c r="F110">
        <v>9</v>
      </c>
      <c r="J110">
        <v>1</v>
      </c>
    </row>
    <row r="111" spans="1:11" x14ac:dyDescent="0.3">
      <c r="A111" t="s">
        <v>312</v>
      </c>
      <c r="B111" t="s">
        <v>309</v>
      </c>
      <c r="C111" t="s">
        <v>308</v>
      </c>
      <c r="D111">
        <v>125</v>
      </c>
      <c r="F111">
        <v>3</v>
      </c>
    </row>
    <row r="112" spans="1:11" x14ac:dyDescent="0.3">
      <c r="A112" t="s">
        <v>318</v>
      </c>
      <c r="B112" t="s">
        <v>263</v>
      </c>
      <c r="C112" t="s">
        <v>262</v>
      </c>
      <c r="D112">
        <v>62</v>
      </c>
      <c r="E112">
        <v>270.5</v>
      </c>
    </row>
    <row r="113" spans="1:11" x14ac:dyDescent="0.3">
      <c r="A113" t="s">
        <v>318</v>
      </c>
      <c r="B113" t="s">
        <v>283</v>
      </c>
      <c r="C113" t="s">
        <v>282</v>
      </c>
      <c r="D113">
        <v>11</v>
      </c>
      <c r="E113">
        <v>62.75</v>
      </c>
    </row>
    <row r="114" spans="1:11" x14ac:dyDescent="0.3">
      <c r="A114" t="s">
        <v>318</v>
      </c>
      <c r="B114" t="s">
        <v>287</v>
      </c>
      <c r="C114" t="s">
        <v>286</v>
      </c>
      <c r="D114">
        <v>89</v>
      </c>
      <c r="E114">
        <v>599.25</v>
      </c>
    </row>
    <row r="115" spans="1:11" x14ac:dyDescent="0.3">
      <c r="A115" t="s">
        <v>320</v>
      </c>
      <c r="B115" t="s">
        <v>1210</v>
      </c>
      <c r="C115" t="s">
        <v>254</v>
      </c>
      <c r="D115">
        <v>97</v>
      </c>
      <c r="E115">
        <v>604.5</v>
      </c>
      <c r="F115">
        <v>9</v>
      </c>
      <c r="G115">
        <v>188.25</v>
      </c>
      <c r="H115">
        <v>2</v>
      </c>
      <c r="I115">
        <v>70.75</v>
      </c>
    </row>
    <row r="116" spans="1:11" x14ac:dyDescent="0.3">
      <c r="A116" t="s">
        <v>320</v>
      </c>
      <c r="B116" t="s">
        <v>259</v>
      </c>
      <c r="C116" t="s">
        <v>258</v>
      </c>
      <c r="D116">
        <v>23</v>
      </c>
      <c r="E116">
        <v>152</v>
      </c>
    </row>
    <row r="117" spans="1:11" x14ac:dyDescent="0.3">
      <c r="A117" t="s">
        <v>320</v>
      </c>
      <c r="B117" t="s">
        <v>294</v>
      </c>
      <c r="C117" t="s">
        <v>293</v>
      </c>
      <c r="D117">
        <v>146</v>
      </c>
      <c r="E117">
        <v>838.5</v>
      </c>
    </row>
    <row r="118" spans="1:11" x14ac:dyDescent="0.3">
      <c r="A118" t="s">
        <v>320</v>
      </c>
      <c r="B118" t="s">
        <v>311</v>
      </c>
      <c r="C118" t="s">
        <v>310</v>
      </c>
      <c r="D118">
        <v>174</v>
      </c>
      <c r="E118">
        <v>634</v>
      </c>
      <c r="F118">
        <v>3</v>
      </c>
      <c r="G118">
        <v>14.75</v>
      </c>
    </row>
    <row r="119" spans="1:11" x14ac:dyDescent="0.3">
      <c r="A119" t="s">
        <v>325</v>
      </c>
      <c r="B119" t="s">
        <v>302</v>
      </c>
      <c r="C119" t="s">
        <v>301</v>
      </c>
      <c r="D119">
        <v>223</v>
      </c>
      <c r="E119">
        <v>1582.75</v>
      </c>
      <c r="F119">
        <v>17</v>
      </c>
      <c r="G119">
        <v>265.5</v>
      </c>
      <c r="H119">
        <v>2</v>
      </c>
      <c r="I119">
        <v>98.25</v>
      </c>
      <c r="J119">
        <v>1</v>
      </c>
      <c r="K119">
        <v>15.5</v>
      </c>
    </row>
    <row r="120" spans="1:11" x14ac:dyDescent="0.3">
      <c r="A120" t="s">
        <v>325</v>
      </c>
      <c r="B120" t="s">
        <v>307</v>
      </c>
      <c r="C120" t="s">
        <v>306</v>
      </c>
      <c r="D120">
        <v>109</v>
      </c>
      <c r="E120">
        <v>503</v>
      </c>
      <c r="F120">
        <v>1</v>
      </c>
      <c r="G120">
        <v>44.5</v>
      </c>
    </row>
    <row r="121" spans="1:11" x14ac:dyDescent="0.3">
      <c r="A121" t="s">
        <v>326</v>
      </c>
      <c r="D121">
        <v>134</v>
      </c>
      <c r="E121">
        <v>655.25</v>
      </c>
    </row>
    <row r="122" spans="1:11" x14ac:dyDescent="0.3">
      <c r="A122" t="s">
        <v>326</v>
      </c>
      <c r="B122" t="s">
        <v>247</v>
      </c>
      <c r="C122" t="s">
        <v>246</v>
      </c>
      <c r="D122">
        <v>320</v>
      </c>
      <c r="E122">
        <v>1517</v>
      </c>
      <c r="F122">
        <v>8</v>
      </c>
      <c r="G122">
        <v>49.5</v>
      </c>
    </row>
    <row r="123" spans="1:11" x14ac:dyDescent="0.3">
      <c r="A123" t="s">
        <v>326</v>
      </c>
      <c r="B123" t="s">
        <v>249</v>
      </c>
      <c r="C123" t="s">
        <v>248</v>
      </c>
      <c r="D123">
        <v>173</v>
      </c>
      <c r="E123">
        <v>738.5</v>
      </c>
      <c r="F123">
        <v>10</v>
      </c>
      <c r="G123">
        <v>84</v>
      </c>
      <c r="J123">
        <v>1</v>
      </c>
      <c r="K123">
        <v>57.25</v>
      </c>
    </row>
    <row r="124" spans="1:11" x14ac:dyDescent="0.3">
      <c r="A124" t="s">
        <v>326</v>
      </c>
      <c r="B124" t="s">
        <v>267</v>
      </c>
      <c r="C124" t="s">
        <v>1092</v>
      </c>
      <c r="D124">
        <v>365</v>
      </c>
      <c r="E124">
        <v>2189</v>
      </c>
      <c r="F124">
        <v>11</v>
      </c>
      <c r="G124">
        <v>118.5</v>
      </c>
      <c r="J124">
        <v>1</v>
      </c>
      <c r="K124">
        <v>4</v>
      </c>
    </row>
    <row r="125" spans="1:11" x14ac:dyDescent="0.3">
      <c r="A125" t="s">
        <v>326</v>
      </c>
      <c r="B125" t="s">
        <v>311</v>
      </c>
      <c r="C125" t="s">
        <v>310</v>
      </c>
      <c r="D125">
        <v>195</v>
      </c>
      <c r="E125">
        <v>974.5</v>
      </c>
    </row>
    <row r="126" spans="1:11" x14ac:dyDescent="0.3">
      <c r="A126" t="s">
        <v>328</v>
      </c>
      <c r="B126" t="s">
        <v>1210</v>
      </c>
      <c r="C126" t="s">
        <v>254</v>
      </c>
      <c r="D126">
        <v>122</v>
      </c>
      <c r="E126">
        <v>650.25</v>
      </c>
      <c r="F126">
        <v>1</v>
      </c>
      <c r="G126">
        <v>5.75</v>
      </c>
    </row>
    <row r="127" spans="1:11" x14ac:dyDescent="0.3">
      <c r="A127" t="s">
        <v>328</v>
      </c>
      <c r="B127" t="s">
        <v>309</v>
      </c>
      <c r="C127" t="s">
        <v>308</v>
      </c>
      <c r="D127">
        <v>94</v>
      </c>
      <c r="E127">
        <v>563.75</v>
      </c>
      <c r="F127">
        <v>4</v>
      </c>
      <c r="G127">
        <v>25.5</v>
      </c>
    </row>
    <row r="128" spans="1:11" x14ac:dyDescent="0.3">
      <c r="A128" t="s">
        <v>412</v>
      </c>
      <c r="B128" t="s">
        <v>247</v>
      </c>
      <c r="C128" t="s">
        <v>246</v>
      </c>
      <c r="D128">
        <v>322</v>
      </c>
      <c r="E128">
        <v>1368.5</v>
      </c>
    </row>
    <row r="129" spans="1:11" x14ac:dyDescent="0.3">
      <c r="A129" t="s">
        <v>412</v>
      </c>
      <c r="B129" t="s">
        <v>255</v>
      </c>
      <c r="C129" t="s">
        <v>254</v>
      </c>
      <c r="D129">
        <v>130</v>
      </c>
      <c r="E129">
        <v>759.5</v>
      </c>
      <c r="F129">
        <v>3</v>
      </c>
      <c r="G129">
        <v>20.75</v>
      </c>
    </row>
    <row r="130" spans="1:11" x14ac:dyDescent="0.3">
      <c r="A130" t="s">
        <v>412</v>
      </c>
      <c r="B130" t="s">
        <v>267</v>
      </c>
      <c r="C130" t="s">
        <v>1092</v>
      </c>
      <c r="D130">
        <v>361</v>
      </c>
      <c r="E130">
        <v>2371.5</v>
      </c>
      <c r="F130">
        <v>6</v>
      </c>
      <c r="G130">
        <v>69.25</v>
      </c>
      <c r="J130">
        <v>1</v>
      </c>
      <c r="K130">
        <v>7</v>
      </c>
    </row>
    <row r="131" spans="1:11" x14ac:dyDescent="0.3">
      <c r="A131" t="s">
        <v>412</v>
      </c>
      <c r="B131" t="s">
        <v>311</v>
      </c>
      <c r="C131" t="s">
        <v>310</v>
      </c>
      <c r="D131">
        <v>202</v>
      </c>
      <c r="E131">
        <v>1016.25</v>
      </c>
      <c r="F131">
        <v>2</v>
      </c>
      <c r="G131">
        <v>16.5</v>
      </c>
      <c r="J131">
        <v>1</v>
      </c>
      <c r="K131">
        <v>10.5</v>
      </c>
    </row>
    <row r="132" spans="1:11" x14ac:dyDescent="0.3">
      <c r="A132" t="s">
        <v>365</v>
      </c>
      <c r="B132" t="s">
        <v>220</v>
      </c>
      <c r="C132" t="s">
        <v>219</v>
      </c>
      <c r="D132">
        <v>252</v>
      </c>
      <c r="E132">
        <v>1725.5</v>
      </c>
      <c r="F132">
        <v>15</v>
      </c>
      <c r="G132">
        <v>162</v>
      </c>
      <c r="H132">
        <v>1</v>
      </c>
      <c r="I132">
        <v>38</v>
      </c>
      <c r="J132">
        <v>1</v>
      </c>
      <c r="K132">
        <v>7.5</v>
      </c>
    </row>
    <row r="133" spans="1:11" x14ac:dyDescent="0.3">
      <c r="A133" t="s">
        <v>366</v>
      </c>
      <c r="B133" t="s">
        <v>228</v>
      </c>
      <c r="C133" t="s">
        <v>227</v>
      </c>
      <c r="D133">
        <v>328</v>
      </c>
      <c r="E133">
        <v>2625.5</v>
      </c>
      <c r="F133">
        <v>13</v>
      </c>
      <c r="G133">
        <v>134</v>
      </c>
      <c r="H133">
        <v>3</v>
      </c>
      <c r="I133">
        <v>51.25</v>
      </c>
    </row>
    <row r="134" spans="1:11" x14ac:dyDescent="0.3">
      <c r="A134" t="s">
        <v>366</v>
      </c>
      <c r="B134" t="s">
        <v>234</v>
      </c>
      <c r="C134" t="s">
        <v>233</v>
      </c>
      <c r="D134">
        <v>790</v>
      </c>
      <c r="E134">
        <v>2779.75</v>
      </c>
      <c r="F134">
        <v>67</v>
      </c>
      <c r="G134">
        <v>415</v>
      </c>
      <c r="H134">
        <v>1</v>
      </c>
      <c r="I134">
        <v>32</v>
      </c>
    </row>
    <row r="135" spans="1:11" x14ac:dyDescent="0.3">
      <c r="A135" t="s">
        <v>366</v>
      </c>
      <c r="B135" t="s">
        <v>267</v>
      </c>
      <c r="C135" t="s">
        <v>1092</v>
      </c>
      <c r="D135">
        <v>600</v>
      </c>
      <c r="E135">
        <v>2456.75</v>
      </c>
      <c r="F135">
        <v>18</v>
      </c>
      <c r="G135">
        <v>153.75</v>
      </c>
      <c r="H135">
        <v>1</v>
      </c>
      <c r="I135">
        <v>24.75</v>
      </c>
    </row>
    <row r="136" spans="1:11" x14ac:dyDescent="0.3">
      <c r="A136" t="s">
        <v>366</v>
      </c>
      <c r="B136" t="s">
        <v>289</v>
      </c>
      <c r="C136" t="s">
        <v>288</v>
      </c>
      <c r="D136">
        <v>539</v>
      </c>
      <c r="E136">
        <v>3321.5</v>
      </c>
      <c r="F136">
        <v>15</v>
      </c>
      <c r="G136">
        <v>152.25</v>
      </c>
    </row>
    <row r="137" spans="1:11" x14ac:dyDescent="0.3">
      <c r="A137" t="s">
        <v>366</v>
      </c>
      <c r="B137" t="s">
        <v>294</v>
      </c>
      <c r="C137" t="s">
        <v>293</v>
      </c>
      <c r="D137">
        <v>269</v>
      </c>
      <c r="E137">
        <v>1484.5</v>
      </c>
      <c r="F137">
        <v>1</v>
      </c>
      <c r="G137">
        <v>12</v>
      </c>
    </row>
    <row r="138" spans="1:11" x14ac:dyDescent="0.3">
      <c r="A138" t="s">
        <v>366</v>
      </c>
      <c r="B138" t="s">
        <v>311</v>
      </c>
      <c r="C138" t="s">
        <v>310</v>
      </c>
      <c r="D138">
        <v>161</v>
      </c>
      <c r="E138">
        <v>715.25</v>
      </c>
      <c r="F138">
        <v>15</v>
      </c>
      <c r="G138">
        <v>129.25</v>
      </c>
    </row>
    <row r="139" spans="1:11" x14ac:dyDescent="0.3">
      <c r="A139" t="s">
        <v>341</v>
      </c>
      <c r="B139" t="s">
        <v>244</v>
      </c>
      <c r="C139" t="s">
        <v>243</v>
      </c>
      <c r="D139">
        <v>307</v>
      </c>
      <c r="E139">
        <v>1238</v>
      </c>
      <c r="F139">
        <v>56</v>
      </c>
      <c r="G139">
        <v>490.5</v>
      </c>
      <c r="J139">
        <v>1</v>
      </c>
      <c r="K139">
        <v>10.5</v>
      </c>
    </row>
    <row r="140" spans="1:11" x14ac:dyDescent="0.3">
      <c r="A140" t="s">
        <v>341</v>
      </c>
      <c r="B140" t="s">
        <v>263</v>
      </c>
      <c r="C140" t="s">
        <v>262</v>
      </c>
      <c r="D140">
        <v>152</v>
      </c>
      <c r="E140">
        <v>799.75</v>
      </c>
      <c r="F140">
        <v>8</v>
      </c>
      <c r="G140">
        <v>89.25</v>
      </c>
    </row>
    <row r="141" spans="1:11" x14ac:dyDescent="0.3">
      <c r="A141" t="s">
        <v>341</v>
      </c>
      <c r="B141" t="s">
        <v>273</v>
      </c>
      <c r="C141" t="s">
        <v>272</v>
      </c>
      <c r="D141">
        <v>241</v>
      </c>
      <c r="E141">
        <v>1483.75</v>
      </c>
      <c r="F141">
        <v>27</v>
      </c>
      <c r="G141">
        <v>284.75</v>
      </c>
      <c r="H141">
        <v>1</v>
      </c>
      <c r="I141">
        <v>9.5</v>
      </c>
      <c r="J141">
        <v>1</v>
      </c>
      <c r="K141">
        <v>6.5</v>
      </c>
    </row>
    <row r="142" spans="1:11" x14ac:dyDescent="0.3">
      <c r="A142" t="s">
        <v>341</v>
      </c>
      <c r="B142" t="s">
        <v>289</v>
      </c>
      <c r="C142" t="s">
        <v>288</v>
      </c>
      <c r="D142">
        <v>485</v>
      </c>
      <c r="E142">
        <v>2741.25</v>
      </c>
      <c r="F142">
        <v>11</v>
      </c>
      <c r="G142">
        <v>112</v>
      </c>
    </row>
    <row r="143" spans="1:11" x14ac:dyDescent="0.3">
      <c r="A143" t="s">
        <v>342</v>
      </c>
      <c r="B143" t="s">
        <v>234</v>
      </c>
      <c r="C143" t="s">
        <v>233</v>
      </c>
      <c r="D143">
        <v>707</v>
      </c>
      <c r="E143">
        <v>2618.75</v>
      </c>
      <c r="F143">
        <v>37</v>
      </c>
      <c r="G143">
        <v>234.5</v>
      </c>
      <c r="J143">
        <v>4</v>
      </c>
      <c r="K143">
        <v>10</v>
      </c>
    </row>
    <row r="144" spans="1:11" x14ac:dyDescent="0.3">
      <c r="A144" t="s">
        <v>342</v>
      </c>
      <c r="B144" t="s">
        <v>240</v>
      </c>
      <c r="C144" t="s">
        <v>239</v>
      </c>
      <c r="D144">
        <v>56</v>
      </c>
      <c r="E144">
        <v>253.5</v>
      </c>
      <c r="F144">
        <v>8</v>
      </c>
      <c r="G144">
        <v>36.75</v>
      </c>
      <c r="J144">
        <v>1</v>
      </c>
      <c r="K144">
        <v>10.25</v>
      </c>
    </row>
    <row r="145" spans="1:11" x14ac:dyDescent="0.3">
      <c r="A145" t="s">
        <v>342</v>
      </c>
      <c r="B145" t="s">
        <v>302</v>
      </c>
      <c r="C145" t="s">
        <v>301</v>
      </c>
      <c r="D145">
        <v>310</v>
      </c>
      <c r="E145">
        <v>1986.75</v>
      </c>
      <c r="F145">
        <v>9</v>
      </c>
      <c r="G145">
        <v>68.75</v>
      </c>
    </row>
    <row r="146" spans="1:11" x14ac:dyDescent="0.3">
      <c r="A146" t="s">
        <v>342</v>
      </c>
      <c r="B146" t="s">
        <v>311</v>
      </c>
      <c r="C146" t="s">
        <v>310</v>
      </c>
      <c r="D146">
        <v>157</v>
      </c>
      <c r="E146">
        <v>667.75</v>
      </c>
      <c r="F146">
        <v>7</v>
      </c>
      <c r="G146">
        <v>40.5</v>
      </c>
    </row>
    <row r="147" spans="1:11" x14ac:dyDescent="0.3">
      <c r="A147" t="s">
        <v>213</v>
      </c>
      <c r="B147" t="s">
        <v>224</v>
      </c>
      <c r="C147" t="s">
        <v>223</v>
      </c>
      <c r="D147">
        <v>115</v>
      </c>
      <c r="E147">
        <v>476.75</v>
      </c>
      <c r="F147">
        <v>11</v>
      </c>
      <c r="G147">
        <v>49.5</v>
      </c>
      <c r="H147">
        <v>1</v>
      </c>
      <c r="I147">
        <v>6</v>
      </c>
    </row>
    <row r="148" spans="1:11" x14ac:dyDescent="0.3">
      <c r="A148" t="s">
        <v>213</v>
      </c>
      <c r="B148" t="s">
        <v>253</v>
      </c>
      <c r="C148" t="s">
        <v>252</v>
      </c>
      <c r="D148">
        <v>82</v>
      </c>
      <c r="E148">
        <v>447.75</v>
      </c>
      <c r="F148">
        <v>2</v>
      </c>
      <c r="G148">
        <v>30</v>
      </c>
    </row>
    <row r="149" spans="1:11" x14ac:dyDescent="0.3">
      <c r="A149" t="s">
        <v>213</v>
      </c>
      <c r="B149" t="s">
        <v>267</v>
      </c>
      <c r="C149" t="s">
        <v>1092</v>
      </c>
      <c r="D149">
        <v>644</v>
      </c>
      <c r="E149">
        <v>2085.75</v>
      </c>
      <c r="F149">
        <v>13</v>
      </c>
      <c r="G149">
        <v>127</v>
      </c>
      <c r="H149">
        <v>2</v>
      </c>
      <c r="I149">
        <v>52</v>
      </c>
    </row>
    <row r="150" spans="1:11" x14ac:dyDescent="0.3">
      <c r="A150" t="s">
        <v>213</v>
      </c>
      <c r="B150" t="s">
        <v>304</v>
      </c>
      <c r="C150" t="s">
        <v>303</v>
      </c>
      <c r="D150">
        <v>242</v>
      </c>
      <c r="E150">
        <v>1512.25</v>
      </c>
      <c r="F150">
        <v>10</v>
      </c>
      <c r="G150">
        <v>273</v>
      </c>
      <c r="H150">
        <v>1</v>
      </c>
      <c r="I150">
        <v>102.75</v>
      </c>
    </row>
    <row r="151" spans="1:11" x14ac:dyDescent="0.3">
      <c r="A151" t="s">
        <v>312</v>
      </c>
      <c r="B151" t="s">
        <v>224</v>
      </c>
      <c r="C151" t="s">
        <v>223</v>
      </c>
      <c r="D151">
        <v>123</v>
      </c>
    </row>
    <row r="152" spans="1:11" x14ac:dyDescent="0.3">
      <c r="A152" t="s">
        <v>312</v>
      </c>
      <c r="B152" t="s">
        <v>240</v>
      </c>
      <c r="C152" t="s">
        <v>239</v>
      </c>
      <c r="D152">
        <v>49</v>
      </c>
    </row>
    <row r="153" spans="1:11" x14ac:dyDescent="0.3">
      <c r="A153" t="s">
        <v>312</v>
      </c>
      <c r="B153" t="s">
        <v>289</v>
      </c>
      <c r="C153" t="s">
        <v>288</v>
      </c>
      <c r="D153">
        <v>299</v>
      </c>
      <c r="F153">
        <v>7</v>
      </c>
    </row>
    <row r="154" spans="1:11" x14ac:dyDescent="0.3">
      <c r="A154" t="s">
        <v>312</v>
      </c>
      <c r="B154" t="s">
        <v>294</v>
      </c>
      <c r="C154" t="s">
        <v>293</v>
      </c>
      <c r="D154">
        <v>247</v>
      </c>
      <c r="F154">
        <v>1</v>
      </c>
    </row>
    <row r="155" spans="1:11" x14ac:dyDescent="0.3">
      <c r="A155" t="s">
        <v>318</v>
      </c>
      <c r="B155" t="s">
        <v>234</v>
      </c>
      <c r="C155" t="s">
        <v>233</v>
      </c>
      <c r="D155">
        <v>354</v>
      </c>
      <c r="E155">
        <v>1313.75</v>
      </c>
      <c r="F155">
        <v>10</v>
      </c>
      <c r="G155">
        <v>192.75</v>
      </c>
    </row>
    <row r="156" spans="1:11" x14ac:dyDescent="0.3">
      <c r="A156" t="s">
        <v>318</v>
      </c>
      <c r="B156" t="s">
        <v>259</v>
      </c>
      <c r="C156" t="s">
        <v>258</v>
      </c>
      <c r="D156">
        <v>20</v>
      </c>
      <c r="E156">
        <v>121.5</v>
      </c>
      <c r="F156">
        <v>1</v>
      </c>
      <c r="G156">
        <v>11</v>
      </c>
    </row>
    <row r="157" spans="1:11" x14ac:dyDescent="0.3">
      <c r="A157" t="s">
        <v>318</v>
      </c>
      <c r="B157" t="s">
        <v>270</v>
      </c>
      <c r="C157" t="s">
        <v>314</v>
      </c>
      <c r="D157">
        <v>456</v>
      </c>
      <c r="E157">
        <v>1818</v>
      </c>
      <c r="F157">
        <v>23</v>
      </c>
      <c r="G157">
        <v>113.75</v>
      </c>
    </row>
    <row r="158" spans="1:11" x14ac:dyDescent="0.3">
      <c r="A158" t="s">
        <v>320</v>
      </c>
      <c r="B158" t="s">
        <v>273</v>
      </c>
      <c r="C158" t="s">
        <v>272</v>
      </c>
      <c r="D158">
        <v>182</v>
      </c>
      <c r="E158">
        <v>1196.25</v>
      </c>
      <c r="F158">
        <v>25</v>
      </c>
      <c r="G158">
        <v>340.25</v>
      </c>
      <c r="J158">
        <v>1</v>
      </c>
      <c r="K158">
        <v>3</v>
      </c>
    </row>
    <row r="159" spans="1:11" x14ac:dyDescent="0.3">
      <c r="A159" t="s">
        <v>325</v>
      </c>
      <c r="B159" t="s">
        <v>220</v>
      </c>
      <c r="C159" t="s">
        <v>219</v>
      </c>
      <c r="D159">
        <v>421</v>
      </c>
      <c r="E159">
        <v>3511</v>
      </c>
      <c r="F159">
        <v>8</v>
      </c>
      <c r="G159">
        <v>130.75</v>
      </c>
    </row>
    <row r="160" spans="1:11" x14ac:dyDescent="0.3">
      <c r="A160" t="s">
        <v>325</v>
      </c>
      <c r="B160" t="s">
        <v>267</v>
      </c>
      <c r="C160" t="s">
        <v>1092</v>
      </c>
      <c r="D160">
        <v>311</v>
      </c>
      <c r="E160">
        <v>1554.25</v>
      </c>
      <c r="F160">
        <v>2</v>
      </c>
      <c r="G160">
        <v>22</v>
      </c>
    </row>
    <row r="161" spans="1:11" x14ac:dyDescent="0.3">
      <c r="A161" t="s">
        <v>325</v>
      </c>
      <c r="B161" t="s">
        <v>298</v>
      </c>
      <c r="C161" t="s">
        <v>297</v>
      </c>
      <c r="D161">
        <v>146</v>
      </c>
      <c r="E161">
        <v>914</v>
      </c>
      <c r="F161">
        <v>3</v>
      </c>
      <c r="G161">
        <v>35</v>
      </c>
    </row>
    <row r="162" spans="1:11" x14ac:dyDescent="0.3">
      <c r="A162" t="s">
        <v>326</v>
      </c>
      <c r="B162" t="s">
        <v>1203</v>
      </c>
      <c r="C162" t="s">
        <v>219</v>
      </c>
      <c r="D162">
        <v>323</v>
      </c>
      <c r="E162">
        <v>2267</v>
      </c>
      <c r="F162">
        <v>10</v>
      </c>
      <c r="G162">
        <v>183</v>
      </c>
    </row>
    <row r="163" spans="1:11" x14ac:dyDescent="0.3">
      <c r="A163" t="s">
        <v>326</v>
      </c>
      <c r="B163" t="s">
        <v>224</v>
      </c>
      <c r="C163" t="s">
        <v>223</v>
      </c>
      <c r="D163">
        <v>101</v>
      </c>
      <c r="E163">
        <v>520.5</v>
      </c>
      <c r="F163">
        <v>2</v>
      </c>
      <c r="G163">
        <v>23.75</v>
      </c>
    </row>
    <row r="164" spans="1:11" x14ac:dyDescent="0.3">
      <c r="A164" t="s">
        <v>326</v>
      </c>
      <c r="B164" t="s">
        <v>253</v>
      </c>
      <c r="C164" t="s">
        <v>252</v>
      </c>
      <c r="D164">
        <v>56</v>
      </c>
      <c r="E164">
        <v>313.75</v>
      </c>
      <c r="F164">
        <v>7</v>
      </c>
      <c r="G164">
        <v>49.5</v>
      </c>
    </row>
    <row r="165" spans="1:11" x14ac:dyDescent="0.3">
      <c r="A165" t="s">
        <v>326</v>
      </c>
      <c r="B165" t="s">
        <v>270</v>
      </c>
      <c r="C165" t="s">
        <v>269</v>
      </c>
      <c r="D165">
        <v>879</v>
      </c>
      <c r="E165">
        <v>4383.5</v>
      </c>
      <c r="F165">
        <v>35</v>
      </c>
      <c r="G165">
        <v>318.5</v>
      </c>
      <c r="H165">
        <v>1</v>
      </c>
      <c r="I165">
        <v>25</v>
      </c>
      <c r="J165">
        <v>1</v>
      </c>
    </row>
    <row r="166" spans="1:11" x14ac:dyDescent="0.3">
      <c r="A166" t="s">
        <v>326</v>
      </c>
      <c r="B166" t="s">
        <v>294</v>
      </c>
      <c r="C166" t="s">
        <v>293</v>
      </c>
      <c r="D166">
        <v>217</v>
      </c>
      <c r="E166">
        <v>1122</v>
      </c>
      <c r="F166">
        <v>3</v>
      </c>
      <c r="G166">
        <v>20.5</v>
      </c>
    </row>
    <row r="167" spans="1:11" x14ac:dyDescent="0.3">
      <c r="A167" t="s">
        <v>326</v>
      </c>
      <c r="B167" t="s">
        <v>300</v>
      </c>
      <c r="C167" t="s">
        <v>299</v>
      </c>
      <c r="D167">
        <v>64</v>
      </c>
      <c r="E167">
        <v>426.25</v>
      </c>
      <c r="F167">
        <v>7</v>
      </c>
      <c r="G167">
        <v>73.5</v>
      </c>
    </row>
    <row r="168" spans="1:11" x14ac:dyDescent="0.3">
      <c r="A168" t="s">
        <v>328</v>
      </c>
      <c r="B168" t="s">
        <v>244</v>
      </c>
      <c r="C168" t="s">
        <v>243</v>
      </c>
      <c r="D168">
        <v>572</v>
      </c>
      <c r="E168">
        <v>3808.25</v>
      </c>
      <c r="F168">
        <v>10</v>
      </c>
      <c r="G168">
        <v>84</v>
      </c>
    </row>
    <row r="169" spans="1:11" x14ac:dyDescent="0.3">
      <c r="A169" t="s">
        <v>328</v>
      </c>
      <c r="B169" t="s">
        <v>279</v>
      </c>
      <c r="C169" t="s">
        <v>278</v>
      </c>
      <c r="D169">
        <v>147</v>
      </c>
      <c r="E169">
        <v>852.25</v>
      </c>
      <c r="F169">
        <v>6</v>
      </c>
      <c r="G169">
        <v>36</v>
      </c>
    </row>
    <row r="170" spans="1:11" x14ac:dyDescent="0.3">
      <c r="A170" t="s">
        <v>328</v>
      </c>
      <c r="B170" t="s">
        <v>287</v>
      </c>
      <c r="C170" t="s">
        <v>286</v>
      </c>
      <c r="D170">
        <v>159</v>
      </c>
      <c r="E170">
        <v>988.75</v>
      </c>
      <c r="F170">
        <v>10</v>
      </c>
      <c r="G170">
        <v>237.5</v>
      </c>
    </row>
    <row r="171" spans="1:11" x14ac:dyDescent="0.3">
      <c r="A171" t="s">
        <v>328</v>
      </c>
      <c r="B171" t="s">
        <v>294</v>
      </c>
      <c r="C171" t="s">
        <v>293</v>
      </c>
      <c r="D171">
        <v>187</v>
      </c>
      <c r="E171">
        <v>1193.5</v>
      </c>
      <c r="F171">
        <v>6</v>
      </c>
      <c r="G171">
        <v>70</v>
      </c>
    </row>
    <row r="172" spans="1:11" x14ac:dyDescent="0.3">
      <c r="A172" t="s">
        <v>412</v>
      </c>
      <c r="B172" t="s">
        <v>249</v>
      </c>
      <c r="C172" t="s">
        <v>248</v>
      </c>
      <c r="D172">
        <v>152</v>
      </c>
      <c r="E172">
        <v>651.25</v>
      </c>
      <c r="F172">
        <v>6</v>
      </c>
      <c r="G172">
        <v>45</v>
      </c>
      <c r="J172">
        <v>1</v>
      </c>
      <c r="K172">
        <v>18.75</v>
      </c>
    </row>
    <row r="173" spans="1:11" x14ac:dyDescent="0.3">
      <c r="A173" t="s">
        <v>412</v>
      </c>
      <c r="B173" t="s">
        <v>259</v>
      </c>
      <c r="C173" t="s">
        <v>258</v>
      </c>
      <c r="D173">
        <v>47</v>
      </c>
      <c r="E173">
        <v>301.75</v>
      </c>
    </row>
    <row r="174" spans="1:11" x14ac:dyDescent="0.3">
      <c r="A174" t="s">
        <v>412</v>
      </c>
      <c r="B174" t="s">
        <v>273</v>
      </c>
      <c r="C174" t="s">
        <v>272</v>
      </c>
      <c r="D174">
        <v>398</v>
      </c>
      <c r="E174">
        <v>3116.25</v>
      </c>
      <c r="F174">
        <v>21</v>
      </c>
      <c r="G174">
        <v>472.5</v>
      </c>
      <c r="J174">
        <v>1</v>
      </c>
      <c r="K174">
        <v>9.75</v>
      </c>
    </row>
    <row r="175" spans="1:11" x14ac:dyDescent="0.3">
      <c r="A175" t="s">
        <v>412</v>
      </c>
      <c r="B175" t="s">
        <v>281</v>
      </c>
      <c r="C175" t="s">
        <v>280</v>
      </c>
      <c r="D175">
        <v>54</v>
      </c>
      <c r="E175">
        <v>419.75</v>
      </c>
      <c r="F175">
        <v>1</v>
      </c>
      <c r="G175">
        <v>18</v>
      </c>
    </row>
    <row r="176" spans="1:11" x14ac:dyDescent="0.3">
      <c r="A176" t="s">
        <v>412</v>
      </c>
      <c r="B176" t="s">
        <v>292</v>
      </c>
      <c r="C176" t="s">
        <v>291</v>
      </c>
      <c r="D176">
        <v>33</v>
      </c>
      <c r="E176">
        <v>171.25</v>
      </c>
      <c r="F176">
        <v>2</v>
      </c>
      <c r="G176">
        <v>85.25</v>
      </c>
      <c r="H176">
        <v>1</v>
      </c>
      <c r="I176">
        <v>35.5</v>
      </c>
      <c r="J176">
        <v>1</v>
      </c>
      <c r="K176">
        <v>14.5</v>
      </c>
    </row>
    <row r="177" spans="1:11" x14ac:dyDescent="0.3">
      <c r="A177" t="s">
        <v>365</v>
      </c>
      <c r="B177" t="s">
        <v>228</v>
      </c>
      <c r="C177" t="s">
        <v>227</v>
      </c>
      <c r="D177">
        <v>250</v>
      </c>
      <c r="E177">
        <v>1985.5</v>
      </c>
      <c r="F177">
        <v>3</v>
      </c>
      <c r="G177">
        <v>38.5</v>
      </c>
    </row>
    <row r="178" spans="1:11" x14ac:dyDescent="0.3">
      <c r="A178" t="s">
        <v>365</v>
      </c>
      <c r="B178" t="s">
        <v>311</v>
      </c>
      <c r="C178" t="s">
        <v>310</v>
      </c>
      <c r="D178">
        <v>221</v>
      </c>
      <c r="E178">
        <v>867.25</v>
      </c>
      <c r="F178">
        <v>17</v>
      </c>
      <c r="G178">
        <v>91.25</v>
      </c>
    </row>
    <row r="179" spans="1:11" x14ac:dyDescent="0.3">
      <c r="A179" t="s">
        <v>366</v>
      </c>
      <c r="B179" t="s">
        <v>247</v>
      </c>
      <c r="C179" t="s">
        <v>246</v>
      </c>
      <c r="D179">
        <v>588</v>
      </c>
      <c r="E179">
        <v>2433.5</v>
      </c>
      <c r="F179">
        <v>10</v>
      </c>
      <c r="G179">
        <v>76.25</v>
      </c>
    </row>
    <row r="180" spans="1:11" x14ac:dyDescent="0.3">
      <c r="A180" t="s">
        <v>366</v>
      </c>
      <c r="B180" t="s">
        <v>263</v>
      </c>
      <c r="C180" t="s">
        <v>262</v>
      </c>
      <c r="D180">
        <v>151</v>
      </c>
      <c r="E180">
        <v>754.5</v>
      </c>
      <c r="F180">
        <v>9</v>
      </c>
      <c r="G180">
        <v>57.25</v>
      </c>
      <c r="J180">
        <v>1</v>
      </c>
      <c r="K180">
        <v>11.5</v>
      </c>
    </row>
    <row r="181" spans="1:11" x14ac:dyDescent="0.3">
      <c r="A181" t="s">
        <v>366</v>
      </c>
      <c r="B181" t="s">
        <v>270</v>
      </c>
      <c r="C181" t="s">
        <v>269</v>
      </c>
      <c r="D181">
        <v>1812</v>
      </c>
      <c r="E181">
        <v>7682.25</v>
      </c>
      <c r="F181">
        <v>144</v>
      </c>
      <c r="G181">
        <v>952.25</v>
      </c>
      <c r="H181">
        <v>1</v>
      </c>
      <c r="I181">
        <v>37.25</v>
      </c>
    </row>
    <row r="182" spans="1:11" x14ac:dyDescent="0.3">
      <c r="A182" t="s">
        <v>366</v>
      </c>
      <c r="B182" t="s">
        <v>300</v>
      </c>
      <c r="C182" t="s">
        <v>299</v>
      </c>
      <c r="D182">
        <v>24</v>
      </c>
      <c r="E182">
        <v>127.25</v>
      </c>
    </row>
    <row r="183" spans="1:11" x14ac:dyDescent="0.3">
      <c r="A183" t="s">
        <v>341</v>
      </c>
      <c r="B183" t="s">
        <v>228</v>
      </c>
      <c r="C183" t="s">
        <v>227</v>
      </c>
      <c r="D183">
        <v>317</v>
      </c>
      <c r="E183">
        <v>2229.75</v>
      </c>
      <c r="F183">
        <v>14</v>
      </c>
      <c r="G183">
        <v>172.25</v>
      </c>
      <c r="H183">
        <v>2</v>
      </c>
      <c r="I183">
        <v>56.5</v>
      </c>
    </row>
    <row r="184" spans="1:11" x14ac:dyDescent="0.3">
      <c r="A184" t="s">
        <v>341</v>
      </c>
      <c r="B184" t="s">
        <v>267</v>
      </c>
      <c r="C184" t="s">
        <v>1092</v>
      </c>
      <c r="D184">
        <v>452</v>
      </c>
      <c r="E184">
        <v>1850</v>
      </c>
      <c r="F184">
        <v>30</v>
      </c>
      <c r="G184">
        <v>353.5</v>
      </c>
      <c r="H184">
        <v>1</v>
      </c>
      <c r="I184">
        <v>76.75</v>
      </c>
    </row>
    <row r="185" spans="1:11" x14ac:dyDescent="0.3">
      <c r="A185" t="s">
        <v>341</v>
      </c>
      <c r="B185" t="s">
        <v>283</v>
      </c>
      <c r="C185" t="s">
        <v>282</v>
      </c>
      <c r="D185">
        <v>16</v>
      </c>
      <c r="E185">
        <v>73.25</v>
      </c>
      <c r="F185">
        <v>5</v>
      </c>
      <c r="G185">
        <v>96.5</v>
      </c>
      <c r="H185">
        <v>1</v>
      </c>
      <c r="I185">
        <v>28.75</v>
      </c>
    </row>
    <row r="186" spans="1:11" x14ac:dyDescent="0.3">
      <c r="A186" t="s">
        <v>341</v>
      </c>
      <c r="B186" t="s">
        <v>292</v>
      </c>
      <c r="C186" t="s">
        <v>291</v>
      </c>
      <c r="D186">
        <v>24</v>
      </c>
      <c r="E186">
        <v>132.75</v>
      </c>
      <c r="F186">
        <v>5</v>
      </c>
      <c r="G186">
        <v>53.25</v>
      </c>
    </row>
    <row r="187" spans="1:11" x14ac:dyDescent="0.3">
      <c r="A187" t="s">
        <v>341</v>
      </c>
      <c r="B187" t="s">
        <v>298</v>
      </c>
      <c r="C187" t="s">
        <v>297</v>
      </c>
      <c r="D187">
        <v>243</v>
      </c>
      <c r="E187">
        <v>1093.5</v>
      </c>
      <c r="F187">
        <v>42</v>
      </c>
      <c r="G187">
        <v>392.75</v>
      </c>
      <c r="H187">
        <v>1</v>
      </c>
      <c r="I187">
        <v>32</v>
      </c>
      <c r="J187">
        <v>1</v>
      </c>
      <c r="K187">
        <v>6.5</v>
      </c>
    </row>
    <row r="188" spans="1:11" x14ac:dyDescent="0.3">
      <c r="A188" t="s">
        <v>341</v>
      </c>
      <c r="B188" t="s">
        <v>309</v>
      </c>
      <c r="C188" t="s">
        <v>308</v>
      </c>
      <c r="D188">
        <v>118</v>
      </c>
      <c r="E188">
        <v>596.75</v>
      </c>
      <c r="F188">
        <v>3</v>
      </c>
      <c r="G188">
        <v>39.25</v>
      </c>
    </row>
    <row r="189" spans="1:11" x14ac:dyDescent="0.3">
      <c r="A189" t="s">
        <v>342</v>
      </c>
      <c r="B189" t="s">
        <v>277</v>
      </c>
      <c r="C189" t="s">
        <v>276</v>
      </c>
      <c r="D189">
        <v>57</v>
      </c>
      <c r="E189">
        <v>256.5</v>
      </c>
      <c r="F189">
        <v>8</v>
      </c>
      <c r="G189">
        <v>62</v>
      </c>
    </row>
    <row r="190" spans="1:11" x14ac:dyDescent="0.3">
      <c r="A190" t="s">
        <v>342</v>
      </c>
      <c r="B190" t="s">
        <v>292</v>
      </c>
      <c r="C190" t="s">
        <v>291</v>
      </c>
      <c r="D190">
        <v>10</v>
      </c>
      <c r="E190">
        <v>46.75</v>
      </c>
      <c r="F190">
        <v>3</v>
      </c>
      <c r="G190">
        <v>44.25</v>
      </c>
    </row>
    <row r="191" spans="1:11" x14ac:dyDescent="0.3">
      <c r="A191" t="s">
        <v>342</v>
      </c>
      <c r="B191" t="s">
        <v>309</v>
      </c>
      <c r="C191" t="s">
        <v>308</v>
      </c>
      <c r="D191">
        <v>100</v>
      </c>
      <c r="E191">
        <v>682.75</v>
      </c>
      <c r="F191">
        <v>9</v>
      </c>
      <c r="G191">
        <v>115.25</v>
      </c>
    </row>
    <row r="192" spans="1:11" x14ac:dyDescent="0.3">
      <c r="A192" t="s">
        <v>213</v>
      </c>
      <c r="B192" t="s">
        <v>228</v>
      </c>
      <c r="C192" t="s">
        <v>227</v>
      </c>
      <c r="D192">
        <v>205</v>
      </c>
      <c r="E192">
        <v>1662</v>
      </c>
      <c r="F192">
        <v>15</v>
      </c>
      <c r="G192">
        <v>154.75</v>
      </c>
    </row>
    <row r="193" spans="1:11" x14ac:dyDescent="0.3">
      <c r="A193" t="s">
        <v>213</v>
      </c>
      <c r="B193" t="s">
        <v>259</v>
      </c>
      <c r="C193" t="s">
        <v>258</v>
      </c>
      <c r="D193">
        <v>34</v>
      </c>
      <c r="E193">
        <v>234</v>
      </c>
      <c r="F193">
        <v>2</v>
      </c>
      <c r="G193">
        <v>18.75</v>
      </c>
    </row>
    <row r="194" spans="1:11" x14ac:dyDescent="0.3">
      <c r="A194" t="s">
        <v>213</v>
      </c>
      <c r="B194" t="s">
        <v>273</v>
      </c>
      <c r="C194" t="s">
        <v>272</v>
      </c>
      <c r="D194">
        <v>172</v>
      </c>
      <c r="E194">
        <v>1061.75</v>
      </c>
      <c r="F194">
        <v>24</v>
      </c>
      <c r="G194">
        <v>392.5</v>
      </c>
      <c r="H194">
        <v>1</v>
      </c>
      <c r="I194">
        <v>70.75</v>
      </c>
      <c r="J194">
        <v>7</v>
      </c>
      <c r="K194">
        <v>123</v>
      </c>
    </row>
    <row r="195" spans="1:11" x14ac:dyDescent="0.3">
      <c r="A195" t="s">
        <v>213</v>
      </c>
      <c r="B195" t="s">
        <v>277</v>
      </c>
      <c r="C195" t="s">
        <v>276</v>
      </c>
      <c r="D195">
        <v>73</v>
      </c>
      <c r="E195">
        <v>338.75</v>
      </c>
      <c r="F195">
        <v>5</v>
      </c>
      <c r="G195">
        <v>63</v>
      </c>
      <c r="H195">
        <v>1</v>
      </c>
      <c r="I195">
        <v>33.25</v>
      </c>
    </row>
    <row r="196" spans="1:11" x14ac:dyDescent="0.3">
      <c r="A196" t="s">
        <v>213</v>
      </c>
      <c r="B196" t="s">
        <v>298</v>
      </c>
      <c r="C196" t="s">
        <v>297</v>
      </c>
      <c r="D196">
        <v>202</v>
      </c>
      <c r="E196">
        <v>998.75</v>
      </c>
      <c r="F196">
        <v>17</v>
      </c>
      <c r="G196">
        <v>142.5</v>
      </c>
    </row>
    <row r="197" spans="1:11" x14ac:dyDescent="0.3">
      <c r="A197" t="s">
        <v>312</v>
      </c>
      <c r="B197" t="s">
        <v>234</v>
      </c>
      <c r="C197" t="s">
        <v>233</v>
      </c>
      <c r="D197">
        <v>631</v>
      </c>
      <c r="F197">
        <v>17</v>
      </c>
      <c r="J197">
        <v>1</v>
      </c>
    </row>
    <row r="198" spans="1:11" x14ac:dyDescent="0.3">
      <c r="A198" t="s">
        <v>312</v>
      </c>
      <c r="B198" t="s">
        <v>244</v>
      </c>
      <c r="C198" t="s">
        <v>243</v>
      </c>
      <c r="D198">
        <v>429</v>
      </c>
      <c r="F198">
        <v>6</v>
      </c>
    </row>
    <row r="199" spans="1:11" x14ac:dyDescent="0.3">
      <c r="A199" t="s">
        <v>312</v>
      </c>
      <c r="B199" t="s">
        <v>296</v>
      </c>
      <c r="C199" t="s">
        <v>295</v>
      </c>
      <c r="D199">
        <v>140</v>
      </c>
      <c r="F199">
        <v>9</v>
      </c>
    </row>
    <row r="200" spans="1:11" x14ac:dyDescent="0.3">
      <c r="A200" t="s">
        <v>312</v>
      </c>
      <c r="B200" t="s">
        <v>311</v>
      </c>
      <c r="C200" t="s">
        <v>310</v>
      </c>
      <c r="D200">
        <v>173</v>
      </c>
      <c r="F200">
        <v>1</v>
      </c>
      <c r="H200">
        <v>1</v>
      </c>
    </row>
    <row r="201" spans="1:11" x14ac:dyDescent="0.3">
      <c r="A201" t="s">
        <v>318</v>
      </c>
      <c r="B201" t="s">
        <v>215</v>
      </c>
      <c r="C201" t="s">
        <v>214</v>
      </c>
      <c r="D201">
        <v>176</v>
      </c>
      <c r="E201">
        <v>1044.75</v>
      </c>
      <c r="F201">
        <v>5</v>
      </c>
      <c r="G201">
        <v>24.25</v>
      </c>
      <c r="J201">
        <v>1</v>
      </c>
      <c r="K201">
        <v>20</v>
      </c>
    </row>
    <row r="202" spans="1:11" x14ac:dyDescent="0.3">
      <c r="A202" t="s">
        <v>318</v>
      </c>
      <c r="B202" t="s">
        <v>249</v>
      </c>
      <c r="C202" t="s">
        <v>248</v>
      </c>
      <c r="D202">
        <v>67</v>
      </c>
      <c r="E202">
        <v>266.75</v>
      </c>
      <c r="F202">
        <v>2</v>
      </c>
      <c r="G202">
        <v>17.5</v>
      </c>
    </row>
    <row r="203" spans="1:11" x14ac:dyDescent="0.3">
      <c r="A203" t="s">
        <v>318</v>
      </c>
      <c r="B203" t="s">
        <v>292</v>
      </c>
      <c r="C203" t="s">
        <v>291</v>
      </c>
      <c r="D203">
        <v>8</v>
      </c>
      <c r="E203">
        <v>37.75</v>
      </c>
      <c r="F203">
        <v>1</v>
      </c>
      <c r="G203">
        <v>34.75</v>
      </c>
    </row>
    <row r="204" spans="1:11" x14ac:dyDescent="0.3">
      <c r="A204" t="s">
        <v>318</v>
      </c>
      <c r="B204" t="s">
        <v>300</v>
      </c>
      <c r="C204" t="s">
        <v>299</v>
      </c>
      <c r="D204">
        <v>10</v>
      </c>
      <c r="E204">
        <v>101.75</v>
      </c>
    </row>
    <row r="205" spans="1:11" x14ac:dyDescent="0.3">
      <c r="A205" t="s">
        <v>318</v>
      </c>
      <c r="B205" t="s">
        <v>302</v>
      </c>
      <c r="C205" t="s">
        <v>301</v>
      </c>
      <c r="D205">
        <v>120</v>
      </c>
      <c r="E205">
        <v>791.75</v>
      </c>
      <c r="F205">
        <v>2</v>
      </c>
      <c r="G205">
        <v>7.75</v>
      </c>
    </row>
    <row r="206" spans="1:11" x14ac:dyDescent="0.3">
      <c r="A206" t="s">
        <v>320</v>
      </c>
      <c r="B206" t="s">
        <v>249</v>
      </c>
      <c r="C206" t="s">
        <v>248</v>
      </c>
      <c r="D206">
        <v>110</v>
      </c>
      <c r="E206">
        <v>650</v>
      </c>
    </row>
    <row r="207" spans="1:11" x14ac:dyDescent="0.3">
      <c r="A207" t="s">
        <v>320</v>
      </c>
      <c r="B207" t="s">
        <v>281</v>
      </c>
      <c r="C207" t="s">
        <v>280</v>
      </c>
      <c r="D207">
        <v>56</v>
      </c>
      <c r="E207">
        <v>597.75</v>
      </c>
      <c r="F207">
        <v>3</v>
      </c>
      <c r="G207">
        <v>53.75</v>
      </c>
    </row>
    <row r="208" spans="1:11" x14ac:dyDescent="0.3">
      <c r="A208" t="s">
        <v>320</v>
      </c>
      <c r="B208" t="s">
        <v>1201</v>
      </c>
      <c r="C208" t="s">
        <v>282</v>
      </c>
      <c r="D208">
        <v>4</v>
      </c>
      <c r="E208">
        <v>16</v>
      </c>
    </row>
    <row r="209" spans="1:11" x14ac:dyDescent="0.3">
      <c r="A209" t="s">
        <v>320</v>
      </c>
      <c r="B209" t="s">
        <v>1209</v>
      </c>
      <c r="C209" t="s">
        <v>286</v>
      </c>
      <c r="D209">
        <v>151</v>
      </c>
      <c r="E209">
        <v>1309.75</v>
      </c>
      <c r="F209">
        <v>2</v>
      </c>
      <c r="G209">
        <v>43</v>
      </c>
    </row>
    <row r="210" spans="1:11" x14ac:dyDescent="0.3">
      <c r="A210" t="s">
        <v>320</v>
      </c>
      <c r="B210" t="s">
        <v>289</v>
      </c>
      <c r="C210" t="s">
        <v>288</v>
      </c>
      <c r="D210">
        <v>179</v>
      </c>
      <c r="E210">
        <v>630.25</v>
      </c>
      <c r="F210">
        <v>6</v>
      </c>
      <c r="G210">
        <v>30</v>
      </c>
    </row>
    <row r="211" spans="1:11" x14ac:dyDescent="0.3">
      <c r="A211" t="s">
        <v>320</v>
      </c>
      <c r="B211" t="s">
        <v>292</v>
      </c>
      <c r="C211" t="s">
        <v>291</v>
      </c>
      <c r="D211">
        <v>15</v>
      </c>
      <c r="E211">
        <v>208.5</v>
      </c>
    </row>
    <row r="212" spans="1:11" x14ac:dyDescent="0.3">
      <c r="A212" t="s">
        <v>325</v>
      </c>
      <c r="B212" t="s">
        <v>228</v>
      </c>
      <c r="C212" t="s">
        <v>227</v>
      </c>
      <c r="D212">
        <v>357</v>
      </c>
      <c r="E212">
        <v>1988.5</v>
      </c>
      <c r="F212">
        <v>22</v>
      </c>
      <c r="G212">
        <v>418.25</v>
      </c>
    </row>
    <row r="213" spans="1:11" x14ac:dyDescent="0.3">
      <c r="A213" t="s">
        <v>325</v>
      </c>
      <c r="B213" t="s">
        <v>253</v>
      </c>
      <c r="C213" t="s">
        <v>252</v>
      </c>
      <c r="D213">
        <v>51</v>
      </c>
      <c r="E213">
        <v>265.25</v>
      </c>
      <c r="F213">
        <v>2</v>
      </c>
      <c r="G213">
        <v>13.5</v>
      </c>
    </row>
    <row r="214" spans="1:11" x14ac:dyDescent="0.3">
      <c r="A214" t="s">
        <v>325</v>
      </c>
      <c r="B214" t="s">
        <v>289</v>
      </c>
      <c r="C214" t="s">
        <v>288</v>
      </c>
      <c r="D214">
        <v>192</v>
      </c>
      <c r="E214">
        <v>860</v>
      </c>
      <c r="F214">
        <v>5</v>
      </c>
      <c r="G214">
        <v>26.75</v>
      </c>
    </row>
    <row r="215" spans="1:11" x14ac:dyDescent="0.3">
      <c r="A215" t="s">
        <v>326</v>
      </c>
      <c r="B215" t="s">
        <v>255</v>
      </c>
      <c r="C215" t="s">
        <v>254</v>
      </c>
      <c r="D215">
        <v>110</v>
      </c>
      <c r="E215">
        <v>654.5</v>
      </c>
      <c r="F215">
        <v>7</v>
      </c>
      <c r="G215">
        <v>111.75</v>
      </c>
      <c r="H215">
        <v>1</v>
      </c>
      <c r="I215">
        <v>73.25</v>
      </c>
      <c r="J215">
        <v>3</v>
      </c>
      <c r="K215">
        <v>35</v>
      </c>
    </row>
    <row r="216" spans="1:11" x14ac:dyDescent="0.3">
      <c r="A216" t="s">
        <v>328</v>
      </c>
      <c r="B216" t="s">
        <v>220</v>
      </c>
      <c r="C216" t="s">
        <v>219</v>
      </c>
      <c r="D216">
        <v>336</v>
      </c>
      <c r="E216">
        <v>2281.25</v>
      </c>
      <c r="F216">
        <v>19</v>
      </c>
      <c r="G216">
        <v>284.75</v>
      </c>
      <c r="J216">
        <v>1</v>
      </c>
      <c r="K216">
        <v>18.5</v>
      </c>
    </row>
    <row r="217" spans="1:11" x14ac:dyDescent="0.3">
      <c r="A217" t="s">
        <v>328</v>
      </c>
      <c r="B217" t="s">
        <v>281</v>
      </c>
      <c r="C217" t="s">
        <v>280</v>
      </c>
      <c r="D217">
        <v>99</v>
      </c>
      <c r="E217">
        <v>742.75</v>
      </c>
      <c r="F217">
        <v>11</v>
      </c>
      <c r="G217">
        <v>240.25</v>
      </c>
    </row>
    <row r="218" spans="1:11" x14ac:dyDescent="0.3">
      <c r="A218" t="s">
        <v>328</v>
      </c>
      <c r="B218" t="s">
        <v>296</v>
      </c>
      <c r="C218" t="s">
        <v>295</v>
      </c>
      <c r="D218">
        <v>278</v>
      </c>
      <c r="E218">
        <v>1165.75</v>
      </c>
      <c r="F218">
        <v>2</v>
      </c>
      <c r="G218">
        <v>11.25</v>
      </c>
      <c r="J218">
        <v>1</v>
      </c>
      <c r="K218">
        <v>0</v>
      </c>
    </row>
    <row r="219" spans="1:11" x14ac:dyDescent="0.3">
      <c r="A219" t="s">
        <v>328</v>
      </c>
      <c r="B219" t="s">
        <v>300</v>
      </c>
      <c r="C219" t="s">
        <v>299</v>
      </c>
      <c r="D219">
        <v>62</v>
      </c>
      <c r="E219">
        <v>373.5</v>
      </c>
      <c r="F219">
        <v>1</v>
      </c>
      <c r="G219">
        <v>28</v>
      </c>
    </row>
    <row r="220" spans="1:11" x14ac:dyDescent="0.3">
      <c r="A220" t="s">
        <v>412</v>
      </c>
      <c r="B220" t="s">
        <v>263</v>
      </c>
      <c r="C220" t="s">
        <v>262</v>
      </c>
      <c r="D220">
        <v>172</v>
      </c>
      <c r="E220">
        <v>929.25</v>
      </c>
      <c r="F220">
        <v>1</v>
      </c>
      <c r="G220">
        <v>18.25</v>
      </c>
    </row>
    <row r="221" spans="1:11" x14ac:dyDescent="0.3">
      <c r="A221" t="s">
        <v>412</v>
      </c>
      <c r="B221" t="s">
        <v>270</v>
      </c>
      <c r="C221" t="s">
        <v>269</v>
      </c>
      <c r="D221">
        <v>1356</v>
      </c>
      <c r="E221">
        <v>5511.25</v>
      </c>
      <c r="F221">
        <v>43</v>
      </c>
      <c r="G221">
        <v>288</v>
      </c>
      <c r="J221">
        <v>4</v>
      </c>
      <c r="K221">
        <v>47</v>
      </c>
    </row>
    <row r="222" spans="1:11" x14ac:dyDescent="0.3">
      <c r="A222" t="s">
        <v>412</v>
      </c>
      <c r="B222" t="s">
        <v>307</v>
      </c>
      <c r="C222" t="s">
        <v>306</v>
      </c>
      <c r="D222">
        <v>205</v>
      </c>
      <c r="E222">
        <v>1328.75</v>
      </c>
      <c r="F222">
        <v>3</v>
      </c>
      <c r="G222">
        <v>32.25</v>
      </c>
    </row>
    <row r="223" spans="1:11" x14ac:dyDescent="0.3">
      <c r="A223" t="s">
        <v>365</v>
      </c>
      <c r="B223" t="s">
        <v>249</v>
      </c>
      <c r="C223" t="s">
        <v>248</v>
      </c>
      <c r="D223">
        <v>142</v>
      </c>
      <c r="E223">
        <v>914.75</v>
      </c>
      <c r="F223">
        <v>11</v>
      </c>
      <c r="G223">
        <v>90.75</v>
      </c>
    </row>
    <row r="224" spans="1:11" x14ac:dyDescent="0.3">
      <c r="A224" t="s">
        <v>365</v>
      </c>
      <c r="B224" t="s">
        <v>253</v>
      </c>
      <c r="C224" t="s">
        <v>252</v>
      </c>
      <c r="D224">
        <v>53</v>
      </c>
      <c r="E224">
        <v>362.75</v>
      </c>
      <c r="F224">
        <v>1</v>
      </c>
      <c r="G224">
        <v>7.5</v>
      </c>
    </row>
    <row r="225" spans="1:11" x14ac:dyDescent="0.3">
      <c r="A225" t="s">
        <v>365</v>
      </c>
      <c r="B225" t="s">
        <v>294</v>
      </c>
      <c r="C225" t="s">
        <v>293</v>
      </c>
      <c r="D225">
        <v>246</v>
      </c>
      <c r="E225">
        <v>1269.25</v>
      </c>
      <c r="F225">
        <v>1</v>
      </c>
      <c r="G225">
        <v>10.25</v>
      </c>
    </row>
    <row r="226" spans="1:11" x14ac:dyDescent="0.3">
      <c r="A226" t="s">
        <v>365</v>
      </c>
      <c r="B226" t="s">
        <v>300</v>
      </c>
      <c r="C226" t="s">
        <v>299</v>
      </c>
      <c r="D226">
        <v>32</v>
      </c>
      <c r="E226">
        <v>199.75</v>
      </c>
    </row>
    <row r="227" spans="1:11" x14ac:dyDescent="0.3">
      <c r="A227" t="s">
        <v>366</v>
      </c>
      <c r="B227" t="s">
        <v>215</v>
      </c>
      <c r="C227" t="s">
        <v>214</v>
      </c>
      <c r="D227">
        <v>282</v>
      </c>
      <c r="E227">
        <v>1395</v>
      </c>
      <c r="F227">
        <v>33</v>
      </c>
      <c r="G227">
        <v>340.75</v>
      </c>
      <c r="J227">
        <v>1</v>
      </c>
      <c r="K227">
        <v>3.75</v>
      </c>
    </row>
    <row r="228" spans="1:11" x14ac:dyDescent="0.3">
      <c r="A228" t="s">
        <v>341</v>
      </c>
      <c r="B228" t="s">
        <v>247</v>
      </c>
      <c r="C228" t="s">
        <v>246</v>
      </c>
      <c r="D228">
        <v>653</v>
      </c>
      <c r="E228">
        <v>2216</v>
      </c>
      <c r="F228">
        <v>3</v>
      </c>
      <c r="G228">
        <v>17.25</v>
      </c>
      <c r="J228">
        <v>2</v>
      </c>
      <c r="K228">
        <v>16.5</v>
      </c>
    </row>
    <row r="229" spans="1:11" x14ac:dyDescent="0.3">
      <c r="A229" t="s">
        <v>341</v>
      </c>
      <c r="B229" t="s">
        <v>259</v>
      </c>
      <c r="C229" t="s">
        <v>258</v>
      </c>
      <c r="D229">
        <v>76</v>
      </c>
      <c r="E229">
        <v>571.5</v>
      </c>
      <c r="F229">
        <v>4</v>
      </c>
      <c r="G229">
        <v>107.75</v>
      </c>
    </row>
    <row r="230" spans="1:11" x14ac:dyDescent="0.3">
      <c r="A230" t="s">
        <v>341</v>
      </c>
      <c r="B230" t="s">
        <v>279</v>
      </c>
      <c r="C230" t="s">
        <v>278</v>
      </c>
      <c r="D230">
        <v>93</v>
      </c>
      <c r="E230">
        <v>285.75</v>
      </c>
      <c r="F230">
        <v>4</v>
      </c>
      <c r="G230">
        <v>21</v>
      </c>
    </row>
    <row r="231" spans="1:11" x14ac:dyDescent="0.3">
      <c r="A231" t="s">
        <v>341</v>
      </c>
      <c r="B231" t="s">
        <v>287</v>
      </c>
      <c r="C231" t="s">
        <v>286</v>
      </c>
      <c r="D231">
        <v>212</v>
      </c>
      <c r="E231">
        <v>982.75</v>
      </c>
      <c r="F231">
        <v>18</v>
      </c>
      <c r="G231">
        <v>181.75</v>
      </c>
    </row>
    <row r="232" spans="1:11" x14ac:dyDescent="0.3">
      <c r="A232" t="s">
        <v>341</v>
      </c>
      <c r="B232" t="s">
        <v>294</v>
      </c>
      <c r="C232" t="s">
        <v>293</v>
      </c>
      <c r="D232">
        <v>279</v>
      </c>
      <c r="E232">
        <v>1366.25</v>
      </c>
      <c r="F232">
        <v>8</v>
      </c>
      <c r="G232">
        <v>59.5</v>
      </c>
    </row>
    <row r="233" spans="1:11" x14ac:dyDescent="0.3">
      <c r="A233" t="s">
        <v>342</v>
      </c>
      <c r="B233" t="s">
        <v>279</v>
      </c>
      <c r="C233" t="s">
        <v>278</v>
      </c>
      <c r="D233">
        <v>94</v>
      </c>
      <c r="E233">
        <v>477.5</v>
      </c>
      <c r="F233">
        <v>1</v>
      </c>
      <c r="G233">
        <v>4.25</v>
      </c>
    </row>
    <row r="234" spans="1:11" x14ac:dyDescent="0.3">
      <c r="A234" t="s">
        <v>342</v>
      </c>
      <c r="B234" t="s">
        <v>283</v>
      </c>
      <c r="C234" t="s">
        <v>282</v>
      </c>
      <c r="D234">
        <v>19</v>
      </c>
      <c r="E234">
        <v>163.25</v>
      </c>
      <c r="F234">
        <v>4</v>
      </c>
      <c r="G234">
        <v>93.25</v>
      </c>
      <c r="H234">
        <v>1</v>
      </c>
      <c r="I234">
        <v>60</v>
      </c>
    </row>
    <row r="235" spans="1:11" x14ac:dyDescent="0.3">
      <c r="A235" t="s">
        <v>342</v>
      </c>
      <c r="B235" t="s">
        <v>296</v>
      </c>
      <c r="C235" t="s">
        <v>295</v>
      </c>
      <c r="D235">
        <v>82</v>
      </c>
      <c r="E235">
        <v>508.5</v>
      </c>
      <c r="F235">
        <v>9</v>
      </c>
      <c r="G235">
        <v>126</v>
      </c>
    </row>
    <row r="236" spans="1:11" x14ac:dyDescent="0.3">
      <c r="A236" t="s">
        <v>342</v>
      </c>
      <c r="B236" t="s">
        <v>304</v>
      </c>
      <c r="C236" t="s">
        <v>303</v>
      </c>
      <c r="D236">
        <v>321</v>
      </c>
      <c r="E236">
        <v>1386.5</v>
      </c>
      <c r="F236">
        <v>12</v>
      </c>
      <c r="G236">
        <v>171.5</v>
      </c>
    </row>
    <row r="237" spans="1:11" x14ac:dyDescent="0.3">
      <c r="A237" t="s">
        <v>213</v>
      </c>
      <c r="B237" t="s">
        <v>240</v>
      </c>
      <c r="C237" t="s">
        <v>239</v>
      </c>
      <c r="D237">
        <v>69</v>
      </c>
      <c r="E237">
        <v>332.5</v>
      </c>
      <c r="F237">
        <v>1</v>
      </c>
      <c r="G237">
        <v>8.5</v>
      </c>
    </row>
    <row r="238" spans="1:11" x14ac:dyDescent="0.3">
      <c r="A238" t="s">
        <v>213</v>
      </c>
      <c r="B238" t="s">
        <v>292</v>
      </c>
      <c r="C238" t="s">
        <v>291</v>
      </c>
      <c r="D238">
        <v>9</v>
      </c>
      <c r="E238">
        <v>42.5</v>
      </c>
    </row>
    <row r="239" spans="1:11" x14ac:dyDescent="0.3">
      <c r="A239" t="s">
        <v>213</v>
      </c>
      <c r="B239" t="s">
        <v>309</v>
      </c>
      <c r="C239" t="s">
        <v>308</v>
      </c>
      <c r="D239">
        <v>74</v>
      </c>
      <c r="E239">
        <v>427</v>
      </c>
      <c r="F239">
        <v>5</v>
      </c>
      <c r="G239">
        <v>44.75</v>
      </c>
    </row>
    <row r="240" spans="1:11" x14ac:dyDescent="0.3">
      <c r="A240" t="s">
        <v>213</v>
      </c>
      <c r="B240" t="s">
        <v>311</v>
      </c>
      <c r="C240" t="s">
        <v>310</v>
      </c>
      <c r="D240">
        <v>208</v>
      </c>
      <c r="E240">
        <v>775.5</v>
      </c>
      <c r="F240">
        <v>5</v>
      </c>
      <c r="G240">
        <v>33.5</v>
      </c>
    </row>
    <row r="241" spans="1:11" x14ac:dyDescent="0.3">
      <c r="A241" t="s">
        <v>312</v>
      </c>
      <c r="B241" t="s">
        <v>215</v>
      </c>
      <c r="C241" t="s">
        <v>214</v>
      </c>
      <c r="D241">
        <v>422</v>
      </c>
      <c r="F241">
        <v>11</v>
      </c>
      <c r="J241">
        <v>2</v>
      </c>
    </row>
    <row r="242" spans="1:11" x14ac:dyDescent="0.3">
      <c r="A242" t="s">
        <v>312</v>
      </c>
      <c r="B242" t="s">
        <v>253</v>
      </c>
      <c r="C242" t="s">
        <v>252</v>
      </c>
      <c r="D242">
        <v>97</v>
      </c>
      <c r="F242">
        <v>4</v>
      </c>
    </row>
    <row r="243" spans="1:11" x14ac:dyDescent="0.3">
      <c r="A243" t="s">
        <v>312</v>
      </c>
      <c r="B243" t="s">
        <v>302</v>
      </c>
      <c r="C243" t="s">
        <v>301</v>
      </c>
      <c r="D243">
        <v>220</v>
      </c>
      <c r="F243">
        <v>5</v>
      </c>
    </row>
    <row r="244" spans="1:11" x14ac:dyDescent="0.3">
      <c r="A244" t="s">
        <v>312</v>
      </c>
      <c r="B244" t="s">
        <v>307</v>
      </c>
      <c r="C244" t="s">
        <v>306</v>
      </c>
      <c r="D244">
        <v>195</v>
      </c>
      <c r="F244">
        <v>6</v>
      </c>
    </row>
    <row r="245" spans="1:11" x14ac:dyDescent="0.3">
      <c r="A245" t="s">
        <v>318</v>
      </c>
      <c r="B245" t="s">
        <v>220</v>
      </c>
      <c r="C245" t="s">
        <v>219</v>
      </c>
      <c r="D245">
        <v>77</v>
      </c>
      <c r="E245">
        <v>586.25</v>
      </c>
      <c r="F245">
        <v>4</v>
      </c>
      <c r="G245">
        <v>57.25</v>
      </c>
      <c r="J245">
        <v>1</v>
      </c>
      <c r="K245">
        <v>4</v>
      </c>
    </row>
    <row r="246" spans="1:11" x14ac:dyDescent="0.3">
      <c r="A246" t="s">
        <v>318</v>
      </c>
      <c r="B246" t="s">
        <v>224</v>
      </c>
      <c r="C246" t="s">
        <v>223</v>
      </c>
      <c r="D246">
        <v>56</v>
      </c>
      <c r="E246">
        <v>230.5</v>
      </c>
      <c r="F246">
        <v>3</v>
      </c>
      <c r="G246">
        <v>12.75</v>
      </c>
    </row>
    <row r="247" spans="1:11" x14ac:dyDescent="0.3">
      <c r="A247" t="s">
        <v>318</v>
      </c>
      <c r="B247" t="s">
        <v>255</v>
      </c>
      <c r="C247" t="s">
        <v>254</v>
      </c>
      <c r="D247">
        <v>43</v>
      </c>
      <c r="E247">
        <v>252.75</v>
      </c>
      <c r="F247">
        <v>1</v>
      </c>
      <c r="G247">
        <v>11.5</v>
      </c>
    </row>
    <row r="248" spans="1:11" x14ac:dyDescent="0.3">
      <c r="A248" t="s">
        <v>318</v>
      </c>
      <c r="B248" t="s">
        <v>267</v>
      </c>
      <c r="C248" t="s">
        <v>266</v>
      </c>
      <c r="D248">
        <v>247</v>
      </c>
      <c r="E248">
        <v>1035.25</v>
      </c>
      <c r="F248">
        <v>3</v>
      </c>
      <c r="G248">
        <v>52.75</v>
      </c>
      <c r="H248">
        <v>1</v>
      </c>
      <c r="I248">
        <v>41.25</v>
      </c>
    </row>
    <row r="249" spans="1:11" x14ac:dyDescent="0.3">
      <c r="A249" t="s">
        <v>318</v>
      </c>
      <c r="B249" t="s">
        <v>273</v>
      </c>
      <c r="C249" t="s">
        <v>272</v>
      </c>
      <c r="D249">
        <v>110</v>
      </c>
      <c r="E249">
        <v>659</v>
      </c>
      <c r="F249">
        <v>14</v>
      </c>
      <c r="G249">
        <v>155.25</v>
      </c>
    </row>
    <row r="250" spans="1:11" x14ac:dyDescent="0.3">
      <c r="A250" t="s">
        <v>320</v>
      </c>
      <c r="B250" t="s">
        <v>215</v>
      </c>
      <c r="C250" t="s">
        <v>214</v>
      </c>
      <c r="D250">
        <v>308</v>
      </c>
      <c r="E250">
        <v>1977.5</v>
      </c>
      <c r="F250">
        <v>7</v>
      </c>
      <c r="G250">
        <v>69</v>
      </c>
      <c r="H250">
        <v>1</v>
      </c>
      <c r="I250">
        <v>11.5</v>
      </c>
      <c r="J250">
        <v>1</v>
      </c>
      <c r="K250">
        <v>1.25</v>
      </c>
    </row>
    <row r="251" spans="1:11" x14ac:dyDescent="0.3">
      <c r="A251" t="s">
        <v>320</v>
      </c>
      <c r="B251" t="s">
        <v>220</v>
      </c>
      <c r="C251" t="s">
        <v>219</v>
      </c>
      <c r="D251">
        <v>183</v>
      </c>
      <c r="E251">
        <v>1899.75</v>
      </c>
      <c r="F251">
        <v>3</v>
      </c>
      <c r="G251">
        <v>48.5</v>
      </c>
    </row>
    <row r="252" spans="1:11" x14ac:dyDescent="0.3">
      <c r="A252" t="s">
        <v>320</v>
      </c>
      <c r="B252" t="s">
        <v>240</v>
      </c>
      <c r="C252" t="s">
        <v>239</v>
      </c>
      <c r="D252">
        <v>39</v>
      </c>
      <c r="E252">
        <v>237.25</v>
      </c>
      <c r="F252">
        <v>2</v>
      </c>
      <c r="G252">
        <v>16.25</v>
      </c>
    </row>
    <row r="253" spans="1:11" x14ac:dyDescent="0.3">
      <c r="A253" t="s">
        <v>320</v>
      </c>
      <c r="B253" t="s">
        <v>1249</v>
      </c>
      <c r="C253" t="s">
        <v>299</v>
      </c>
      <c r="D253">
        <v>36</v>
      </c>
      <c r="E253">
        <v>322</v>
      </c>
      <c r="F253">
        <v>1</v>
      </c>
      <c r="G253">
        <v>4.75</v>
      </c>
    </row>
    <row r="254" spans="1:11" x14ac:dyDescent="0.3">
      <c r="A254" t="s">
        <v>320</v>
      </c>
      <c r="B254" t="s">
        <v>302</v>
      </c>
      <c r="C254" t="s">
        <v>301</v>
      </c>
      <c r="D254">
        <v>150</v>
      </c>
      <c r="E254">
        <v>1427.75</v>
      </c>
      <c r="F254">
        <v>4</v>
      </c>
      <c r="G254">
        <v>48.75</v>
      </c>
    </row>
    <row r="255" spans="1:11" x14ac:dyDescent="0.3">
      <c r="A255" t="s">
        <v>320</v>
      </c>
      <c r="B255" t="s">
        <v>309</v>
      </c>
      <c r="C255" t="s">
        <v>308</v>
      </c>
      <c r="D255">
        <v>67</v>
      </c>
      <c r="E255">
        <v>251.75</v>
      </c>
      <c r="F255">
        <v>2</v>
      </c>
      <c r="G255">
        <v>9.75</v>
      </c>
    </row>
    <row r="256" spans="1:11" x14ac:dyDescent="0.3">
      <c r="A256" t="s">
        <v>325</v>
      </c>
      <c r="B256" t="s">
        <v>247</v>
      </c>
      <c r="C256" t="s">
        <v>246</v>
      </c>
      <c r="D256">
        <v>249</v>
      </c>
      <c r="E256">
        <v>1316.5</v>
      </c>
      <c r="F256">
        <v>2</v>
      </c>
      <c r="G256">
        <v>54.75</v>
      </c>
    </row>
    <row r="257" spans="1:11" x14ac:dyDescent="0.3">
      <c r="A257" t="s">
        <v>325</v>
      </c>
      <c r="B257" t="s">
        <v>273</v>
      </c>
      <c r="C257" t="s">
        <v>272</v>
      </c>
      <c r="D257">
        <v>224</v>
      </c>
      <c r="E257">
        <v>1608.5</v>
      </c>
      <c r="F257">
        <v>18</v>
      </c>
      <c r="G257">
        <v>340</v>
      </c>
    </row>
    <row r="258" spans="1:11" x14ac:dyDescent="0.3">
      <c r="A258" t="s">
        <v>325</v>
      </c>
      <c r="B258" t="s">
        <v>279</v>
      </c>
      <c r="C258" t="s">
        <v>278</v>
      </c>
      <c r="D258">
        <v>79</v>
      </c>
      <c r="E258">
        <v>480</v>
      </c>
      <c r="F258">
        <v>8</v>
      </c>
      <c r="G258">
        <v>73.25</v>
      </c>
    </row>
    <row r="259" spans="1:11" x14ac:dyDescent="0.3">
      <c r="A259" t="s">
        <v>325</v>
      </c>
      <c r="B259" t="s">
        <v>294</v>
      </c>
      <c r="C259" t="s">
        <v>293</v>
      </c>
      <c r="D259">
        <v>136</v>
      </c>
      <c r="E259">
        <v>605.5</v>
      </c>
      <c r="F259">
        <v>2</v>
      </c>
      <c r="G259">
        <v>51</v>
      </c>
    </row>
    <row r="260" spans="1:11" x14ac:dyDescent="0.3">
      <c r="A260" t="s">
        <v>325</v>
      </c>
      <c r="B260" t="s">
        <v>309</v>
      </c>
      <c r="C260" t="s">
        <v>308</v>
      </c>
      <c r="D260">
        <v>41</v>
      </c>
      <c r="E260">
        <v>221.25</v>
      </c>
      <c r="F260">
        <v>2</v>
      </c>
      <c r="G260">
        <v>20</v>
      </c>
    </row>
    <row r="261" spans="1:11" x14ac:dyDescent="0.3">
      <c r="A261" t="s">
        <v>326</v>
      </c>
      <c r="B261" t="s">
        <v>215</v>
      </c>
      <c r="C261" t="s">
        <v>214</v>
      </c>
      <c r="D261">
        <v>343</v>
      </c>
      <c r="E261">
        <v>2507.25</v>
      </c>
      <c r="F261">
        <v>5</v>
      </c>
      <c r="G261">
        <v>108.25</v>
      </c>
    </row>
    <row r="262" spans="1:11" x14ac:dyDescent="0.3">
      <c r="A262" t="s">
        <v>326</v>
      </c>
      <c r="B262" t="s">
        <v>228</v>
      </c>
      <c r="C262" t="s">
        <v>227</v>
      </c>
      <c r="D262">
        <v>435</v>
      </c>
      <c r="E262">
        <v>2292</v>
      </c>
      <c r="F262">
        <v>24</v>
      </c>
      <c r="G262">
        <v>236.5</v>
      </c>
    </row>
    <row r="263" spans="1:11" x14ac:dyDescent="0.3">
      <c r="A263" t="s">
        <v>326</v>
      </c>
      <c r="B263" t="s">
        <v>244</v>
      </c>
      <c r="C263" t="s">
        <v>243</v>
      </c>
      <c r="D263">
        <v>356</v>
      </c>
      <c r="E263">
        <v>2195.75</v>
      </c>
      <c r="F263">
        <v>2</v>
      </c>
      <c r="G263">
        <v>24.75</v>
      </c>
      <c r="J263">
        <v>2</v>
      </c>
      <c r="K263">
        <v>7.25</v>
      </c>
    </row>
    <row r="264" spans="1:11" x14ac:dyDescent="0.3">
      <c r="A264" t="s">
        <v>326</v>
      </c>
      <c r="B264" t="s">
        <v>259</v>
      </c>
      <c r="C264" t="s">
        <v>258</v>
      </c>
      <c r="D264">
        <v>53</v>
      </c>
      <c r="E264">
        <v>261.5</v>
      </c>
      <c r="F264">
        <v>1</v>
      </c>
      <c r="G264">
        <v>5.5</v>
      </c>
    </row>
    <row r="265" spans="1:11" x14ac:dyDescent="0.3">
      <c r="A265" t="s">
        <v>326</v>
      </c>
      <c r="B265" t="s">
        <v>279</v>
      </c>
      <c r="C265" t="s">
        <v>278</v>
      </c>
      <c r="D265">
        <v>126</v>
      </c>
      <c r="E265">
        <v>829</v>
      </c>
      <c r="F265">
        <v>6</v>
      </c>
      <c r="G265">
        <v>40</v>
      </c>
    </row>
    <row r="266" spans="1:11" x14ac:dyDescent="0.3">
      <c r="A266" t="s">
        <v>326</v>
      </c>
      <c r="B266" t="s">
        <v>287</v>
      </c>
      <c r="C266" t="s">
        <v>286</v>
      </c>
      <c r="D266">
        <v>251</v>
      </c>
      <c r="E266">
        <v>1773.5</v>
      </c>
      <c r="F266">
        <v>8</v>
      </c>
      <c r="G266">
        <v>169.25</v>
      </c>
      <c r="H266">
        <v>1</v>
      </c>
      <c r="I266">
        <v>19.25</v>
      </c>
      <c r="J266">
        <v>1</v>
      </c>
      <c r="K266">
        <v>78</v>
      </c>
    </row>
    <row r="267" spans="1:11" x14ac:dyDescent="0.3">
      <c r="A267" t="s">
        <v>326</v>
      </c>
      <c r="B267" t="s">
        <v>296</v>
      </c>
      <c r="C267" t="s">
        <v>295</v>
      </c>
      <c r="D267">
        <v>194</v>
      </c>
      <c r="E267">
        <v>1054.5</v>
      </c>
      <c r="F267">
        <v>4</v>
      </c>
      <c r="G267">
        <v>52.75</v>
      </c>
    </row>
    <row r="268" spans="1:11" x14ac:dyDescent="0.3">
      <c r="A268" t="s">
        <v>326</v>
      </c>
      <c r="B268" t="s">
        <v>302</v>
      </c>
      <c r="C268" t="s">
        <v>301</v>
      </c>
      <c r="D268">
        <v>243</v>
      </c>
      <c r="E268">
        <v>1766</v>
      </c>
      <c r="F268">
        <v>14</v>
      </c>
      <c r="G268">
        <v>268.5</v>
      </c>
    </row>
    <row r="269" spans="1:11" x14ac:dyDescent="0.3">
      <c r="A269" t="s">
        <v>326</v>
      </c>
      <c r="B269" t="s">
        <v>304</v>
      </c>
      <c r="C269" t="s">
        <v>303</v>
      </c>
      <c r="D269">
        <v>365</v>
      </c>
      <c r="E269">
        <v>2863.75</v>
      </c>
      <c r="F269">
        <v>13</v>
      </c>
      <c r="G269">
        <v>181</v>
      </c>
    </row>
    <row r="270" spans="1:11" x14ac:dyDescent="0.3">
      <c r="A270" t="s">
        <v>326</v>
      </c>
      <c r="B270" t="s">
        <v>307</v>
      </c>
      <c r="C270" t="s">
        <v>306</v>
      </c>
      <c r="D270">
        <v>92</v>
      </c>
      <c r="E270">
        <v>504.5</v>
      </c>
      <c r="F270">
        <v>3</v>
      </c>
      <c r="G270">
        <v>83.5</v>
      </c>
      <c r="H270">
        <v>1</v>
      </c>
      <c r="I270">
        <v>67</v>
      </c>
    </row>
    <row r="271" spans="1:11" x14ac:dyDescent="0.3">
      <c r="A271" t="s">
        <v>328</v>
      </c>
      <c r="B271" t="s">
        <v>215</v>
      </c>
      <c r="C271" t="s">
        <v>214</v>
      </c>
      <c r="D271">
        <v>404</v>
      </c>
      <c r="E271">
        <v>2431</v>
      </c>
      <c r="F271">
        <v>3</v>
      </c>
      <c r="G271">
        <v>100.75</v>
      </c>
      <c r="H271">
        <v>1</v>
      </c>
      <c r="I271">
        <v>81.5</v>
      </c>
    </row>
    <row r="272" spans="1:11" x14ac:dyDescent="0.3">
      <c r="A272" t="s">
        <v>328</v>
      </c>
      <c r="B272" t="s">
        <v>240</v>
      </c>
      <c r="C272" t="s">
        <v>239</v>
      </c>
      <c r="D272">
        <v>51</v>
      </c>
      <c r="E272">
        <v>340.5</v>
      </c>
      <c r="F272">
        <v>2</v>
      </c>
      <c r="G272">
        <v>12.75</v>
      </c>
    </row>
    <row r="273" spans="1:9" x14ac:dyDescent="0.3">
      <c r="A273" t="s">
        <v>328</v>
      </c>
      <c r="B273" t="s">
        <v>249</v>
      </c>
      <c r="C273" t="s">
        <v>248</v>
      </c>
      <c r="D273">
        <v>171</v>
      </c>
      <c r="E273">
        <v>795.5</v>
      </c>
      <c r="F273">
        <v>7</v>
      </c>
      <c r="G273">
        <v>148</v>
      </c>
    </row>
    <row r="274" spans="1:9" x14ac:dyDescent="0.3">
      <c r="A274" t="s">
        <v>328</v>
      </c>
      <c r="B274" t="s">
        <v>263</v>
      </c>
      <c r="C274" t="s">
        <v>262</v>
      </c>
      <c r="D274">
        <v>167</v>
      </c>
      <c r="E274">
        <v>880.25</v>
      </c>
    </row>
    <row r="275" spans="1:9" x14ac:dyDescent="0.3">
      <c r="A275" t="s">
        <v>328</v>
      </c>
      <c r="B275" t="s">
        <v>267</v>
      </c>
      <c r="C275" t="s">
        <v>1092</v>
      </c>
      <c r="D275">
        <v>529</v>
      </c>
      <c r="E275">
        <v>3427.25</v>
      </c>
      <c r="F275">
        <v>10</v>
      </c>
      <c r="G275">
        <v>73.75</v>
      </c>
    </row>
    <row r="276" spans="1:9" x14ac:dyDescent="0.3">
      <c r="A276" t="s">
        <v>328</v>
      </c>
      <c r="B276" t="s">
        <v>304</v>
      </c>
      <c r="C276" t="s">
        <v>303</v>
      </c>
      <c r="D276">
        <v>360</v>
      </c>
      <c r="E276">
        <v>2761</v>
      </c>
      <c r="F276">
        <v>10</v>
      </c>
      <c r="G276">
        <v>219.75</v>
      </c>
    </row>
    <row r="277" spans="1:9" x14ac:dyDescent="0.3">
      <c r="A277" t="s">
        <v>328</v>
      </c>
      <c r="B277" t="s">
        <v>307</v>
      </c>
      <c r="C277" t="s">
        <v>306</v>
      </c>
      <c r="D277">
        <v>156</v>
      </c>
      <c r="E277">
        <v>987.75</v>
      </c>
      <c r="F277">
        <v>2</v>
      </c>
      <c r="G277">
        <v>21.5</v>
      </c>
    </row>
    <row r="278" spans="1:9" x14ac:dyDescent="0.3">
      <c r="A278" t="s">
        <v>412</v>
      </c>
      <c r="B278" t="s">
        <v>215</v>
      </c>
      <c r="C278" t="s">
        <v>214</v>
      </c>
      <c r="D278">
        <v>396</v>
      </c>
      <c r="E278">
        <v>2709.5</v>
      </c>
      <c r="F278">
        <v>3</v>
      </c>
      <c r="G278">
        <v>43.25</v>
      </c>
    </row>
    <row r="279" spans="1:9" x14ac:dyDescent="0.3">
      <c r="A279" t="s">
        <v>412</v>
      </c>
      <c r="B279" t="s">
        <v>240</v>
      </c>
      <c r="C279" t="s">
        <v>239</v>
      </c>
      <c r="D279">
        <v>45</v>
      </c>
      <c r="E279">
        <v>302.75</v>
      </c>
      <c r="F279">
        <v>2</v>
      </c>
      <c r="G279">
        <v>19</v>
      </c>
    </row>
    <row r="280" spans="1:9" x14ac:dyDescent="0.3">
      <c r="A280" t="s">
        <v>412</v>
      </c>
      <c r="B280" t="s">
        <v>253</v>
      </c>
      <c r="C280" t="s">
        <v>252</v>
      </c>
      <c r="D280">
        <v>68</v>
      </c>
      <c r="E280">
        <v>490.75</v>
      </c>
      <c r="F280">
        <v>2</v>
      </c>
      <c r="G280">
        <v>44.75</v>
      </c>
    </row>
    <row r="281" spans="1:9" x14ac:dyDescent="0.3">
      <c r="A281" t="s">
        <v>412</v>
      </c>
      <c r="B281" t="s">
        <v>279</v>
      </c>
      <c r="C281" t="s">
        <v>278</v>
      </c>
      <c r="D281">
        <v>193</v>
      </c>
      <c r="E281">
        <v>1192.25</v>
      </c>
      <c r="F281">
        <v>9</v>
      </c>
      <c r="G281">
        <v>64.5</v>
      </c>
    </row>
    <row r="282" spans="1:9" x14ac:dyDescent="0.3">
      <c r="A282" t="s">
        <v>412</v>
      </c>
      <c r="B282" t="s">
        <v>289</v>
      </c>
      <c r="C282" t="s">
        <v>288</v>
      </c>
      <c r="D282">
        <v>320</v>
      </c>
      <c r="E282">
        <v>1593.75</v>
      </c>
      <c r="F282">
        <v>7</v>
      </c>
      <c r="G282">
        <v>97.75</v>
      </c>
    </row>
    <row r="283" spans="1:9" x14ac:dyDescent="0.3">
      <c r="A283" t="s">
        <v>412</v>
      </c>
      <c r="B283" t="s">
        <v>304</v>
      </c>
      <c r="C283" t="s">
        <v>303</v>
      </c>
      <c r="D283">
        <v>286</v>
      </c>
      <c r="E283">
        <v>2213</v>
      </c>
      <c r="F283">
        <v>3</v>
      </c>
      <c r="G283">
        <v>68</v>
      </c>
    </row>
    <row r="284" spans="1:9" x14ac:dyDescent="0.3">
      <c r="A284" t="s">
        <v>365</v>
      </c>
      <c r="B284" t="s">
        <v>259</v>
      </c>
      <c r="C284" t="s">
        <v>258</v>
      </c>
      <c r="D284">
        <v>111</v>
      </c>
      <c r="E284">
        <v>761.5</v>
      </c>
      <c r="F284">
        <v>8</v>
      </c>
      <c r="G284">
        <v>133</v>
      </c>
    </row>
    <row r="285" spans="1:9" x14ac:dyDescent="0.3">
      <c r="A285" t="s">
        <v>365</v>
      </c>
      <c r="B285" t="s">
        <v>273</v>
      </c>
      <c r="C285" t="s">
        <v>272</v>
      </c>
      <c r="D285">
        <v>259</v>
      </c>
      <c r="E285">
        <v>1846.75</v>
      </c>
      <c r="F285">
        <v>17</v>
      </c>
      <c r="G285">
        <v>253.25</v>
      </c>
      <c r="H285">
        <v>5</v>
      </c>
      <c r="I285">
        <v>112.5</v>
      </c>
    </row>
    <row r="286" spans="1:9" x14ac:dyDescent="0.3">
      <c r="A286" t="s">
        <v>365</v>
      </c>
      <c r="B286" t="s">
        <v>277</v>
      </c>
      <c r="C286" t="s">
        <v>276</v>
      </c>
      <c r="D286">
        <v>142</v>
      </c>
      <c r="E286">
        <v>600.5</v>
      </c>
      <c r="F286">
        <v>5</v>
      </c>
      <c r="G286">
        <v>37.75</v>
      </c>
    </row>
    <row r="287" spans="1:9" x14ac:dyDescent="0.3">
      <c r="A287" t="s">
        <v>365</v>
      </c>
      <c r="B287" t="s">
        <v>287</v>
      </c>
      <c r="C287" t="s">
        <v>286</v>
      </c>
      <c r="D287">
        <v>105</v>
      </c>
      <c r="E287">
        <v>505.5</v>
      </c>
      <c r="F287">
        <v>4</v>
      </c>
      <c r="G287">
        <v>31</v>
      </c>
    </row>
    <row r="288" spans="1:9" x14ac:dyDescent="0.3">
      <c r="A288" t="s">
        <v>365</v>
      </c>
      <c r="B288" t="s">
        <v>304</v>
      </c>
      <c r="C288" t="s">
        <v>303</v>
      </c>
      <c r="D288">
        <v>278</v>
      </c>
      <c r="E288">
        <v>2462.25</v>
      </c>
      <c r="F288">
        <v>8</v>
      </c>
      <c r="G288">
        <v>133.5</v>
      </c>
    </row>
    <row r="289" spans="1:11" x14ac:dyDescent="0.3">
      <c r="A289" t="s">
        <v>366</v>
      </c>
      <c r="B289" t="s">
        <v>253</v>
      </c>
      <c r="C289" t="s">
        <v>252</v>
      </c>
      <c r="D289">
        <v>93</v>
      </c>
      <c r="E289">
        <v>607.5</v>
      </c>
      <c r="F289">
        <v>2</v>
      </c>
      <c r="G289">
        <v>26.25</v>
      </c>
    </row>
    <row r="290" spans="1:11" x14ac:dyDescent="0.3">
      <c r="A290" t="s">
        <v>366</v>
      </c>
      <c r="B290" t="s">
        <v>281</v>
      </c>
      <c r="C290" t="s">
        <v>280</v>
      </c>
      <c r="D290">
        <v>175</v>
      </c>
      <c r="E290">
        <v>986.75</v>
      </c>
      <c r="F290">
        <v>18</v>
      </c>
      <c r="G290">
        <v>256.25</v>
      </c>
      <c r="H290">
        <v>2</v>
      </c>
      <c r="I290">
        <v>23</v>
      </c>
    </row>
    <row r="291" spans="1:11" x14ac:dyDescent="0.3">
      <c r="A291" t="s">
        <v>366</v>
      </c>
      <c r="B291" t="s">
        <v>287</v>
      </c>
      <c r="C291" t="s">
        <v>286</v>
      </c>
      <c r="D291">
        <v>226</v>
      </c>
      <c r="E291">
        <v>1330.25</v>
      </c>
      <c r="F291">
        <v>37</v>
      </c>
      <c r="G291">
        <v>348.75</v>
      </c>
    </row>
    <row r="292" spans="1:11" x14ac:dyDescent="0.3">
      <c r="A292" t="s">
        <v>366</v>
      </c>
      <c r="B292" t="s">
        <v>296</v>
      </c>
      <c r="C292" t="s">
        <v>295</v>
      </c>
      <c r="D292">
        <v>238</v>
      </c>
      <c r="E292">
        <v>1268.75</v>
      </c>
    </row>
    <row r="293" spans="1:11" x14ac:dyDescent="0.3">
      <c r="A293" t="s">
        <v>366</v>
      </c>
      <c r="B293" t="s">
        <v>302</v>
      </c>
      <c r="C293" t="s">
        <v>301</v>
      </c>
      <c r="D293">
        <v>274</v>
      </c>
      <c r="E293">
        <v>1590.25</v>
      </c>
      <c r="F293">
        <v>14</v>
      </c>
      <c r="G293">
        <v>122.25</v>
      </c>
      <c r="H293">
        <v>1</v>
      </c>
      <c r="I293">
        <v>18.25</v>
      </c>
    </row>
    <row r="294" spans="1:11" x14ac:dyDescent="0.3">
      <c r="A294" t="s">
        <v>341</v>
      </c>
      <c r="B294" t="s">
        <v>240</v>
      </c>
      <c r="C294" t="s">
        <v>239</v>
      </c>
      <c r="D294">
        <v>65</v>
      </c>
      <c r="E294">
        <v>226.75</v>
      </c>
      <c r="F294">
        <v>3</v>
      </c>
      <c r="G294">
        <v>16</v>
      </c>
    </row>
    <row r="295" spans="1:11" x14ac:dyDescent="0.3">
      <c r="A295" t="s">
        <v>341</v>
      </c>
      <c r="B295" t="s">
        <v>300</v>
      </c>
      <c r="C295" t="s">
        <v>299</v>
      </c>
      <c r="D295">
        <v>14</v>
      </c>
      <c r="E295">
        <v>67</v>
      </c>
      <c r="F295">
        <v>2</v>
      </c>
      <c r="G295">
        <v>22</v>
      </c>
      <c r="J295">
        <v>3</v>
      </c>
      <c r="K295">
        <v>24</v>
      </c>
    </row>
    <row r="296" spans="1:11" x14ac:dyDescent="0.3">
      <c r="A296" t="s">
        <v>342</v>
      </c>
      <c r="B296" t="s">
        <v>224</v>
      </c>
      <c r="C296" t="s">
        <v>223</v>
      </c>
      <c r="D296">
        <v>99</v>
      </c>
      <c r="E296">
        <v>422.25</v>
      </c>
      <c r="F296">
        <v>20</v>
      </c>
      <c r="G296">
        <v>92.5</v>
      </c>
      <c r="H296">
        <v>2</v>
      </c>
      <c r="I296">
        <v>11</v>
      </c>
      <c r="J296">
        <v>1</v>
      </c>
      <c r="K296">
        <v>7.5</v>
      </c>
    </row>
    <row r="297" spans="1:11" x14ac:dyDescent="0.3">
      <c r="A297" t="s">
        <v>342</v>
      </c>
      <c r="B297" t="s">
        <v>228</v>
      </c>
      <c r="C297" t="s">
        <v>227</v>
      </c>
      <c r="D297">
        <v>171</v>
      </c>
      <c r="E297">
        <v>1143.75</v>
      </c>
      <c r="F297">
        <v>14</v>
      </c>
      <c r="G297">
        <v>157.75</v>
      </c>
      <c r="H297">
        <v>1</v>
      </c>
      <c r="I297">
        <v>14.5</v>
      </c>
    </row>
    <row r="298" spans="1:11" x14ac:dyDescent="0.3">
      <c r="A298" t="s">
        <v>342</v>
      </c>
      <c r="B298" t="s">
        <v>249</v>
      </c>
      <c r="C298" t="s">
        <v>248</v>
      </c>
      <c r="D298">
        <v>155</v>
      </c>
      <c r="E298">
        <v>975</v>
      </c>
      <c r="F298">
        <v>10</v>
      </c>
      <c r="G298">
        <v>143</v>
      </c>
      <c r="H298">
        <v>1</v>
      </c>
      <c r="I298">
        <v>51.75</v>
      </c>
    </row>
    <row r="299" spans="1:11" x14ac:dyDescent="0.3">
      <c r="A299" t="s">
        <v>342</v>
      </c>
      <c r="B299" t="s">
        <v>259</v>
      </c>
      <c r="C299" t="s">
        <v>258</v>
      </c>
      <c r="D299">
        <v>27</v>
      </c>
      <c r="E299">
        <v>236.5</v>
      </c>
      <c r="F299">
        <v>3</v>
      </c>
      <c r="G299">
        <v>49.75</v>
      </c>
    </row>
    <row r="300" spans="1:11" x14ac:dyDescent="0.3">
      <c r="A300" t="s">
        <v>342</v>
      </c>
      <c r="B300" t="s">
        <v>270</v>
      </c>
      <c r="C300" t="s">
        <v>269</v>
      </c>
      <c r="D300">
        <v>1125</v>
      </c>
      <c r="E300">
        <v>4472.75</v>
      </c>
      <c r="F300">
        <v>62</v>
      </c>
      <c r="G300">
        <v>403</v>
      </c>
    </row>
    <row r="301" spans="1:11" x14ac:dyDescent="0.3">
      <c r="A301" t="s">
        <v>342</v>
      </c>
      <c r="B301" t="s">
        <v>287</v>
      </c>
      <c r="C301" t="s">
        <v>286</v>
      </c>
      <c r="D301">
        <v>94</v>
      </c>
      <c r="E301">
        <v>542.75</v>
      </c>
      <c r="F301">
        <v>8</v>
      </c>
      <c r="G301">
        <v>85.75</v>
      </c>
    </row>
    <row r="302" spans="1:11" x14ac:dyDescent="0.3">
      <c r="A302" t="s">
        <v>342</v>
      </c>
      <c r="B302" t="s">
        <v>298</v>
      </c>
      <c r="C302" t="s">
        <v>297</v>
      </c>
      <c r="D302">
        <v>218</v>
      </c>
      <c r="E302">
        <v>1084.25</v>
      </c>
      <c r="F302">
        <v>13</v>
      </c>
      <c r="G302">
        <v>97.75</v>
      </c>
    </row>
    <row r="303" spans="1:11" x14ac:dyDescent="0.3">
      <c r="A303" t="s">
        <v>342</v>
      </c>
      <c r="B303" t="s">
        <v>307</v>
      </c>
      <c r="C303" t="s">
        <v>306</v>
      </c>
      <c r="D303">
        <v>203</v>
      </c>
      <c r="E303">
        <v>910.5</v>
      </c>
      <c r="F303">
        <v>21</v>
      </c>
      <c r="G303">
        <v>135.5</v>
      </c>
      <c r="J303">
        <v>1</v>
      </c>
      <c r="K303">
        <v>5.5</v>
      </c>
    </row>
    <row r="304" spans="1:11" x14ac:dyDescent="0.3">
      <c r="A304" t="s">
        <v>213</v>
      </c>
      <c r="B304" t="s">
        <v>215</v>
      </c>
      <c r="C304" t="s">
        <v>214</v>
      </c>
      <c r="D304">
        <v>349</v>
      </c>
      <c r="E304">
        <v>2090</v>
      </c>
      <c r="F304">
        <v>15</v>
      </c>
      <c r="G304">
        <v>161</v>
      </c>
      <c r="J304">
        <v>2</v>
      </c>
      <c r="K304">
        <v>4.5</v>
      </c>
    </row>
    <row r="305" spans="1:11" x14ac:dyDescent="0.3">
      <c r="A305" t="s">
        <v>213</v>
      </c>
      <c r="B305" t="s">
        <v>270</v>
      </c>
      <c r="C305" t="s">
        <v>269</v>
      </c>
      <c r="D305">
        <v>1067</v>
      </c>
      <c r="E305">
        <v>4671</v>
      </c>
      <c r="F305">
        <v>59</v>
      </c>
      <c r="G305">
        <v>525.75</v>
      </c>
      <c r="H305">
        <v>3</v>
      </c>
      <c r="I305">
        <v>49.25</v>
      </c>
    </row>
    <row r="306" spans="1:11" x14ac:dyDescent="0.3">
      <c r="A306" t="s">
        <v>213</v>
      </c>
      <c r="B306" t="s">
        <v>281</v>
      </c>
      <c r="C306" t="s">
        <v>280</v>
      </c>
      <c r="D306">
        <v>124</v>
      </c>
      <c r="E306">
        <v>579.75</v>
      </c>
      <c r="F306">
        <v>6</v>
      </c>
      <c r="G306">
        <v>75.25</v>
      </c>
      <c r="J306">
        <v>1</v>
      </c>
    </row>
    <row r="307" spans="1:11" x14ac:dyDescent="0.3">
      <c r="A307" t="s">
        <v>213</v>
      </c>
      <c r="B307" t="s">
        <v>283</v>
      </c>
      <c r="C307" t="s">
        <v>282</v>
      </c>
      <c r="D307">
        <v>21</v>
      </c>
      <c r="E307">
        <v>73.5</v>
      </c>
    </row>
    <row r="308" spans="1:11" x14ac:dyDescent="0.3">
      <c r="A308" t="s">
        <v>213</v>
      </c>
      <c r="B308" t="s">
        <v>287</v>
      </c>
      <c r="C308" t="s">
        <v>286</v>
      </c>
      <c r="D308">
        <v>239</v>
      </c>
      <c r="E308">
        <v>1222.25</v>
      </c>
      <c r="F308">
        <v>5</v>
      </c>
      <c r="G308">
        <v>47</v>
      </c>
    </row>
    <row r="309" spans="1:11" x14ac:dyDescent="0.3">
      <c r="A309" t="s">
        <v>213</v>
      </c>
      <c r="B309" t="s">
        <v>296</v>
      </c>
      <c r="C309" t="s">
        <v>295</v>
      </c>
      <c r="D309">
        <v>163</v>
      </c>
      <c r="E309">
        <v>836</v>
      </c>
      <c r="F309">
        <v>6</v>
      </c>
      <c r="G309">
        <v>94</v>
      </c>
    </row>
    <row r="310" spans="1:11" x14ac:dyDescent="0.3">
      <c r="A310" t="s">
        <v>312</v>
      </c>
      <c r="B310" t="s">
        <v>255</v>
      </c>
      <c r="C310" t="s">
        <v>254</v>
      </c>
      <c r="D310">
        <v>76</v>
      </c>
      <c r="F310">
        <v>2</v>
      </c>
    </row>
    <row r="311" spans="1:11" x14ac:dyDescent="0.3">
      <c r="A311" t="s">
        <v>312</v>
      </c>
      <c r="B311" t="s">
        <v>263</v>
      </c>
      <c r="C311" t="s">
        <v>262</v>
      </c>
      <c r="D311">
        <v>143</v>
      </c>
      <c r="F311">
        <v>7</v>
      </c>
    </row>
    <row r="312" spans="1:11" x14ac:dyDescent="0.3">
      <c r="A312" t="s">
        <v>312</v>
      </c>
      <c r="B312" t="s">
        <v>298</v>
      </c>
      <c r="C312" t="s">
        <v>297</v>
      </c>
      <c r="D312">
        <v>99</v>
      </c>
      <c r="F312">
        <v>5</v>
      </c>
    </row>
    <row r="313" spans="1:11" x14ac:dyDescent="0.3">
      <c r="A313" t="s">
        <v>312</v>
      </c>
      <c r="B313" t="s">
        <v>304</v>
      </c>
      <c r="C313" t="s">
        <v>303</v>
      </c>
      <c r="D313">
        <v>154</v>
      </c>
      <c r="F313">
        <v>5</v>
      </c>
    </row>
    <row r="314" spans="1:11" x14ac:dyDescent="0.3">
      <c r="A314" t="s">
        <v>318</v>
      </c>
      <c r="B314" t="s">
        <v>228</v>
      </c>
      <c r="C314" t="s">
        <v>227</v>
      </c>
      <c r="D314">
        <v>106</v>
      </c>
      <c r="E314">
        <v>628</v>
      </c>
      <c r="F314">
        <v>14</v>
      </c>
      <c r="G314">
        <v>237</v>
      </c>
    </row>
    <row r="315" spans="1:11" x14ac:dyDescent="0.3">
      <c r="A315" t="s">
        <v>318</v>
      </c>
      <c r="B315" t="s">
        <v>247</v>
      </c>
      <c r="C315" t="s">
        <v>246</v>
      </c>
      <c r="D315">
        <v>149</v>
      </c>
      <c r="E315">
        <v>745.25</v>
      </c>
      <c r="F315">
        <v>6</v>
      </c>
      <c r="G315">
        <v>76.75</v>
      </c>
      <c r="H315">
        <v>1</v>
      </c>
      <c r="I315">
        <v>27.5</v>
      </c>
    </row>
    <row r="316" spans="1:11" x14ac:dyDescent="0.3">
      <c r="A316" t="s">
        <v>318</v>
      </c>
      <c r="B316" t="s">
        <v>281</v>
      </c>
      <c r="C316" t="s">
        <v>280</v>
      </c>
      <c r="D316">
        <v>41</v>
      </c>
      <c r="E316">
        <v>252.75</v>
      </c>
      <c r="F316">
        <v>1</v>
      </c>
      <c r="G316">
        <v>5.5</v>
      </c>
      <c r="J316">
        <v>1</v>
      </c>
    </row>
    <row r="317" spans="1:11" x14ac:dyDescent="0.3">
      <c r="A317" t="s">
        <v>318</v>
      </c>
      <c r="B317" t="s">
        <v>296</v>
      </c>
      <c r="C317" t="s">
        <v>295</v>
      </c>
      <c r="D317">
        <v>73</v>
      </c>
      <c r="E317">
        <v>355.75</v>
      </c>
      <c r="F317">
        <v>7</v>
      </c>
      <c r="G317">
        <v>62.75</v>
      </c>
    </row>
    <row r="318" spans="1:11" x14ac:dyDescent="0.3">
      <c r="A318" t="s">
        <v>320</v>
      </c>
      <c r="B318" t="s">
        <v>247</v>
      </c>
      <c r="C318" t="s">
        <v>246</v>
      </c>
      <c r="D318">
        <v>267</v>
      </c>
      <c r="E318">
        <v>1285.25</v>
      </c>
      <c r="F318">
        <v>4</v>
      </c>
      <c r="G318">
        <v>39.25</v>
      </c>
      <c r="J318">
        <v>1</v>
      </c>
      <c r="K318">
        <v>7.5</v>
      </c>
    </row>
    <row r="319" spans="1:11" x14ac:dyDescent="0.3">
      <c r="A319" t="s">
        <v>320</v>
      </c>
      <c r="B319" t="s">
        <v>270</v>
      </c>
      <c r="C319" t="s">
        <v>269</v>
      </c>
      <c r="D319">
        <v>1003</v>
      </c>
      <c r="E319">
        <v>4540</v>
      </c>
      <c r="F319">
        <v>42</v>
      </c>
      <c r="G319">
        <v>236</v>
      </c>
      <c r="H319">
        <v>1</v>
      </c>
      <c r="I319">
        <v>22.75</v>
      </c>
      <c r="J319">
        <v>1</v>
      </c>
      <c r="K319">
        <v>8</v>
      </c>
    </row>
    <row r="320" spans="1:11" x14ac:dyDescent="0.3">
      <c r="A320" t="s">
        <v>320</v>
      </c>
      <c r="B320" t="s">
        <v>298</v>
      </c>
      <c r="C320" t="s">
        <v>297</v>
      </c>
      <c r="D320">
        <v>97</v>
      </c>
      <c r="E320">
        <v>537.5</v>
      </c>
      <c r="F320">
        <v>4</v>
      </c>
      <c r="G320">
        <v>43.5</v>
      </c>
    </row>
    <row r="321" spans="1:11" x14ac:dyDescent="0.3">
      <c r="A321" t="s">
        <v>325</v>
      </c>
      <c r="B321" t="s">
        <v>224</v>
      </c>
      <c r="C321" t="s">
        <v>223</v>
      </c>
      <c r="D321">
        <v>104</v>
      </c>
      <c r="E321">
        <v>594</v>
      </c>
      <c r="F321">
        <v>1</v>
      </c>
      <c r="G321">
        <v>3.25</v>
      </c>
    </row>
    <row r="322" spans="1:11" x14ac:dyDescent="0.3">
      <c r="A322" t="s">
        <v>325</v>
      </c>
      <c r="B322" t="s">
        <v>240</v>
      </c>
      <c r="C322" t="s">
        <v>239</v>
      </c>
      <c r="D322">
        <v>26</v>
      </c>
      <c r="E322">
        <v>147.75</v>
      </c>
      <c r="F322">
        <v>1</v>
      </c>
      <c r="G322">
        <v>8.25</v>
      </c>
    </row>
    <row r="323" spans="1:11" x14ac:dyDescent="0.3">
      <c r="A323" t="s">
        <v>325</v>
      </c>
      <c r="B323" t="s">
        <v>244</v>
      </c>
      <c r="C323" t="s">
        <v>243</v>
      </c>
      <c r="D323">
        <v>361</v>
      </c>
      <c r="E323">
        <v>2301</v>
      </c>
      <c r="F323">
        <v>4</v>
      </c>
      <c r="G323">
        <v>41.75</v>
      </c>
    </row>
    <row r="324" spans="1:11" x14ac:dyDescent="0.3">
      <c r="A324" t="s">
        <v>325</v>
      </c>
      <c r="B324" t="s">
        <v>263</v>
      </c>
      <c r="C324" t="s">
        <v>262</v>
      </c>
      <c r="D324">
        <v>88</v>
      </c>
      <c r="E324">
        <v>450</v>
      </c>
      <c r="F324">
        <v>3</v>
      </c>
      <c r="G324">
        <v>17</v>
      </c>
    </row>
    <row r="325" spans="1:11" x14ac:dyDescent="0.3">
      <c r="A325" t="s">
        <v>325</v>
      </c>
      <c r="B325" t="s">
        <v>292</v>
      </c>
      <c r="C325" t="s">
        <v>291</v>
      </c>
      <c r="D325">
        <v>8</v>
      </c>
      <c r="E325">
        <v>46.5</v>
      </c>
      <c r="F325">
        <v>1</v>
      </c>
      <c r="G325">
        <v>12.75</v>
      </c>
    </row>
    <row r="326" spans="1:11" x14ac:dyDescent="0.3">
      <c r="A326" t="s">
        <v>325</v>
      </c>
      <c r="B326" t="s">
        <v>300</v>
      </c>
      <c r="C326" t="s">
        <v>299</v>
      </c>
      <c r="D326">
        <v>64</v>
      </c>
      <c r="E326">
        <v>447.25</v>
      </c>
      <c r="F326">
        <v>2</v>
      </c>
      <c r="G326">
        <v>2.25</v>
      </c>
    </row>
    <row r="327" spans="1:11" x14ac:dyDescent="0.3">
      <c r="A327" t="s">
        <v>325</v>
      </c>
      <c r="B327" t="s">
        <v>304</v>
      </c>
      <c r="C327" t="s">
        <v>303</v>
      </c>
      <c r="D327">
        <v>223</v>
      </c>
      <c r="E327">
        <v>1791.75</v>
      </c>
      <c r="F327">
        <v>15</v>
      </c>
      <c r="G327">
        <v>195.5</v>
      </c>
    </row>
    <row r="328" spans="1:11" x14ac:dyDescent="0.3">
      <c r="A328" t="s">
        <v>326</v>
      </c>
      <c r="B328" t="s">
        <v>292</v>
      </c>
      <c r="C328" t="s">
        <v>291</v>
      </c>
      <c r="D328">
        <v>23</v>
      </c>
      <c r="E328">
        <v>129.75</v>
      </c>
      <c r="F328">
        <v>1</v>
      </c>
      <c r="G328">
        <v>11.75</v>
      </c>
    </row>
    <row r="329" spans="1:11" x14ac:dyDescent="0.3">
      <c r="A329" t="s">
        <v>326</v>
      </c>
      <c r="B329" t="s">
        <v>309</v>
      </c>
      <c r="C329" t="s">
        <v>308</v>
      </c>
      <c r="D329">
        <v>122</v>
      </c>
      <c r="E329">
        <v>571.25</v>
      </c>
      <c r="F329">
        <v>7</v>
      </c>
      <c r="G329">
        <v>68.5</v>
      </c>
    </row>
    <row r="330" spans="1:11" x14ac:dyDescent="0.3">
      <c r="A330" t="s">
        <v>328</v>
      </c>
      <c r="B330" t="s">
        <v>228</v>
      </c>
      <c r="C330" t="s">
        <v>227</v>
      </c>
      <c r="D330">
        <v>485</v>
      </c>
      <c r="E330">
        <v>2805</v>
      </c>
      <c r="F330">
        <v>23</v>
      </c>
      <c r="G330">
        <v>267.5</v>
      </c>
      <c r="J330">
        <v>1</v>
      </c>
      <c r="K330">
        <v>19.75</v>
      </c>
    </row>
    <row r="331" spans="1:11" x14ac:dyDescent="0.3">
      <c r="A331" t="s">
        <v>328</v>
      </c>
      <c r="B331" t="s">
        <v>259</v>
      </c>
      <c r="C331" t="s">
        <v>258</v>
      </c>
      <c r="D331">
        <v>46</v>
      </c>
      <c r="E331">
        <v>232.75</v>
      </c>
    </row>
    <row r="332" spans="1:11" x14ac:dyDescent="0.3">
      <c r="A332" t="s">
        <v>328</v>
      </c>
      <c r="B332" t="s">
        <v>270</v>
      </c>
      <c r="C332" t="s">
        <v>269</v>
      </c>
      <c r="D332">
        <v>1331</v>
      </c>
      <c r="E332">
        <v>5962.5</v>
      </c>
      <c r="F332">
        <v>70</v>
      </c>
      <c r="G332">
        <v>441.25</v>
      </c>
      <c r="J332">
        <v>1</v>
      </c>
      <c r="K332">
        <v>5.5</v>
      </c>
    </row>
    <row r="333" spans="1:11" x14ac:dyDescent="0.3">
      <c r="A333" t="s">
        <v>328</v>
      </c>
      <c r="B333" t="s">
        <v>273</v>
      </c>
      <c r="C333" t="s">
        <v>272</v>
      </c>
      <c r="D333">
        <v>379</v>
      </c>
      <c r="E333">
        <v>2709.25</v>
      </c>
      <c r="F333">
        <v>23</v>
      </c>
      <c r="G333">
        <v>379.25</v>
      </c>
      <c r="H333">
        <v>1</v>
      </c>
      <c r="I333">
        <v>64.5</v>
      </c>
    </row>
    <row r="334" spans="1:11" x14ac:dyDescent="0.3">
      <c r="A334" t="s">
        <v>328</v>
      </c>
      <c r="B334" t="s">
        <v>277</v>
      </c>
      <c r="C334" t="s">
        <v>276</v>
      </c>
      <c r="D334">
        <v>88</v>
      </c>
      <c r="E334">
        <v>454</v>
      </c>
      <c r="F334">
        <v>3</v>
      </c>
      <c r="G334">
        <v>32</v>
      </c>
    </row>
    <row r="335" spans="1:11" x14ac:dyDescent="0.3">
      <c r="A335" t="s">
        <v>328</v>
      </c>
      <c r="B335" t="s">
        <v>1208</v>
      </c>
      <c r="C335" t="s">
        <v>291</v>
      </c>
      <c r="D335">
        <v>42</v>
      </c>
      <c r="E335">
        <v>233.5</v>
      </c>
      <c r="F335">
        <v>1</v>
      </c>
      <c r="G335">
        <v>9</v>
      </c>
    </row>
    <row r="336" spans="1:11" x14ac:dyDescent="0.3">
      <c r="A336" t="s">
        <v>412</v>
      </c>
      <c r="B336" t="s">
        <v>220</v>
      </c>
      <c r="C336" t="s">
        <v>219</v>
      </c>
      <c r="D336">
        <v>221</v>
      </c>
      <c r="E336">
        <v>1585.25</v>
      </c>
      <c r="F336">
        <v>2</v>
      </c>
      <c r="G336">
        <v>23.75</v>
      </c>
      <c r="J336">
        <v>1</v>
      </c>
      <c r="K336">
        <v>36.75</v>
      </c>
    </row>
    <row r="337" spans="1:11" x14ac:dyDescent="0.3">
      <c r="A337" t="s">
        <v>412</v>
      </c>
      <c r="B337" t="s">
        <v>244</v>
      </c>
      <c r="C337" t="s">
        <v>243</v>
      </c>
      <c r="D337">
        <v>560</v>
      </c>
      <c r="E337">
        <v>3992.75</v>
      </c>
      <c r="F337">
        <v>8</v>
      </c>
      <c r="G337">
        <v>71.25</v>
      </c>
    </row>
    <row r="338" spans="1:11" x14ac:dyDescent="0.3">
      <c r="A338" t="s">
        <v>365</v>
      </c>
      <c r="B338" t="s">
        <v>247</v>
      </c>
      <c r="C338" t="s">
        <v>246</v>
      </c>
      <c r="D338">
        <v>456</v>
      </c>
      <c r="E338">
        <v>1804.75</v>
      </c>
      <c r="F338">
        <v>4</v>
      </c>
      <c r="G338">
        <v>13.5</v>
      </c>
    </row>
    <row r="339" spans="1:11" x14ac:dyDescent="0.3">
      <c r="A339" t="s">
        <v>365</v>
      </c>
      <c r="B339" t="s">
        <v>302</v>
      </c>
      <c r="C339" t="s">
        <v>301</v>
      </c>
      <c r="D339">
        <v>239</v>
      </c>
      <c r="E339">
        <v>1368.5</v>
      </c>
      <c r="F339">
        <v>8</v>
      </c>
      <c r="G339">
        <v>65.5</v>
      </c>
    </row>
    <row r="340" spans="1:11" x14ac:dyDescent="0.3">
      <c r="A340" t="s">
        <v>366</v>
      </c>
      <c r="B340" t="s">
        <v>224</v>
      </c>
      <c r="C340" t="s">
        <v>223</v>
      </c>
      <c r="D340">
        <v>167</v>
      </c>
      <c r="E340">
        <v>768.25</v>
      </c>
      <c r="F340">
        <v>7</v>
      </c>
      <c r="G340">
        <v>62</v>
      </c>
    </row>
    <row r="341" spans="1:11" x14ac:dyDescent="0.3">
      <c r="A341" t="s">
        <v>366</v>
      </c>
      <c r="B341" t="s">
        <v>244</v>
      </c>
      <c r="C341" t="s">
        <v>243</v>
      </c>
      <c r="D341">
        <v>236</v>
      </c>
      <c r="E341">
        <v>943.25</v>
      </c>
      <c r="F341">
        <v>60</v>
      </c>
      <c r="G341">
        <v>445.25</v>
      </c>
    </row>
    <row r="342" spans="1:11" x14ac:dyDescent="0.3">
      <c r="A342" t="s">
        <v>366</v>
      </c>
      <c r="B342" t="s">
        <v>249</v>
      </c>
      <c r="C342" t="s">
        <v>248</v>
      </c>
      <c r="D342">
        <v>131</v>
      </c>
      <c r="E342">
        <v>1016</v>
      </c>
      <c r="F342">
        <v>12</v>
      </c>
      <c r="G342">
        <v>128.75</v>
      </c>
      <c r="H342">
        <v>1</v>
      </c>
      <c r="I342">
        <v>28.5</v>
      </c>
    </row>
    <row r="343" spans="1:11" x14ac:dyDescent="0.3">
      <c r="A343" t="s">
        <v>366</v>
      </c>
      <c r="B343" t="s">
        <v>255</v>
      </c>
      <c r="C343" t="s">
        <v>254</v>
      </c>
      <c r="D343">
        <v>143</v>
      </c>
      <c r="E343">
        <v>628</v>
      </c>
      <c r="F343">
        <v>13</v>
      </c>
      <c r="G343">
        <v>106</v>
      </c>
    </row>
    <row r="344" spans="1:11" x14ac:dyDescent="0.3">
      <c r="A344" t="s">
        <v>366</v>
      </c>
      <c r="B344" t="s">
        <v>298</v>
      </c>
      <c r="C344" t="s">
        <v>297</v>
      </c>
      <c r="D344">
        <v>251</v>
      </c>
      <c r="E344">
        <v>1101.75</v>
      </c>
      <c r="F344">
        <v>39</v>
      </c>
      <c r="G344">
        <v>303.5</v>
      </c>
      <c r="J344">
        <v>1</v>
      </c>
      <c r="K344">
        <v>5.5</v>
      </c>
    </row>
    <row r="345" spans="1:11" x14ac:dyDescent="0.3">
      <c r="A345" t="s">
        <v>341</v>
      </c>
      <c r="B345" t="s">
        <v>220</v>
      </c>
      <c r="C345" t="s">
        <v>219</v>
      </c>
      <c r="D345">
        <v>336</v>
      </c>
      <c r="E345">
        <v>2384</v>
      </c>
      <c r="F345">
        <v>26</v>
      </c>
      <c r="G345">
        <v>277.5</v>
      </c>
      <c r="H345">
        <v>1</v>
      </c>
      <c r="I345">
        <v>6.5</v>
      </c>
    </row>
    <row r="346" spans="1:11" x14ac:dyDescent="0.3">
      <c r="A346" t="s">
        <v>341</v>
      </c>
      <c r="B346" t="s">
        <v>224</v>
      </c>
      <c r="C346" t="s">
        <v>223</v>
      </c>
      <c r="D346">
        <v>97</v>
      </c>
      <c r="E346">
        <v>396</v>
      </c>
      <c r="F346">
        <v>2</v>
      </c>
      <c r="G346">
        <v>19.75</v>
      </c>
    </row>
    <row r="347" spans="1:11" x14ac:dyDescent="0.3">
      <c r="A347" t="s">
        <v>341</v>
      </c>
      <c r="B347" t="s">
        <v>234</v>
      </c>
      <c r="C347" t="s">
        <v>233</v>
      </c>
      <c r="D347">
        <v>733</v>
      </c>
      <c r="E347">
        <v>2765</v>
      </c>
      <c r="F347">
        <v>50</v>
      </c>
      <c r="G347">
        <v>314</v>
      </c>
      <c r="H347">
        <v>3</v>
      </c>
      <c r="I347">
        <v>28</v>
      </c>
      <c r="J347">
        <v>4</v>
      </c>
      <c r="K347">
        <v>8.25</v>
      </c>
    </row>
    <row r="348" spans="1:11" x14ac:dyDescent="0.3">
      <c r="A348" t="s">
        <v>341</v>
      </c>
      <c r="B348" t="s">
        <v>270</v>
      </c>
      <c r="C348" t="s">
        <v>269</v>
      </c>
      <c r="D348">
        <v>1457</v>
      </c>
      <c r="E348">
        <v>6398</v>
      </c>
      <c r="F348">
        <v>105</v>
      </c>
      <c r="G348">
        <v>596</v>
      </c>
    </row>
    <row r="349" spans="1:11" x14ac:dyDescent="0.3">
      <c r="A349" t="s">
        <v>341</v>
      </c>
      <c r="B349" t="s">
        <v>311</v>
      </c>
      <c r="C349" t="s">
        <v>310</v>
      </c>
      <c r="D349">
        <v>155</v>
      </c>
      <c r="E349">
        <v>749</v>
      </c>
      <c r="F349">
        <v>22</v>
      </c>
      <c r="G349">
        <v>164.25</v>
      </c>
    </row>
    <row r="350" spans="1:11" x14ac:dyDescent="0.3">
      <c r="A350" t="s">
        <v>342</v>
      </c>
      <c r="B350" t="s">
        <v>247</v>
      </c>
      <c r="C350" t="s">
        <v>246</v>
      </c>
      <c r="D350">
        <v>299</v>
      </c>
      <c r="E350">
        <v>1117.25</v>
      </c>
      <c r="F350">
        <v>7</v>
      </c>
      <c r="G350">
        <v>57.75</v>
      </c>
      <c r="J350">
        <v>1</v>
      </c>
      <c r="K350">
        <v>7</v>
      </c>
    </row>
    <row r="351" spans="1:11" x14ac:dyDescent="0.3">
      <c r="A351" t="s">
        <v>342</v>
      </c>
      <c r="B351" t="s">
        <v>263</v>
      </c>
      <c r="C351" t="s">
        <v>262</v>
      </c>
      <c r="D351">
        <v>148</v>
      </c>
      <c r="E351">
        <v>843</v>
      </c>
      <c r="F351">
        <v>11</v>
      </c>
      <c r="G351">
        <v>143.25</v>
      </c>
    </row>
    <row r="352" spans="1:11" x14ac:dyDescent="0.3">
      <c r="A352" t="s">
        <v>342</v>
      </c>
      <c r="B352" t="s">
        <v>281</v>
      </c>
      <c r="C352" t="s">
        <v>280</v>
      </c>
      <c r="D352">
        <v>207</v>
      </c>
      <c r="E352">
        <v>1131.25</v>
      </c>
      <c r="F352">
        <v>9</v>
      </c>
      <c r="G352">
        <v>130.75</v>
      </c>
    </row>
    <row r="353" spans="1:11" x14ac:dyDescent="0.3">
      <c r="A353" t="s">
        <v>342</v>
      </c>
      <c r="B353" t="s">
        <v>294</v>
      </c>
      <c r="C353" t="s">
        <v>293</v>
      </c>
      <c r="D353">
        <v>284</v>
      </c>
      <c r="E353">
        <v>1240.75</v>
      </c>
      <c r="F353">
        <v>9</v>
      </c>
      <c r="G353">
        <v>81.25</v>
      </c>
    </row>
    <row r="354" spans="1:11" x14ac:dyDescent="0.3">
      <c r="A354" t="s">
        <v>213</v>
      </c>
      <c r="B354" t="s">
        <v>249</v>
      </c>
      <c r="C354" t="s">
        <v>248</v>
      </c>
      <c r="D354">
        <v>138</v>
      </c>
      <c r="E354">
        <v>837.25</v>
      </c>
      <c r="F354">
        <v>7</v>
      </c>
      <c r="G354">
        <v>59</v>
      </c>
    </row>
    <row r="355" spans="1:11" x14ac:dyDescent="0.3">
      <c r="A355" t="s">
        <v>213</v>
      </c>
      <c r="B355" t="s">
        <v>307</v>
      </c>
      <c r="C355" t="s">
        <v>306</v>
      </c>
      <c r="D355">
        <v>190</v>
      </c>
      <c r="E355">
        <v>759</v>
      </c>
      <c r="F355">
        <v>3</v>
      </c>
      <c r="G355">
        <v>38.75</v>
      </c>
    </row>
    <row r="356" spans="1:11" x14ac:dyDescent="0.3">
      <c r="A356" t="s">
        <v>312</v>
      </c>
      <c r="B356" t="s">
        <v>287</v>
      </c>
      <c r="C356" t="s">
        <v>286</v>
      </c>
      <c r="D356">
        <v>145</v>
      </c>
      <c r="F356">
        <v>3</v>
      </c>
    </row>
    <row r="357" spans="1:11" x14ac:dyDescent="0.3">
      <c r="A357" t="s">
        <v>318</v>
      </c>
      <c r="B357" t="s">
        <v>240</v>
      </c>
      <c r="C357" t="s">
        <v>239</v>
      </c>
      <c r="D357">
        <v>35</v>
      </c>
      <c r="E357">
        <v>206.25</v>
      </c>
    </row>
    <row r="358" spans="1:11" x14ac:dyDescent="0.3">
      <c r="A358" t="s">
        <v>318</v>
      </c>
      <c r="B358" t="s">
        <v>253</v>
      </c>
      <c r="C358" t="s">
        <v>252</v>
      </c>
      <c r="D358">
        <v>45</v>
      </c>
      <c r="E358">
        <v>153.5</v>
      </c>
    </row>
    <row r="359" spans="1:11" x14ac:dyDescent="0.3">
      <c r="A359" t="s">
        <v>318</v>
      </c>
      <c r="B359" t="s">
        <v>277</v>
      </c>
      <c r="C359" t="s">
        <v>276</v>
      </c>
      <c r="D359">
        <v>29</v>
      </c>
      <c r="E359">
        <v>163</v>
      </c>
    </row>
    <row r="360" spans="1:11" x14ac:dyDescent="0.3">
      <c r="A360" t="s">
        <v>318</v>
      </c>
      <c r="B360" t="s">
        <v>294</v>
      </c>
      <c r="C360" t="s">
        <v>496</v>
      </c>
      <c r="D360">
        <v>152</v>
      </c>
      <c r="E360">
        <v>697</v>
      </c>
    </row>
    <row r="361" spans="1:11" x14ac:dyDescent="0.3">
      <c r="A361" t="s">
        <v>318</v>
      </c>
      <c r="B361" t="s">
        <v>298</v>
      </c>
      <c r="C361" t="s">
        <v>297</v>
      </c>
      <c r="D361">
        <v>63</v>
      </c>
      <c r="E361">
        <v>350</v>
      </c>
      <c r="F361">
        <v>3</v>
      </c>
      <c r="G361">
        <v>49.5</v>
      </c>
    </row>
    <row r="362" spans="1:11" x14ac:dyDescent="0.3">
      <c r="A362" t="s">
        <v>318</v>
      </c>
      <c r="B362" t="s">
        <v>304</v>
      </c>
      <c r="C362" t="s">
        <v>303</v>
      </c>
      <c r="D362">
        <v>141</v>
      </c>
      <c r="E362">
        <v>1621</v>
      </c>
      <c r="F362">
        <v>4</v>
      </c>
      <c r="G362">
        <v>64.75</v>
      </c>
    </row>
    <row r="363" spans="1:11" x14ac:dyDescent="0.3">
      <c r="A363" t="s">
        <v>320</v>
      </c>
      <c r="B363" t="s">
        <v>1212</v>
      </c>
      <c r="C363" t="s">
        <v>233</v>
      </c>
      <c r="D363">
        <v>692</v>
      </c>
      <c r="E363">
        <v>3146.25</v>
      </c>
      <c r="F363">
        <v>18</v>
      </c>
      <c r="G363">
        <v>259.5</v>
      </c>
      <c r="J363">
        <v>1</v>
      </c>
      <c r="K363">
        <v>13</v>
      </c>
    </row>
    <row r="364" spans="1:11" x14ac:dyDescent="0.3">
      <c r="A364" t="s">
        <v>320</v>
      </c>
      <c r="B364" t="s">
        <v>1250</v>
      </c>
      <c r="C364" t="s">
        <v>1092</v>
      </c>
      <c r="D364">
        <v>365</v>
      </c>
      <c r="E364">
        <v>1707.75</v>
      </c>
      <c r="F364">
        <v>5</v>
      </c>
      <c r="G364">
        <v>90.25</v>
      </c>
      <c r="J364">
        <v>3</v>
      </c>
      <c r="K364">
        <v>16.25</v>
      </c>
    </row>
    <row r="365" spans="1:11" x14ac:dyDescent="0.3">
      <c r="A365" t="s">
        <v>320</v>
      </c>
      <c r="B365" t="s">
        <v>279</v>
      </c>
      <c r="C365" t="s">
        <v>278</v>
      </c>
      <c r="D365">
        <v>83</v>
      </c>
      <c r="E365">
        <v>501</v>
      </c>
      <c r="F365">
        <v>5</v>
      </c>
      <c r="G365">
        <v>92.25</v>
      </c>
      <c r="H365">
        <v>1</v>
      </c>
      <c r="I365">
        <v>65</v>
      </c>
    </row>
    <row r="366" spans="1:11" x14ac:dyDescent="0.3">
      <c r="A366" t="s">
        <v>320</v>
      </c>
      <c r="B366" t="s">
        <v>296</v>
      </c>
      <c r="C366" t="s">
        <v>295</v>
      </c>
      <c r="D366">
        <v>94</v>
      </c>
      <c r="E366">
        <v>625</v>
      </c>
      <c r="F366">
        <v>1</v>
      </c>
      <c r="G366">
        <v>6.25</v>
      </c>
    </row>
    <row r="367" spans="1:11" x14ac:dyDescent="0.3">
      <c r="A367" t="s">
        <v>320</v>
      </c>
      <c r="B367" t="s">
        <v>307</v>
      </c>
      <c r="C367" t="s">
        <v>306</v>
      </c>
      <c r="D367">
        <v>171</v>
      </c>
      <c r="E367">
        <v>815.25</v>
      </c>
      <c r="F367">
        <v>4</v>
      </c>
      <c r="G367">
        <v>42.75</v>
      </c>
    </row>
    <row r="368" spans="1:11" x14ac:dyDescent="0.3">
      <c r="A368" t="s">
        <v>325</v>
      </c>
      <c r="B368" t="s">
        <v>215</v>
      </c>
      <c r="C368" t="s">
        <v>214</v>
      </c>
      <c r="D368">
        <v>350</v>
      </c>
      <c r="E368">
        <v>2702.5</v>
      </c>
      <c r="F368">
        <v>7</v>
      </c>
      <c r="G368">
        <v>130.75</v>
      </c>
    </row>
    <row r="369" spans="1:11" x14ac:dyDescent="0.3">
      <c r="A369" t="s">
        <v>325</v>
      </c>
      <c r="B369" t="s">
        <v>249</v>
      </c>
      <c r="C369" t="s">
        <v>248</v>
      </c>
      <c r="D369">
        <v>146</v>
      </c>
      <c r="E369">
        <v>706</v>
      </c>
      <c r="F369">
        <v>4</v>
      </c>
      <c r="G369">
        <v>42.5</v>
      </c>
    </row>
    <row r="370" spans="1:11" x14ac:dyDescent="0.3">
      <c r="A370" t="s">
        <v>325</v>
      </c>
      <c r="B370" t="s">
        <v>259</v>
      </c>
      <c r="C370" t="s">
        <v>258</v>
      </c>
      <c r="D370">
        <v>49</v>
      </c>
      <c r="E370">
        <v>290.5</v>
      </c>
    </row>
    <row r="371" spans="1:11" x14ac:dyDescent="0.3">
      <c r="A371" t="s">
        <v>325</v>
      </c>
      <c r="B371" t="s">
        <v>277</v>
      </c>
      <c r="C371" t="s">
        <v>276</v>
      </c>
      <c r="D371">
        <v>73</v>
      </c>
      <c r="E371">
        <v>511.75</v>
      </c>
    </row>
    <row r="372" spans="1:11" x14ac:dyDescent="0.3">
      <c r="A372" t="s">
        <v>325</v>
      </c>
      <c r="B372" t="s">
        <v>281</v>
      </c>
      <c r="C372" t="s">
        <v>280</v>
      </c>
      <c r="D372">
        <v>139</v>
      </c>
      <c r="E372">
        <v>1163</v>
      </c>
      <c r="F372">
        <v>12</v>
      </c>
      <c r="G372">
        <v>258.25</v>
      </c>
    </row>
    <row r="373" spans="1:11" x14ac:dyDescent="0.3">
      <c r="A373" t="s">
        <v>326</v>
      </c>
      <c r="B373" t="s">
        <v>234</v>
      </c>
      <c r="C373" t="s">
        <v>233</v>
      </c>
      <c r="D373">
        <v>523</v>
      </c>
      <c r="E373">
        <v>2808</v>
      </c>
      <c r="F373">
        <v>41</v>
      </c>
      <c r="G373">
        <v>513</v>
      </c>
      <c r="H373">
        <v>1</v>
      </c>
      <c r="I373">
        <v>30.25</v>
      </c>
      <c r="J373">
        <v>1</v>
      </c>
    </row>
    <row r="374" spans="1:11" x14ac:dyDescent="0.3">
      <c r="A374" t="s">
        <v>326</v>
      </c>
      <c r="B374" t="s">
        <v>240</v>
      </c>
      <c r="C374" t="s">
        <v>239</v>
      </c>
      <c r="D374">
        <v>24</v>
      </c>
      <c r="E374">
        <v>154.75</v>
      </c>
      <c r="F374">
        <v>1</v>
      </c>
      <c r="G374">
        <v>4.75</v>
      </c>
    </row>
    <row r="375" spans="1:11" x14ac:dyDescent="0.3">
      <c r="A375" t="s">
        <v>326</v>
      </c>
      <c r="B375" t="s">
        <v>1252</v>
      </c>
      <c r="C375" t="s">
        <v>272</v>
      </c>
      <c r="D375">
        <v>348</v>
      </c>
      <c r="E375">
        <v>2388.75</v>
      </c>
      <c r="F375">
        <v>14</v>
      </c>
      <c r="G375">
        <v>500.25</v>
      </c>
      <c r="J375">
        <v>2</v>
      </c>
      <c r="K375">
        <v>108.75</v>
      </c>
    </row>
    <row r="376" spans="1:11" x14ac:dyDescent="0.3">
      <c r="A376" t="s">
        <v>326</v>
      </c>
      <c r="B376" t="s">
        <v>283</v>
      </c>
      <c r="C376" t="s">
        <v>282</v>
      </c>
      <c r="D376">
        <v>33</v>
      </c>
      <c r="E376">
        <v>186.75</v>
      </c>
      <c r="F376">
        <v>1</v>
      </c>
      <c r="G376">
        <v>12.25</v>
      </c>
    </row>
    <row r="377" spans="1:11" x14ac:dyDescent="0.3">
      <c r="A377" t="s">
        <v>326</v>
      </c>
      <c r="B377" t="s">
        <v>289</v>
      </c>
      <c r="C377" t="s">
        <v>288</v>
      </c>
      <c r="D377">
        <v>423</v>
      </c>
      <c r="E377">
        <v>1918.25</v>
      </c>
      <c r="F377">
        <v>8</v>
      </c>
      <c r="G377">
        <v>61.75</v>
      </c>
    </row>
    <row r="378" spans="1:11" x14ac:dyDescent="0.3">
      <c r="A378" t="s">
        <v>326</v>
      </c>
      <c r="B378" t="s">
        <v>298</v>
      </c>
      <c r="C378" t="s">
        <v>297</v>
      </c>
      <c r="D378">
        <v>146</v>
      </c>
      <c r="E378">
        <v>737.5</v>
      </c>
      <c r="F378">
        <v>14</v>
      </c>
      <c r="G378">
        <v>142.75</v>
      </c>
    </row>
    <row r="379" spans="1:11" x14ac:dyDescent="0.3">
      <c r="A379" t="s">
        <v>328</v>
      </c>
      <c r="B379" t="s">
        <v>1205</v>
      </c>
      <c r="C379" t="s">
        <v>223</v>
      </c>
      <c r="D379">
        <v>69</v>
      </c>
      <c r="E379">
        <v>380.75</v>
      </c>
      <c r="F379">
        <v>1</v>
      </c>
      <c r="G379">
        <v>6.75</v>
      </c>
    </row>
    <row r="380" spans="1:11" x14ac:dyDescent="0.3">
      <c r="A380" t="s">
        <v>328</v>
      </c>
      <c r="B380" t="s">
        <v>234</v>
      </c>
      <c r="C380" t="s">
        <v>233</v>
      </c>
      <c r="D380">
        <v>655</v>
      </c>
      <c r="E380">
        <v>3002.5</v>
      </c>
      <c r="F380">
        <v>51</v>
      </c>
      <c r="G380">
        <v>430.75</v>
      </c>
    </row>
    <row r="381" spans="1:11" x14ac:dyDescent="0.3">
      <c r="A381" t="s">
        <v>328</v>
      </c>
      <c r="B381" t="s">
        <v>283</v>
      </c>
      <c r="C381" t="s">
        <v>282</v>
      </c>
      <c r="D381">
        <v>35</v>
      </c>
      <c r="E381">
        <v>226.75</v>
      </c>
      <c r="F381">
        <v>1</v>
      </c>
      <c r="G381">
        <v>14.75</v>
      </c>
    </row>
    <row r="382" spans="1:11" x14ac:dyDescent="0.3">
      <c r="A382" t="s">
        <v>328</v>
      </c>
      <c r="B382" t="s">
        <v>289</v>
      </c>
      <c r="C382" t="s">
        <v>288</v>
      </c>
      <c r="D382">
        <v>336</v>
      </c>
      <c r="E382">
        <v>1735</v>
      </c>
      <c r="F382">
        <v>8</v>
      </c>
      <c r="G382">
        <v>44</v>
      </c>
      <c r="J382">
        <v>1</v>
      </c>
      <c r="K382">
        <v>31</v>
      </c>
    </row>
    <row r="383" spans="1:11" x14ac:dyDescent="0.3">
      <c r="A383" t="s">
        <v>412</v>
      </c>
      <c r="B383" t="s">
        <v>283</v>
      </c>
      <c r="C383" t="s">
        <v>282</v>
      </c>
      <c r="D383">
        <v>40</v>
      </c>
      <c r="E383">
        <v>238</v>
      </c>
      <c r="F383">
        <v>2</v>
      </c>
      <c r="G383">
        <v>50</v>
      </c>
      <c r="H383">
        <v>1</v>
      </c>
      <c r="I383">
        <v>37.75</v>
      </c>
    </row>
    <row r="384" spans="1:11" x14ac:dyDescent="0.3">
      <c r="A384" t="s">
        <v>412</v>
      </c>
      <c r="B384" t="s">
        <v>298</v>
      </c>
      <c r="C384" t="s">
        <v>297</v>
      </c>
      <c r="D384">
        <v>241</v>
      </c>
      <c r="E384">
        <v>1208</v>
      </c>
      <c r="F384">
        <v>10</v>
      </c>
      <c r="G384">
        <v>91.75</v>
      </c>
    </row>
    <row r="385" spans="1:7" x14ac:dyDescent="0.3">
      <c r="A385" t="s">
        <v>412</v>
      </c>
      <c r="B385" t="s">
        <v>309</v>
      </c>
      <c r="C385" t="s">
        <v>308</v>
      </c>
      <c r="D385">
        <v>110</v>
      </c>
      <c r="E385">
        <v>560</v>
      </c>
      <c r="F385">
        <v>1</v>
      </c>
      <c r="G385">
        <v>7.25</v>
      </c>
    </row>
  </sheetData>
  <pageMargins left="0.7" right="0.7" top="0.75" bottom="0.75" header="0.3" footer="0.3"/>
  <tableParts count="1">
    <tablePart r:id="rId1"/>
  </tableParts>
</worksheet>
</file>

<file path=xl/worksheets/sheet18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Sheet35">
    <tabColor theme="3" tint="0.39997558519241921"/>
    <pageSetUpPr fitToPage="1"/>
  </sheetPr>
  <dimension ref="A1:O50"/>
  <sheetViews>
    <sheetView showGridLines="0" zoomScale="85" zoomScaleNormal="85" workbookViewId="0">
      <pane ySplit="2" topLeftCell="A5" activePane="bottomLeft" state="frozen"/>
      <selection pane="bottomLeft"/>
    </sheetView>
  </sheetViews>
  <sheetFormatPr defaultRowHeight="14.4" x14ac:dyDescent="0.3"/>
  <cols>
    <col min="1" max="1" width="16.5546875" customWidth="1"/>
    <col min="2" max="2" width="23.33203125" customWidth="1"/>
    <col min="3" max="3" width="11.5546875" customWidth="1"/>
    <col min="4" max="4" width="10.88671875" customWidth="1"/>
    <col min="5" max="6" width="11.5546875" customWidth="1"/>
    <col min="7" max="10" width="9.6640625" customWidth="1"/>
    <col min="11" max="11" width="10.33203125" customWidth="1"/>
    <col min="12" max="12" width="9.6640625" customWidth="1"/>
    <col min="13" max="13" width="11.33203125" bestFit="1" customWidth="1"/>
    <col min="14" max="14" width="14.33203125" customWidth="1"/>
    <col min="15" max="15" width="13.5546875" customWidth="1"/>
  </cols>
  <sheetData>
    <row r="1" spans="1:15" ht="15.6" x14ac:dyDescent="0.3">
      <c r="A1" s="513" t="s">
        <v>1118</v>
      </c>
    </row>
    <row r="2" spans="1:15" x14ac:dyDescent="0.3">
      <c r="A2" s="498" t="s">
        <v>202</v>
      </c>
    </row>
    <row r="3" spans="1:15" x14ac:dyDescent="0.3">
      <c r="A3" s="25"/>
    </row>
    <row r="4" spans="1:15" ht="15.75" customHeight="1" x14ac:dyDescent="0.3">
      <c r="A4" s="522" t="s">
        <v>1253</v>
      </c>
      <c r="B4" s="522"/>
      <c r="C4" s="522"/>
      <c r="D4" s="522"/>
      <c r="E4" s="522"/>
      <c r="F4" s="522"/>
      <c r="G4" s="522"/>
      <c r="H4" s="522"/>
      <c r="I4" s="522"/>
      <c r="J4" s="522"/>
      <c r="K4" s="522"/>
    </row>
    <row r="5" spans="1:15" ht="15.6" x14ac:dyDescent="0.3">
      <c r="A5" t="s">
        <v>203</v>
      </c>
      <c r="B5" t="s">
        <v>192</v>
      </c>
      <c r="C5" s="499"/>
      <c r="D5" s="499"/>
      <c r="E5" s="499"/>
      <c r="F5" s="499"/>
      <c r="G5" s="499"/>
      <c r="H5" s="499"/>
      <c r="I5" s="499"/>
      <c r="J5" s="499"/>
      <c r="K5" s="499"/>
    </row>
    <row r="6" spans="1:15" ht="15.6" x14ac:dyDescent="0.3">
      <c r="A6" t="s">
        <v>204</v>
      </c>
      <c r="B6" t="s">
        <v>205</v>
      </c>
      <c r="C6" s="499"/>
      <c r="D6" s="499"/>
      <c r="E6" s="499"/>
      <c r="F6" s="499"/>
      <c r="G6" s="499"/>
      <c r="H6" s="499"/>
      <c r="I6" s="499"/>
      <c r="J6" s="499"/>
      <c r="K6" s="499"/>
    </row>
    <row r="7" spans="1:15" ht="15.6" x14ac:dyDescent="0.3">
      <c r="A7" t="s">
        <v>206</v>
      </c>
      <c r="B7" t="s">
        <v>207</v>
      </c>
      <c r="C7" s="499"/>
      <c r="D7" s="499"/>
      <c r="E7" s="499"/>
      <c r="F7" s="499"/>
      <c r="G7" s="499"/>
      <c r="H7" s="499"/>
      <c r="I7" s="499"/>
      <c r="J7" s="499"/>
      <c r="K7" s="499"/>
    </row>
    <row r="8" spans="1:15" ht="15.6" x14ac:dyDescent="0.3">
      <c r="C8" s="499"/>
      <c r="D8" s="499"/>
      <c r="E8" s="499"/>
      <c r="F8" s="499"/>
      <c r="G8" s="499"/>
      <c r="H8" s="499"/>
      <c r="I8" s="499"/>
      <c r="J8" s="499"/>
      <c r="K8" s="499"/>
    </row>
    <row r="9" spans="1:15" x14ac:dyDescent="0.3">
      <c r="A9" s="312" t="s">
        <v>208</v>
      </c>
      <c r="B9" s="312" t="str">
        <f>auditsoutcomeLApivot!B1</f>
        <v>2025-26</v>
      </c>
    </row>
    <row r="10" spans="1:15" ht="30.75" customHeight="1" x14ac:dyDescent="0.3">
      <c r="B10" s="12"/>
      <c r="C10" s="1082" t="s">
        <v>1232</v>
      </c>
      <c r="D10" s="1082"/>
      <c r="E10" s="1082" t="s">
        <v>1233</v>
      </c>
      <c r="F10" s="1082"/>
      <c r="G10" s="1082" t="s">
        <v>1184</v>
      </c>
      <c r="H10" s="1082"/>
      <c r="I10" s="1082" t="s">
        <v>1234</v>
      </c>
      <c r="J10" s="1082"/>
      <c r="K10" s="1082" t="s">
        <v>1235</v>
      </c>
      <c r="L10" s="1082"/>
      <c r="M10" s="12"/>
      <c r="N10" s="12"/>
      <c r="O10" s="12"/>
    </row>
    <row r="11" spans="1:15" ht="40.200000000000003" x14ac:dyDescent="0.3">
      <c r="A11" s="525" t="s">
        <v>209</v>
      </c>
      <c r="B11" s="240" t="s">
        <v>34</v>
      </c>
      <c r="C11" s="603" t="s">
        <v>346</v>
      </c>
      <c r="D11" s="603" t="s">
        <v>1237</v>
      </c>
      <c r="E11" s="603" t="s">
        <v>346</v>
      </c>
      <c r="F11" s="603" t="s">
        <v>1237</v>
      </c>
      <c r="G11" s="604" t="s">
        <v>1184</v>
      </c>
      <c r="H11" s="209" t="s">
        <v>1254</v>
      </c>
      <c r="I11" s="603" t="s">
        <v>346</v>
      </c>
      <c r="J11" s="603" t="s">
        <v>1237</v>
      </c>
      <c r="K11" s="603" t="s">
        <v>346</v>
      </c>
      <c r="L11" s="605" t="s">
        <v>1237</v>
      </c>
      <c r="M11" s="547" t="s">
        <v>1238</v>
      </c>
      <c r="N11" s="321" t="s">
        <v>1232</v>
      </c>
      <c r="O11" s="548" t="s">
        <v>1233</v>
      </c>
    </row>
    <row r="12" spans="1:15" ht="16.5" customHeight="1" x14ac:dyDescent="0.3">
      <c r="A12" s="388" t="s">
        <v>214</v>
      </c>
      <c r="B12" s="539" t="s">
        <v>215</v>
      </c>
      <c r="C12" s="278">
        <f>auditsoutcomeLApivot!B4</f>
        <v>396</v>
      </c>
      <c r="D12" s="278">
        <f>auditsoutcomeLApivot!C4</f>
        <v>2709.5</v>
      </c>
      <c r="E12" s="278">
        <f>auditsoutcomeLApivot!D4</f>
        <v>3</v>
      </c>
      <c r="F12" s="278">
        <f>auditsoutcomeLApivot!E4</f>
        <v>43.25</v>
      </c>
      <c r="G12" s="279">
        <f>E12+C12</f>
        <v>399</v>
      </c>
      <c r="H12" s="279">
        <f>F12+D12</f>
        <v>2752.75</v>
      </c>
      <c r="I12" s="50">
        <f>auditsoutcomeLApivot!F4</f>
        <v>0</v>
      </c>
      <c r="J12" s="50">
        <f>auditsoutcomeLApivot!G4</f>
        <v>0</v>
      </c>
      <c r="K12" s="50">
        <f>auditsoutcomeLApivot!H4</f>
        <v>0</v>
      </c>
      <c r="L12" s="481">
        <f>auditsoutcomeLApivot!I4</f>
        <v>0</v>
      </c>
      <c r="M12" s="763">
        <f>IFERROR(C12/G12*100, "")</f>
        <v>99.248120300751879</v>
      </c>
      <c r="N12" s="759">
        <f>IFERROR(IF($A$10="2019-20", "", D12/C12), "-")</f>
        <v>6.8421717171717171</v>
      </c>
      <c r="O12" s="759">
        <f>IFERROR(IF($A$10="2019-20", "", F12/E12), "-")</f>
        <v>14.416666666666666</v>
      </c>
    </row>
    <row r="13" spans="1:15" x14ac:dyDescent="0.3">
      <c r="A13" s="388" t="s">
        <v>219</v>
      </c>
      <c r="B13" s="539" t="s">
        <v>220</v>
      </c>
      <c r="C13" s="278">
        <f>auditsoutcomeLApivot!B5</f>
        <v>221</v>
      </c>
      <c r="D13" s="278">
        <f>auditsoutcomeLApivot!C5</f>
        <v>1585.25</v>
      </c>
      <c r="E13" s="278">
        <f>auditsoutcomeLApivot!D5</f>
        <v>2</v>
      </c>
      <c r="F13" s="278">
        <f>auditsoutcomeLApivot!E5</f>
        <v>23.75</v>
      </c>
      <c r="G13" s="279">
        <f t="shared" ref="G13:G43" si="0">E13+C13</f>
        <v>223</v>
      </c>
      <c r="H13" s="279">
        <f t="shared" ref="H13:H43" si="1">F13+D13</f>
        <v>1609</v>
      </c>
      <c r="I13" s="50">
        <f>auditsoutcomeLApivot!F5</f>
        <v>0</v>
      </c>
      <c r="J13" s="50">
        <f>auditsoutcomeLApivot!G5</f>
        <v>0</v>
      </c>
      <c r="K13" s="50">
        <f>auditsoutcomeLApivot!H5</f>
        <v>1</v>
      </c>
      <c r="L13" s="50">
        <f>auditsoutcomeLApivot!I5</f>
        <v>36.75</v>
      </c>
      <c r="M13" s="764">
        <f t="shared" ref="M13:M43" si="2">IFERROR(C13/G13*100, "")</f>
        <v>99.103139013452918</v>
      </c>
      <c r="N13" s="759">
        <f t="shared" ref="N13:N44" si="3">IFERROR(IF($A$10="2019-20", "", D13/C13), "-")</f>
        <v>7.1730769230769234</v>
      </c>
      <c r="O13" s="759">
        <f t="shared" ref="O13:O44" si="4">IFERROR(IF($A$10="2019-20", "", F13/E13), "-")</f>
        <v>11.875</v>
      </c>
    </row>
    <row r="14" spans="1:15" x14ac:dyDescent="0.3">
      <c r="A14" s="388" t="s">
        <v>223</v>
      </c>
      <c r="B14" s="539" t="s">
        <v>224</v>
      </c>
      <c r="C14" s="278">
        <f>auditsoutcomeLApivot!B6</f>
        <v>96</v>
      </c>
      <c r="D14" s="278">
        <f>auditsoutcomeLApivot!C6</f>
        <v>601.75</v>
      </c>
      <c r="E14" s="278">
        <f>auditsoutcomeLApivot!D6</f>
        <v>0</v>
      </c>
      <c r="F14" s="278">
        <f>auditsoutcomeLApivot!E6</f>
        <v>0</v>
      </c>
      <c r="G14" s="279">
        <f t="shared" si="0"/>
        <v>96</v>
      </c>
      <c r="H14" s="279">
        <f t="shared" si="1"/>
        <v>601.75</v>
      </c>
      <c r="I14" s="50">
        <f>auditsoutcomeLApivot!F6</f>
        <v>0</v>
      </c>
      <c r="J14" s="50">
        <f>auditsoutcomeLApivot!G6</f>
        <v>0</v>
      </c>
      <c r="K14" s="50">
        <f>auditsoutcomeLApivot!H6</f>
        <v>0</v>
      </c>
      <c r="L14" s="50">
        <f>auditsoutcomeLApivot!I6</f>
        <v>0</v>
      </c>
      <c r="M14" s="764">
        <f t="shared" si="2"/>
        <v>100</v>
      </c>
      <c r="N14" s="759">
        <f t="shared" si="3"/>
        <v>6.268229166666667</v>
      </c>
      <c r="O14" s="759" t="str">
        <f t="shared" si="4"/>
        <v>-</v>
      </c>
    </row>
    <row r="15" spans="1:15" x14ac:dyDescent="0.3">
      <c r="A15" s="388" t="s">
        <v>227</v>
      </c>
      <c r="B15" s="539" t="s">
        <v>228</v>
      </c>
      <c r="C15" s="278">
        <f>auditsoutcomeLApivot!B7</f>
        <v>374</v>
      </c>
      <c r="D15" s="278">
        <f>auditsoutcomeLApivot!C7</f>
        <v>2016.25</v>
      </c>
      <c r="E15" s="278">
        <f>auditsoutcomeLApivot!D7</f>
        <v>37</v>
      </c>
      <c r="F15" s="278">
        <f>auditsoutcomeLApivot!E7</f>
        <v>518.5</v>
      </c>
      <c r="G15" s="279">
        <f t="shared" si="0"/>
        <v>411</v>
      </c>
      <c r="H15" s="279">
        <f t="shared" si="1"/>
        <v>2534.75</v>
      </c>
      <c r="I15" s="50">
        <f>auditsoutcomeLApivot!F7</f>
        <v>0</v>
      </c>
      <c r="J15" s="50">
        <f>auditsoutcomeLApivot!G7</f>
        <v>0</v>
      </c>
      <c r="K15" s="50">
        <f>auditsoutcomeLApivot!H7</f>
        <v>0</v>
      </c>
      <c r="L15" s="50">
        <f>auditsoutcomeLApivot!I7</f>
        <v>0</v>
      </c>
      <c r="M15" s="764">
        <f t="shared" si="2"/>
        <v>90.997566909975674</v>
      </c>
      <c r="N15" s="759">
        <f t="shared" si="3"/>
        <v>5.3910427807486627</v>
      </c>
      <c r="O15" s="759">
        <f t="shared" si="4"/>
        <v>14.013513513513514</v>
      </c>
    </row>
    <row r="16" spans="1:15" x14ac:dyDescent="0.3">
      <c r="A16" s="388" t="s">
        <v>233</v>
      </c>
      <c r="B16" s="539" t="s">
        <v>234</v>
      </c>
      <c r="C16" s="278">
        <f>auditsoutcomeLApivot!B8</f>
        <v>884</v>
      </c>
      <c r="D16" s="278">
        <f>auditsoutcomeLApivot!C8</f>
        <v>4017</v>
      </c>
      <c r="E16" s="278">
        <f>auditsoutcomeLApivot!D8</f>
        <v>82</v>
      </c>
      <c r="F16" s="278">
        <f>auditsoutcomeLApivot!E8</f>
        <v>519.5</v>
      </c>
      <c r="G16" s="279">
        <f t="shared" si="0"/>
        <v>966</v>
      </c>
      <c r="H16" s="279">
        <f t="shared" si="1"/>
        <v>4536.5</v>
      </c>
      <c r="I16" s="50">
        <f>auditsoutcomeLApivot!F8</f>
        <v>0</v>
      </c>
      <c r="J16" s="50">
        <f>auditsoutcomeLApivot!G8</f>
        <v>0</v>
      </c>
      <c r="K16" s="50">
        <f>auditsoutcomeLApivot!H8</f>
        <v>3</v>
      </c>
      <c r="L16" s="50">
        <f>auditsoutcomeLApivot!I8</f>
        <v>42.25</v>
      </c>
      <c r="M16" s="764">
        <f t="shared" si="2"/>
        <v>91.511387163561082</v>
      </c>
      <c r="N16" s="759">
        <f t="shared" si="3"/>
        <v>4.5441176470588234</v>
      </c>
      <c r="O16" s="759">
        <f t="shared" si="4"/>
        <v>6.3353658536585362</v>
      </c>
    </row>
    <row r="17" spans="1:15" x14ac:dyDescent="0.3">
      <c r="A17" s="388" t="s">
        <v>239</v>
      </c>
      <c r="B17" s="539" t="s">
        <v>240</v>
      </c>
      <c r="C17" s="278">
        <f>auditsoutcomeLApivot!B9</f>
        <v>45</v>
      </c>
      <c r="D17" s="278">
        <f>auditsoutcomeLApivot!C9</f>
        <v>302.75</v>
      </c>
      <c r="E17" s="278">
        <f>auditsoutcomeLApivot!D9</f>
        <v>2</v>
      </c>
      <c r="F17" s="278">
        <f>auditsoutcomeLApivot!E9</f>
        <v>19</v>
      </c>
      <c r="G17" s="279">
        <f t="shared" si="0"/>
        <v>47</v>
      </c>
      <c r="H17" s="279">
        <f t="shared" si="1"/>
        <v>321.75</v>
      </c>
      <c r="I17" s="50">
        <f>auditsoutcomeLApivot!F9</f>
        <v>0</v>
      </c>
      <c r="J17" s="50">
        <f>auditsoutcomeLApivot!G9</f>
        <v>0</v>
      </c>
      <c r="K17" s="50">
        <f>auditsoutcomeLApivot!H9</f>
        <v>0</v>
      </c>
      <c r="L17" s="50">
        <f>auditsoutcomeLApivot!I9</f>
        <v>0</v>
      </c>
      <c r="M17" s="764">
        <f t="shared" si="2"/>
        <v>95.744680851063833</v>
      </c>
      <c r="N17" s="759">
        <f t="shared" si="3"/>
        <v>6.7277777777777779</v>
      </c>
      <c r="O17" s="759">
        <f t="shared" si="4"/>
        <v>9.5</v>
      </c>
    </row>
    <row r="18" spans="1:15" x14ac:dyDescent="0.3">
      <c r="A18" s="388" t="s">
        <v>243</v>
      </c>
      <c r="B18" s="539" t="s">
        <v>244</v>
      </c>
      <c r="C18" s="278">
        <f>auditsoutcomeLApivot!B10</f>
        <v>560</v>
      </c>
      <c r="D18" s="278">
        <f>auditsoutcomeLApivot!C10</f>
        <v>3992.75</v>
      </c>
      <c r="E18" s="278">
        <f>auditsoutcomeLApivot!D10</f>
        <v>8</v>
      </c>
      <c r="F18" s="278">
        <f>auditsoutcomeLApivot!E10</f>
        <v>71.25</v>
      </c>
      <c r="G18" s="279">
        <f t="shared" si="0"/>
        <v>568</v>
      </c>
      <c r="H18" s="279">
        <f t="shared" si="1"/>
        <v>4064</v>
      </c>
      <c r="I18" s="50">
        <f>auditsoutcomeLApivot!F10</f>
        <v>0</v>
      </c>
      <c r="J18" s="50">
        <f>auditsoutcomeLApivot!G10</f>
        <v>0</v>
      </c>
      <c r="K18" s="50">
        <f>auditsoutcomeLApivot!H10</f>
        <v>0</v>
      </c>
      <c r="L18" s="50">
        <f>auditsoutcomeLApivot!I10</f>
        <v>0</v>
      </c>
      <c r="M18" s="764">
        <f t="shared" si="2"/>
        <v>98.591549295774655</v>
      </c>
      <c r="N18" s="759">
        <f t="shared" si="3"/>
        <v>7.1299107142857139</v>
      </c>
      <c r="O18" s="759">
        <f t="shared" si="4"/>
        <v>8.90625</v>
      </c>
    </row>
    <row r="19" spans="1:15" x14ac:dyDescent="0.3">
      <c r="A19" s="388" t="s">
        <v>246</v>
      </c>
      <c r="B19" s="539" t="s">
        <v>247</v>
      </c>
      <c r="C19" s="278">
        <f>auditsoutcomeLApivot!B11</f>
        <v>322</v>
      </c>
      <c r="D19" s="278">
        <f>auditsoutcomeLApivot!C11</f>
        <v>1368.5</v>
      </c>
      <c r="E19" s="278">
        <f>auditsoutcomeLApivot!D11</f>
        <v>0</v>
      </c>
      <c r="F19" s="278">
        <f>auditsoutcomeLApivot!E11</f>
        <v>0</v>
      </c>
      <c r="G19" s="279">
        <f t="shared" si="0"/>
        <v>322</v>
      </c>
      <c r="H19" s="279">
        <f t="shared" si="1"/>
        <v>1368.5</v>
      </c>
      <c r="I19" s="50">
        <f>auditsoutcomeLApivot!F11</f>
        <v>0</v>
      </c>
      <c r="J19" s="50">
        <f>auditsoutcomeLApivot!G11</f>
        <v>0</v>
      </c>
      <c r="K19" s="50">
        <f>auditsoutcomeLApivot!H11</f>
        <v>0</v>
      </c>
      <c r="L19" s="50">
        <f>auditsoutcomeLApivot!I11</f>
        <v>0</v>
      </c>
      <c r="M19" s="764">
        <f t="shared" si="2"/>
        <v>100</v>
      </c>
      <c r="N19" s="759">
        <f t="shared" si="3"/>
        <v>4.25</v>
      </c>
      <c r="O19" s="759" t="str">
        <f t="shared" si="4"/>
        <v>-</v>
      </c>
    </row>
    <row r="20" spans="1:15" x14ac:dyDescent="0.3">
      <c r="A20" s="388" t="s">
        <v>248</v>
      </c>
      <c r="B20" s="539" t="s">
        <v>249</v>
      </c>
      <c r="C20" s="278">
        <f>auditsoutcomeLApivot!B12</f>
        <v>152</v>
      </c>
      <c r="D20" s="278">
        <f>auditsoutcomeLApivot!C12</f>
        <v>651.25</v>
      </c>
      <c r="E20" s="278">
        <f>auditsoutcomeLApivot!D12</f>
        <v>6</v>
      </c>
      <c r="F20" s="278">
        <f>auditsoutcomeLApivot!E12</f>
        <v>45</v>
      </c>
      <c r="G20" s="279">
        <f t="shared" si="0"/>
        <v>158</v>
      </c>
      <c r="H20" s="279">
        <f t="shared" si="1"/>
        <v>696.25</v>
      </c>
      <c r="I20" s="50">
        <f>auditsoutcomeLApivot!F12</f>
        <v>0</v>
      </c>
      <c r="J20" s="50">
        <f>auditsoutcomeLApivot!G12</f>
        <v>0</v>
      </c>
      <c r="K20" s="50">
        <f>auditsoutcomeLApivot!H12</f>
        <v>1</v>
      </c>
      <c r="L20" s="50">
        <f>auditsoutcomeLApivot!I12</f>
        <v>18.75</v>
      </c>
      <c r="M20" s="764">
        <f t="shared" si="2"/>
        <v>96.202531645569621</v>
      </c>
      <c r="N20" s="759">
        <f t="shared" si="3"/>
        <v>4.2845394736842106</v>
      </c>
      <c r="O20" s="759">
        <f t="shared" si="4"/>
        <v>7.5</v>
      </c>
    </row>
    <row r="21" spans="1:15" x14ac:dyDescent="0.3">
      <c r="A21" s="388" t="s">
        <v>252</v>
      </c>
      <c r="B21" s="539" t="s">
        <v>253</v>
      </c>
      <c r="C21" s="278">
        <f>auditsoutcomeLApivot!B13</f>
        <v>68</v>
      </c>
      <c r="D21" s="278">
        <f>auditsoutcomeLApivot!C13</f>
        <v>490.75</v>
      </c>
      <c r="E21" s="278">
        <f>auditsoutcomeLApivot!D13</f>
        <v>2</v>
      </c>
      <c r="F21" s="278">
        <f>auditsoutcomeLApivot!E13</f>
        <v>44.75</v>
      </c>
      <c r="G21" s="279">
        <f t="shared" si="0"/>
        <v>70</v>
      </c>
      <c r="H21" s="279">
        <f t="shared" si="1"/>
        <v>535.5</v>
      </c>
      <c r="I21" s="50">
        <f>auditsoutcomeLApivot!F13</f>
        <v>0</v>
      </c>
      <c r="J21" s="50">
        <f>auditsoutcomeLApivot!G13</f>
        <v>0</v>
      </c>
      <c r="K21" s="50">
        <f>auditsoutcomeLApivot!H13</f>
        <v>0</v>
      </c>
      <c r="L21" s="50">
        <f>auditsoutcomeLApivot!I13</f>
        <v>0</v>
      </c>
      <c r="M21" s="764">
        <f t="shared" si="2"/>
        <v>97.142857142857139</v>
      </c>
      <c r="N21" s="759">
        <f t="shared" si="3"/>
        <v>7.2169117647058822</v>
      </c>
      <c r="O21" s="759">
        <f t="shared" si="4"/>
        <v>22.375</v>
      </c>
    </row>
    <row r="22" spans="1:15" x14ac:dyDescent="0.3">
      <c r="A22" s="388" t="s">
        <v>254</v>
      </c>
      <c r="B22" s="539" t="s">
        <v>255</v>
      </c>
      <c r="C22" s="278">
        <f>auditsoutcomeLApivot!B14</f>
        <v>130</v>
      </c>
      <c r="D22" s="278">
        <f>auditsoutcomeLApivot!C14</f>
        <v>759.5</v>
      </c>
      <c r="E22" s="278">
        <f>auditsoutcomeLApivot!D14</f>
        <v>3</v>
      </c>
      <c r="F22" s="278">
        <f>auditsoutcomeLApivot!E14</f>
        <v>20.75</v>
      </c>
      <c r="G22" s="279">
        <f t="shared" si="0"/>
        <v>133</v>
      </c>
      <c r="H22" s="279">
        <f t="shared" si="1"/>
        <v>780.25</v>
      </c>
      <c r="I22" s="50">
        <f>auditsoutcomeLApivot!F14</f>
        <v>0</v>
      </c>
      <c r="J22" s="50">
        <f>auditsoutcomeLApivot!G14</f>
        <v>0</v>
      </c>
      <c r="K22" s="50">
        <f>auditsoutcomeLApivot!H14</f>
        <v>0</v>
      </c>
      <c r="L22" s="50">
        <f>auditsoutcomeLApivot!I14</f>
        <v>0</v>
      </c>
      <c r="M22" s="764">
        <f t="shared" si="2"/>
        <v>97.744360902255636</v>
      </c>
      <c r="N22" s="759">
        <f t="shared" si="3"/>
        <v>5.842307692307692</v>
      </c>
      <c r="O22" s="759">
        <f t="shared" si="4"/>
        <v>6.916666666666667</v>
      </c>
    </row>
    <row r="23" spans="1:15" x14ac:dyDescent="0.3">
      <c r="A23" s="388" t="s">
        <v>258</v>
      </c>
      <c r="B23" s="539" t="s">
        <v>259</v>
      </c>
      <c r="C23" s="278">
        <f>auditsoutcomeLApivot!B15</f>
        <v>47</v>
      </c>
      <c r="D23" s="278">
        <f>auditsoutcomeLApivot!C15</f>
        <v>301.75</v>
      </c>
      <c r="E23" s="278">
        <f>auditsoutcomeLApivot!D15</f>
        <v>0</v>
      </c>
      <c r="F23" s="278">
        <f>auditsoutcomeLApivot!E15</f>
        <v>0</v>
      </c>
      <c r="G23" s="279">
        <f t="shared" si="0"/>
        <v>47</v>
      </c>
      <c r="H23" s="279">
        <f t="shared" si="1"/>
        <v>301.75</v>
      </c>
      <c r="I23" s="50">
        <f>auditsoutcomeLApivot!F15</f>
        <v>0</v>
      </c>
      <c r="J23" s="50">
        <f>auditsoutcomeLApivot!G15</f>
        <v>0</v>
      </c>
      <c r="K23" s="50">
        <f>auditsoutcomeLApivot!H15</f>
        <v>0</v>
      </c>
      <c r="L23" s="50">
        <f>auditsoutcomeLApivot!I15</f>
        <v>0</v>
      </c>
      <c r="M23" s="764">
        <f t="shared" si="2"/>
        <v>100</v>
      </c>
      <c r="N23" s="759">
        <f t="shared" si="3"/>
        <v>6.4202127659574471</v>
      </c>
      <c r="O23" s="759" t="str">
        <f t="shared" si="4"/>
        <v>-</v>
      </c>
    </row>
    <row r="24" spans="1:15" x14ac:dyDescent="0.3">
      <c r="A24" s="388" t="s">
        <v>262</v>
      </c>
      <c r="B24" s="539" t="s">
        <v>263</v>
      </c>
      <c r="C24" s="278">
        <f>auditsoutcomeLApivot!B16</f>
        <v>172</v>
      </c>
      <c r="D24" s="278">
        <f>auditsoutcomeLApivot!C16</f>
        <v>929.25</v>
      </c>
      <c r="E24" s="278">
        <f>auditsoutcomeLApivot!D16</f>
        <v>1</v>
      </c>
      <c r="F24" s="278">
        <f>auditsoutcomeLApivot!E16</f>
        <v>18.25</v>
      </c>
      <c r="G24" s="279">
        <f t="shared" si="0"/>
        <v>173</v>
      </c>
      <c r="H24" s="279">
        <f t="shared" si="1"/>
        <v>947.5</v>
      </c>
      <c r="I24" s="50">
        <f>auditsoutcomeLApivot!F16</f>
        <v>0</v>
      </c>
      <c r="J24" s="50">
        <f>auditsoutcomeLApivot!G16</f>
        <v>0</v>
      </c>
      <c r="K24" s="50">
        <f>auditsoutcomeLApivot!H16</f>
        <v>0</v>
      </c>
      <c r="L24" s="50">
        <f>auditsoutcomeLApivot!I16</f>
        <v>0</v>
      </c>
      <c r="M24" s="764">
        <f t="shared" si="2"/>
        <v>99.421965317919074</v>
      </c>
      <c r="N24" s="759">
        <f t="shared" si="3"/>
        <v>5.4026162790697674</v>
      </c>
      <c r="O24" s="759">
        <f t="shared" si="4"/>
        <v>18.25</v>
      </c>
    </row>
    <row r="25" spans="1:15" x14ac:dyDescent="0.3">
      <c r="A25" s="388" t="s">
        <v>1092</v>
      </c>
      <c r="B25" s="539" t="s">
        <v>267</v>
      </c>
      <c r="C25" s="278">
        <f>auditsoutcomeLApivot!B17</f>
        <v>361</v>
      </c>
      <c r="D25" s="278">
        <f>auditsoutcomeLApivot!C17</f>
        <v>2371.5</v>
      </c>
      <c r="E25" s="278">
        <f>auditsoutcomeLApivot!D17</f>
        <v>6</v>
      </c>
      <c r="F25" s="278">
        <f>auditsoutcomeLApivot!E17</f>
        <v>69.25</v>
      </c>
      <c r="G25" s="279">
        <f t="shared" si="0"/>
        <v>367</v>
      </c>
      <c r="H25" s="279">
        <f t="shared" si="1"/>
        <v>2440.75</v>
      </c>
      <c r="I25" s="50">
        <f>auditsoutcomeLApivot!F17</f>
        <v>0</v>
      </c>
      <c r="J25" s="50">
        <f>auditsoutcomeLApivot!G17</f>
        <v>0</v>
      </c>
      <c r="K25" s="50">
        <f>auditsoutcomeLApivot!H17</f>
        <v>1</v>
      </c>
      <c r="L25" s="50">
        <f>auditsoutcomeLApivot!I17</f>
        <v>7</v>
      </c>
      <c r="M25" s="764">
        <f t="shared" si="2"/>
        <v>98.365122615803813</v>
      </c>
      <c r="N25" s="759">
        <f t="shared" si="3"/>
        <v>6.5692520775623269</v>
      </c>
      <c r="O25" s="759">
        <f t="shared" si="4"/>
        <v>11.541666666666666</v>
      </c>
    </row>
    <row r="26" spans="1:15" x14ac:dyDescent="0.3">
      <c r="A26" s="388" t="s">
        <v>269</v>
      </c>
      <c r="B26" s="539" t="s">
        <v>270</v>
      </c>
      <c r="C26" s="278">
        <f>auditsoutcomeLApivot!B18</f>
        <v>1356</v>
      </c>
      <c r="D26" s="278">
        <f>auditsoutcomeLApivot!C18</f>
        <v>5511.25</v>
      </c>
      <c r="E26" s="278">
        <f>auditsoutcomeLApivot!D18</f>
        <v>43</v>
      </c>
      <c r="F26" s="278">
        <f>auditsoutcomeLApivot!E18</f>
        <v>288</v>
      </c>
      <c r="G26" s="279">
        <f t="shared" si="0"/>
        <v>1399</v>
      </c>
      <c r="H26" s="279">
        <f t="shared" si="1"/>
        <v>5799.25</v>
      </c>
      <c r="I26" s="50">
        <f>auditsoutcomeLApivot!F18</f>
        <v>0</v>
      </c>
      <c r="J26" s="50">
        <f>auditsoutcomeLApivot!G18</f>
        <v>0</v>
      </c>
      <c r="K26" s="50">
        <f>auditsoutcomeLApivot!H18</f>
        <v>4</v>
      </c>
      <c r="L26" s="50">
        <f>auditsoutcomeLApivot!I18</f>
        <v>47</v>
      </c>
      <c r="M26" s="764">
        <f t="shared" si="2"/>
        <v>96.926375982844888</v>
      </c>
      <c r="N26" s="759">
        <f t="shared" si="3"/>
        <v>4.0643436578171093</v>
      </c>
      <c r="O26" s="759">
        <f t="shared" si="4"/>
        <v>6.6976744186046515</v>
      </c>
    </row>
    <row r="27" spans="1:15" x14ac:dyDescent="0.3">
      <c r="A27" s="388" t="s">
        <v>272</v>
      </c>
      <c r="B27" s="539" t="s">
        <v>273</v>
      </c>
      <c r="C27" s="278">
        <f>auditsoutcomeLApivot!B19</f>
        <v>398</v>
      </c>
      <c r="D27" s="278">
        <f>auditsoutcomeLApivot!C19</f>
        <v>3116.25</v>
      </c>
      <c r="E27" s="278">
        <f>auditsoutcomeLApivot!D19</f>
        <v>21</v>
      </c>
      <c r="F27" s="278">
        <f>auditsoutcomeLApivot!E19</f>
        <v>472.5</v>
      </c>
      <c r="G27" s="279">
        <f t="shared" si="0"/>
        <v>419</v>
      </c>
      <c r="H27" s="279">
        <f t="shared" si="1"/>
        <v>3588.75</v>
      </c>
      <c r="I27" s="50">
        <f>auditsoutcomeLApivot!F19</f>
        <v>0</v>
      </c>
      <c r="J27" s="50">
        <f>auditsoutcomeLApivot!G19</f>
        <v>0</v>
      </c>
      <c r="K27" s="50">
        <f>auditsoutcomeLApivot!H19</f>
        <v>1</v>
      </c>
      <c r="L27" s="50">
        <f>auditsoutcomeLApivot!I19</f>
        <v>9.75</v>
      </c>
      <c r="M27" s="764">
        <f t="shared" si="2"/>
        <v>94.988066825775647</v>
      </c>
      <c r="N27" s="759">
        <f t="shared" si="3"/>
        <v>7.8297738693467336</v>
      </c>
      <c r="O27" s="759">
        <f t="shared" si="4"/>
        <v>22.5</v>
      </c>
    </row>
    <row r="28" spans="1:15" x14ac:dyDescent="0.3">
      <c r="A28" s="388" t="s">
        <v>276</v>
      </c>
      <c r="B28" s="539" t="s">
        <v>277</v>
      </c>
      <c r="C28" s="278">
        <f>auditsoutcomeLApivot!B20</f>
        <v>72</v>
      </c>
      <c r="D28" s="278">
        <f>auditsoutcomeLApivot!C20</f>
        <v>511</v>
      </c>
      <c r="E28" s="278">
        <f>auditsoutcomeLApivot!D20</f>
        <v>0</v>
      </c>
      <c r="F28" s="278">
        <f>auditsoutcomeLApivot!E20</f>
        <v>0</v>
      </c>
      <c r="G28" s="279">
        <f t="shared" si="0"/>
        <v>72</v>
      </c>
      <c r="H28" s="279">
        <f t="shared" si="1"/>
        <v>511</v>
      </c>
      <c r="I28" s="50">
        <f>auditsoutcomeLApivot!F20</f>
        <v>0</v>
      </c>
      <c r="J28" s="50">
        <f>auditsoutcomeLApivot!G20</f>
        <v>0</v>
      </c>
      <c r="K28" s="50">
        <f>auditsoutcomeLApivot!H20</f>
        <v>0</v>
      </c>
      <c r="L28" s="50">
        <f>auditsoutcomeLApivot!I20</f>
        <v>0</v>
      </c>
      <c r="M28" s="764">
        <f t="shared" si="2"/>
        <v>100</v>
      </c>
      <c r="N28" s="759">
        <f t="shared" si="3"/>
        <v>7.0972222222222223</v>
      </c>
      <c r="O28" s="759" t="str">
        <f t="shared" si="4"/>
        <v>-</v>
      </c>
    </row>
    <row r="29" spans="1:15" x14ac:dyDescent="0.3">
      <c r="A29" s="388" t="s">
        <v>278</v>
      </c>
      <c r="B29" s="539" t="s">
        <v>279</v>
      </c>
      <c r="C29" s="278">
        <f>auditsoutcomeLApivot!B21</f>
        <v>193</v>
      </c>
      <c r="D29" s="278">
        <f>auditsoutcomeLApivot!C21</f>
        <v>1192.25</v>
      </c>
      <c r="E29" s="278">
        <f>auditsoutcomeLApivot!D21</f>
        <v>9</v>
      </c>
      <c r="F29" s="278">
        <f>auditsoutcomeLApivot!E21</f>
        <v>64.5</v>
      </c>
      <c r="G29" s="279">
        <f t="shared" si="0"/>
        <v>202</v>
      </c>
      <c r="H29" s="279">
        <f t="shared" si="1"/>
        <v>1256.75</v>
      </c>
      <c r="I29" s="50">
        <f>auditsoutcomeLApivot!F21</f>
        <v>0</v>
      </c>
      <c r="J29" s="50">
        <f>auditsoutcomeLApivot!G21</f>
        <v>0</v>
      </c>
      <c r="K29" s="50">
        <f>auditsoutcomeLApivot!H21</f>
        <v>0</v>
      </c>
      <c r="L29" s="50">
        <f>auditsoutcomeLApivot!I21</f>
        <v>0</v>
      </c>
      <c r="M29" s="764">
        <f t="shared" si="2"/>
        <v>95.544554455445535</v>
      </c>
      <c r="N29" s="759">
        <f t="shared" si="3"/>
        <v>6.1774611398963728</v>
      </c>
      <c r="O29" s="759">
        <f t="shared" si="4"/>
        <v>7.166666666666667</v>
      </c>
    </row>
    <row r="30" spans="1:15" x14ac:dyDescent="0.3">
      <c r="A30" s="388" t="s">
        <v>280</v>
      </c>
      <c r="B30" s="539" t="s">
        <v>281</v>
      </c>
      <c r="C30" s="278">
        <f>auditsoutcomeLApivot!B22</f>
        <v>54</v>
      </c>
      <c r="D30" s="278">
        <f>auditsoutcomeLApivot!C22</f>
        <v>419.75</v>
      </c>
      <c r="E30" s="278">
        <f>auditsoutcomeLApivot!D22</f>
        <v>1</v>
      </c>
      <c r="F30" s="278">
        <f>auditsoutcomeLApivot!E22</f>
        <v>18</v>
      </c>
      <c r="G30" s="279">
        <f t="shared" si="0"/>
        <v>55</v>
      </c>
      <c r="H30" s="279">
        <f t="shared" si="1"/>
        <v>437.75</v>
      </c>
      <c r="I30" s="50">
        <f>auditsoutcomeLApivot!F22</f>
        <v>0</v>
      </c>
      <c r="J30" s="50">
        <f>auditsoutcomeLApivot!G22</f>
        <v>0</v>
      </c>
      <c r="K30" s="50">
        <f>auditsoutcomeLApivot!H22</f>
        <v>0</v>
      </c>
      <c r="L30" s="50">
        <f>auditsoutcomeLApivot!I22</f>
        <v>0</v>
      </c>
      <c r="M30" s="764">
        <f t="shared" si="2"/>
        <v>98.181818181818187</v>
      </c>
      <c r="N30" s="759">
        <f t="shared" si="3"/>
        <v>7.7731481481481479</v>
      </c>
      <c r="O30" s="759">
        <f t="shared" si="4"/>
        <v>18</v>
      </c>
    </row>
    <row r="31" spans="1:15" x14ac:dyDescent="0.3">
      <c r="A31" s="388" t="s">
        <v>282</v>
      </c>
      <c r="B31" s="539" t="s">
        <v>283</v>
      </c>
      <c r="C31" s="278">
        <f>auditsoutcomeLApivot!B23</f>
        <v>40</v>
      </c>
      <c r="D31" s="278">
        <f>auditsoutcomeLApivot!C23</f>
        <v>238</v>
      </c>
      <c r="E31" s="278">
        <f>auditsoutcomeLApivot!D23</f>
        <v>2</v>
      </c>
      <c r="F31" s="278">
        <f>auditsoutcomeLApivot!E23</f>
        <v>50</v>
      </c>
      <c r="G31" s="279">
        <f t="shared" si="0"/>
        <v>42</v>
      </c>
      <c r="H31" s="279">
        <f t="shared" si="1"/>
        <v>288</v>
      </c>
      <c r="I31" s="50">
        <f>auditsoutcomeLApivot!F23</f>
        <v>1</v>
      </c>
      <c r="J31" s="50">
        <f>auditsoutcomeLApivot!G23</f>
        <v>37.75</v>
      </c>
      <c r="K31" s="50">
        <f>auditsoutcomeLApivot!H23</f>
        <v>0</v>
      </c>
      <c r="L31" s="50">
        <f>auditsoutcomeLApivot!I23</f>
        <v>0</v>
      </c>
      <c r="M31" s="764">
        <f t="shared" si="2"/>
        <v>95.238095238095227</v>
      </c>
      <c r="N31" s="759">
        <f t="shared" si="3"/>
        <v>5.95</v>
      </c>
      <c r="O31" s="759">
        <f t="shared" si="4"/>
        <v>25</v>
      </c>
    </row>
    <row r="32" spans="1:15" x14ac:dyDescent="0.3">
      <c r="A32" s="388" t="s">
        <v>286</v>
      </c>
      <c r="B32" s="539" t="s">
        <v>287</v>
      </c>
      <c r="C32" s="278">
        <f>auditsoutcomeLApivot!B24</f>
        <v>144</v>
      </c>
      <c r="D32" s="278">
        <f>auditsoutcomeLApivot!C24</f>
        <v>892.75</v>
      </c>
      <c r="E32" s="278">
        <f>auditsoutcomeLApivot!D24</f>
        <v>4</v>
      </c>
      <c r="F32" s="278">
        <f>auditsoutcomeLApivot!E24</f>
        <v>66.5</v>
      </c>
      <c r="G32" s="279">
        <f t="shared" si="0"/>
        <v>148</v>
      </c>
      <c r="H32" s="279">
        <f t="shared" si="1"/>
        <v>959.25</v>
      </c>
      <c r="I32" s="50">
        <f>auditsoutcomeLApivot!F24</f>
        <v>0</v>
      </c>
      <c r="J32" s="50">
        <f>auditsoutcomeLApivot!G24</f>
        <v>0</v>
      </c>
      <c r="K32" s="50">
        <f>auditsoutcomeLApivot!H24</f>
        <v>1</v>
      </c>
      <c r="L32" s="50">
        <f>auditsoutcomeLApivot!I24</f>
        <v>2.5</v>
      </c>
      <c r="M32" s="764">
        <f t="shared" si="2"/>
        <v>97.297297297297305</v>
      </c>
      <c r="N32" s="759">
        <f t="shared" si="3"/>
        <v>6.1996527777777777</v>
      </c>
      <c r="O32" s="759">
        <f t="shared" si="4"/>
        <v>16.625</v>
      </c>
    </row>
    <row r="33" spans="1:15" x14ac:dyDescent="0.3">
      <c r="A33" s="388" t="s">
        <v>288</v>
      </c>
      <c r="B33" s="539" t="s">
        <v>289</v>
      </c>
      <c r="C33" s="278">
        <f>auditsoutcomeLApivot!B25</f>
        <v>320</v>
      </c>
      <c r="D33" s="278">
        <f>auditsoutcomeLApivot!C25</f>
        <v>1593.75</v>
      </c>
      <c r="E33" s="278">
        <f>auditsoutcomeLApivot!D25</f>
        <v>7</v>
      </c>
      <c r="F33" s="278">
        <f>auditsoutcomeLApivot!E25</f>
        <v>97.75</v>
      </c>
      <c r="G33" s="279">
        <f t="shared" si="0"/>
        <v>327</v>
      </c>
      <c r="H33" s="279">
        <f t="shared" si="1"/>
        <v>1691.5</v>
      </c>
      <c r="I33" s="50">
        <f>auditsoutcomeLApivot!F25</f>
        <v>0</v>
      </c>
      <c r="J33" s="50">
        <f>auditsoutcomeLApivot!G25</f>
        <v>0</v>
      </c>
      <c r="K33" s="50">
        <f>auditsoutcomeLApivot!H25</f>
        <v>0</v>
      </c>
      <c r="L33" s="50">
        <f>auditsoutcomeLApivot!I25</f>
        <v>0</v>
      </c>
      <c r="M33" s="764">
        <f t="shared" si="2"/>
        <v>97.859327217125383</v>
      </c>
      <c r="N33" s="759">
        <f t="shared" si="3"/>
        <v>4.98046875</v>
      </c>
      <c r="O33" s="759">
        <f t="shared" si="4"/>
        <v>13.964285714285714</v>
      </c>
    </row>
    <row r="34" spans="1:15" x14ac:dyDescent="0.3">
      <c r="A34" s="388" t="s">
        <v>291</v>
      </c>
      <c r="B34" s="539" t="s">
        <v>292</v>
      </c>
      <c r="C34" s="278">
        <f>auditsoutcomeLApivot!B26</f>
        <v>33</v>
      </c>
      <c r="D34" s="278">
        <f>auditsoutcomeLApivot!C26</f>
        <v>171.25</v>
      </c>
      <c r="E34" s="278">
        <f>auditsoutcomeLApivot!D26</f>
        <v>2</v>
      </c>
      <c r="F34" s="278">
        <f>auditsoutcomeLApivot!E26</f>
        <v>85.25</v>
      </c>
      <c r="G34" s="279">
        <f t="shared" si="0"/>
        <v>35</v>
      </c>
      <c r="H34" s="279">
        <f t="shared" si="1"/>
        <v>256.5</v>
      </c>
      <c r="I34" s="50">
        <f>auditsoutcomeLApivot!F26</f>
        <v>1</v>
      </c>
      <c r="J34" s="50">
        <f>auditsoutcomeLApivot!G26</f>
        <v>35.5</v>
      </c>
      <c r="K34" s="50">
        <f>auditsoutcomeLApivot!H26</f>
        <v>1</v>
      </c>
      <c r="L34" s="50">
        <f>auditsoutcomeLApivot!I26</f>
        <v>14.5</v>
      </c>
      <c r="M34" s="764">
        <f t="shared" si="2"/>
        <v>94.285714285714278</v>
      </c>
      <c r="N34" s="759">
        <f t="shared" si="3"/>
        <v>5.1893939393939394</v>
      </c>
      <c r="O34" s="759">
        <f t="shared" si="4"/>
        <v>42.625</v>
      </c>
    </row>
    <row r="35" spans="1:15" x14ac:dyDescent="0.3">
      <c r="A35" s="388" t="s">
        <v>293</v>
      </c>
      <c r="B35" s="539" t="s">
        <v>294</v>
      </c>
      <c r="C35" s="278">
        <f>auditsoutcomeLApivot!B27</f>
        <v>243</v>
      </c>
      <c r="D35" s="278">
        <f>auditsoutcomeLApivot!C27</f>
        <v>1186</v>
      </c>
      <c r="E35" s="278">
        <f>auditsoutcomeLApivot!D27</f>
        <v>12</v>
      </c>
      <c r="F35" s="278">
        <f>auditsoutcomeLApivot!E27</f>
        <v>171</v>
      </c>
      <c r="G35" s="279">
        <f t="shared" si="0"/>
        <v>255</v>
      </c>
      <c r="H35" s="279">
        <f t="shared" si="1"/>
        <v>1357</v>
      </c>
      <c r="I35" s="50">
        <f>auditsoutcomeLApivot!F27</f>
        <v>0</v>
      </c>
      <c r="J35" s="50">
        <f>auditsoutcomeLApivot!G27</f>
        <v>0</v>
      </c>
      <c r="K35" s="50">
        <f>auditsoutcomeLApivot!H27</f>
        <v>0</v>
      </c>
      <c r="L35" s="50">
        <f>auditsoutcomeLApivot!I27</f>
        <v>0</v>
      </c>
      <c r="M35" s="764">
        <f t="shared" si="2"/>
        <v>95.294117647058812</v>
      </c>
      <c r="N35" s="759">
        <f t="shared" si="3"/>
        <v>4.8806584362139915</v>
      </c>
      <c r="O35" s="759">
        <f t="shared" si="4"/>
        <v>14.25</v>
      </c>
    </row>
    <row r="36" spans="1:15" x14ac:dyDescent="0.3">
      <c r="A36" s="388" t="s">
        <v>295</v>
      </c>
      <c r="B36" s="539" t="s">
        <v>296</v>
      </c>
      <c r="C36" s="278">
        <f>auditsoutcomeLApivot!B28</f>
        <v>186</v>
      </c>
      <c r="D36" s="278">
        <f>auditsoutcomeLApivot!C28</f>
        <v>1070</v>
      </c>
      <c r="E36" s="278">
        <f>auditsoutcomeLApivot!D28</f>
        <v>4</v>
      </c>
      <c r="F36" s="278">
        <f>auditsoutcomeLApivot!E28</f>
        <v>55.5</v>
      </c>
      <c r="G36" s="279">
        <f t="shared" si="0"/>
        <v>190</v>
      </c>
      <c r="H36" s="279">
        <f t="shared" si="1"/>
        <v>1125.5</v>
      </c>
      <c r="I36" s="50">
        <f>auditsoutcomeLApivot!F28</f>
        <v>0</v>
      </c>
      <c r="J36" s="50">
        <f>auditsoutcomeLApivot!G28</f>
        <v>0</v>
      </c>
      <c r="K36" s="50">
        <f>auditsoutcomeLApivot!H28</f>
        <v>0</v>
      </c>
      <c r="L36" s="50">
        <f>auditsoutcomeLApivot!I28</f>
        <v>0</v>
      </c>
      <c r="M36" s="764">
        <f t="shared" si="2"/>
        <v>97.894736842105274</v>
      </c>
      <c r="N36" s="759">
        <f t="shared" si="3"/>
        <v>5.752688172043011</v>
      </c>
      <c r="O36" s="759">
        <f t="shared" si="4"/>
        <v>13.875</v>
      </c>
    </row>
    <row r="37" spans="1:15" x14ac:dyDescent="0.3">
      <c r="A37" s="388" t="s">
        <v>297</v>
      </c>
      <c r="B37" s="539" t="s">
        <v>298</v>
      </c>
      <c r="C37" s="278">
        <f>auditsoutcomeLApivot!B29</f>
        <v>241</v>
      </c>
      <c r="D37" s="278">
        <f>auditsoutcomeLApivot!C29</f>
        <v>1208</v>
      </c>
      <c r="E37" s="278">
        <f>auditsoutcomeLApivot!D29</f>
        <v>10</v>
      </c>
      <c r="F37" s="278">
        <f>auditsoutcomeLApivot!E29</f>
        <v>91.75</v>
      </c>
      <c r="G37" s="279">
        <f t="shared" si="0"/>
        <v>251</v>
      </c>
      <c r="H37" s="279">
        <f t="shared" si="1"/>
        <v>1299.75</v>
      </c>
      <c r="I37" s="50">
        <f>auditsoutcomeLApivot!F29</f>
        <v>0</v>
      </c>
      <c r="J37" s="50">
        <f>auditsoutcomeLApivot!G29</f>
        <v>0</v>
      </c>
      <c r="K37" s="50">
        <f>auditsoutcomeLApivot!H29</f>
        <v>0</v>
      </c>
      <c r="L37" s="50">
        <f>auditsoutcomeLApivot!I29</f>
        <v>0</v>
      </c>
      <c r="M37" s="764">
        <f t="shared" si="2"/>
        <v>96.01593625498009</v>
      </c>
      <c r="N37" s="759">
        <f t="shared" si="3"/>
        <v>5.0124481327800829</v>
      </c>
      <c r="O37" s="759">
        <f t="shared" si="4"/>
        <v>9.1750000000000007</v>
      </c>
    </row>
    <row r="38" spans="1:15" x14ac:dyDescent="0.3">
      <c r="A38" s="388" t="s">
        <v>299</v>
      </c>
      <c r="B38" s="539" t="s">
        <v>300</v>
      </c>
      <c r="C38" s="278">
        <f>auditsoutcomeLApivot!B30</f>
        <v>50</v>
      </c>
      <c r="D38" s="278">
        <f>auditsoutcomeLApivot!C30</f>
        <v>254.75</v>
      </c>
      <c r="E38" s="278">
        <f>auditsoutcomeLApivot!D30</f>
        <v>8</v>
      </c>
      <c r="F38" s="278">
        <f>auditsoutcomeLApivot!E30</f>
        <v>119</v>
      </c>
      <c r="G38" s="279">
        <f t="shared" si="0"/>
        <v>58</v>
      </c>
      <c r="H38" s="279">
        <f t="shared" si="1"/>
        <v>373.75</v>
      </c>
      <c r="I38" s="50">
        <f>auditsoutcomeLApivot!F30</f>
        <v>0</v>
      </c>
      <c r="J38" s="50">
        <f>auditsoutcomeLApivot!G30</f>
        <v>0</v>
      </c>
      <c r="K38" s="50">
        <f>auditsoutcomeLApivot!H30</f>
        <v>0</v>
      </c>
      <c r="L38" s="50">
        <f>auditsoutcomeLApivot!I30</f>
        <v>0</v>
      </c>
      <c r="M38" s="764">
        <f t="shared" si="2"/>
        <v>86.206896551724128</v>
      </c>
      <c r="N38" s="759">
        <f t="shared" si="3"/>
        <v>5.0949999999999998</v>
      </c>
      <c r="O38" s="759">
        <f t="shared" si="4"/>
        <v>14.875</v>
      </c>
    </row>
    <row r="39" spans="1:15" x14ac:dyDescent="0.3">
      <c r="A39" s="388" t="s">
        <v>301</v>
      </c>
      <c r="B39" s="539" t="s">
        <v>302</v>
      </c>
      <c r="C39" s="278">
        <f>auditsoutcomeLApivot!B31</f>
        <v>219</v>
      </c>
      <c r="D39" s="278">
        <f>auditsoutcomeLApivot!C31</f>
        <v>1075.75</v>
      </c>
      <c r="E39" s="278">
        <f>auditsoutcomeLApivot!D31</f>
        <v>0</v>
      </c>
      <c r="F39" s="278">
        <f>auditsoutcomeLApivot!E31</f>
        <v>0</v>
      </c>
      <c r="G39" s="279">
        <f t="shared" si="0"/>
        <v>219</v>
      </c>
      <c r="H39" s="279">
        <f t="shared" si="1"/>
        <v>1075.75</v>
      </c>
      <c r="I39" s="50">
        <f>auditsoutcomeLApivot!F31</f>
        <v>0</v>
      </c>
      <c r="J39" s="50">
        <f>auditsoutcomeLApivot!G31</f>
        <v>0</v>
      </c>
      <c r="K39" s="50">
        <f>auditsoutcomeLApivot!H31</f>
        <v>0</v>
      </c>
      <c r="L39" s="50">
        <f>auditsoutcomeLApivot!I31</f>
        <v>0</v>
      </c>
      <c r="M39" s="764">
        <f t="shared" si="2"/>
        <v>100</v>
      </c>
      <c r="N39" s="759">
        <f t="shared" si="3"/>
        <v>4.9121004566210047</v>
      </c>
      <c r="O39" s="759" t="str">
        <f t="shared" si="4"/>
        <v>-</v>
      </c>
    </row>
    <row r="40" spans="1:15" x14ac:dyDescent="0.3">
      <c r="A40" s="388" t="s">
        <v>303</v>
      </c>
      <c r="B40" s="539" t="s">
        <v>304</v>
      </c>
      <c r="C40" s="278">
        <f>auditsoutcomeLApivot!B32</f>
        <v>286</v>
      </c>
      <c r="D40" s="278">
        <f>auditsoutcomeLApivot!C32</f>
        <v>2213</v>
      </c>
      <c r="E40" s="278">
        <f>auditsoutcomeLApivot!D32</f>
        <v>3</v>
      </c>
      <c r="F40" s="278">
        <f>auditsoutcomeLApivot!E32</f>
        <v>68</v>
      </c>
      <c r="G40" s="279">
        <f t="shared" si="0"/>
        <v>289</v>
      </c>
      <c r="H40" s="279">
        <f t="shared" si="1"/>
        <v>2281</v>
      </c>
      <c r="I40" s="50">
        <f>auditsoutcomeLApivot!F32</f>
        <v>0</v>
      </c>
      <c r="J40" s="50">
        <f>auditsoutcomeLApivot!G32</f>
        <v>0</v>
      </c>
      <c r="K40" s="50">
        <f>auditsoutcomeLApivot!H32</f>
        <v>0</v>
      </c>
      <c r="L40" s="50">
        <f>auditsoutcomeLApivot!I32</f>
        <v>0</v>
      </c>
      <c r="M40" s="764">
        <f t="shared" si="2"/>
        <v>98.961937716262966</v>
      </c>
      <c r="N40" s="759">
        <f t="shared" si="3"/>
        <v>7.7377622377622375</v>
      </c>
      <c r="O40" s="759">
        <f t="shared" si="4"/>
        <v>22.666666666666668</v>
      </c>
    </row>
    <row r="41" spans="1:15" x14ac:dyDescent="0.3">
      <c r="A41" s="388" t="s">
        <v>306</v>
      </c>
      <c r="B41" s="539" t="s">
        <v>307</v>
      </c>
      <c r="C41" s="278">
        <f>auditsoutcomeLApivot!B33</f>
        <v>205</v>
      </c>
      <c r="D41" s="278">
        <f>auditsoutcomeLApivot!C33</f>
        <v>1328.75</v>
      </c>
      <c r="E41" s="278">
        <f>auditsoutcomeLApivot!D33</f>
        <v>3</v>
      </c>
      <c r="F41" s="278">
        <f>auditsoutcomeLApivot!E33</f>
        <v>32.25</v>
      </c>
      <c r="G41" s="279">
        <f t="shared" si="0"/>
        <v>208</v>
      </c>
      <c r="H41" s="279">
        <f t="shared" si="1"/>
        <v>1361</v>
      </c>
      <c r="I41" s="50">
        <f>auditsoutcomeLApivot!F33</f>
        <v>0</v>
      </c>
      <c r="J41" s="50">
        <f>auditsoutcomeLApivot!G33</f>
        <v>0</v>
      </c>
      <c r="K41" s="50">
        <f>auditsoutcomeLApivot!H33</f>
        <v>0</v>
      </c>
      <c r="L41" s="50">
        <f>auditsoutcomeLApivot!I33</f>
        <v>0</v>
      </c>
      <c r="M41" s="764">
        <f t="shared" si="2"/>
        <v>98.557692307692307</v>
      </c>
      <c r="N41" s="759">
        <f t="shared" si="3"/>
        <v>6.4817073170731705</v>
      </c>
      <c r="O41" s="759">
        <f t="shared" si="4"/>
        <v>10.75</v>
      </c>
    </row>
    <row r="42" spans="1:15" x14ac:dyDescent="0.3">
      <c r="A42" s="388" t="s">
        <v>308</v>
      </c>
      <c r="B42" s="539" t="s">
        <v>309</v>
      </c>
      <c r="C42" s="278">
        <f>auditsoutcomeLApivot!B34</f>
        <v>110</v>
      </c>
      <c r="D42" s="278">
        <f>auditsoutcomeLApivot!C34</f>
        <v>560</v>
      </c>
      <c r="E42" s="278">
        <f>auditsoutcomeLApivot!D34</f>
        <v>1</v>
      </c>
      <c r="F42" s="278">
        <f>auditsoutcomeLApivot!E34</f>
        <v>7.25</v>
      </c>
      <c r="G42" s="279">
        <f t="shared" si="0"/>
        <v>111</v>
      </c>
      <c r="H42" s="279">
        <f t="shared" si="1"/>
        <v>567.25</v>
      </c>
      <c r="I42" s="50">
        <f>auditsoutcomeLApivot!F34</f>
        <v>0</v>
      </c>
      <c r="J42" s="50">
        <f>auditsoutcomeLApivot!G34</f>
        <v>0</v>
      </c>
      <c r="K42" s="50">
        <f>auditsoutcomeLApivot!H34</f>
        <v>0</v>
      </c>
      <c r="L42" s="50">
        <f>auditsoutcomeLApivot!I34</f>
        <v>0</v>
      </c>
      <c r="M42" s="764">
        <f t="shared" si="2"/>
        <v>99.099099099099092</v>
      </c>
      <c r="N42" s="759">
        <f t="shared" si="3"/>
        <v>5.0909090909090908</v>
      </c>
      <c r="O42" s="759">
        <f t="shared" si="4"/>
        <v>7.25</v>
      </c>
    </row>
    <row r="43" spans="1:15" x14ac:dyDescent="0.3">
      <c r="A43" s="388" t="s">
        <v>310</v>
      </c>
      <c r="B43" s="539" t="s">
        <v>311</v>
      </c>
      <c r="C43" s="278">
        <f>auditsoutcomeLApivot!B35</f>
        <v>202</v>
      </c>
      <c r="D43" s="278">
        <f>auditsoutcomeLApivot!C35</f>
        <v>1016.25</v>
      </c>
      <c r="E43" s="278">
        <f>auditsoutcomeLApivot!D35</f>
        <v>2</v>
      </c>
      <c r="F43" s="278">
        <f>auditsoutcomeLApivot!E35</f>
        <v>16.5</v>
      </c>
      <c r="G43" s="279">
        <f t="shared" si="0"/>
        <v>204</v>
      </c>
      <c r="H43" s="279">
        <f t="shared" si="1"/>
        <v>1032.75</v>
      </c>
      <c r="I43" s="50">
        <f>auditsoutcomeLApivot!F35</f>
        <v>0</v>
      </c>
      <c r="J43" s="50">
        <f>auditsoutcomeLApivot!G35</f>
        <v>0</v>
      </c>
      <c r="K43" s="50">
        <f>auditsoutcomeLApivot!H35</f>
        <v>1</v>
      </c>
      <c r="L43" s="453">
        <f>auditsoutcomeLApivot!I35</f>
        <v>10.5</v>
      </c>
      <c r="M43" s="764">
        <f t="shared" si="2"/>
        <v>99.019607843137265</v>
      </c>
      <c r="N43" s="759">
        <f t="shared" si="3"/>
        <v>5.0309405940594063</v>
      </c>
      <c r="O43" s="759">
        <f t="shared" si="4"/>
        <v>8.25</v>
      </c>
    </row>
    <row r="44" spans="1:15" ht="24" customHeight="1" thickBot="1" x14ac:dyDescent="0.35">
      <c r="A44" s="256"/>
      <c r="B44" s="256" t="s">
        <v>348</v>
      </c>
      <c r="C44" s="280">
        <f>SUM(C12:C43)</f>
        <v>8180</v>
      </c>
      <c r="D44" s="280">
        <f>SUM(D12:D43)</f>
        <v>45656.5</v>
      </c>
      <c r="E44" s="280">
        <f t="shared" ref="E44:F44" si="5">SUM(E12:E43)</f>
        <v>284</v>
      </c>
      <c r="F44" s="280">
        <f t="shared" si="5"/>
        <v>3097</v>
      </c>
      <c r="G44" s="280">
        <f t="shared" ref="G44:L44" si="6">SUM(G12:G43)</f>
        <v>8464</v>
      </c>
      <c r="H44" s="280">
        <f t="shared" si="6"/>
        <v>48753.5</v>
      </c>
      <c r="I44" s="322">
        <f t="shared" si="6"/>
        <v>2</v>
      </c>
      <c r="J44" s="322">
        <f t="shared" si="6"/>
        <v>73.25</v>
      </c>
      <c r="K44" s="322">
        <f t="shared" si="6"/>
        <v>14</v>
      </c>
      <c r="L44" s="322">
        <f t="shared" si="6"/>
        <v>189</v>
      </c>
      <c r="M44" s="765">
        <f>IFERROR(C44/G44*100, "")</f>
        <v>96.644612476370511</v>
      </c>
      <c r="N44" s="761">
        <f t="shared" si="3"/>
        <v>5.5814792176039116</v>
      </c>
      <c r="O44" s="761">
        <f t="shared" si="4"/>
        <v>10.904929577464788</v>
      </c>
    </row>
    <row r="45" spans="1:15" x14ac:dyDescent="0.3">
      <c r="B45" s="257"/>
      <c r="C45" s="281"/>
      <c r="D45" s="281"/>
      <c r="E45" s="281"/>
      <c r="F45" s="281"/>
      <c r="G45" s="279"/>
      <c r="H45" s="279"/>
      <c r="I45" s="257"/>
      <c r="J45" s="98"/>
      <c r="K45" s="257"/>
      <c r="L45" s="257"/>
      <c r="M45" s="282"/>
      <c r="N45" s="258"/>
    </row>
    <row r="46" spans="1:15" x14ac:dyDescent="0.3">
      <c r="A46" s="336" t="s">
        <v>329</v>
      </c>
      <c r="B46" s="338"/>
      <c r="C46" s="338"/>
      <c r="D46" s="338"/>
      <c r="E46" s="338"/>
      <c r="F46" s="338"/>
      <c r="G46" s="338"/>
      <c r="H46" s="338"/>
      <c r="I46" s="338"/>
      <c r="J46" s="338"/>
      <c r="K46" s="338"/>
      <c r="L46" s="338"/>
      <c r="M46" s="338"/>
      <c r="N46" s="338"/>
    </row>
    <row r="47" spans="1:15" x14ac:dyDescent="0.3">
      <c r="A47" s="338" t="s">
        <v>1241</v>
      </c>
      <c r="B47" s="338"/>
      <c r="C47" s="338"/>
      <c r="D47" s="338"/>
      <c r="E47" s="338"/>
      <c r="F47" s="338"/>
      <c r="G47" s="338"/>
      <c r="H47" s="338"/>
      <c r="I47" s="338"/>
      <c r="J47" s="338"/>
      <c r="K47" s="338"/>
      <c r="L47" s="338"/>
      <c r="M47" s="338"/>
      <c r="N47" s="338"/>
    </row>
    <row r="48" spans="1:15" ht="15" customHeight="1" x14ac:dyDescent="0.3">
      <c r="A48" s="451" t="s">
        <v>699</v>
      </c>
      <c r="B48" s="451"/>
      <c r="C48" s="451"/>
      <c r="D48" s="451"/>
      <c r="E48" s="451"/>
      <c r="F48" s="451"/>
      <c r="G48" s="451"/>
      <c r="H48" s="451"/>
      <c r="I48" s="451"/>
      <c r="J48" s="451"/>
      <c r="K48" s="451"/>
      <c r="L48" s="451"/>
      <c r="M48" s="451"/>
      <c r="N48" s="451"/>
    </row>
    <row r="49" spans="1:15" ht="30.75" customHeight="1" x14ac:dyDescent="0.3">
      <c r="A49" s="1040" t="s">
        <v>1248</v>
      </c>
      <c r="B49" s="1040"/>
      <c r="C49" s="1040"/>
      <c r="D49" s="1040"/>
      <c r="E49" s="1040"/>
      <c r="F49" s="1040"/>
      <c r="G49" s="1040"/>
      <c r="H49" s="1040"/>
      <c r="I49" s="1040"/>
      <c r="J49" s="1040"/>
      <c r="K49" s="1040"/>
      <c r="L49" s="1040"/>
      <c r="M49" s="1040"/>
      <c r="N49" s="1040"/>
      <c r="O49" s="1040"/>
    </row>
    <row r="50" spans="1:15" x14ac:dyDescent="0.3">
      <c r="A50" s="338" t="s">
        <v>1244</v>
      </c>
    </row>
  </sheetData>
  <sheetProtection algorithmName="SHA-512" hashValue="3UOu133scTIzOgrF6UMk5GYcv5X+4i60wsssNNElcK84zOWFdAWzxPv/Ie6TjK5vQNYkDmOOn0HnnJoIec2saQ==" saltValue="dFo6ulUSynkab61LbYw+4w==" spinCount="100000" sheet="1" scenarios="1" formatCells="0" sort="0" autoFilter="0" pivotTables="0"/>
  <mergeCells count="6">
    <mergeCell ref="A49:O49"/>
    <mergeCell ref="C10:D10"/>
    <mergeCell ref="E10:F10"/>
    <mergeCell ref="G10:H10"/>
    <mergeCell ref="I10:J10"/>
    <mergeCell ref="K10:L10"/>
  </mergeCells>
  <hyperlinks>
    <hyperlink ref="A2" location="'Table of Contents'!A1" display="Back to Table of Contents" xr:uid="{00000000-0004-0000-AC00-000000000000}"/>
  </hyperlinks>
  <pageMargins left="0.70866141732283472" right="0.70866141732283472" top="0.74803149606299213" bottom="0.74803149606299213" header="0.31496062992125984" footer="0.31496062992125984"/>
  <pageSetup paperSize="9" scale="73" orientation="landscape" r:id="rId1"/>
  <drawing r:id="rId2"/>
  <extLst>
    <ext xmlns:x14="http://schemas.microsoft.com/office/spreadsheetml/2009/9/main" uri="{A8765BA9-456A-4dab-B4F3-ACF838C121DE}">
      <x14:slicerList>
        <x14:slicer r:id="rId3"/>
      </x14:slicerList>
    </ext>
  </extLst>
</worksheet>
</file>

<file path=xl/worksheets/sheet18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B212A69-BADA-452E-B9DB-7C99E2C5FC98}">
  <sheetPr>
    <tabColor theme="3" tint="0.39997558519241921"/>
  </sheetPr>
  <dimension ref="B4:E17"/>
  <sheetViews>
    <sheetView workbookViewId="0">
      <selection activeCell="D12" sqref="D12"/>
    </sheetView>
  </sheetViews>
  <sheetFormatPr defaultRowHeight="14.4" x14ac:dyDescent="0.3"/>
  <cols>
    <col min="2" max="2" width="12.77734375" bestFit="1" customWidth="1"/>
    <col min="3" max="3" width="25.109375" bestFit="1" customWidth="1"/>
    <col min="4" max="4" width="23.5546875" bestFit="1" customWidth="1"/>
    <col min="5" max="5" width="23.44140625" bestFit="1" customWidth="1"/>
  </cols>
  <sheetData>
    <row r="4" spans="2:5" x14ac:dyDescent="0.3">
      <c r="B4" s="386" t="s">
        <v>350</v>
      </c>
      <c r="C4" t="s">
        <v>1255</v>
      </c>
      <c r="D4" t="s">
        <v>1256</v>
      </c>
      <c r="E4" t="s">
        <v>1257</v>
      </c>
    </row>
    <row r="5" spans="2:5" x14ac:dyDescent="0.3">
      <c r="B5" s="387" t="s">
        <v>365</v>
      </c>
      <c r="C5">
        <v>21</v>
      </c>
      <c r="D5">
        <v>15</v>
      </c>
      <c r="E5">
        <v>0</v>
      </c>
    </row>
    <row r="6" spans="2:5" x14ac:dyDescent="0.3">
      <c r="B6" s="387" t="s">
        <v>366</v>
      </c>
      <c r="C6">
        <v>22</v>
      </c>
      <c r="D6">
        <v>17</v>
      </c>
      <c r="E6">
        <v>0</v>
      </c>
    </row>
    <row r="7" spans="2:5" x14ac:dyDescent="0.3">
      <c r="B7" s="387" t="s">
        <v>341</v>
      </c>
      <c r="C7">
        <v>15</v>
      </c>
      <c r="D7">
        <v>17</v>
      </c>
      <c r="E7">
        <v>1</v>
      </c>
    </row>
    <row r="8" spans="2:5" x14ac:dyDescent="0.3">
      <c r="B8" s="387" t="s">
        <v>342</v>
      </c>
      <c r="C8">
        <v>15</v>
      </c>
      <c r="D8">
        <v>26</v>
      </c>
      <c r="E8">
        <v>2</v>
      </c>
    </row>
    <row r="9" spans="2:5" x14ac:dyDescent="0.3">
      <c r="B9" s="387" t="s">
        <v>213</v>
      </c>
      <c r="C9">
        <v>21</v>
      </c>
      <c r="D9">
        <v>21</v>
      </c>
      <c r="E9">
        <v>2</v>
      </c>
    </row>
    <row r="10" spans="2:5" x14ac:dyDescent="0.3">
      <c r="B10" s="387" t="s">
        <v>312</v>
      </c>
      <c r="C10">
        <v>7</v>
      </c>
      <c r="D10">
        <v>2</v>
      </c>
      <c r="E10">
        <v>0</v>
      </c>
    </row>
    <row r="11" spans="2:5" x14ac:dyDescent="0.3">
      <c r="B11" s="387" t="s">
        <v>318</v>
      </c>
      <c r="C11">
        <v>2</v>
      </c>
      <c r="D11">
        <v>1</v>
      </c>
      <c r="E11">
        <v>1</v>
      </c>
    </row>
    <row r="12" spans="2:5" x14ac:dyDescent="0.3">
      <c r="B12" s="387" t="s">
        <v>320</v>
      </c>
      <c r="C12">
        <v>3</v>
      </c>
      <c r="D12">
        <v>6</v>
      </c>
      <c r="E12">
        <v>0</v>
      </c>
    </row>
    <row r="13" spans="2:5" x14ac:dyDescent="0.3">
      <c r="B13" s="387" t="s">
        <v>325</v>
      </c>
      <c r="C13">
        <v>6</v>
      </c>
      <c r="D13">
        <v>9</v>
      </c>
      <c r="E13">
        <v>0</v>
      </c>
    </row>
    <row r="14" spans="2:5" x14ac:dyDescent="0.3">
      <c r="B14" s="387" t="s">
        <v>326</v>
      </c>
      <c r="C14">
        <v>15</v>
      </c>
      <c r="D14">
        <v>13</v>
      </c>
      <c r="E14">
        <v>2</v>
      </c>
    </row>
    <row r="15" spans="2:5" x14ac:dyDescent="0.3">
      <c r="B15" s="387" t="s">
        <v>328</v>
      </c>
      <c r="C15">
        <v>19</v>
      </c>
      <c r="D15">
        <v>21</v>
      </c>
      <c r="E15">
        <v>2</v>
      </c>
    </row>
    <row r="16" spans="2:5" x14ac:dyDescent="0.3">
      <c r="B16" s="387" t="s">
        <v>412</v>
      </c>
      <c r="C16">
        <v>8</v>
      </c>
      <c r="D16">
        <v>29</v>
      </c>
      <c r="E16">
        <v>4</v>
      </c>
    </row>
    <row r="17" spans="2:5" x14ac:dyDescent="0.3">
      <c r="B17" s="387" t="s">
        <v>357</v>
      </c>
      <c r="C17">
        <v>154</v>
      </c>
      <c r="D17">
        <v>177</v>
      </c>
      <c r="E17">
        <v>14</v>
      </c>
    </row>
  </sheetData>
  <pageMargins left="0.7" right="0.7" top="0.75" bottom="0.75" header="0.3" footer="0.3"/>
</worksheet>
</file>

<file path=xl/worksheets/sheet18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4A88F0B-E444-4AE5-BC7C-32797FE60FB5}">
  <sheetPr>
    <tabColor theme="3" tint="0.39997558519241921"/>
  </sheetPr>
  <dimension ref="B4:E16"/>
  <sheetViews>
    <sheetView workbookViewId="0">
      <selection activeCell="D12" sqref="D12"/>
    </sheetView>
  </sheetViews>
  <sheetFormatPr defaultRowHeight="14.4" x14ac:dyDescent="0.3"/>
  <cols>
    <col min="2" max="2" width="7.6640625" bestFit="1" customWidth="1"/>
    <col min="3" max="3" width="20.6640625" bestFit="1" customWidth="1"/>
    <col min="4" max="4" width="19.33203125" bestFit="1" customWidth="1"/>
    <col min="5" max="5" width="19.109375" bestFit="1" customWidth="1"/>
  </cols>
  <sheetData>
    <row r="4" spans="2:5" x14ac:dyDescent="0.3">
      <c r="B4" t="s">
        <v>208</v>
      </c>
      <c r="C4" t="s">
        <v>1234</v>
      </c>
      <c r="D4" t="s">
        <v>1235</v>
      </c>
      <c r="E4" t="s">
        <v>1258</v>
      </c>
    </row>
    <row r="5" spans="2:5" x14ac:dyDescent="0.3">
      <c r="B5" t="s">
        <v>365</v>
      </c>
      <c r="C5">
        <v>21</v>
      </c>
      <c r="D5">
        <v>15</v>
      </c>
      <c r="E5">
        <v>0</v>
      </c>
    </row>
    <row r="6" spans="2:5" x14ac:dyDescent="0.3">
      <c r="B6" t="s">
        <v>366</v>
      </c>
      <c r="C6">
        <v>22</v>
      </c>
      <c r="D6">
        <v>17</v>
      </c>
      <c r="E6">
        <v>0</v>
      </c>
    </row>
    <row r="7" spans="2:5" x14ac:dyDescent="0.3">
      <c r="B7" t="s">
        <v>341</v>
      </c>
      <c r="C7">
        <v>15</v>
      </c>
      <c r="D7">
        <v>17</v>
      </c>
      <c r="E7">
        <v>1</v>
      </c>
    </row>
    <row r="8" spans="2:5" x14ac:dyDescent="0.3">
      <c r="B8" t="s">
        <v>342</v>
      </c>
      <c r="C8">
        <v>15</v>
      </c>
      <c r="D8">
        <v>26</v>
      </c>
      <c r="E8">
        <v>2</v>
      </c>
    </row>
    <row r="9" spans="2:5" x14ac:dyDescent="0.3">
      <c r="B9" t="s">
        <v>213</v>
      </c>
      <c r="C9">
        <v>21</v>
      </c>
      <c r="D9">
        <v>21</v>
      </c>
      <c r="E9">
        <v>2</v>
      </c>
    </row>
    <row r="10" spans="2:5" x14ac:dyDescent="0.3">
      <c r="B10" t="s">
        <v>312</v>
      </c>
      <c r="C10">
        <v>7</v>
      </c>
      <c r="D10">
        <v>2</v>
      </c>
      <c r="E10">
        <v>0</v>
      </c>
    </row>
    <row r="11" spans="2:5" x14ac:dyDescent="0.3">
      <c r="B11" t="s">
        <v>318</v>
      </c>
      <c r="C11">
        <v>2</v>
      </c>
      <c r="D11">
        <v>1</v>
      </c>
      <c r="E11">
        <v>1</v>
      </c>
    </row>
    <row r="12" spans="2:5" x14ac:dyDescent="0.3">
      <c r="B12" t="s">
        <v>320</v>
      </c>
      <c r="C12">
        <v>3</v>
      </c>
      <c r="D12">
        <v>6</v>
      </c>
      <c r="E12">
        <v>0</v>
      </c>
    </row>
    <row r="13" spans="2:5" x14ac:dyDescent="0.3">
      <c r="B13" t="s">
        <v>325</v>
      </c>
      <c r="C13">
        <v>6</v>
      </c>
      <c r="D13">
        <v>9</v>
      </c>
      <c r="E13">
        <v>0</v>
      </c>
    </row>
    <row r="14" spans="2:5" x14ac:dyDescent="0.3">
      <c r="B14" t="s">
        <v>326</v>
      </c>
      <c r="C14">
        <v>15</v>
      </c>
      <c r="D14">
        <v>13</v>
      </c>
      <c r="E14">
        <v>2</v>
      </c>
    </row>
    <row r="15" spans="2:5" x14ac:dyDescent="0.3">
      <c r="B15" t="s">
        <v>328</v>
      </c>
      <c r="C15">
        <v>19</v>
      </c>
      <c r="D15">
        <v>21</v>
      </c>
      <c r="E15">
        <v>2</v>
      </c>
    </row>
    <row r="16" spans="2:5" x14ac:dyDescent="0.3">
      <c r="B16" t="s">
        <v>412</v>
      </c>
      <c r="C16">
        <v>8</v>
      </c>
      <c r="D16">
        <v>29</v>
      </c>
      <c r="E16">
        <v>4</v>
      </c>
    </row>
  </sheetData>
  <pageMargins left="0.7" right="0.7" top="0.75" bottom="0.75" header="0.3" footer="0.3"/>
  <tableParts count="1">
    <tablePart r:id="rId1"/>
  </tableParts>
</worksheet>
</file>

<file path=xl/worksheets/sheet18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tabColor theme="3" tint="0.39997558519241921"/>
    <pageSetUpPr fitToPage="1"/>
  </sheetPr>
  <dimension ref="A1:O48"/>
  <sheetViews>
    <sheetView showGridLines="0" workbookViewId="0">
      <pane ySplit="2" topLeftCell="A3" activePane="bottomLeft" state="frozen"/>
      <selection pane="bottomLeft"/>
    </sheetView>
  </sheetViews>
  <sheetFormatPr defaultRowHeight="14.4" x14ac:dyDescent="0.3"/>
  <cols>
    <col min="1" max="1" width="20.44140625" customWidth="1"/>
    <col min="2" max="2" width="19.44140625" customWidth="1"/>
    <col min="3" max="3" width="18.109375" customWidth="1"/>
    <col min="4" max="4" width="17.6640625" customWidth="1"/>
    <col min="5" max="5" width="10.109375" customWidth="1"/>
    <col min="6" max="6" width="6.109375" bestFit="1" customWidth="1"/>
    <col min="7" max="8" width="5.5546875" bestFit="1" customWidth="1"/>
  </cols>
  <sheetData>
    <row r="1" spans="1:14" ht="15.6" x14ac:dyDescent="0.3">
      <c r="A1" s="513" t="s">
        <v>1118</v>
      </c>
    </row>
    <row r="2" spans="1:14" x14ac:dyDescent="0.3">
      <c r="A2" s="498" t="s">
        <v>202</v>
      </c>
    </row>
    <row r="3" spans="1:14" x14ac:dyDescent="0.3">
      <c r="A3" s="25"/>
    </row>
    <row r="4" spans="1:14" ht="15.6" x14ac:dyDescent="0.3">
      <c r="A4" s="438" t="s">
        <v>1259</v>
      </c>
      <c r="B4" s="438"/>
      <c r="C4" s="438"/>
      <c r="D4" s="438"/>
      <c r="E4" s="438"/>
      <c r="F4" s="438"/>
      <c r="G4" s="438"/>
      <c r="H4" s="438"/>
      <c r="I4" s="438"/>
      <c r="J4" s="438"/>
      <c r="K4" s="438"/>
      <c r="L4" s="438"/>
      <c r="M4" s="438"/>
      <c r="N4" s="438"/>
    </row>
    <row r="5" spans="1:14" ht="15.6" x14ac:dyDescent="0.3">
      <c r="A5" t="s">
        <v>203</v>
      </c>
      <c r="B5" t="s">
        <v>194</v>
      </c>
      <c r="C5" s="499"/>
      <c r="D5" s="499"/>
      <c r="E5" s="499"/>
      <c r="F5" s="499"/>
      <c r="G5" s="499"/>
      <c r="H5" s="499"/>
      <c r="I5" s="499"/>
      <c r="J5" s="499"/>
    </row>
    <row r="6" spans="1:14" ht="15.6" x14ac:dyDescent="0.3">
      <c r="A6" t="s">
        <v>204</v>
      </c>
      <c r="B6" t="s">
        <v>205</v>
      </c>
      <c r="C6" s="499"/>
      <c r="D6" s="499"/>
      <c r="E6" s="499"/>
      <c r="F6" s="499"/>
      <c r="G6" s="499"/>
      <c r="H6" s="499"/>
      <c r="I6" s="499"/>
      <c r="J6" s="499"/>
    </row>
    <row r="7" spans="1:14" ht="15.6" x14ac:dyDescent="0.3">
      <c r="A7" t="s">
        <v>206</v>
      </c>
      <c r="B7" t="s">
        <v>207</v>
      </c>
      <c r="C7" s="499"/>
      <c r="D7" s="499"/>
      <c r="E7" s="499"/>
      <c r="F7" s="499"/>
      <c r="G7" s="499"/>
      <c r="H7" s="499"/>
      <c r="I7" s="499"/>
      <c r="J7" s="499"/>
      <c r="K7" s="25"/>
      <c r="L7" s="25"/>
      <c r="M7" s="25"/>
      <c r="N7" s="25"/>
    </row>
    <row r="8" spans="1:14" x14ac:dyDescent="0.3">
      <c r="B8" s="579"/>
      <c r="C8" s="579"/>
      <c r="D8" s="579"/>
    </row>
    <row r="9" spans="1:14" x14ac:dyDescent="0.3">
      <c r="A9" s="525" t="s">
        <v>208</v>
      </c>
      <c r="B9" s="647" t="s">
        <v>1260</v>
      </c>
      <c r="C9" s="647" t="s">
        <v>1240</v>
      </c>
      <c r="D9" s="647" t="s">
        <v>1261</v>
      </c>
    </row>
    <row r="10" spans="1:14" x14ac:dyDescent="0.3">
      <c r="A10" s="312" t="s">
        <v>365</v>
      </c>
      <c r="B10" s="601">
        <f>GETPIVOTDATA("Sum of Enforcement Notice",NoticesPivot!$B$4,"Year",A10)</f>
        <v>21</v>
      </c>
      <c r="C10" s="601">
        <f>GETPIVOTDATA("Sum of Prohibition Notice",NoticesPivot!$B$4,"Year",A10)</f>
        <v>15</v>
      </c>
      <c r="D10" s="601">
        <f>GETPIVOTDATA("Sum of Alterations Notice",NoticesPivot!$B$4,"Year",A10)</f>
        <v>0</v>
      </c>
    </row>
    <row r="11" spans="1:14" x14ac:dyDescent="0.3">
      <c r="A11" s="312" t="s">
        <v>366</v>
      </c>
      <c r="B11" s="601">
        <f>GETPIVOTDATA("Sum of Enforcement Notice",NoticesPivot!$B$4,"Year",A11)</f>
        <v>22</v>
      </c>
      <c r="C11" s="601">
        <f>GETPIVOTDATA("Sum of Prohibition Notice",NoticesPivot!$B$4,"Year",A11)</f>
        <v>17</v>
      </c>
      <c r="D11" s="601">
        <f>GETPIVOTDATA("Sum of Alterations Notice",NoticesPivot!$B$4,"Year",A11)</f>
        <v>0</v>
      </c>
    </row>
    <row r="12" spans="1:14" x14ac:dyDescent="0.3">
      <c r="A12" s="312" t="s">
        <v>341</v>
      </c>
      <c r="B12" s="601">
        <f>GETPIVOTDATA("Sum of Enforcement Notice",NoticesPivot!$B$4,"Year",A12)</f>
        <v>15</v>
      </c>
      <c r="C12" s="601">
        <f>GETPIVOTDATA("Sum of Prohibition Notice",NoticesPivot!$B$4,"Year",A12)</f>
        <v>17</v>
      </c>
      <c r="D12" s="601">
        <f>GETPIVOTDATA("Sum of Alterations Notice",NoticesPivot!$B$4,"Year",A12)</f>
        <v>1</v>
      </c>
    </row>
    <row r="13" spans="1:14" x14ac:dyDescent="0.3">
      <c r="A13" s="312" t="s">
        <v>342</v>
      </c>
      <c r="B13" s="601">
        <f>GETPIVOTDATA("Sum of Enforcement Notice",NoticesPivot!$B$4,"Year",A13)</f>
        <v>15</v>
      </c>
      <c r="C13" s="601">
        <f>GETPIVOTDATA("Sum of Prohibition Notice",NoticesPivot!$B$4,"Year",A13)</f>
        <v>26</v>
      </c>
      <c r="D13" s="601">
        <f>GETPIVOTDATA("Sum of Alterations Notice",NoticesPivot!$B$4,"Year",A13)</f>
        <v>2</v>
      </c>
    </row>
    <row r="14" spans="1:14" x14ac:dyDescent="0.3">
      <c r="A14" s="312" t="s">
        <v>213</v>
      </c>
      <c r="B14" s="601">
        <f>GETPIVOTDATA("Sum of Enforcement Notice",NoticesPivot!$B$4,"Year",A14)</f>
        <v>21</v>
      </c>
      <c r="C14" s="601">
        <f>GETPIVOTDATA("Sum of Prohibition Notice",NoticesPivot!$B$4,"Year",A14)</f>
        <v>21</v>
      </c>
      <c r="D14" s="601">
        <f>GETPIVOTDATA("Sum of Alterations Notice",NoticesPivot!$B$4,"Year",A14)</f>
        <v>2</v>
      </c>
    </row>
    <row r="15" spans="1:14" x14ac:dyDescent="0.3">
      <c r="A15" s="312" t="s">
        <v>312</v>
      </c>
      <c r="B15" s="601">
        <f>GETPIVOTDATA("Sum of Enforcement Notice",NoticesPivot!$B$4,"Year",A15)</f>
        <v>7</v>
      </c>
      <c r="C15" s="601">
        <f>GETPIVOTDATA("Sum of Prohibition Notice",NoticesPivot!$B$4,"Year",A15)</f>
        <v>2</v>
      </c>
      <c r="D15" s="601">
        <f>GETPIVOTDATA("Sum of Alterations Notice",NoticesPivot!$B$4,"Year",A15)</f>
        <v>0</v>
      </c>
    </row>
    <row r="16" spans="1:14" x14ac:dyDescent="0.3">
      <c r="A16" s="312" t="s">
        <v>318</v>
      </c>
      <c r="B16" s="601">
        <f>GETPIVOTDATA("Sum of Enforcement Notice",NoticesPivot!$B$4,"Year",A16)</f>
        <v>2</v>
      </c>
      <c r="C16" s="601">
        <f>GETPIVOTDATA("Sum of Prohibition Notice",NoticesPivot!$B$4,"Year",A16)</f>
        <v>1</v>
      </c>
      <c r="D16" s="601">
        <f>GETPIVOTDATA("Sum of Alterations Notice",NoticesPivot!$B$4,"Year",A16)</f>
        <v>1</v>
      </c>
    </row>
    <row r="17" spans="1:15" x14ac:dyDescent="0.3">
      <c r="A17" s="312" t="s">
        <v>320</v>
      </c>
      <c r="B17" s="601">
        <f>GETPIVOTDATA("Sum of Enforcement Notice",NoticesPivot!$B$4,"Year",A17)</f>
        <v>3</v>
      </c>
      <c r="C17" s="601">
        <f>GETPIVOTDATA("Sum of Prohibition Notice",NoticesPivot!$B$4,"Year",A17)</f>
        <v>6</v>
      </c>
      <c r="D17" s="601">
        <f>GETPIVOTDATA("Sum of Alterations Notice",NoticesPivot!$B$4,"Year",A17)</f>
        <v>0</v>
      </c>
    </row>
    <row r="18" spans="1:15" x14ac:dyDescent="0.3">
      <c r="A18" s="312" t="s">
        <v>325</v>
      </c>
      <c r="B18" s="601">
        <f>GETPIVOTDATA("Sum of Enforcement Notice",NoticesPivot!$B$4,"Year",A18)</f>
        <v>6</v>
      </c>
      <c r="C18" s="601">
        <f>GETPIVOTDATA("Sum of Prohibition Notice",NoticesPivot!$B$4,"Year",A18)</f>
        <v>9</v>
      </c>
      <c r="D18" s="601">
        <f>GETPIVOTDATA("Sum of Alterations Notice",NoticesPivot!$B$4,"Year",A18)</f>
        <v>0</v>
      </c>
    </row>
    <row r="19" spans="1:15" x14ac:dyDescent="0.3">
      <c r="A19" s="972" t="s">
        <v>326</v>
      </c>
      <c r="B19" s="601">
        <f>GETPIVOTDATA("Sum of Enforcement Notice",NoticesPivot!$B$4,"Year",A19)</f>
        <v>15</v>
      </c>
      <c r="C19" s="601">
        <f>GETPIVOTDATA("Sum of Prohibition Notice",NoticesPivot!$B$4,"Year",A19)</f>
        <v>13</v>
      </c>
      <c r="D19" s="601">
        <f>GETPIVOTDATA("Sum of Alterations Notice",NoticesPivot!$B$4,"Year",A19)</f>
        <v>2</v>
      </c>
      <c r="E19" s="366"/>
      <c r="O19" s="419"/>
    </row>
    <row r="20" spans="1:15" x14ac:dyDescent="0.3">
      <c r="A20" s="972" t="s">
        <v>328</v>
      </c>
      <c r="B20" s="601">
        <f>GETPIVOTDATA("Sum of Enforcement Notice",NoticesPivot!$B$4,"Year",A20)</f>
        <v>19</v>
      </c>
      <c r="C20" s="601">
        <f>GETPIVOTDATA("Sum of Prohibition Notice",NoticesPivot!$B$4,"Year",A20)</f>
        <v>21</v>
      </c>
      <c r="D20" s="601">
        <f>GETPIVOTDATA("Sum of Alterations Notice",NoticesPivot!$B$4,"Year",A20)</f>
        <v>2</v>
      </c>
      <c r="E20" s="366"/>
      <c r="O20" s="419"/>
    </row>
    <row r="21" spans="1:15" ht="15" thickBot="1" x14ac:dyDescent="0.35">
      <c r="A21" s="872" t="s">
        <v>412</v>
      </c>
      <c r="B21" s="606">
        <f>GETPIVOTDATA("Sum of Enforcement Notice",NoticesPivot!$B$4,"Year",A21)</f>
        <v>8</v>
      </c>
      <c r="C21" s="606">
        <f>GETPIVOTDATA("Sum of Prohibition Notice",NoticesPivot!$B$4,"Year",A21)</f>
        <v>29</v>
      </c>
      <c r="D21" s="606">
        <f>GETPIVOTDATA("Sum of Alterations Notice",NoticesPivot!$B$4,"Year",A21)</f>
        <v>4</v>
      </c>
      <c r="E21" s="366"/>
      <c r="O21" s="419"/>
    </row>
    <row r="22" spans="1:15" x14ac:dyDescent="0.3">
      <c r="A22" s="972"/>
      <c r="B22" s="601"/>
      <c r="C22" s="601"/>
      <c r="D22" s="601"/>
      <c r="E22" s="366"/>
      <c r="O22" s="419"/>
    </row>
    <row r="23" spans="1:15" x14ac:dyDescent="0.3">
      <c r="A23" s="334" t="s">
        <v>329</v>
      </c>
      <c r="B23" s="25"/>
      <c r="C23" s="25"/>
      <c r="D23" s="25"/>
      <c r="O23" s="419"/>
    </row>
    <row r="24" spans="1:15" ht="46.5" customHeight="1" x14ac:dyDescent="0.3">
      <c r="A24" s="1064" t="s">
        <v>1262</v>
      </c>
      <c r="B24" s="1064"/>
      <c r="C24" s="1064"/>
      <c r="D24" s="1064"/>
      <c r="E24" s="1064"/>
      <c r="O24" s="419"/>
    </row>
    <row r="25" spans="1:15" ht="44.4" customHeight="1" x14ac:dyDescent="0.3">
      <c r="A25" s="1033" t="s">
        <v>1263</v>
      </c>
      <c r="B25" s="1033"/>
      <c r="C25" s="1033"/>
      <c r="D25" s="1033"/>
      <c r="E25" s="1033"/>
      <c r="O25" s="419"/>
    </row>
    <row r="26" spans="1:15" ht="15.6" x14ac:dyDescent="0.3">
      <c r="A26" s="357"/>
      <c r="C26" s="225"/>
      <c r="D26" s="319"/>
      <c r="E26" s="319"/>
      <c r="O26" s="419"/>
    </row>
    <row r="27" spans="1:15" x14ac:dyDescent="0.3">
      <c r="O27" s="419"/>
    </row>
    <row r="28" spans="1:15" x14ac:dyDescent="0.3">
      <c r="O28" s="419"/>
    </row>
    <row r="29" spans="1:15" x14ac:dyDescent="0.3">
      <c r="O29" s="419"/>
    </row>
    <row r="30" spans="1:15" x14ac:dyDescent="0.3">
      <c r="O30" s="419"/>
    </row>
    <row r="31" spans="1:15" x14ac:dyDescent="0.3">
      <c r="O31" s="419"/>
    </row>
    <row r="32" spans="1:15" x14ac:dyDescent="0.3">
      <c r="O32" s="419"/>
    </row>
    <row r="33" spans="15:15" x14ac:dyDescent="0.3">
      <c r="O33" s="419"/>
    </row>
    <row r="34" spans="15:15" x14ac:dyDescent="0.3">
      <c r="O34" s="419"/>
    </row>
    <row r="35" spans="15:15" x14ac:dyDescent="0.3">
      <c r="O35" s="419"/>
    </row>
    <row r="36" spans="15:15" x14ac:dyDescent="0.3">
      <c r="O36" s="419"/>
    </row>
    <row r="37" spans="15:15" x14ac:dyDescent="0.3">
      <c r="O37" s="419"/>
    </row>
    <row r="38" spans="15:15" x14ac:dyDescent="0.3">
      <c r="O38" s="419"/>
    </row>
    <row r="39" spans="15:15" x14ac:dyDescent="0.3">
      <c r="O39" s="419"/>
    </row>
    <row r="40" spans="15:15" x14ac:dyDescent="0.3">
      <c r="O40" s="419"/>
    </row>
    <row r="41" spans="15:15" x14ac:dyDescent="0.3">
      <c r="O41" s="419"/>
    </row>
    <row r="42" spans="15:15" x14ac:dyDescent="0.3">
      <c r="O42" s="419"/>
    </row>
    <row r="43" spans="15:15" x14ac:dyDescent="0.3">
      <c r="O43" s="419"/>
    </row>
    <row r="44" spans="15:15" x14ac:dyDescent="0.3">
      <c r="O44" s="419"/>
    </row>
    <row r="45" spans="15:15" x14ac:dyDescent="0.3">
      <c r="O45" s="419"/>
    </row>
    <row r="46" spans="15:15" x14ac:dyDescent="0.3">
      <c r="O46" s="419"/>
    </row>
    <row r="47" spans="15:15" x14ac:dyDescent="0.3">
      <c r="O47" s="419"/>
    </row>
    <row r="48" spans="15:15" x14ac:dyDescent="0.3">
      <c r="O48" s="419"/>
    </row>
  </sheetData>
  <sheetProtection algorithmName="SHA-512" hashValue="ABJ6N13hg7s6HtBfzaSpeHMlOEfSBDPmGAYeOXHvFq0aHTctY+V8SihxcojPt8zQMAFd0LDhk/cOjSHivfLniA==" saltValue="rUegWuVCl1inEu5cxQo2Vg==" spinCount="100000" sheet="1" formatCells="0" sort="0" autoFilter="0" pivotTables="0"/>
  <mergeCells count="2">
    <mergeCell ref="A25:E25"/>
    <mergeCell ref="A24:E24"/>
  </mergeCells>
  <phoneticPr fontId="53" type="noConversion"/>
  <hyperlinks>
    <hyperlink ref="A2" location="'Table of Contents'!A1" display="Back to Table of Contents" xr:uid="{00000000-0004-0000-AE00-000000000000}"/>
  </hyperlinks>
  <pageMargins left="0.70866141732283472" right="0.70866141732283472" top="0.74803149606299213" bottom="0.74803149606299213" header="0.31496062992125984" footer="0.31496062992125984"/>
  <pageSetup paperSize="9" scale="81" orientation="portrait" r:id="rId1"/>
</worksheet>
</file>

<file path=xl/worksheets/sheet18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tabColor theme="3" tint="0.39997558519241921"/>
  </sheetPr>
  <dimension ref="B2:I20"/>
  <sheetViews>
    <sheetView topLeftCell="A7" workbookViewId="0">
      <selection activeCell="D14" sqref="D14"/>
    </sheetView>
  </sheetViews>
  <sheetFormatPr defaultRowHeight="14.4" x14ac:dyDescent="0.3"/>
  <cols>
    <col min="2" max="2" width="27.109375" bestFit="1" customWidth="1"/>
    <col min="3" max="3" width="9.88671875" bestFit="1" customWidth="1"/>
    <col min="4" max="4" width="8.33203125" bestFit="1" customWidth="1"/>
    <col min="5" max="5" width="9.21875" bestFit="1" customWidth="1"/>
    <col min="6" max="6" width="8.6640625" bestFit="1" customWidth="1"/>
    <col min="7" max="7" width="9.88671875" bestFit="1" customWidth="1"/>
    <col min="8" max="8" width="17" bestFit="1" customWidth="1"/>
    <col min="9" max="9" width="11.6640625" bestFit="1" customWidth="1"/>
  </cols>
  <sheetData>
    <row r="2" spans="2:9" x14ac:dyDescent="0.3">
      <c r="B2" s="386" t="s">
        <v>208</v>
      </c>
      <c r="C2" t="s">
        <v>412</v>
      </c>
    </row>
    <row r="4" spans="2:9" x14ac:dyDescent="0.3">
      <c r="B4" s="386" t="s">
        <v>350</v>
      </c>
      <c r="C4" t="s">
        <v>1264</v>
      </c>
      <c r="D4" t="s">
        <v>1265</v>
      </c>
      <c r="E4" t="s">
        <v>1266</v>
      </c>
      <c r="F4" t="s">
        <v>1267</v>
      </c>
      <c r="G4" t="s">
        <v>1268</v>
      </c>
      <c r="H4" t="s">
        <v>1269</v>
      </c>
      <c r="I4" t="s">
        <v>356</v>
      </c>
    </row>
    <row r="5" spans="2:9" x14ac:dyDescent="0.3">
      <c r="B5" s="387" t="s">
        <v>1141</v>
      </c>
      <c r="C5">
        <v>115</v>
      </c>
      <c r="D5">
        <v>657</v>
      </c>
      <c r="E5">
        <v>475</v>
      </c>
      <c r="F5">
        <v>143</v>
      </c>
      <c r="G5">
        <v>5</v>
      </c>
      <c r="H5">
        <v>199</v>
      </c>
      <c r="I5">
        <v>1395</v>
      </c>
    </row>
    <row r="6" spans="2:9" x14ac:dyDescent="0.3">
      <c r="B6" s="387" t="s">
        <v>1142</v>
      </c>
      <c r="C6">
        <v>0</v>
      </c>
      <c r="D6">
        <v>74</v>
      </c>
      <c r="E6">
        <v>60</v>
      </c>
      <c r="F6">
        <v>30</v>
      </c>
      <c r="G6">
        <v>1</v>
      </c>
      <c r="H6">
        <v>23</v>
      </c>
    </row>
    <row r="7" spans="2:9" x14ac:dyDescent="0.3">
      <c r="B7" s="387" t="s">
        <v>1143</v>
      </c>
      <c r="C7">
        <v>0</v>
      </c>
      <c r="D7">
        <v>5</v>
      </c>
      <c r="E7">
        <v>15</v>
      </c>
      <c r="F7">
        <v>0</v>
      </c>
      <c r="G7">
        <v>0</v>
      </c>
      <c r="H7">
        <v>3</v>
      </c>
    </row>
    <row r="8" spans="2:9" x14ac:dyDescent="0.3">
      <c r="B8" s="387" t="s">
        <v>1144</v>
      </c>
      <c r="C8">
        <v>167</v>
      </c>
      <c r="D8">
        <v>147</v>
      </c>
      <c r="E8">
        <v>1858</v>
      </c>
      <c r="F8">
        <v>140</v>
      </c>
      <c r="G8">
        <v>2</v>
      </c>
      <c r="H8">
        <v>310</v>
      </c>
      <c r="I8">
        <v>2314</v>
      </c>
    </row>
    <row r="9" spans="2:9" x14ac:dyDescent="0.3">
      <c r="B9" s="387" t="s">
        <v>1145</v>
      </c>
      <c r="C9">
        <v>20</v>
      </c>
      <c r="D9">
        <v>22</v>
      </c>
      <c r="E9">
        <v>207</v>
      </c>
      <c r="F9">
        <v>14</v>
      </c>
      <c r="G9">
        <v>0</v>
      </c>
      <c r="H9">
        <v>39</v>
      </c>
    </row>
    <row r="10" spans="2:9" x14ac:dyDescent="0.3">
      <c r="B10" s="387" t="s">
        <v>1146</v>
      </c>
      <c r="C10">
        <v>1</v>
      </c>
      <c r="D10">
        <v>7</v>
      </c>
      <c r="E10">
        <v>51</v>
      </c>
      <c r="F10">
        <v>11</v>
      </c>
      <c r="G10">
        <v>2</v>
      </c>
      <c r="H10">
        <v>17</v>
      </c>
      <c r="I10">
        <v>72</v>
      </c>
    </row>
    <row r="11" spans="2:9" x14ac:dyDescent="0.3">
      <c r="B11" s="387" t="s">
        <v>1147</v>
      </c>
      <c r="C11">
        <v>0</v>
      </c>
      <c r="D11">
        <v>90</v>
      </c>
      <c r="E11">
        <v>573</v>
      </c>
      <c r="F11">
        <v>131</v>
      </c>
      <c r="G11">
        <v>15</v>
      </c>
      <c r="H11">
        <v>116</v>
      </c>
    </row>
    <row r="12" spans="2:9" x14ac:dyDescent="0.3">
      <c r="B12" s="387" t="s">
        <v>1148</v>
      </c>
      <c r="C12">
        <v>1</v>
      </c>
      <c r="D12">
        <v>88</v>
      </c>
      <c r="E12">
        <v>154</v>
      </c>
      <c r="F12">
        <v>49</v>
      </c>
      <c r="G12">
        <v>1</v>
      </c>
      <c r="H12">
        <v>33</v>
      </c>
      <c r="I12">
        <v>293</v>
      </c>
    </row>
    <row r="13" spans="2:9" x14ac:dyDescent="0.3">
      <c r="B13" s="387" t="s">
        <v>1149</v>
      </c>
      <c r="C13">
        <v>7</v>
      </c>
      <c r="D13">
        <v>24</v>
      </c>
      <c r="E13">
        <v>69</v>
      </c>
      <c r="F13">
        <v>46</v>
      </c>
      <c r="G13">
        <v>0</v>
      </c>
      <c r="H13">
        <v>64</v>
      </c>
    </row>
    <row r="14" spans="2:9" x14ac:dyDescent="0.3">
      <c r="B14" s="387" t="s">
        <v>1150</v>
      </c>
      <c r="C14">
        <v>3</v>
      </c>
      <c r="D14">
        <v>9</v>
      </c>
      <c r="E14">
        <v>114</v>
      </c>
      <c r="F14">
        <v>21</v>
      </c>
      <c r="G14">
        <v>0</v>
      </c>
      <c r="H14">
        <v>12</v>
      </c>
    </row>
    <row r="15" spans="2:9" x14ac:dyDescent="0.3">
      <c r="B15" s="387" t="s">
        <v>1151</v>
      </c>
      <c r="C15">
        <v>15</v>
      </c>
      <c r="D15">
        <v>419</v>
      </c>
      <c r="E15">
        <v>578</v>
      </c>
      <c r="F15">
        <v>73</v>
      </c>
      <c r="G15">
        <v>0</v>
      </c>
      <c r="H15">
        <v>159</v>
      </c>
    </row>
    <row r="16" spans="2:9" x14ac:dyDescent="0.3">
      <c r="B16" s="387" t="s">
        <v>1152</v>
      </c>
      <c r="C16">
        <v>1</v>
      </c>
      <c r="D16">
        <v>24</v>
      </c>
      <c r="E16">
        <v>48</v>
      </c>
      <c r="F16">
        <v>45</v>
      </c>
      <c r="G16">
        <v>9</v>
      </c>
      <c r="H16">
        <v>25</v>
      </c>
      <c r="I16">
        <v>127</v>
      </c>
    </row>
    <row r="17" spans="2:9" x14ac:dyDescent="0.3">
      <c r="B17" s="387" t="s">
        <v>1153</v>
      </c>
      <c r="C17">
        <v>0</v>
      </c>
      <c r="D17">
        <v>1</v>
      </c>
      <c r="E17">
        <v>23</v>
      </c>
      <c r="F17">
        <v>7</v>
      </c>
      <c r="G17">
        <v>0</v>
      </c>
      <c r="H17">
        <v>5</v>
      </c>
    </row>
    <row r="18" spans="2:9" x14ac:dyDescent="0.3">
      <c r="B18" s="387" t="s">
        <v>1154</v>
      </c>
      <c r="C18">
        <v>34</v>
      </c>
      <c r="D18">
        <v>44</v>
      </c>
      <c r="E18">
        <v>185</v>
      </c>
      <c r="F18">
        <v>24</v>
      </c>
      <c r="G18">
        <v>0</v>
      </c>
      <c r="H18">
        <v>25</v>
      </c>
    </row>
    <row r="19" spans="2:9" x14ac:dyDescent="0.3">
      <c r="B19" s="387" t="s">
        <v>1155</v>
      </c>
      <c r="C19">
        <v>33</v>
      </c>
      <c r="D19">
        <v>65</v>
      </c>
      <c r="E19">
        <v>84</v>
      </c>
      <c r="F19">
        <v>41</v>
      </c>
      <c r="G19">
        <v>2</v>
      </c>
      <c r="H19">
        <v>55</v>
      </c>
      <c r="I19">
        <v>225</v>
      </c>
    </row>
    <row r="20" spans="2:9" x14ac:dyDescent="0.3">
      <c r="B20" s="387" t="s">
        <v>357</v>
      </c>
      <c r="C20">
        <v>397</v>
      </c>
      <c r="D20">
        <v>1676</v>
      </c>
      <c r="E20">
        <v>4494</v>
      </c>
      <c r="F20">
        <v>775</v>
      </c>
      <c r="G20">
        <v>37</v>
      </c>
      <c r="H20">
        <v>1085</v>
      </c>
      <c r="I20">
        <v>4426</v>
      </c>
    </row>
  </sheetData>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19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tabColor theme="3" tint="0.39997558519241921"/>
  </sheetPr>
  <dimension ref="B4:K184"/>
  <sheetViews>
    <sheetView topLeftCell="A169" workbookViewId="0">
      <selection activeCell="D14" sqref="D14"/>
    </sheetView>
  </sheetViews>
  <sheetFormatPr defaultRowHeight="14.4" x14ac:dyDescent="0.3"/>
  <cols>
    <col min="2" max="2" width="7.44140625" bestFit="1" customWidth="1"/>
    <col min="3" max="3" width="7" bestFit="1" customWidth="1"/>
    <col min="4" max="4" width="27.44140625" bestFit="1" customWidth="1"/>
    <col min="5" max="5" width="5.109375" bestFit="1" customWidth="1"/>
    <col min="6" max="6" width="3.88671875" bestFit="1" customWidth="1"/>
    <col min="7" max="7" width="4.77734375" bestFit="1" customWidth="1"/>
    <col min="8" max="8" width="4.33203125" bestFit="1" customWidth="1"/>
    <col min="9" max="9" width="5.5546875" bestFit="1" customWidth="1"/>
    <col min="10" max="10" width="12.44140625" bestFit="1" customWidth="1"/>
    <col min="11" max="11" width="7.33203125" bestFit="1" customWidth="1"/>
  </cols>
  <sheetData>
    <row r="4" spans="2:11" x14ac:dyDescent="0.3">
      <c r="B4" t="s">
        <v>208</v>
      </c>
      <c r="C4" t="s">
        <v>1156</v>
      </c>
      <c r="D4" t="s">
        <v>1157</v>
      </c>
      <c r="E4" t="s">
        <v>1270</v>
      </c>
      <c r="F4" t="s">
        <v>1172</v>
      </c>
      <c r="G4" t="s">
        <v>1173</v>
      </c>
      <c r="H4" t="s">
        <v>1170</v>
      </c>
      <c r="I4" t="s">
        <v>1271</v>
      </c>
      <c r="J4" t="s">
        <v>850</v>
      </c>
      <c r="K4" t="s">
        <v>340</v>
      </c>
    </row>
    <row r="5" spans="2:11" x14ac:dyDescent="0.3">
      <c r="B5" t="s">
        <v>365</v>
      </c>
      <c r="C5" t="s">
        <v>1172</v>
      </c>
      <c r="D5" t="s">
        <v>1148</v>
      </c>
      <c r="E5">
        <v>14</v>
      </c>
      <c r="F5">
        <v>165</v>
      </c>
      <c r="G5">
        <v>331</v>
      </c>
      <c r="H5">
        <v>83</v>
      </c>
      <c r="I5">
        <v>3</v>
      </c>
      <c r="K5">
        <v>596</v>
      </c>
    </row>
    <row r="6" spans="2:11" x14ac:dyDescent="0.3">
      <c r="B6" t="s">
        <v>365</v>
      </c>
      <c r="C6" t="s">
        <v>1159</v>
      </c>
      <c r="D6" t="s">
        <v>1152</v>
      </c>
      <c r="E6">
        <v>0</v>
      </c>
      <c r="F6">
        <v>10</v>
      </c>
      <c r="G6">
        <v>127</v>
      </c>
      <c r="H6">
        <v>32</v>
      </c>
      <c r="I6">
        <v>5</v>
      </c>
      <c r="K6">
        <v>174</v>
      </c>
    </row>
    <row r="7" spans="2:11" x14ac:dyDescent="0.3">
      <c r="B7" t="s">
        <v>366</v>
      </c>
      <c r="C7" t="s">
        <v>1165</v>
      </c>
      <c r="D7" t="s">
        <v>1155</v>
      </c>
      <c r="E7">
        <v>36</v>
      </c>
      <c r="F7">
        <v>197</v>
      </c>
      <c r="G7">
        <v>228</v>
      </c>
      <c r="H7">
        <v>172</v>
      </c>
      <c r="I7">
        <v>6</v>
      </c>
      <c r="K7">
        <v>639</v>
      </c>
    </row>
    <row r="8" spans="2:11" x14ac:dyDescent="0.3">
      <c r="B8" t="s">
        <v>366</v>
      </c>
      <c r="C8" t="s">
        <v>1159</v>
      </c>
      <c r="D8" t="s">
        <v>1152</v>
      </c>
      <c r="E8">
        <v>0</v>
      </c>
      <c r="F8">
        <v>39</v>
      </c>
      <c r="G8">
        <v>128</v>
      </c>
      <c r="H8">
        <v>26</v>
      </c>
      <c r="I8">
        <v>5</v>
      </c>
      <c r="K8">
        <v>198</v>
      </c>
    </row>
    <row r="9" spans="2:11" x14ac:dyDescent="0.3">
      <c r="B9" t="s">
        <v>342</v>
      </c>
      <c r="C9" t="s">
        <v>1169</v>
      </c>
      <c r="D9" t="s">
        <v>1149</v>
      </c>
      <c r="E9">
        <v>4</v>
      </c>
      <c r="F9">
        <v>18</v>
      </c>
      <c r="G9">
        <v>140</v>
      </c>
      <c r="H9">
        <v>55</v>
      </c>
      <c r="I9">
        <v>3</v>
      </c>
      <c r="K9">
        <v>220</v>
      </c>
    </row>
    <row r="10" spans="2:11" x14ac:dyDescent="0.3">
      <c r="B10" t="s">
        <v>213</v>
      </c>
      <c r="C10" t="s">
        <v>1170</v>
      </c>
      <c r="D10" t="s">
        <v>1151</v>
      </c>
      <c r="E10">
        <v>4</v>
      </c>
      <c r="F10">
        <v>92</v>
      </c>
      <c r="G10">
        <v>199</v>
      </c>
      <c r="H10">
        <v>28</v>
      </c>
      <c r="I10">
        <v>0</v>
      </c>
      <c r="K10">
        <v>323</v>
      </c>
    </row>
    <row r="11" spans="2:11" x14ac:dyDescent="0.3">
      <c r="B11" t="s">
        <v>213</v>
      </c>
      <c r="C11" t="s">
        <v>1164</v>
      </c>
      <c r="D11" t="s">
        <v>1153</v>
      </c>
      <c r="E11">
        <v>1</v>
      </c>
      <c r="F11">
        <v>2</v>
      </c>
      <c r="G11">
        <v>43</v>
      </c>
      <c r="H11">
        <v>14</v>
      </c>
      <c r="I11">
        <v>0</v>
      </c>
      <c r="K11">
        <v>60</v>
      </c>
    </row>
    <row r="12" spans="2:11" x14ac:dyDescent="0.3">
      <c r="B12" t="s">
        <v>312</v>
      </c>
      <c r="C12" t="s">
        <v>1164</v>
      </c>
      <c r="D12" t="s">
        <v>1153</v>
      </c>
      <c r="E12">
        <v>0</v>
      </c>
      <c r="F12">
        <v>3</v>
      </c>
      <c r="G12">
        <v>24</v>
      </c>
      <c r="H12">
        <v>12</v>
      </c>
      <c r="I12">
        <v>0</v>
      </c>
    </row>
    <row r="13" spans="2:11" x14ac:dyDescent="0.3">
      <c r="B13" t="s">
        <v>318</v>
      </c>
      <c r="C13" t="s">
        <v>1165</v>
      </c>
      <c r="D13" t="s">
        <v>1155</v>
      </c>
      <c r="E13">
        <v>14</v>
      </c>
      <c r="F13">
        <v>48</v>
      </c>
      <c r="G13">
        <v>44</v>
      </c>
      <c r="H13">
        <v>15</v>
      </c>
      <c r="I13">
        <v>1</v>
      </c>
      <c r="J13">
        <v>4</v>
      </c>
      <c r="K13">
        <v>122</v>
      </c>
    </row>
    <row r="14" spans="2:11" x14ac:dyDescent="0.3">
      <c r="B14" t="s">
        <v>318</v>
      </c>
      <c r="C14" t="s">
        <v>1160</v>
      </c>
      <c r="D14" t="s">
        <v>1142</v>
      </c>
      <c r="E14">
        <v>1</v>
      </c>
      <c r="F14">
        <v>17</v>
      </c>
      <c r="G14">
        <v>45</v>
      </c>
      <c r="H14">
        <v>21</v>
      </c>
      <c r="I14">
        <v>0</v>
      </c>
      <c r="J14">
        <v>2</v>
      </c>
    </row>
    <row r="15" spans="2:11" x14ac:dyDescent="0.3">
      <c r="B15" t="s">
        <v>320</v>
      </c>
      <c r="C15" t="s">
        <v>1168</v>
      </c>
      <c r="D15" t="s">
        <v>1144</v>
      </c>
      <c r="E15">
        <v>150</v>
      </c>
      <c r="F15">
        <v>163</v>
      </c>
      <c r="G15">
        <v>1567</v>
      </c>
      <c r="H15">
        <v>87</v>
      </c>
      <c r="I15">
        <v>2</v>
      </c>
      <c r="J15">
        <v>15</v>
      </c>
      <c r="K15">
        <v>1969</v>
      </c>
    </row>
    <row r="16" spans="2:11" x14ac:dyDescent="0.3">
      <c r="B16" t="s">
        <v>320</v>
      </c>
      <c r="C16" t="s">
        <v>1171</v>
      </c>
      <c r="D16" t="s">
        <v>1146</v>
      </c>
      <c r="E16">
        <v>2</v>
      </c>
      <c r="F16">
        <v>5</v>
      </c>
      <c r="G16">
        <v>11</v>
      </c>
      <c r="H16">
        <v>6</v>
      </c>
      <c r="I16">
        <v>0</v>
      </c>
      <c r="J16">
        <v>0</v>
      </c>
    </row>
    <row r="17" spans="2:11" x14ac:dyDescent="0.3">
      <c r="B17" t="s">
        <v>326</v>
      </c>
      <c r="C17" t="s">
        <v>1162</v>
      </c>
      <c r="D17" t="s">
        <v>1141</v>
      </c>
      <c r="E17">
        <v>130</v>
      </c>
      <c r="F17">
        <v>722</v>
      </c>
      <c r="G17">
        <v>549</v>
      </c>
      <c r="H17">
        <v>192</v>
      </c>
      <c r="I17">
        <v>12</v>
      </c>
      <c r="J17">
        <v>5</v>
      </c>
      <c r="K17">
        <v>1605</v>
      </c>
    </row>
    <row r="18" spans="2:11" x14ac:dyDescent="0.3">
      <c r="B18" t="s">
        <v>326</v>
      </c>
      <c r="C18" t="s">
        <v>1165</v>
      </c>
      <c r="D18" t="s">
        <v>1155</v>
      </c>
      <c r="E18">
        <v>37</v>
      </c>
      <c r="F18">
        <v>69</v>
      </c>
      <c r="G18">
        <v>136</v>
      </c>
      <c r="H18">
        <v>51</v>
      </c>
      <c r="I18">
        <v>3</v>
      </c>
      <c r="J18">
        <v>5</v>
      </c>
      <c r="K18">
        <v>296</v>
      </c>
    </row>
    <row r="19" spans="2:11" x14ac:dyDescent="0.3">
      <c r="B19" t="s">
        <v>328</v>
      </c>
      <c r="C19" t="s">
        <v>1168</v>
      </c>
      <c r="D19" t="s">
        <v>1144</v>
      </c>
      <c r="E19">
        <v>45</v>
      </c>
      <c r="F19">
        <v>149</v>
      </c>
      <c r="G19">
        <v>1802</v>
      </c>
      <c r="H19">
        <v>150</v>
      </c>
      <c r="I19">
        <v>1</v>
      </c>
      <c r="J19">
        <v>253</v>
      </c>
      <c r="K19">
        <v>2147</v>
      </c>
    </row>
    <row r="20" spans="2:11" x14ac:dyDescent="0.3">
      <c r="B20" t="s">
        <v>328</v>
      </c>
      <c r="C20" t="s">
        <v>1171</v>
      </c>
      <c r="D20" t="s">
        <v>1146</v>
      </c>
      <c r="E20">
        <v>5</v>
      </c>
      <c r="F20">
        <v>4</v>
      </c>
      <c r="G20">
        <v>33</v>
      </c>
      <c r="H20">
        <v>12</v>
      </c>
      <c r="I20">
        <v>2</v>
      </c>
      <c r="J20">
        <v>3</v>
      </c>
      <c r="K20">
        <v>56</v>
      </c>
    </row>
    <row r="21" spans="2:11" x14ac:dyDescent="0.3">
      <c r="B21" t="s">
        <v>328</v>
      </c>
      <c r="C21" t="s">
        <v>1159</v>
      </c>
      <c r="D21" t="s">
        <v>1152</v>
      </c>
      <c r="E21">
        <v>0</v>
      </c>
      <c r="F21">
        <v>38</v>
      </c>
      <c r="G21">
        <v>28</v>
      </c>
      <c r="H21">
        <v>46</v>
      </c>
      <c r="I21">
        <v>9</v>
      </c>
      <c r="J21">
        <v>8</v>
      </c>
    </row>
    <row r="22" spans="2:11" x14ac:dyDescent="0.3">
      <c r="B22" t="s">
        <v>412</v>
      </c>
      <c r="C22" t="s">
        <v>1166</v>
      </c>
      <c r="D22" t="s">
        <v>1143</v>
      </c>
      <c r="E22">
        <v>0</v>
      </c>
      <c r="F22">
        <v>5</v>
      </c>
      <c r="G22">
        <v>15</v>
      </c>
      <c r="H22">
        <v>0</v>
      </c>
      <c r="I22">
        <v>0</v>
      </c>
      <c r="J22">
        <v>3</v>
      </c>
    </row>
    <row r="23" spans="2:11" x14ac:dyDescent="0.3">
      <c r="B23" t="s">
        <v>412</v>
      </c>
      <c r="C23" t="s">
        <v>1173</v>
      </c>
      <c r="D23" t="s">
        <v>1154</v>
      </c>
      <c r="E23">
        <v>34</v>
      </c>
      <c r="F23">
        <v>44</v>
      </c>
      <c r="G23">
        <v>185</v>
      </c>
      <c r="H23">
        <v>24</v>
      </c>
      <c r="I23">
        <v>0</v>
      </c>
      <c r="J23">
        <v>25</v>
      </c>
    </row>
    <row r="24" spans="2:11" x14ac:dyDescent="0.3">
      <c r="B24" t="s">
        <v>412</v>
      </c>
      <c r="C24" t="s">
        <v>1163</v>
      </c>
      <c r="D24" t="s">
        <v>1150</v>
      </c>
      <c r="E24">
        <v>3</v>
      </c>
      <c r="F24">
        <v>9</v>
      </c>
      <c r="G24">
        <v>114</v>
      </c>
      <c r="H24">
        <v>21</v>
      </c>
      <c r="I24">
        <v>0</v>
      </c>
      <c r="J24">
        <v>12</v>
      </c>
    </row>
    <row r="25" spans="2:11" x14ac:dyDescent="0.3">
      <c r="B25" t="s">
        <v>412</v>
      </c>
      <c r="C25" t="s">
        <v>1169</v>
      </c>
      <c r="D25" t="s">
        <v>1149</v>
      </c>
      <c r="E25">
        <v>7</v>
      </c>
      <c r="F25">
        <v>24</v>
      </c>
      <c r="G25">
        <v>69</v>
      </c>
      <c r="H25">
        <v>46</v>
      </c>
      <c r="I25">
        <v>0</v>
      </c>
      <c r="J25">
        <v>64</v>
      </c>
    </row>
    <row r="26" spans="2:11" x14ac:dyDescent="0.3">
      <c r="B26" t="s">
        <v>365</v>
      </c>
      <c r="C26" t="s">
        <v>1168</v>
      </c>
      <c r="D26" t="s">
        <v>1144</v>
      </c>
      <c r="E26">
        <v>45</v>
      </c>
      <c r="F26">
        <v>247</v>
      </c>
      <c r="G26">
        <v>1599</v>
      </c>
      <c r="H26">
        <v>55</v>
      </c>
      <c r="I26">
        <v>1</v>
      </c>
      <c r="K26">
        <v>1947</v>
      </c>
    </row>
    <row r="27" spans="2:11" x14ac:dyDescent="0.3">
      <c r="B27" t="s">
        <v>365</v>
      </c>
      <c r="C27" t="s">
        <v>1164</v>
      </c>
      <c r="D27" t="s">
        <v>1153</v>
      </c>
      <c r="E27">
        <v>2</v>
      </c>
      <c r="F27">
        <v>2</v>
      </c>
      <c r="G27">
        <v>27</v>
      </c>
      <c r="H27">
        <v>37</v>
      </c>
      <c r="I27">
        <v>0</v>
      </c>
      <c r="K27">
        <v>68</v>
      </c>
    </row>
    <row r="28" spans="2:11" x14ac:dyDescent="0.3">
      <c r="B28" t="s">
        <v>365</v>
      </c>
      <c r="C28" t="s">
        <v>1163</v>
      </c>
      <c r="D28" t="s">
        <v>1150</v>
      </c>
      <c r="E28">
        <v>3</v>
      </c>
      <c r="F28">
        <v>13</v>
      </c>
      <c r="G28">
        <v>170</v>
      </c>
      <c r="H28">
        <v>165</v>
      </c>
      <c r="I28">
        <v>5</v>
      </c>
      <c r="K28">
        <v>356</v>
      </c>
    </row>
    <row r="29" spans="2:11" x14ac:dyDescent="0.3">
      <c r="B29" t="s">
        <v>365</v>
      </c>
      <c r="C29" t="s">
        <v>1169</v>
      </c>
      <c r="D29" t="s">
        <v>1149</v>
      </c>
      <c r="E29">
        <v>17</v>
      </c>
      <c r="F29">
        <v>49</v>
      </c>
      <c r="G29">
        <v>209</v>
      </c>
      <c r="H29">
        <v>68</v>
      </c>
      <c r="I29">
        <v>1</v>
      </c>
      <c r="K29">
        <v>344</v>
      </c>
    </row>
    <row r="30" spans="2:11" x14ac:dyDescent="0.3">
      <c r="B30" t="s">
        <v>366</v>
      </c>
      <c r="C30" t="s">
        <v>1171</v>
      </c>
      <c r="D30" t="s">
        <v>1146</v>
      </c>
      <c r="E30">
        <v>1</v>
      </c>
      <c r="F30">
        <v>5</v>
      </c>
      <c r="G30">
        <v>49</v>
      </c>
      <c r="H30">
        <v>43</v>
      </c>
      <c r="I30">
        <v>21</v>
      </c>
      <c r="K30">
        <v>119</v>
      </c>
    </row>
    <row r="31" spans="2:11" x14ac:dyDescent="0.3">
      <c r="B31" t="s">
        <v>366</v>
      </c>
      <c r="C31" t="s">
        <v>1170</v>
      </c>
      <c r="D31" t="s">
        <v>1151</v>
      </c>
      <c r="E31">
        <v>29</v>
      </c>
      <c r="F31">
        <v>82</v>
      </c>
      <c r="G31">
        <v>198</v>
      </c>
      <c r="H31">
        <v>41</v>
      </c>
      <c r="I31">
        <v>1</v>
      </c>
      <c r="K31">
        <v>351</v>
      </c>
    </row>
    <row r="32" spans="2:11" x14ac:dyDescent="0.3">
      <c r="B32" t="s">
        <v>341</v>
      </c>
      <c r="C32" t="s">
        <v>1165</v>
      </c>
      <c r="D32" t="s">
        <v>1155</v>
      </c>
      <c r="E32">
        <v>77</v>
      </c>
      <c r="F32">
        <v>46</v>
      </c>
      <c r="G32">
        <v>346</v>
      </c>
      <c r="H32">
        <v>52</v>
      </c>
      <c r="I32">
        <v>2</v>
      </c>
      <c r="K32">
        <v>523</v>
      </c>
    </row>
    <row r="33" spans="2:11" x14ac:dyDescent="0.3">
      <c r="B33" t="s">
        <v>341</v>
      </c>
      <c r="C33" t="s">
        <v>1163</v>
      </c>
      <c r="D33" t="s">
        <v>1150</v>
      </c>
      <c r="E33">
        <v>6</v>
      </c>
      <c r="F33">
        <v>8</v>
      </c>
      <c r="G33">
        <v>160</v>
      </c>
      <c r="H33">
        <v>59</v>
      </c>
      <c r="I33">
        <v>2</v>
      </c>
      <c r="K33">
        <v>235</v>
      </c>
    </row>
    <row r="34" spans="2:11" x14ac:dyDescent="0.3">
      <c r="B34" t="s">
        <v>342</v>
      </c>
      <c r="C34" t="s">
        <v>1160</v>
      </c>
      <c r="D34" t="s">
        <v>1142</v>
      </c>
      <c r="E34">
        <v>2</v>
      </c>
      <c r="F34">
        <v>32</v>
      </c>
      <c r="G34">
        <v>150</v>
      </c>
      <c r="H34">
        <v>44</v>
      </c>
      <c r="I34">
        <v>0</v>
      </c>
      <c r="K34">
        <v>228</v>
      </c>
    </row>
    <row r="35" spans="2:11" x14ac:dyDescent="0.3">
      <c r="B35" t="s">
        <v>342</v>
      </c>
      <c r="C35" t="s">
        <v>1159</v>
      </c>
      <c r="D35" t="s">
        <v>1152</v>
      </c>
      <c r="E35">
        <v>1</v>
      </c>
      <c r="F35">
        <v>19</v>
      </c>
      <c r="G35">
        <v>72</v>
      </c>
      <c r="H35">
        <v>17</v>
      </c>
      <c r="I35">
        <v>4</v>
      </c>
      <c r="K35">
        <v>113</v>
      </c>
    </row>
    <row r="36" spans="2:11" x14ac:dyDescent="0.3">
      <c r="B36" t="s">
        <v>213</v>
      </c>
      <c r="C36" t="s">
        <v>1163</v>
      </c>
      <c r="D36" t="s">
        <v>1150</v>
      </c>
      <c r="E36">
        <v>2</v>
      </c>
      <c r="F36">
        <v>20</v>
      </c>
      <c r="G36">
        <v>196</v>
      </c>
      <c r="H36">
        <v>59</v>
      </c>
      <c r="I36">
        <v>6</v>
      </c>
      <c r="K36">
        <v>283</v>
      </c>
    </row>
    <row r="37" spans="2:11" x14ac:dyDescent="0.3">
      <c r="B37" t="s">
        <v>213</v>
      </c>
      <c r="C37" t="s">
        <v>1169</v>
      </c>
      <c r="D37" t="s">
        <v>1149</v>
      </c>
      <c r="E37">
        <v>2</v>
      </c>
      <c r="F37">
        <v>29</v>
      </c>
      <c r="G37">
        <v>170</v>
      </c>
      <c r="H37">
        <v>62</v>
      </c>
      <c r="I37">
        <v>4</v>
      </c>
      <c r="K37">
        <v>267</v>
      </c>
    </row>
    <row r="38" spans="2:11" x14ac:dyDescent="0.3">
      <c r="B38" t="s">
        <v>312</v>
      </c>
      <c r="C38" t="s">
        <v>1161</v>
      </c>
      <c r="D38" t="s">
        <v>1147</v>
      </c>
      <c r="E38">
        <v>1</v>
      </c>
      <c r="F38">
        <v>131</v>
      </c>
      <c r="G38">
        <v>746</v>
      </c>
      <c r="H38">
        <v>191</v>
      </c>
      <c r="I38">
        <v>12</v>
      </c>
      <c r="K38">
        <v>1081</v>
      </c>
    </row>
    <row r="39" spans="2:11" x14ac:dyDescent="0.3">
      <c r="B39" t="s">
        <v>312</v>
      </c>
      <c r="C39" t="s">
        <v>1166</v>
      </c>
      <c r="D39" t="s">
        <v>1143</v>
      </c>
      <c r="E39">
        <v>0</v>
      </c>
      <c r="F39">
        <v>5</v>
      </c>
      <c r="G39">
        <v>18</v>
      </c>
      <c r="H39">
        <v>2</v>
      </c>
      <c r="I39">
        <v>0</v>
      </c>
    </row>
    <row r="40" spans="2:11" x14ac:dyDescent="0.3">
      <c r="B40" t="s">
        <v>312</v>
      </c>
      <c r="C40" t="s">
        <v>1173</v>
      </c>
      <c r="D40" t="s">
        <v>1154</v>
      </c>
      <c r="E40">
        <v>23</v>
      </c>
      <c r="F40">
        <v>30</v>
      </c>
      <c r="G40">
        <v>170</v>
      </c>
      <c r="H40">
        <v>44</v>
      </c>
      <c r="I40">
        <v>4</v>
      </c>
      <c r="K40">
        <v>271</v>
      </c>
    </row>
    <row r="41" spans="2:11" x14ac:dyDescent="0.3">
      <c r="B41" t="s">
        <v>320</v>
      </c>
      <c r="C41" t="s">
        <v>1162</v>
      </c>
      <c r="D41" t="s">
        <v>1141</v>
      </c>
      <c r="E41">
        <v>99</v>
      </c>
      <c r="F41">
        <v>623</v>
      </c>
      <c r="G41">
        <v>490</v>
      </c>
      <c r="H41">
        <v>183</v>
      </c>
      <c r="I41">
        <v>9</v>
      </c>
      <c r="J41">
        <v>5</v>
      </c>
      <c r="K41">
        <v>1404</v>
      </c>
    </row>
    <row r="42" spans="2:11" x14ac:dyDescent="0.3">
      <c r="B42" t="s">
        <v>320</v>
      </c>
      <c r="C42" t="s">
        <v>1160</v>
      </c>
      <c r="D42" t="s">
        <v>1142</v>
      </c>
      <c r="E42">
        <v>2</v>
      </c>
      <c r="F42">
        <v>27</v>
      </c>
      <c r="G42">
        <v>104</v>
      </c>
      <c r="H42">
        <v>25</v>
      </c>
      <c r="I42">
        <v>2</v>
      </c>
      <c r="J42">
        <v>6</v>
      </c>
      <c r="K42">
        <v>160</v>
      </c>
    </row>
    <row r="43" spans="2:11" x14ac:dyDescent="0.3">
      <c r="B43" t="s">
        <v>325</v>
      </c>
      <c r="C43" t="s">
        <v>1172</v>
      </c>
      <c r="D43" t="s">
        <v>1148</v>
      </c>
      <c r="E43">
        <v>3</v>
      </c>
      <c r="F43">
        <v>22</v>
      </c>
      <c r="G43">
        <v>115</v>
      </c>
      <c r="H43">
        <v>51</v>
      </c>
      <c r="I43">
        <v>2</v>
      </c>
      <c r="J43">
        <v>2</v>
      </c>
      <c r="K43">
        <v>193</v>
      </c>
    </row>
    <row r="44" spans="2:11" x14ac:dyDescent="0.3">
      <c r="B44" t="s">
        <v>325</v>
      </c>
      <c r="C44" t="s">
        <v>1159</v>
      </c>
      <c r="D44" t="s">
        <v>1152</v>
      </c>
      <c r="E44">
        <v>0</v>
      </c>
      <c r="F44">
        <v>16</v>
      </c>
      <c r="G44">
        <v>50</v>
      </c>
      <c r="H44">
        <v>34</v>
      </c>
      <c r="I44">
        <v>4</v>
      </c>
    </row>
    <row r="45" spans="2:11" x14ac:dyDescent="0.3">
      <c r="B45" t="s">
        <v>326</v>
      </c>
      <c r="C45" t="s">
        <v>1160</v>
      </c>
      <c r="D45" t="s">
        <v>1142</v>
      </c>
      <c r="E45">
        <v>1</v>
      </c>
      <c r="F45">
        <v>71</v>
      </c>
      <c r="G45">
        <v>120</v>
      </c>
      <c r="H45">
        <v>28</v>
      </c>
      <c r="I45">
        <v>0</v>
      </c>
      <c r="J45">
        <v>2</v>
      </c>
    </row>
    <row r="46" spans="2:11" x14ac:dyDescent="0.3">
      <c r="B46" t="s">
        <v>328</v>
      </c>
      <c r="C46" t="s">
        <v>1166</v>
      </c>
      <c r="D46" t="s">
        <v>1143</v>
      </c>
      <c r="E46">
        <v>1</v>
      </c>
      <c r="F46">
        <v>5</v>
      </c>
      <c r="G46">
        <v>14</v>
      </c>
      <c r="H46">
        <v>0</v>
      </c>
      <c r="I46">
        <v>0</v>
      </c>
      <c r="J46">
        <v>1</v>
      </c>
    </row>
    <row r="47" spans="2:11" x14ac:dyDescent="0.3">
      <c r="B47" t="s">
        <v>412</v>
      </c>
      <c r="C47" t="s">
        <v>1168</v>
      </c>
      <c r="D47" t="s">
        <v>1144</v>
      </c>
      <c r="E47">
        <v>167</v>
      </c>
      <c r="F47">
        <v>147</v>
      </c>
      <c r="G47">
        <v>1858</v>
      </c>
      <c r="H47">
        <v>140</v>
      </c>
      <c r="I47">
        <v>2</v>
      </c>
      <c r="J47">
        <v>310</v>
      </c>
      <c r="K47">
        <v>2314</v>
      </c>
    </row>
    <row r="48" spans="2:11" x14ac:dyDescent="0.3">
      <c r="B48" t="s">
        <v>412</v>
      </c>
      <c r="C48" t="s">
        <v>1161</v>
      </c>
      <c r="D48" t="s">
        <v>1147</v>
      </c>
      <c r="E48">
        <v>0</v>
      </c>
      <c r="F48">
        <v>90</v>
      </c>
      <c r="G48">
        <v>573</v>
      </c>
      <c r="H48">
        <v>131</v>
      </c>
      <c r="I48">
        <v>15</v>
      </c>
      <c r="J48">
        <v>116</v>
      </c>
    </row>
    <row r="49" spans="2:11" x14ac:dyDescent="0.3">
      <c r="B49" t="s">
        <v>365</v>
      </c>
      <c r="C49" t="s">
        <v>1165</v>
      </c>
      <c r="D49" t="s">
        <v>1155</v>
      </c>
      <c r="E49">
        <v>27</v>
      </c>
      <c r="F49">
        <v>259</v>
      </c>
      <c r="G49">
        <v>173</v>
      </c>
      <c r="H49">
        <v>222</v>
      </c>
      <c r="I49">
        <v>2</v>
      </c>
      <c r="K49">
        <v>683</v>
      </c>
    </row>
    <row r="50" spans="2:11" x14ac:dyDescent="0.3">
      <c r="B50" t="s">
        <v>366</v>
      </c>
      <c r="C50" t="s">
        <v>1168</v>
      </c>
      <c r="D50" t="s">
        <v>1144</v>
      </c>
      <c r="E50">
        <v>141</v>
      </c>
      <c r="F50">
        <v>272</v>
      </c>
      <c r="G50">
        <v>2548</v>
      </c>
      <c r="H50">
        <v>91</v>
      </c>
      <c r="I50">
        <v>10</v>
      </c>
      <c r="K50">
        <v>3062</v>
      </c>
    </row>
    <row r="51" spans="2:11" x14ac:dyDescent="0.3">
      <c r="B51" t="s">
        <v>341</v>
      </c>
      <c r="C51" t="s">
        <v>1160</v>
      </c>
      <c r="D51" t="s">
        <v>1142</v>
      </c>
      <c r="E51">
        <v>0</v>
      </c>
      <c r="F51">
        <v>49</v>
      </c>
      <c r="G51">
        <v>225</v>
      </c>
      <c r="H51">
        <v>52</v>
      </c>
      <c r="I51">
        <v>3</v>
      </c>
      <c r="K51">
        <v>329</v>
      </c>
    </row>
    <row r="52" spans="2:11" x14ac:dyDescent="0.3">
      <c r="B52" t="s">
        <v>341</v>
      </c>
      <c r="C52" t="s">
        <v>1159</v>
      </c>
      <c r="D52" t="s">
        <v>1152</v>
      </c>
      <c r="E52">
        <v>0</v>
      </c>
      <c r="F52">
        <v>38</v>
      </c>
      <c r="G52">
        <v>145</v>
      </c>
      <c r="H52">
        <v>56</v>
      </c>
      <c r="I52">
        <v>4</v>
      </c>
      <c r="K52">
        <v>243</v>
      </c>
    </row>
    <row r="53" spans="2:11" x14ac:dyDescent="0.3">
      <c r="B53" t="s">
        <v>342</v>
      </c>
      <c r="C53" t="s">
        <v>1171</v>
      </c>
      <c r="D53" t="s">
        <v>1146</v>
      </c>
      <c r="E53">
        <v>6</v>
      </c>
      <c r="F53">
        <v>12</v>
      </c>
      <c r="G53">
        <v>63</v>
      </c>
      <c r="H53">
        <v>21</v>
      </c>
      <c r="I53">
        <v>2</v>
      </c>
      <c r="K53">
        <v>104</v>
      </c>
    </row>
    <row r="54" spans="2:11" x14ac:dyDescent="0.3">
      <c r="B54" t="s">
        <v>342</v>
      </c>
      <c r="C54" t="s">
        <v>1172</v>
      </c>
      <c r="D54" t="s">
        <v>1148</v>
      </c>
      <c r="E54">
        <v>5</v>
      </c>
      <c r="F54">
        <v>35</v>
      </c>
      <c r="G54">
        <v>219</v>
      </c>
      <c r="H54">
        <v>70</v>
      </c>
      <c r="I54">
        <v>3</v>
      </c>
      <c r="K54">
        <v>332</v>
      </c>
    </row>
    <row r="55" spans="2:11" x14ac:dyDescent="0.3">
      <c r="B55" t="s">
        <v>213</v>
      </c>
      <c r="C55" t="s">
        <v>1161</v>
      </c>
      <c r="D55" t="s">
        <v>1147</v>
      </c>
      <c r="E55">
        <v>0</v>
      </c>
      <c r="F55">
        <v>70</v>
      </c>
      <c r="G55">
        <v>734</v>
      </c>
      <c r="H55">
        <v>209</v>
      </c>
      <c r="I55">
        <v>17</v>
      </c>
      <c r="K55">
        <v>1030</v>
      </c>
    </row>
    <row r="56" spans="2:11" x14ac:dyDescent="0.3">
      <c r="B56" t="s">
        <v>213</v>
      </c>
      <c r="C56" t="s">
        <v>1166</v>
      </c>
      <c r="D56" t="s">
        <v>1143</v>
      </c>
      <c r="E56">
        <v>1</v>
      </c>
      <c r="F56">
        <v>2</v>
      </c>
      <c r="G56">
        <v>23</v>
      </c>
      <c r="H56">
        <v>5</v>
      </c>
      <c r="I56">
        <v>0</v>
      </c>
      <c r="K56">
        <v>31</v>
      </c>
    </row>
    <row r="57" spans="2:11" x14ac:dyDescent="0.3">
      <c r="B57" t="s">
        <v>312</v>
      </c>
      <c r="C57" t="s">
        <v>1171</v>
      </c>
      <c r="D57" t="s">
        <v>1146</v>
      </c>
      <c r="E57">
        <v>6</v>
      </c>
      <c r="F57">
        <v>8</v>
      </c>
      <c r="G57">
        <v>42</v>
      </c>
      <c r="H57">
        <v>13</v>
      </c>
      <c r="I57">
        <v>2</v>
      </c>
      <c r="K57">
        <v>71</v>
      </c>
    </row>
    <row r="58" spans="2:11" x14ac:dyDescent="0.3">
      <c r="B58" t="s">
        <v>312</v>
      </c>
      <c r="C58" t="s">
        <v>1159</v>
      </c>
      <c r="D58" t="s">
        <v>1152</v>
      </c>
      <c r="E58">
        <v>0</v>
      </c>
      <c r="F58">
        <v>23</v>
      </c>
      <c r="G58">
        <v>51</v>
      </c>
      <c r="H58">
        <v>41</v>
      </c>
      <c r="I58">
        <v>2</v>
      </c>
    </row>
    <row r="59" spans="2:11" x14ac:dyDescent="0.3">
      <c r="B59" t="s">
        <v>318</v>
      </c>
      <c r="C59" t="s">
        <v>1167</v>
      </c>
      <c r="D59" t="s">
        <v>1145</v>
      </c>
      <c r="E59">
        <v>6</v>
      </c>
      <c r="F59">
        <v>22</v>
      </c>
      <c r="G59">
        <v>174</v>
      </c>
      <c r="H59">
        <v>12</v>
      </c>
      <c r="I59">
        <v>3</v>
      </c>
      <c r="J59">
        <v>1</v>
      </c>
      <c r="K59">
        <v>217</v>
      </c>
    </row>
    <row r="60" spans="2:11" x14ac:dyDescent="0.3">
      <c r="B60" t="s">
        <v>318</v>
      </c>
      <c r="C60" t="s">
        <v>1166</v>
      </c>
      <c r="D60" t="s">
        <v>1143</v>
      </c>
      <c r="E60">
        <v>1</v>
      </c>
      <c r="F60">
        <v>2</v>
      </c>
      <c r="G60">
        <v>6</v>
      </c>
      <c r="H60">
        <v>1</v>
      </c>
      <c r="I60">
        <v>0</v>
      </c>
    </row>
    <row r="61" spans="2:11" x14ac:dyDescent="0.3">
      <c r="B61" t="s">
        <v>320</v>
      </c>
      <c r="C61" t="s">
        <v>1167</v>
      </c>
      <c r="D61" t="s">
        <v>1145</v>
      </c>
      <c r="E61">
        <v>4</v>
      </c>
      <c r="F61">
        <v>23</v>
      </c>
      <c r="G61">
        <v>193</v>
      </c>
      <c r="H61">
        <v>16</v>
      </c>
      <c r="I61">
        <v>1</v>
      </c>
      <c r="J61">
        <v>1</v>
      </c>
      <c r="K61">
        <v>237</v>
      </c>
    </row>
    <row r="62" spans="2:11" x14ac:dyDescent="0.3">
      <c r="B62" t="s">
        <v>320</v>
      </c>
      <c r="C62" t="s">
        <v>1170</v>
      </c>
      <c r="D62" t="s">
        <v>1151</v>
      </c>
      <c r="E62">
        <v>7</v>
      </c>
      <c r="F62">
        <v>80</v>
      </c>
      <c r="G62">
        <v>173</v>
      </c>
      <c r="H62">
        <v>28</v>
      </c>
      <c r="I62">
        <v>0</v>
      </c>
      <c r="J62">
        <v>2</v>
      </c>
    </row>
    <row r="63" spans="2:11" x14ac:dyDescent="0.3">
      <c r="B63" t="s">
        <v>320</v>
      </c>
      <c r="C63" t="s">
        <v>1165</v>
      </c>
      <c r="D63" t="s">
        <v>1155</v>
      </c>
      <c r="E63">
        <v>26</v>
      </c>
      <c r="F63">
        <v>60</v>
      </c>
      <c r="G63">
        <v>77</v>
      </c>
      <c r="H63">
        <v>24</v>
      </c>
      <c r="I63">
        <v>3</v>
      </c>
      <c r="J63">
        <v>3</v>
      </c>
      <c r="K63">
        <v>190</v>
      </c>
    </row>
    <row r="64" spans="2:11" x14ac:dyDescent="0.3">
      <c r="B64" t="s">
        <v>320</v>
      </c>
      <c r="C64" t="s">
        <v>1159</v>
      </c>
      <c r="D64" t="s">
        <v>1152</v>
      </c>
      <c r="E64">
        <v>0</v>
      </c>
      <c r="F64">
        <v>20</v>
      </c>
      <c r="G64">
        <v>45</v>
      </c>
      <c r="H64">
        <v>30</v>
      </c>
      <c r="I64">
        <v>5</v>
      </c>
      <c r="J64">
        <v>0</v>
      </c>
    </row>
    <row r="65" spans="2:11" x14ac:dyDescent="0.3">
      <c r="B65" t="s">
        <v>325</v>
      </c>
      <c r="C65" t="s">
        <v>1164</v>
      </c>
      <c r="D65" t="s">
        <v>1153</v>
      </c>
      <c r="E65">
        <v>0</v>
      </c>
      <c r="F65">
        <v>2</v>
      </c>
      <c r="G65">
        <v>10</v>
      </c>
      <c r="H65">
        <v>8</v>
      </c>
      <c r="I65">
        <v>0</v>
      </c>
    </row>
    <row r="66" spans="2:11" x14ac:dyDescent="0.3">
      <c r="B66" t="s">
        <v>326</v>
      </c>
      <c r="C66" t="s">
        <v>1169</v>
      </c>
      <c r="D66" t="s">
        <v>1149</v>
      </c>
      <c r="E66">
        <v>8</v>
      </c>
      <c r="F66">
        <v>39</v>
      </c>
      <c r="G66">
        <v>111</v>
      </c>
      <c r="H66">
        <v>85</v>
      </c>
      <c r="I66">
        <v>6</v>
      </c>
      <c r="K66">
        <v>249</v>
      </c>
    </row>
    <row r="67" spans="2:11" x14ac:dyDescent="0.3">
      <c r="B67" t="s">
        <v>328</v>
      </c>
      <c r="C67" t="s">
        <v>1161</v>
      </c>
      <c r="D67" t="s">
        <v>1147</v>
      </c>
      <c r="E67">
        <v>1</v>
      </c>
      <c r="F67">
        <v>115</v>
      </c>
      <c r="G67">
        <v>676</v>
      </c>
      <c r="H67">
        <v>134</v>
      </c>
      <c r="I67">
        <v>14</v>
      </c>
      <c r="J67">
        <v>60</v>
      </c>
      <c r="K67">
        <v>940</v>
      </c>
    </row>
    <row r="68" spans="2:11" x14ac:dyDescent="0.3">
      <c r="B68" t="s">
        <v>328</v>
      </c>
      <c r="C68" t="s">
        <v>1172</v>
      </c>
      <c r="D68" t="s">
        <v>1148</v>
      </c>
      <c r="E68">
        <v>2</v>
      </c>
      <c r="F68">
        <v>103</v>
      </c>
      <c r="G68">
        <v>124</v>
      </c>
      <c r="H68">
        <v>59</v>
      </c>
      <c r="I68">
        <v>2</v>
      </c>
      <c r="J68">
        <v>23</v>
      </c>
      <c r="K68">
        <v>290</v>
      </c>
    </row>
    <row r="69" spans="2:11" x14ac:dyDescent="0.3">
      <c r="B69" t="s">
        <v>328</v>
      </c>
      <c r="C69" t="s">
        <v>1160</v>
      </c>
      <c r="D69" t="s">
        <v>1142</v>
      </c>
      <c r="E69">
        <v>1</v>
      </c>
      <c r="F69">
        <v>46</v>
      </c>
      <c r="G69">
        <v>117</v>
      </c>
      <c r="H69">
        <v>41</v>
      </c>
      <c r="I69">
        <v>1</v>
      </c>
      <c r="J69">
        <v>18</v>
      </c>
      <c r="K69">
        <v>206</v>
      </c>
    </row>
    <row r="70" spans="2:11" x14ac:dyDescent="0.3">
      <c r="B70" t="s">
        <v>328</v>
      </c>
      <c r="C70" t="s">
        <v>1169</v>
      </c>
      <c r="D70" t="s">
        <v>1149</v>
      </c>
      <c r="E70">
        <v>6</v>
      </c>
      <c r="F70">
        <v>24</v>
      </c>
      <c r="G70">
        <v>88</v>
      </c>
      <c r="H70">
        <v>74</v>
      </c>
      <c r="I70">
        <v>3</v>
      </c>
      <c r="J70">
        <v>17</v>
      </c>
      <c r="K70">
        <v>195</v>
      </c>
    </row>
    <row r="71" spans="2:11" x14ac:dyDescent="0.3">
      <c r="B71" t="s">
        <v>412</v>
      </c>
      <c r="C71" t="s">
        <v>1171</v>
      </c>
      <c r="D71" t="s">
        <v>1146</v>
      </c>
      <c r="E71">
        <v>1</v>
      </c>
      <c r="F71">
        <v>7</v>
      </c>
      <c r="G71">
        <v>51</v>
      </c>
      <c r="H71">
        <v>11</v>
      </c>
      <c r="I71">
        <v>2</v>
      </c>
      <c r="J71">
        <v>17</v>
      </c>
      <c r="K71">
        <v>72</v>
      </c>
    </row>
    <row r="72" spans="2:11" x14ac:dyDescent="0.3">
      <c r="B72" t="s">
        <v>412</v>
      </c>
      <c r="C72" t="s">
        <v>1159</v>
      </c>
      <c r="D72" t="s">
        <v>1152</v>
      </c>
      <c r="E72">
        <v>1</v>
      </c>
      <c r="F72">
        <v>24</v>
      </c>
      <c r="G72">
        <v>48</v>
      </c>
      <c r="H72">
        <v>45</v>
      </c>
      <c r="I72">
        <v>9</v>
      </c>
      <c r="J72">
        <v>25</v>
      </c>
      <c r="K72">
        <v>127</v>
      </c>
    </row>
    <row r="73" spans="2:11" x14ac:dyDescent="0.3">
      <c r="B73" t="s">
        <v>365</v>
      </c>
      <c r="C73" t="s">
        <v>1167</v>
      </c>
      <c r="D73" t="s">
        <v>1145</v>
      </c>
      <c r="E73">
        <v>3</v>
      </c>
      <c r="F73">
        <v>14</v>
      </c>
      <c r="G73">
        <v>164</v>
      </c>
      <c r="H73">
        <v>93</v>
      </c>
      <c r="I73">
        <v>60</v>
      </c>
      <c r="K73">
        <v>334</v>
      </c>
    </row>
    <row r="74" spans="2:11" x14ac:dyDescent="0.3">
      <c r="B74" t="s">
        <v>365</v>
      </c>
      <c r="C74" t="s">
        <v>1161</v>
      </c>
      <c r="D74" t="s">
        <v>1147</v>
      </c>
      <c r="E74">
        <v>1</v>
      </c>
      <c r="F74">
        <v>18</v>
      </c>
      <c r="G74">
        <v>517</v>
      </c>
      <c r="H74">
        <v>487</v>
      </c>
      <c r="I74">
        <v>86</v>
      </c>
      <c r="K74">
        <v>1109</v>
      </c>
    </row>
    <row r="75" spans="2:11" x14ac:dyDescent="0.3">
      <c r="B75" t="s">
        <v>365</v>
      </c>
      <c r="C75" t="s">
        <v>1173</v>
      </c>
      <c r="D75" t="s">
        <v>1154</v>
      </c>
      <c r="E75">
        <v>8</v>
      </c>
      <c r="F75">
        <v>113</v>
      </c>
      <c r="G75">
        <v>114</v>
      </c>
      <c r="H75">
        <v>23</v>
      </c>
      <c r="I75">
        <v>2</v>
      </c>
      <c r="K75">
        <v>260</v>
      </c>
    </row>
    <row r="76" spans="2:11" x14ac:dyDescent="0.3">
      <c r="B76" t="s">
        <v>366</v>
      </c>
      <c r="C76" t="s">
        <v>1172</v>
      </c>
      <c r="D76" t="s">
        <v>1148</v>
      </c>
      <c r="E76">
        <v>17</v>
      </c>
      <c r="F76">
        <v>148</v>
      </c>
      <c r="G76">
        <v>250</v>
      </c>
      <c r="H76">
        <v>74</v>
      </c>
      <c r="I76">
        <v>5</v>
      </c>
      <c r="K76">
        <v>494</v>
      </c>
    </row>
    <row r="77" spans="2:11" x14ac:dyDescent="0.3">
      <c r="B77" t="s">
        <v>341</v>
      </c>
      <c r="C77" t="s">
        <v>1169</v>
      </c>
      <c r="D77" t="s">
        <v>1149</v>
      </c>
      <c r="E77">
        <v>5</v>
      </c>
      <c r="F77">
        <v>25</v>
      </c>
      <c r="G77">
        <v>191</v>
      </c>
      <c r="H77">
        <v>46</v>
      </c>
      <c r="I77">
        <v>8</v>
      </c>
      <c r="K77">
        <v>275</v>
      </c>
    </row>
    <row r="78" spans="2:11" x14ac:dyDescent="0.3">
      <c r="B78" t="s">
        <v>213</v>
      </c>
      <c r="C78" t="s">
        <v>1167</v>
      </c>
      <c r="D78" t="s">
        <v>1145</v>
      </c>
      <c r="E78">
        <v>7</v>
      </c>
      <c r="F78">
        <v>36</v>
      </c>
      <c r="G78">
        <v>353</v>
      </c>
      <c r="H78">
        <v>70</v>
      </c>
      <c r="I78">
        <v>5</v>
      </c>
      <c r="K78">
        <v>471</v>
      </c>
    </row>
    <row r="79" spans="2:11" x14ac:dyDescent="0.3">
      <c r="B79" t="s">
        <v>213</v>
      </c>
      <c r="C79" t="s">
        <v>1168</v>
      </c>
      <c r="D79" t="s">
        <v>1144</v>
      </c>
      <c r="E79">
        <v>81</v>
      </c>
      <c r="F79">
        <v>263</v>
      </c>
      <c r="G79">
        <v>1407</v>
      </c>
      <c r="H79">
        <v>109</v>
      </c>
      <c r="I79">
        <v>2</v>
      </c>
      <c r="K79">
        <v>1862</v>
      </c>
    </row>
    <row r="80" spans="2:11" x14ac:dyDescent="0.3">
      <c r="B80" t="s">
        <v>213</v>
      </c>
      <c r="C80" t="s">
        <v>1172</v>
      </c>
      <c r="D80" t="s">
        <v>1148</v>
      </c>
      <c r="E80">
        <v>6</v>
      </c>
      <c r="F80">
        <v>36</v>
      </c>
      <c r="G80">
        <v>247</v>
      </c>
      <c r="H80">
        <v>84</v>
      </c>
      <c r="I80">
        <v>1</v>
      </c>
      <c r="K80">
        <v>374</v>
      </c>
    </row>
    <row r="81" spans="2:11" x14ac:dyDescent="0.3">
      <c r="B81" t="s">
        <v>213</v>
      </c>
      <c r="C81" t="s">
        <v>1173</v>
      </c>
      <c r="D81" t="s">
        <v>1154</v>
      </c>
      <c r="E81">
        <v>35</v>
      </c>
      <c r="F81">
        <v>41</v>
      </c>
      <c r="G81">
        <v>325</v>
      </c>
      <c r="H81">
        <v>66</v>
      </c>
      <c r="I81">
        <v>3</v>
      </c>
      <c r="K81">
        <v>470</v>
      </c>
    </row>
    <row r="82" spans="2:11" x14ac:dyDescent="0.3">
      <c r="B82" t="s">
        <v>312</v>
      </c>
      <c r="C82" t="s">
        <v>1170</v>
      </c>
      <c r="D82" t="s">
        <v>1151</v>
      </c>
      <c r="E82">
        <v>15</v>
      </c>
      <c r="F82">
        <v>92</v>
      </c>
      <c r="G82">
        <v>335</v>
      </c>
      <c r="H82">
        <v>28</v>
      </c>
      <c r="I82">
        <v>0</v>
      </c>
    </row>
    <row r="83" spans="2:11" x14ac:dyDescent="0.3">
      <c r="B83" t="s">
        <v>318</v>
      </c>
      <c r="C83" t="s">
        <v>1171</v>
      </c>
      <c r="D83" t="s">
        <v>1146</v>
      </c>
      <c r="E83">
        <v>2</v>
      </c>
      <c r="F83">
        <v>10</v>
      </c>
      <c r="G83">
        <v>16</v>
      </c>
      <c r="H83">
        <v>9</v>
      </c>
      <c r="I83">
        <v>2</v>
      </c>
      <c r="K83">
        <v>39</v>
      </c>
    </row>
    <row r="84" spans="2:11" x14ac:dyDescent="0.3">
      <c r="B84" t="s">
        <v>318</v>
      </c>
      <c r="C84" t="s">
        <v>1164</v>
      </c>
      <c r="D84" t="s">
        <v>1153</v>
      </c>
      <c r="E84">
        <v>0</v>
      </c>
      <c r="F84">
        <v>0</v>
      </c>
      <c r="G84">
        <v>6</v>
      </c>
      <c r="H84">
        <v>0</v>
      </c>
      <c r="I84">
        <v>0</v>
      </c>
    </row>
    <row r="85" spans="2:11" x14ac:dyDescent="0.3">
      <c r="B85" t="s">
        <v>318</v>
      </c>
      <c r="C85" t="s">
        <v>1173</v>
      </c>
      <c r="D85" t="s">
        <v>1154</v>
      </c>
      <c r="E85">
        <v>3</v>
      </c>
      <c r="F85">
        <v>14</v>
      </c>
      <c r="G85">
        <v>30</v>
      </c>
      <c r="H85">
        <v>18</v>
      </c>
      <c r="I85">
        <v>3</v>
      </c>
      <c r="J85">
        <v>1</v>
      </c>
      <c r="K85">
        <v>68</v>
      </c>
    </row>
    <row r="86" spans="2:11" x14ac:dyDescent="0.3">
      <c r="B86" t="s">
        <v>318</v>
      </c>
      <c r="C86" t="s">
        <v>1159</v>
      </c>
      <c r="D86" t="s">
        <v>1152</v>
      </c>
      <c r="E86">
        <v>1</v>
      </c>
      <c r="F86">
        <v>3</v>
      </c>
      <c r="G86">
        <v>19</v>
      </c>
      <c r="H86">
        <v>16</v>
      </c>
      <c r="I86">
        <v>8</v>
      </c>
      <c r="J86">
        <v>3</v>
      </c>
      <c r="K86">
        <v>47</v>
      </c>
    </row>
    <row r="87" spans="2:11" x14ac:dyDescent="0.3">
      <c r="B87" t="s">
        <v>320</v>
      </c>
      <c r="C87" t="s">
        <v>1164</v>
      </c>
      <c r="D87" t="s">
        <v>1153</v>
      </c>
      <c r="E87">
        <v>1</v>
      </c>
      <c r="F87">
        <v>2</v>
      </c>
      <c r="G87">
        <v>13</v>
      </c>
      <c r="H87">
        <v>5</v>
      </c>
      <c r="I87">
        <v>0</v>
      </c>
      <c r="J87">
        <v>0</v>
      </c>
    </row>
    <row r="88" spans="2:11" x14ac:dyDescent="0.3">
      <c r="B88" t="s">
        <v>325</v>
      </c>
      <c r="C88" t="s">
        <v>1171</v>
      </c>
      <c r="D88" t="s">
        <v>1146</v>
      </c>
      <c r="E88">
        <v>7</v>
      </c>
      <c r="F88">
        <v>8</v>
      </c>
      <c r="G88">
        <v>31</v>
      </c>
      <c r="H88">
        <v>13</v>
      </c>
      <c r="I88">
        <v>0</v>
      </c>
      <c r="J88">
        <v>1</v>
      </c>
    </row>
    <row r="89" spans="2:11" x14ac:dyDescent="0.3">
      <c r="B89" t="s">
        <v>325</v>
      </c>
      <c r="C89" t="s">
        <v>1160</v>
      </c>
      <c r="D89" t="s">
        <v>1142</v>
      </c>
      <c r="E89">
        <v>0</v>
      </c>
      <c r="F89">
        <v>48</v>
      </c>
      <c r="G89">
        <v>92</v>
      </c>
      <c r="H89">
        <v>30</v>
      </c>
      <c r="I89">
        <v>2</v>
      </c>
    </row>
    <row r="90" spans="2:11" x14ac:dyDescent="0.3">
      <c r="B90" t="s">
        <v>325</v>
      </c>
      <c r="C90" t="s">
        <v>1169</v>
      </c>
      <c r="D90" t="s">
        <v>1149</v>
      </c>
      <c r="E90">
        <v>0</v>
      </c>
      <c r="F90">
        <v>22</v>
      </c>
      <c r="G90">
        <v>59</v>
      </c>
      <c r="H90">
        <v>25</v>
      </c>
      <c r="I90">
        <v>3</v>
      </c>
      <c r="J90">
        <v>1</v>
      </c>
    </row>
    <row r="91" spans="2:11" x14ac:dyDescent="0.3">
      <c r="B91" t="s">
        <v>326</v>
      </c>
      <c r="C91" t="s">
        <v>1171</v>
      </c>
      <c r="D91" t="s">
        <v>1146</v>
      </c>
      <c r="E91">
        <v>2</v>
      </c>
      <c r="F91">
        <v>5</v>
      </c>
      <c r="G91">
        <v>24</v>
      </c>
      <c r="H91">
        <v>17</v>
      </c>
      <c r="I91">
        <v>2</v>
      </c>
      <c r="J91">
        <v>1</v>
      </c>
      <c r="K91">
        <v>50</v>
      </c>
    </row>
    <row r="92" spans="2:11" x14ac:dyDescent="0.3">
      <c r="B92" t="s">
        <v>412</v>
      </c>
      <c r="C92" t="s">
        <v>1160</v>
      </c>
      <c r="D92" t="s">
        <v>1142</v>
      </c>
      <c r="E92">
        <v>0</v>
      </c>
      <c r="F92">
        <v>74</v>
      </c>
      <c r="G92">
        <v>60</v>
      </c>
      <c r="H92">
        <v>30</v>
      </c>
      <c r="I92">
        <v>1</v>
      </c>
      <c r="J92">
        <v>23</v>
      </c>
    </row>
    <row r="93" spans="2:11" x14ac:dyDescent="0.3">
      <c r="B93" t="s">
        <v>365</v>
      </c>
      <c r="C93" t="s">
        <v>1170</v>
      </c>
      <c r="D93" t="s">
        <v>1151</v>
      </c>
      <c r="E93">
        <v>7</v>
      </c>
      <c r="F93">
        <v>86</v>
      </c>
      <c r="G93">
        <v>137</v>
      </c>
      <c r="H93">
        <v>20</v>
      </c>
      <c r="I93">
        <v>1</v>
      </c>
      <c r="K93">
        <v>251</v>
      </c>
    </row>
    <row r="94" spans="2:11" x14ac:dyDescent="0.3">
      <c r="B94" t="s">
        <v>366</v>
      </c>
      <c r="C94" t="s">
        <v>1167</v>
      </c>
      <c r="D94" t="s">
        <v>1145</v>
      </c>
      <c r="E94">
        <v>9</v>
      </c>
      <c r="F94">
        <v>24</v>
      </c>
      <c r="G94">
        <v>255</v>
      </c>
      <c r="H94">
        <v>118</v>
      </c>
      <c r="I94">
        <v>45</v>
      </c>
      <c r="K94">
        <v>451</v>
      </c>
    </row>
    <row r="95" spans="2:11" x14ac:dyDescent="0.3">
      <c r="B95" t="s">
        <v>366</v>
      </c>
      <c r="C95" t="s">
        <v>1166</v>
      </c>
      <c r="D95" t="s">
        <v>1143</v>
      </c>
      <c r="E95">
        <v>0</v>
      </c>
      <c r="F95">
        <v>0</v>
      </c>
      <c r="G95">
        <v>21</v>
      </c>
      <c r="H95">
        <v>15</v>
      </c>
      <c r="I95">
        <v>0</v>
      </c>
      <c r="K95">
        <v>36</v>
      </c>
    </row>
    <row r="96" spans="2:11" x14ac:dyDescent="0.3">
      <c r="B96" t="s">
        <v>341</v>
      </c>
      <c r="C96" t="s">
        <v>1162</v>
      </c>
      <c r="D96" t="s">
        <v>1141</v>
      </c>
      <c r="E96">
        <v>67</v>
      </c>
      <c r="F96">
        <v>638</v>
      </c>
      <c r="G96">
        <v>783</v>
      </c>
      <c r="H96">
        <v>219</v>
      </c>
      <c r="I96">
        <v>12</v>
      </c>
      <c r="K96">
        <v>1719</v>
      </c>
    </row>
    <row r="97" spans="2:11" x14ac:dyDescent="0.3">
      <c r="B97" t="s">
        <v>342</v>
      </c>
      <c r="C97" t="s">
        <v>1162</v>
      </c>
      <c r="D97" t="s">
        <v>1141</v>
      </c>
      <c r="E97">
        <v>72</v>
      </c>
      <c r="F97">
        <v>580</v>
      </c>
      <c r="G97">
        <v>791</v>
      </c>
      <c r="H97">
        <v>201</v>
      </c>
      <c r="I97">
        <v>9</v>
      </c>
      <c r="K97">
        <v>1653</v>
      </c>
    </row>
    <row r="98" spans="2:11" x14ac:dyDescent="0.3">
      <c r="B98" t="s">
        <v>342</v>
      </c>
      <c r="C98" t="s">
        <v>1170</v>
      </c>
      <c r="D98" t="s">
        <v>1151</v>
      </c>
      <c r="E98">
        <v>1</v>
      </c>
      <c r="F98">
        <v>81</v>
      </c>
      <c r="G98">
        <v>273</v>
      </c>
      <c r="H98">
        <v>53</v>
      </c>
      <c r="I98">
        <v>0</v>
      </c>
      <c r="K98">
        <v>408</v>
      </c>
    </row>
    <row r="99" spans="2:11" x14ac:dyDescent="0.3">
      <c r="B99" t="s">
        <v>312</v>
      </c>
      <c r="C99" t="s">
        <v>1167</v>
      </c>
      <c r="D99" t="s">
        <v>1145</v>
      </c>
      <c r="E99">
        <v>11</v>
      </c>
      <c r="F99">
        <v>19</v>
      </c>
      <c r="G99">
        <v>239</v>
      </c>
      <c r="H99">
        <v>27</v>
      </c>
      <c r="I99">
        <v>2</v>
      </c>
      <c r="K99">
        <v>298</v>
      </c>
    </row>
    <row r="100" spans="2:11" x14ac:dyDescent="0.3">
      <c r="B100" t="s">
        <v>312</v>
      </c>
      <c r="C100" t="s">
        <v>1165</v>
      </c>
      <c r="D100" t="s">
        <v>1155</v>
      </c>
      <c r="E100">
        <v>61</v>
      </c>
      <c r="F100">
        <v>72</v>
      </c>
      <c r="G100">
        <v>179</v>
      </c>
      <c r="H100">
        <v>46</v>
      </c>
      <c r="I100">
        <v>0</v>
      </c>
    </row>
    <row r="101" spans="2:11" x14ac:dyDescent="0.3">
      <c r="B101" t="s">
        <v>320</v>
      </c>
      <c r="C101" t="s">
        <v>1166</v>
      </c>
      <c r="D101" t="s">
        <v>1143</v>
      </c>
      <c r="E101">
        <v>0</v>
      </c>
      <c r="F101">
        <v>3</v>
      </c>
      <c r="G101">
        <v>6</v>
      </c>
      <c r="H101">
        <v>1</v>
      </c>
      <c r="I101">
        <v>0</v>
      </c>
      <c r="J101">
        <v>0</v>
      </c>
    </row>
    <row r="102" spans="2:11" x14ac:dyDescent="0.3">
      <c r="B102" t="s">
        <v>320</v>
      </c>
      <c r="C102" t="s">
        <v>1172</v>
      </c>
      <c r="D102" t="s">
        <v>1148</v>
      </c>
      <c r="E102">
        <v>3</v>
      </c>
      <c r="F102">
        <v>18</v>
      </c>
      <c r="G102">
        <v>65</v>
      </c>
      <c r="H102">
        <v>40</v>
      </c>
      <c r="I102">
        <v>3</v>
      </c>
      <c r="J102">
        <v>3</v>
      </c>
      <c r="K102">
        <v>129</v>
      </c>
    </row>
    <row r="103" spans="2:11" x14ac:dyDescent="0.3">
      <c r="B103" t="s">
        <v>320</v>
      </c>
      <c r="C103" t="s">
        <v>1163</v>
      </c>
      <c r="D103" t="s">
        <v>1150</v>
      </c>
      <c r="E103">
        <v>6</v>
      </c>
      <c r="F103">
        <v>10</v>
      </c>
      <c r="G103">
        <v>123</v>
      </c>
      <c r="H103">
        <v>33</v>
      </c>
      <c r="I103">
        <v>1</v>
      </c>
      <c r="J103">
        <v>3</v>
      </c>
      <c r="K103">
        <v>173</v>
      </c>
    </row>
    <row r="104" spans="2:11" x14ac:dyDescent="0.3">
      <c r="B104" t="s">
        <v>325</v>
      </c>
      <c r="C104" t="s">
        <v>1167</v>
      </c>
      <c r="D104" t="s">
        <v>1145</v>
      </c>
      <c r="E104">
        <v>17</v>
      </c>
      <c r="F104">
        <v>24</v>
      </c>
      <c r="G104">
        <v>224</v>
      </c>
      <c r="H104">
        <v>16</v>
      </c>
      <c r="I104">
        <v>4</v>
      </c>
      <c r="J104">
        <v>3</v>
      </c>
      <c r="K104">
        <v>285</v>
      </c>
    </row>
    <row r="105" spans="2:11" x14ac:dyDescent="0.3">
      <c r="B105" t="s">
        <v>325</v>
      </c>
      <c r="C105" t="s">
        <v>1173</v>
      </c>
      <c r="D105" t="s">
        <v>1154</v>
      </c>
      <c r="E105">
        <v>25</v>
      </c>
      <c r="F105">
        <v>40</v>
      </c>
      <c r="G105">
        <v>116</v>
      </c>
      <c r="H105">
        <v>34</v>
      </c>
      <c r="I105">
        <v>1</v>
      </c>
      <c r="J105">
        <v>3</v>
      </c>
      <c r="K105">
        <v>216</v>
      </c>
    </row>
    <row r="106" spans="2:11" x14ac:dyDescent="0.3">
      <c r="B106" t="s">
        <v>326</v>
      </c>
      <c r="C106" t="s">
        <v>1173</v>
      </c>
      <c r="D106" t="s">
        <v>1154</v>
      </c>
      <c r="E106">
        <v>18</v>
      </c>
      <c r="F106">
        <v>26</v>
      </c>
      <c r="G106">
        <v>93</v>
      </c>
      <c r="H106">
        <v>18</v>
      </c>
      <c r="I106">
        <v>1</v>
      </c>
      <c r="J106">
        <v>3</v>
      </c>
      <c r="K106">
        <v>156</v>
      </c>
    </row>
    <row r="107" spans="2:11" x14ac:dyDescent="0.3">
      <c r="B107" t="s">
        <v>326</v>
      </c>
      <c r="C107" t="s">
        <v>1163</v>
      </c>
      <c r="D107" t="s">
        <v>1150</v>
      </c>
      <c r="E107">
        <v>10</v>
      </c>
      <c r="F107">
        <v>13</v>
      </c>
      <c r="G107">
        <v>119</v>
      </c>
      <c r="H107">
        <v>26</v>
      </c>
      <c r="I107">
        <v>0</v>
      </c>
      <c r="J107">
        <v>4</v>
      </c>
    </row>
    <row r="108" spans="2:11" x14ac:dyDescent="0.3">
      <c r="B108" t="s">
        <v>326</v>
      </c>
      <c r="C108" t="s">
        <v>1159</v>
      </c>
      <c r="D108" t="s">
        <v>1152</v>
      </c>
      <c r="E108">
        <v>0</v>
      </c>
      <c r="F108">
        <v>49</v>
      </c>
      <c r="G108">
        <v>48</v>
      </c>
      <c r="H108">
        <v>56</v>
      </c>
      <c r="I108">
        <v>12</v>
      </c>
      <c r="J108">
        <v>4</v>
      </c>
    </row>
    <row r="109" spans="2:11" x14ac:dyDescent="0.3">
      <c r="B109" t="s">
        <v>328</v>
      </c>
      <c r="C109" t="s">
        <v>1167</v>
      </c>
      <c r="D109" t="s">
        <v>1145</v>
      </c>
      <c r="E109">
        <v>25</v>
      </c>
      <c r="F109">
        <v>26</v>
      </c>
      <c r="G109">
        <v>235</v>
      </c>
      <c r="H109">
        <v>15</v>
      </c>
      <c r="I109">
        <v>2</v>
      </c>
      <c r="J109">
        <v>17</v>
      </c>
      <c r="K109">
        <v>303</v>
      </c>
    </row>
    <row r="110" spans="2:11" x14ac:dyDescent="0.3">
      <c r="B110" t="s">
        <v>328</v>
      </c>
      <c r="C110" t="s">
        <v>1170</v>
      </c>
      <c r="D110" t="s">
        <v>1151</v>
      </c>
      <c r="E110">
        <v>6</v>
      </c>
      <c r="F110">
        <v>574</v>
      </c>
      <c r="G110">
        <v>816</v>
      </c>
      <c r="H110">
        <v>78</v>
      </c>
      <c r="I110">
        <v>0</v>
      </c>
      <c r="J110">
        <v>98</v>
      </c>
    </row>
    <row r="111" spans="2:11" x14ac:dyDescent="0.3">
      <c r="B111" t="s">
        <v>328</v>
      </c>
      <c r="C111" t="s">
        <v>1164</v>
      </c>
      <c r="D111" t="s">
        <v>1153</v>
      </c>
      <c r="E111">
        <v>1</v>
      </c>
      <c r="F111">
        <v>1</v>
      </c>
      <c r="G111">
        <v>22</v>
      </c>
      <c r="H111">
        <v>12</v>
      </c>
      <c r="I111">
        <v>0</v>
      </c>
      <c r="J111">
        <v>1</v>
      </c>
    </row>
    <row r="112" spans="2:11" x14ac:dyDescent="0.3">
      <c r="B112" t="s">
        <v>328</v>
      </c>
      <c r="C112" t="s">
        <v>1165</v>
      </c>
      <c r="D112" t="s">
        <v>1155</v>
      </c>
      <c r="E112">
        <v>48</v>
      </c>
      <c r="F112">
        <v>76</v>
      </c>
      <c r="G112">
        <v>124</v>
      </c>
      <c r="H112">
        <v>51</v>
      </c>
      <c r="I112">
        <v>1</v>
      </c>
      <c r="J112">
        <v>49</v>
      </c>
      <c r="K112">
        <v>300</v>
      </c>
    </row>
    <row r="113" spans="2:11" x14ac:dyDescent="0.3">
      <c r="B113" t="s">
        <v>365</v>
      </c>
      <c r="C113" t="s">
        <v>1171</v>
      </c>
      <c r="D113" t="s">
        <v>1146</v>
      </c>
      <c r="E113">
        <v>0</v>
      </c>
      <c r="F113">
        <v>6</v>
      </c>
      <c r="G113">
        <v>37</v>
      </c>
      <c r="H113">
        <v>83</v>
      </c>
      <c r="I113">
        <v>12</v>
      </c>
      <c r="K113">
        <v>138</v>
      </c>
    </row>
    <row r="114" spans="2:11" x14ac:dyDescent="0.3">
      <c r="B114" t="s">
        <v>366</v>
      </c>
      <c r="C114" t="s">
        <v>1173</v>
      </c>
      <c r="D114" t="s">
        <v>1154</v>
      </c>
      <c r="E114">
        <v>9</v>
      </c>
      <c r="F114">
        <v>53</v>
      </c>
      <c r="G114">
        <v>125</v>
      </c>
      <c r="H114">
        <v>41</v>
      </c>
      <c r="I114">
        <v>0</v>
      </c>
      <c r="K114">
        <v>228</v>
      </c>
    </row>
    <row r="115" spans="2:11" x14ac:dyDescent="0.3">
      <c r="B115" t="s">
        <v>366</v>
      </c>
      <c r="C115" t="s">
        <v>1169</v>
      </c>
      <c r="D115" t="s">
        <v>1149</v>
      </c>
      <c r="E115">
        <v>15</v>
      </c>
      <c r="F115">
        <v>35</v>
      </c>
      <c r="G115">
        <v>240</v>
      </c>
      <c r="H115">
        <v>84</v>
      </c>
      <c r="I115">
        <v>5</v>
      </c>
      <c r="K115">
        <v>379</v>
      </c>
    </row>
    <row r="116" spans="2:11" x14ac:dyDescent="0.3">
      <c r="B116" t="s">
        <v>341</v>
      </c>
      <c r="C116" t="s">
        <v>1171</v>
      </c>
      <c r="D116" t="s">
        <v>1146</v>
      </c>
      <c r="E116">
        <v>5</v>
      </c>
      <c r="F116">
        <v>10</v>
      </c>
      <c r="G116">
        <v>83</v>
      </c>
      <c r="H116">
        <v>27</v>
      </c>
      <c r="I116">
        <v>3</v>
      </c>
      <c r="K116">
        <v>128</v>
      </c>
    </row>
    <row r="117" spans="2:11" x14ac:dyDescent="0.3">
      <c r="B117" t="s">
        <v>341</v>
      </c>
      <c r="C117" t="s">
        <v>1164</v>
      </c>
      <c r="D117" t="s">
        <v>1153</v>
      </c>
      <c r="E117">
        <v>0</v>
      </c>
      <c r="F117">
        <v>1</v>
      </c>
      <c r="G117">
        <v>55</v>
      </c>
      <c r="H117">
        <v>10</v>
      </c>
      <c r="I117">
        <v>0</v>
      </c>
      <c r="K117">
        <v>66</v>
      </c>
    </row>
    <row r="118" spans="2:11" x14ac:dyDescent="0.3">
      <c r="B118" t="s">
        <v>341</v>
      </c>
      <c r="C118" t="s">
        <v>1173</v>
      </c>
      <c r="D118" t="s">
        <v>1154</v>
      </c>
      <c r="E118">
        <v>19</v>
      </c>
      <c r="F118">
        <v>38</v>
      </c>
      <c r="G118">
        <v>241</v>
      </c>
      <c r="H118">
        <v>55</v>
      </c>
      <c r="I118">
        <v>10</v>
      </c>
      <c r="K118">
        <v>363</v>
      </c>
    </row>
    <row r="119" spans="2:11" x14ac:dyDescent="0.3">
      <c r="B119" t="s">
        <v>342</v>
      </c>
      <c r="C119" t="s">
        <v>1161</v>
      </c>
      <c r="D119" t="s">
        <v>1147</v>
      </c>
      <c r="E119">
        <v>2</v>
      </c>
      <c r="F119">
        <v>73</v>
      </c>
      <c r="G119">
        <v>819</v>
      </c>
      <c r="H119">
        <v>256</v>
      </c>
      <c r="I119">
        <v>17</v>
      </c>
      <c r="K119">
        <v>1167</v>
      </c>
    </row>
    <row r="120" spans="2:11" x14ac:dyDescent="0.3">
      <c r="B120" t="s">
        <v>342</v>
      </c>
      <c r="C120" t="s">
        <v>1164</v>
      </c>
      <c r="D120" t="s">
        <v>1153</v>
      </c>
      <c r="E120">
        <v>1</v>
      </c>
      <c r="F120">
        <v>2</v>
      </c>
      <c r="G120">
        <v>42</v>
      </c>
      <c r="H120">
        <v>12</v>
      </c>
      <c r="I120">
        <v>2</v>
      </c>
      <c r="K120">
        <v>59</v>
      </c>
    </row>
    <row r="121" spans="2:11" x14ac:dyDescent="0.3">
      <c r="B121" t="s">
        <v>342</v>
      </c>
      <c r="C121" t="s">
        <v>1173</v>
      </c>
      <c r="D121" t="s">
        <v>1154</v>
      </c>
      <c r="E121">
        <v>24</v>
      </c>
      <c r="F121">
        <v>35</v>
      </c>
      <c r="G121">
        <v>178</v>
      </c>
      <c r="H121">
        <v>29</v>
      </c>
      <c r="I121">
        <v>2</v>
      </c>
      <c r="K121">
        <v>268</v>
      </c>
    </row>
    <row r="122" spans="2:11" x14ac:dyDescent="0.3">
      <c r="B122" t="s">
        <v>342</v>
      </c>
      <c r="C122" t="s">
        <v>1163</v>
      </c>
      <c r="D122" t="s">
        <v>1150</v>
      </c>
      <c r="E122">
        <v>4</v>
      </c>
      <c r="F122">
        <v>6</v>
      </c>
      <c r="G122">
        <v>166</v>
      </c>
      <c r="H122">
        <v>62</v>
      </c>
      <c r="I122">
        <v>2</v>
      </c>
      <c r="K122">
        <v>240</v>
      </c>
    </row>
    <row r="123" spans="2:11" x14ac:dyDescent="0.3">
      <c r="B123" t="s">
        <v>213</v>
      </c>
      <c r="C123" t="s">
        <v>1165</v>
      </c>
      <c r="D123" t="s">
        <v>1155</v>
      </c>
      <c r="E123">
        <v>18</v>
      </c>
      <c r="F123">
        <v>49</v>
      </c>
      <c r="G123">
        <v>267</v>
      </c>
      <c r="H123">
        <v>45</v>
      </c>
      <c r="I123">
        <v>3</v>
      </c>
      <c r="K123">
        <v>382</v>
      </c>
    </row>
    <row r="124" spans="2:11" x14ac:dyDescent="0.3">
      <c r="B124" t="s">
        <v>312</v>
      </c>
      <c r="C124" t="s">
        <v>1168</v>
      </c>
      <c r="D124" t="s">
        <v>1144</v>
      </c>
      <c r="E124">
        <v>69</v>
      </c>
      <c r="F124">
        <v>218</v>
      </c>
      <c r="G124">
        <v>1510</v>
      </c>
      <c r="H124">
        <v>154</v>
      </c>
      <c r="I124">
        <v>0</v>
      </c>
    </row>
    <row r="125" spans="2:11" x14ac:dyDescent="0.3">
      <c r="B125" t="s">
        <v>312</v>
      </c>
      <c r="C125" t="s">
        <v>1160</v>
      </c>
      <c r="D125" t="s">
        <v>1142</v>
      </c>
      <c r="E125">
        <v>3</v>
      </c>
      <c r="F125">
        <v>46</v>
      </c>
      <c r="G125">
        <v>137</v>
      </c>
      <c r="H125">
        <v>53</v>
      </c>
      <c r="I125">
        <v>2</v>
      </c>
      <c r="K125">
        <v>241</v>
      </c>
    </row>
    <row r="126" spans="2:11" x14ac:dyDescent="0.3">
      <c r="B126" t="s">
        <v>318</v>
      </c>
      <c r="C126" t="s">
        <v>1170</v>
      </c>
      <c r="D126" t="s">
        <v>1151</v>
      </c>
      <c r="E126">
        <v>6</v>
      </c>
      <c r="F126">
        <v>24</v>
      </c>
      <c r="G126">
        <v>76</v>
      </c>
      <c r="H126">
        <v>13</v>
      </c>
      <c r="I126">
        <v>0</v>
      </c>
    </row>
    <row r="127" spans="2:11" x14ac:dyDescent="0.3">
      <c r="B127" t="s">
        <v>318</v>
      </c>
      <c r="C127" t="s">
        <v>1169</v>
      </c>
      <c r="D127" t="s">
        <v>1149</v>
      </c>
      <c r="E127">
        <v>4</v>
      </c>
      <c r="F127">
        <v>9</v>
      </c>
      <c r="G127">
        <v>25</v>
      </c>
      <c r="H127">
        <v>25</v>
      </c>
      <c r="I127">
        <v>0</v>
      </c>
    </row>
    <row r="128" spans="2:11" x14ac:dyDescent="0.3">
      <c r="B128" t="s">
        <v>325</v>
      </c>
      <c r="C128" t="s">
        <v>1161</v>
      </c>
      <c r="D128" t="s">
        <v>1147</v>
      </c>
      <c r="E128">
        <v>0</v>
      </c>
      <c r="F128">
        <v>93</v>
      </c>
      <c r="G128">
        <v>606</v>
      </c>
      <c r="H128">
        <v>172</v>
      </c>
      <c r="I128">
        <v>21</v>
      </c>
      <c r="J128">
        <v>6</v>
      </c>
    </row>
    <row r="129" spans="2:11" x14ac:dyDescent="0.3">
      <c r="B129" t="s">
        <v>326</v>
      </c>
      <c r="C129" t="s">
        <v>1168</v>
      </c>
      <c r="D129" t="s">
        <v>1144</v>
      </c>
      <c r="E129">
        <v>69</v>
      </c>
      <c r="F129">
        <v>119</v>
      </c>
      <c r="G129">
        <v>1519</v>
      </c>
      <c r="H129">
        <v>101</v>
      </c>
      <c r="I129">
        <v>2</v>
      </c>
      <c r="J129">
        <v>17</v>
      </c>
      <c r="K129">
        <v>1810</v>
      </c>
    </row>
    <row r="130" spans="2:11" x14ac:dyDescent="0.3">
      <c r="B130" t="s">
        <v>326</v>
      </c>
      <c r="C130" t="s">
        <v>1161</v>
      </c>
      <c r="D130" t="s">
        <v>1147</v>
      </c>
      <c r="E130">
        <v>2</v>
      </c>
      <c r="F130">
        <v>186</v>
      </c>
      <c r="G130">
        <v>705</v>
      </c>
      <c r="H130">
        <v>189</v>
      </c>
      <c r="I130">
        <v>16</v>
      </c>
      <c r="J130">
        <v>12</v>
      </c>
      <c r="K130">
        <v>1098</v>
      </c>
    </row>
    <row r="131" spans="2:11" x14ac:dyDescent="0.3">
      <c r="B131" t="s">
        <v>326</v>
      </c>
      <c r="C131" t="s">
        <v>1166</v>
      </c>
      <c r="D131" t="s">
        <v>1143</v>
      </c>
      <c r="E131">
        <v>0</v>
      </c>
      <c r="F131">
        <v>3</v>
      </c>
      <c r="G131">
        <v>6</v>
      </c>
      <c r="H131">
        <v>2</v>
      </c>
      <c r="I131">
        <v>0</v>
      </c>
    </row>
    <row r="132" spans="2:11" x14ac:dyDescent="0.3">
      <c r="B132" t="s">
        <v>326</v>
      </c>
      <c r="C132" t="s">
        <v>1172</v>
      </c>
      <c r="D132" t="s">
        <v>1148</v>
      </c>
      <c r="E132">
        <v>12</v>
      </c>
      <c r="F132">
        <v>37</v>
      </c>
      <c r="G132">
        <v>95</v>
      </c>
      <c r="H132">
        <v>54</v>
      </c>
      <c r="I132">
        <v>4</v>
      </c>
      <c r="J132">
        <v>3</v>
      </c>
      <c r="K132">
        <v>202</v>
      </c>
    </row>
    <row r="133" spans="2:11" x14ac:dyDescent="0.3">
      <c r="B133" t="s">
        <v>328</v>
      </c>
      <c r="C133" t="s">
        <v>1162</v>
      </c>
      <c r="D133" t="s">
        <v>1141</v>
      </c>
      <c r="E133">
        <v>113</v>
      </c>
      <c r="F133">
        <v>705</v>
      </c>
      <c r="G133">
        <v>512</v>
      </c>
      <c r="H133">
        <v>170</v>
      </c>
      <c r="I133">
        <v>9</v>
      </c>
      <c r="J133">
        <v>120</v>
      </c>
      <c r="K133">
        <v>1509</v>
      </c>
    </row>
    <row r="134" spans="2:11" x14ac:dyDescent="0.3">
      <c r="B134" t="s">
        <v>412</v>
      </c>
      <c r="C134" t="s">
        <v>1167</v>
      </c>
      <c r="D134" t="s">
        <v>1145</v>
      </c>
      <c r="E134">
        <v>20</v>
      </c>
      <c r="F134">
        <v>22</v>
      </c>
      <c r="G134">
        <v>207</v>
      </c>
      <c r="H134">
        <v>14</v>
      </c>
      <c r="I134">
        <v>0</v>
      </c>
      <c r="J134">
        <v>39</v>
      </c>
    </row>
    <row r="135" spans="2:11" x14ac:dyDescent="0.3">
      <c r="B135" t="s">
        <v>412</v>
      </c>
      <c r="C135" t="s">
        <v>1170</v>
      </c>
      <c r="D135" t="s">
        <v>1151</v>
      </c>
      <c r="E135">
        <v>15</v>
      </c>
      <c r="F135">
        <v>419</v>
      </c>
      <c r="G135">
        <v>578</v>
      </c>
      <c r="H135">
        <v>73</v>
      </c>
      <c r="I135">
        <v>0</v>
      </c>
      <c r="J135">
        <v>159</v>
      </c>
    </row>
    <row r="136" spans="2:11" x14ac:dyDescent="0.3">
      <c r="B136" t="s">
        <v>365</v>
      </c>
      <c r="C136" t="s">
        <v>1166</v>
      </c>
      <c r="D136" t="s">
        <v>1143</v>
      </c>
      <c r="E136">
        <v>0</v>
      </c>
      <c r="F136">
        <v>0</v>
      </c>
      <c r="G136">
        <v>9</v>
      </c>
      <c r="H136">
        <v>18</v>
      </c>
      <c r="I136">
        <v>1</v>
      </c>
      <c r="K136">
        <v>28</v>
      </c>
    </row>
    <row r="137" spans="2:11" x14ac:dyDescent="0.3">
      <c r="B137" t="s">
        <v>366</v>
      </c>
      <c r="C137" t="s">
        <v>1162</v>
      </c>
      <c r="D137" t="s">
        <v>1141</v>
      </c>
      <c r="E137">
        <v>75</v>
      </c>
      <c r="F137">
        <v>598</v>
      </c>
      <c r="G137">
        <v>822</v>
      </c>
      <c r="H137">
        <v>241</v>
      </c>
      <c r="I137">
        <v>24</v>
      </c>
      <c r="K137">
        <v>1760</v>
      </c>
    </row>
    <row r="138" spans="2:11" x14ac:dyDescent="0.3">
      <c r="B138" t="s">
        <v>366</v>
      </c>
      <c r="C138" t="s">
        <v>1164</v>
      </c>
      <c r="D138" t="s">
        <v>1153</v>
      </c>
      <c r="E138">
        <v>0</v>
      </c>
      <c r="F138">
        <v>3</v>
      </c>
      <c r="G138">
        <v>22</v>
      </c>
      <c r="H138">
        <v>24</v>
      </c>
      <c r="I138">
        <v>0</v>
      </c>
      <c r="K138">
        <v>49</v>
      </c>
    </row>
    <row r="139" spans="2:11" x14ac:dyDescent="0.3">
      <c r="B139" t="s">
        <v>366</v>
      </c>
      <c r="C139" t="s">
        <v>1163</v>
      </c>
      <c r="D139" t="s">
        <v>1150</v>
      </c>
      <c r="E139">
        <v>4</v>
      </c>
      <c r="F139">
        <v>8</v>
      </c>
      <c r="G139">
        <v>217</v>
      </c>
      <c r="H139">
        <v>84</v>
      </c>
      <c r="I139">
        <v>7</v>
      </c>
      <c r="K139">
        <v>320</v>
      </c>
    </row>
    <row r="140" spans="2:11" x14ac:dyDescent="0.3">
      <c r="B140" t="s">
        <v>341</v>
      </c>
      <c r="C140" t="s">
        <v>1166</v>
      </c>
      <c r="D140" t="s">
        <v>1143</v>
      </c>
      <c r="E140">
        <v>1</v>
      </c>
      <c r="F140">
        <v>0</v>
      </c>
      <c r="G140">
        <v>16</v>
      </c>
      <c r="H140">
        <v>3</v>
      </c>
      <c r="I140">
        <v>1</v>
      </c>
      <c r="K140">
        <v>21</v>
      </c>
    </row>
    <row r="141" spans="2:11" x14ac:dyDescent="0.3">
      <c r="B141" t="s">
        <v>341</v>
      </c>
      <c r="C141" t="s">
        <v>1172</v>
      </c>
      <c r="D141" t="s">
        <v>1148</v>
      </c>
      <c r="E141">
        <v>7</v>
      </c>
      <c r="F141">
        <v>55</v>
      </c>
      <c r="G141">
        <v>327</v>
      </c>
      <c r="H141">
        <v>85</v>
      </c>
      <c r="I141">
        <v>8</v>
      </c>
      <c r="K141">
        <v>482</v>
      </c>
    </row>
    <row r="142" spans="2:11" x14ac:dyDescent="0.3">
      <c r="B142" t="s">
        <v>342</v>
      </c>
      <c r="C142" t="s">
        <v>1166</v>
      </c>
      <c r="D142" t="s">
        <v>1143</v>
      </c>
      <c r="E142">
        <v>1</v>
      </c>
      <c r="F142">
        <v>0</v>
      </c>
      <c r="G142">
        <v>21</v>
      </c>
      <c r="H142">
        <v>14</v>
      </c>
      <c r="I142">
        <v>1</v>
      </c>
      <c r="K142">
        <v>37</v>
      </c>
    </row>
    <row r="143" spans="2:11" x14ac:dyDescent="0.3">
      <c r="B143" t="s">
        <v>213</v>
      </c>
      <c r="C143" t="s">
        <v>1162</v>
      </c>
      <c r="D143" t="s">
        <v>1141</v>
      </c>
      <c r="E143">
        <v>92</v>
      </c>
      <c r="F143">
        <v>668</v>
      </c>
      <c r="G143">
        <v>807</v>
      </c>
      <c r="H143">
        <v>201</v>
      </c>
      <c r="I143">
        <v>7</v>
      </c>
      <c r="K143">
        <v>1775</v>
      </c>
    </row>
    <row r="144" spans="2:11" x14ac:dyDescent="0.3">
      <c r="B144" t="s">
        <v>213</v>
      </c>
      <c r="C144" t="s">
        <v>1171</v>
      </c>
      <c r="D144" t="s">
        <v>1146</v>
      </c>
      <c r="E144">
        <v>5</v>
      </c>
      <c r="F144">
        <v>10</v>
      </c>
      <c r="G144">
        <v>59</v>
      </c>
      <c r="H144">
        <v>12</v>
      </c>
      <c r="I144">
        <v>2</v>
      </c>
      <c r="K144">
        <v>88</v>
      </c>
    </row>
    <row r="145" spans="2:11" x14ac:dyDescent="0.3">
      <c r="B145" t="s">
        <v>213</v>
      </c>
      <c r="C145" t="s">
        <v>1159</v>
      </c>
      <c r="D145" t="s">
        <v>1152</v>
      </c>
      <c r="E145">
        <v>0</v>
      </c>
      <c r="F145">
        <v>34</v>
      </c>
      <c r="G145">
        <v>121</v>
      </c>
      <c r="H145">
        <v>33</v>
      </c>
      <c r="I145">
        <v>1</v>
      </c>
      <c r="K145">
        <v>189</v>
      </c>
    </row>
    <row r="146" spans="2:11" x14ac:dyDescent="0.3">
      <c r="B146" t="s">
        <v>312</v>
      </c>
      <c r="C146" t="s">
        <v>1162</v>
      </c>
      <c r="D146" t="s">
        <v>1141</v>
      </c>
      <c r="E146">
        <v>95</v>
      </c>
      <c r="F146">
        <v>634</v>
      </c>
      <c r="G146">
        <v>562</v>
      </c>
      <c r="H146">
        <v>187</v>
      </c>
      <c r="I146">
        <v>8</v>
      </c>
      <c r="K146">
        <v>1486</v>
      </c>
    </row>
    <row r="147" spans="2:11" x14ac:dyDescent="0.3">
      <c r="B147" t="s">
        <v>312</v>
      </c>
      <c r="C147" t="s">
        <v>1172</v>
      </c>
      <c r="D147" t="s">
        <v>1148</v>
      </c>
      <c r="E147">
        <v>9</v>
      </c>
      <c r="F147">
        <v>38</v>
      </c>
      <c r="G147">
        <v>167</v>
      </c>
      <c r="H147">
        <v>73</v>
      </c>
      <c r="I147">
        <v>2</v>
      </c>
      <c r="K147">
        <v>289</v>
      </c>
    </row>
    <row r="148" spans="2:11" x14ac:dyDescent="0.3">
      <c r="B148" t="s">
        <v>312</v>
      </c>
      <c r="C148" t="s">
        <v>1163</v>
      </c>
      <c r="D148" t="s">
        <v>1150</v>
      </c>
      <c r="E148">
        <v>2</v>
      </c>
      <c r="F148">
        <v>8</v>
      </c>
      <c r="G148">
        <v>202</v>
      </c>
      <c r="H148">
        <v>66</v>
      </c>
      <c r="I148">
        <v>1</v>
      </c>
      <c r="K148">
        <v>279</v>
      </c>
    </row>
    <row r="149" spans="2:11" x14ac:dyDescent="0.3">
      <c r="B149" t="s">
        <v>318</v>
      </c>
      <c r="C149" t="s">
        <v>1168</v>
      </c>
      <c r="D149" t="s">
        <v>1144</v>
      </c>
      <c r="E149">
        <v>42</v>
      </c>
      <c r="F149">
        <v>127</v>
      </c>
      <c r="G149">
        <v>582</v>
      </c>
      <c r="H149">
        <v>56</v>
      </c>
      <c r="I149">
        <v>1</v>
      </c>
      <c r="J149">
        <v>7</v>
      </c>
      <c r="K149">
        <v>808</v>
      </c>
    </row>
    <row r="150" spans="2:11" x14ac:dyDescent="0.3">
      <c r="B150" t="s">
        <v>318</v>
      </c>
      <c r="C150" t="s">
        <v>1161</v>
      </c>
      <c r="D150" t="s">
        <v>1147</v>
      </c>
      <c r="E150">
        <v>1</v>
      </c>
      <c r="F150">
        <v>33</v>
      </c>
      <c r="G150">
        <v>157</v>
      </c>
      <c r="H150">
        <v>39</v>
      </c>
      <c r="I150">
        <v>5</v>
      </c>
      <c r="J150">
        <v>3</v>
      </c>
      <c r="K150">
        <v>235</v>
      </c>
    </row>
    <row r="151" spans="2:11" x14ac:dyDescent="0.3">
      <c r="B151" t="s">
        <v>320</v>
      </c>
      <c r="C151" t="s">
        <v>1161</v>
      </c>
      <c r="D151" t="s">
        <v>1147</v>
      </c>
      <c r="E151">
        <v>1</v>
      </c>
      <c r="F151">
        <v>76</v>
      </c>
      <c r="G151">
        <v>378</v>
      </c>
      <c r="H151">
        <v>165</v>
      </c>
      <c r="I151">
        <v>27</v>
      </c>
      <c r="J151">
        <v>9</v>
      </c>
      <c r="K151">
        <v>647</v>
      </c>
    </row>
    <row r="152" spans="2:11" x14ac:dyDescent="0.3">
      <c r="B152" t="s">
        <v>320</v>
      </c>
      <c r="C152" t="s">
        <v>1173</v>
      </c>
      <c r="D152" t="s">
        <v>1154</v>
      </c>
      <c r="E152">
        <v>19</v>
      </c>
      <c r="F152">
        <v>21</v>
      </c>
      <c r="G152">
        <v>108</v>
      </c>
      <c r="H152">
        <v>29</v>
      </c>
      <c r="I152">
        <v>0</v>
      </c>
      <c r="J152">
        <v>2</v>
      </c>
    </row>
    <row r="153" spans="2:11" x14ac:dyDescent="0.3">
      <c r="B153" t="s">
        <v>325</v>
      </c>
      <c r="C153" t="s">
        <v>1168</v>
      </c>
      <c r="D153" t="s">
        <v>1144</v>
      </c>
      <c r="E153">
        <v>173</v>
      </c>
      <c r="F153">
        <v>101</v>
      </c>
      <c r="G153">
        <v>1493</v>
      </c>
      <c r="H153">
        <v>151</v>
      </c>
      <c r="I153">
        <v>0</v>
      </c>
      <c r="J153">
        <v>40</v>
      </c>
    </row>
    <row r="154" spans="2:11" x14ac:dyDescent="0.3">
      <c r="B154" t="s">
        <v>325</v>
      </c>
      <c r="C154" t="s">
        <v>1166</v>
      </c>
      <c r="D154" t="s">
        <v>1143</v>
      </c>
      <c r="E154">
        <v>2</v>
      </c>
      <c r="F154">
        <v>4</v>
      </c>
      <c r="G154">
        <v>15</v>
      </c>
      <c r="H154">
        <v>4</v>
      </c>
      <c r="I154">
        <v>0</v>
      </c>
    </row>
    <row r="155" spans="2:11" x14ac:dyDescent="0.3">
      <c r="B155" t="s">
        <v>325</v>
      </c>
      <c r="C155" t="s">
        <v>1163</v>
      </c>
      <c r="D155" t="s">
        <v>1150</v>
      </c>
      <c r="E155">
        <v>7</v>
      </c>
      <c r="F155">
        <v>15</v>
      </c>
      <c r="G155">
        <v>116</v>
      </c>
      <c r="H155">
        <v>26</v>
      </c>
      <c r="I155">
        <v>0</v>
      </c>
      <c r="J155">
        <v>4</v>
      </c>
    </row>
    <row r="156" spans="2:11" x14ac:dyDescent="0.3">
      <c r="B156" t="s">
        <v>326</v>
      </c>
      <c r="C156" t="s">
        <v>1167</v>
      </c>
      <c r="D156" t="s">
        <v>1145</v>
      </c>
      <c r="E156">
        <v>14</v>
      </c>
      <c r="F156">
        <v>25</v>
      </c>
      <c r="G156">
        <v>216</v>
      </c>
      <c r="H156">
        <v>23</v>
      </c>
      <c r="I156">
        <v>4</v>
      </c>
      <c r="J156">
        <v>5</v>
      </c>
      <c r="K156">
        <v>282</v>
      </c>
    </row>
    <row r="157" spans="2:11" x14ac:dyDescent="0.3">
      <c r="B157" t="s">
        <v>412</v>
      </c>
      <c r="C157" t="s">
        <v>1164</v>
      </c>
      <c r="D157" t="s">
        <v>1153</v>
      </c>
      <c r="E157">
        <v>0</v>
      </c>
      <c r="F157">
        <v>1</v>
      </c>
      <c r="G157">
        <v>23</v>
      </c>
      <c r="H157">
        <v>7</v>
      </c>
      <c r="I157">
        <v>0</v>
      </c>
      <c r="J157">
        <v>5</v>
      </c>
    </row>
    <row r="158" spans="2:11" x14ac:dyDescent="0.3">
      <c r="B158" t="s">
        <v>412</v>
      </c>
      <c r="C158" t="s">
        <v>1172</v>
      </c>
      <c r="D158" t="s">
        <v>1148</v>
      </c>
      <c r="E158">
        <v>1</v>
      </c>
      <c r="F158">
        <v>88</v>
      </c>
      <c r="G158">
        <v>154</v>
      </c>
      <c r="H158">
        <v>49</v>
      </c>
      <c r="I158">
        <v>1</v>
      </c>
      <c r="J158">
        <v>33</v>
      </c>
      <c r="K158">
        <v>293</v>
      </c>
    </row>
    <row r="159" spans="2:11" x14ac:dyDescent="0.3">
      <c r="B159" t="s">
        <v>365</v>
      </c>
      <c r="C159" t="s">
        <v>1162</v>
      </c>
      <c r="D159" t="s">
        <v>1141</v>
      </c>
      <c r="E159">
        <v>51</v>
      </c>
      <c r="F159">
        <v>538</v>
      </c>
      <c r="G159">
        <v>711</v>
      </c>
      <c r="H159">
        <v>191</v>
      </c>
      <c r="I159">
        <v>15</v>
      </c>
      <c r="K159">
        <v>1506</v>
      </c>
    </row>
    <row r="160" spans="2:11" x14ac:dyDescent="0.3">
      <c r="B160" t="s">
        <v>365</v>
      </c>
      <c r="C160" t="s">
        <v>1160</v>
      </c>
      <c r="D160" t="s">
        <v>1142</v>
      </c>
      <c r="E160">
        <v>2</v>
      </c>
      <c r="F160">
        <v>113</v>
      </c>
      <c r="G160">
        <v>243</v>
      </c>
      <c r="H160">
        <v>50</v>
      </c>
      <c r="I160">
        <v>4</v>
      </c>
      <c r="K160">
        <v>412</v>
      </c>
    </row>
    <row r="161" spans="2:11" x14ac:dyDescent="0.3">
      <c r="B161" t="s">
        <v>366</v>
      </c>
      <c r="C161" t="s">
        <v>1161</v>
      </c>
      <c r="D161" t="s">
        <v>1147</v>
      </c>
      <c r="E161">
        <v>1</v>
      </c>
      <c r="F161">
        <v>53</v>
      </c>
      <c r="G161">
        <v>815</v>
      </c>
      <c r="H161">
        <v>329</v>
      </c>
      <c r="I161">
        <v>65</v>
      </c>
      <c r="K161">
        <v>1263</v>
      </c>
    </row>
    <row r="162" spans="2:11" x14ac:dyDescent="0.3">
      <c r="B162" t="s">
        <v>366</v>
      </c>
      <c r="C162" t="s">
        <v>1160</v>
      </c>
      <c r="D162" t="s">
        <v>1142</v>
      </c>
      <c r="E162">
        <v>1</v>
      </c>
      <c r="F162">
        <v>170</v>
      </c>
      <c r="G162">
        <v>267</v>
      </c>
      <c r="H162">
        <v>44</v>
      </c>
      <c r="I162">
        <v>3</v>
      </c>
      <c r="K162">
        <v>485</v>
      </c>
    </row>
    <row r="163" spans="2:11" x14ac:dyDescent="0.3">
      <c r="B163" t="s">
        <v>341</v>
      </c>
      <c r="C163" t="s">
        <v>1167</v>
      </c>
      <c r="D163" t="s">
        <v>1145</v>
      </c>
      <c r="E163">
        <v>8</v>
      </c>
      <c r="F163">
        <v>17</v>
      </c>
      <c r="G163">
        <v>314</v>
      </c>
      <c r="H163">
        <v>51</v>
      </c>
      <c r="I163">
        <v>6</v>
      </c>
      <c r="K163">
        <v>396</v>
      </c>
    </row>
    <row r="164" spans="2:11" x14ac:dyDescent="0.3">
      <c r="B164" t="s">
        <v>341</v>
      </c>
      <c r="C164" t="s">
        <v>1168</v>
      </c>
      <c r="D164" t="s">
        <v>1144</v>
      </c>
      <c r="E164">
        <v>69</v>
      </c>
      <c r="F164">
        <v>343</v>
      </c>
      <c r="G164">
        <v>2130</v>
      </c>
      <c r="H164">
        <v>106</v>
      </c>
      <c r="I164">
        <v>2</v>
      </c>
      <c r="K164">
        <v>2650</v>
      </c>
    </row>
    <row r="165" spans="2:11" x14ac:dyDescent="0.3">
      <c r="B165" t="s">
        <v>341</v>
      </c>
      <c r="C165" t="s">
        <v>1161</v>
      </c>
      <c r="D165" t="s">
        <v>1147</v>
      </c>
      <c r="E165">
        <v>0</v>
      </c>
      <c r="F165">
        <v>57</v>
      </c>
      <c r="G165">
        <v>800</v>
      </c>
      <c r="H165">
        <v>248</v>
      </c>
      <c r="I165">
        <v>33</v>
      </c>
      <c r="K165">
        <v>1138</v>
      </c>
    </row>
    <row r="166" spans="2:11" x14ac:dyDescent="0.3">
      <c r="B166" t="s">
        <v>341</v>
      </c>
      <c r="C166" t="s">
        <v>1170</v>
      </c>
      <c r="D166" t="s">
        <v>1151</v>
      </c>
      <c r="E166">
        <v>7</v>
      </c>
      <c r="F166">
        <v>84</v>
      </c>
      <c r="G166">
        <v>245</v>
      </c>
      <c r="H166">
        <v>35</v>
      </c>
      <c r="I166">
        <v>0</v>
      </c>
      <c r="K166">
        <v>371</v>
      </c>
    </row>
    <row r="167" spans="2:11" x14ac:dyDescent="0.3">
      <c r="B167" t="s">
        <v>342</v>
      </c>
      <c r="C167" t="s">
        <v>1167</v>
      </c>
      <c r="D167" t="s">
        <v>1145</v>
      </c>
      <c r="E167">
        <v>5</v>
      </c>
      <c r="F167">
        <v>25</v>
      </c>
      <c r="G167">
        <v>262</v>
      </c>
      <c r="H167">
        <v>71</v>
      </c>
      <c r="I167">
        <v>4</v>
      </c>
      <c r="K167">
        <v>367</v>
      </c>
    </row>
    <row r="168" spans="2:11" x14ac:dyDescent="0.3">
      <c r="B168" t="s">
        <v>342</v>
      </c>
      <c r="C168" t="s">
        <v>1168</v>
      </c>
      <c r="D168" t="s">
        <v>1144</v>
      </c>
      <c r="E168">
        <v>69</v>
      </c>
      <c r="F168">
        <v>246</v>
      </c>
      <c r="G168">
        <v>1559</v>
      </c>
      <c r="H168">
        <v>203</v>
      </c>
      <c r="I168">
        <v>0</v>
      </c>
      <c r="K168">
        <v>2077</v>
      </c>
    </row>
    <row r="169" spans="2:11" x14ac:dyDescent="0.3">
      <c r="B169" t="s">
        <v>342</v>
      </c>
      <c r="C169" t="s">
        <v>1165</v>
      </c>
      <c r="D169" t="s">
        <v>1155</v>
      </c>
      <c r="E169">
        <v>27</v>
      </c>
      <c r="F169">
        <v>48</v>
      </c>
      <c r="G169">
        <v>231</v>
      </c>
      <c r="H169">
        <v>55</v>
      </c>
      <c r="I169">
        <v>1</v>
      </c>
      <c r="K169">
        <v>362</v>
      </c>
    </row>
    <row r="170" spans="2:11" x14ac:dyDescent="0.3">
      <c r="B170" t="s">
        <v>213</v>
      </c>
      <c r="C170" t="s">
        <v>1160</v>
      </c>
      <c r="D170" t="s">
        <v>1142</v>
      </c>
      <c r="E170">
        <v>0</v>
      </c>
      <c r="F170">
        <v>42</v>
      </c>
      <c r="G170">
        <v>173</v>
      </c>
      <c r="H170">
        <v>51</v>
      </c>
      <c r="I170">
        <v>1</v>
      </c>
      <c r="K170">
        <v>267</v>
      </c>
    </row>
    <row r="171" spans="2:11" x14ac:dyDescent="0.3">
      <c r="B171" t="s">
        <v>312</v>
      </c>
      <c r="C171" t="s">
        <v>1169</v>
      </c>
      <c r="D171" t="s">
        <v>1149</v>
      </c>
      <c r="E171">
        <v>4</v>
      </c>
      <c r="F171">
        <v>19</v>
      </c>
      <c r="G171">
        <v>168</v>
      </c>
      <c r="H171">
        <v>90</v>
      </c>
      <c r="I171">
        <v>4</v>
      </c>
      <c r="K171">
        <v>285</v>
      </c>
    </row>
    <row r="172" spans="2:11" x14ac:dyDescent="0.3">
      <c r="B172" t="s">
        <v>318</v>
      </c>
      <c r="C172" t="s">
        <v>1162</v>
      </c>
      <c r="D172" t="s">
        <v>1141</v>
      </c>
      <c r="E172">
        <v>87</v>
      </c>
      <c r="F172">
        <v>611</v>
      </c>
      <c r="G172">
        <v>462</v>
      </c>
      <c r="H172">
        <v>163</v>
      </c>
      <c r="I172">
        <v>6</v>
      </c>
      <c r="J172">
        <v>12</v>
      </c>
      <c r="K172">
        <v>1329</v>
      </c>
    </row>
    <row r="173" spans="2:11" x14ac:dyDescent="0.3">
      <c r="B173" t="s">
        <v>318</v>
      </c>
      <c r="C173" t="s">
        <v>1172</v>
      </c>
      <c r="D173" t="s">
        <v>1148</v>
      </c>
      <c r="E173">
        <v>0</v>
      </c>
      <c r="F173">
        <v>10</v>
      </c>
      <c r="G173">
        <v>43</v>
      </c>
      <c r="H173">
        <v>17</v>
      </c>
      <c r="I173">
        <v>1</v>
      </c>
      <c r="J173">
        <v>2</v>
      </c>
    </row>
    <row r="174" spans="2:11" x14ac:dyDescent="0.3">
      <c r="B174" t="s">
        <v>318</v>
      </c>
      <c r="C174" t="s">
        <v>1163</v>
      </c>
      <c r="D174" t="s">
        <v>1150</v>
      </c>
      <c r="E174">
        <v>2</v>
      </c>
      <c r="F174">
        <v>3</v>
      </c>
      <c r="G174">
        <v>46</v>
      </c>
      <c r="H174">
        <v>12</v>
      </c>
      <c r="I174">
        <v>2</v>
      </c>
      <c r="J174">
        <v>1</v>
      </c>
      <c r="K174">
        <v>65</v>
      </c>
    </row>
    <row r="175" spans="2:11" x14ac:dyDescent="0.3">
      <c r="B175" t="s">
        <v>320</v>
      </c>
      <c r="C175" t="s">
        <v>1169</v>
      </c>
      <c r="D175" t="s">
        <v>1149</v>
      </c>
      <c r="E175">
        <v>1</v>
      </c>
      <c r="F175">
        <v>14</v>
      </c>
      <c r="G175">
        <v>72</v>
      </c>
      <c r="H175">
        <v>19</v>
      </c>
      <c r="I175">
        <v>2</v>
      </c>
      <c r="J175">
        <v>2</v>
      </c>
      <c r="K175">
        <v>108</v>
      </c>
    </row>
    <row r="176" spans="2:11" x14ac:dyDescent="0.3">
      <c r="B176" t="s">
        <v>325</v>
      </c>
      <c r="C176" t="s">
        <v>1162</v>
      </c>
      <c r="D176" t="s">
        <v>1141</v>
      </c>
      <c r="E176">
        <v>116</v>
      </c>
      <c r="F176">
        <v>734</v>
      </c>
      <c r="G176">
        <v>553</v>
      </c>
      <c r="H176">
        <v>181</v>
      </c>
      <c r="I176">
        <v>18</v>
      </c>
      <c r="J176">
        <v>4</v>
      </c>
      <c r="K176">
        <v>1602</v>
      </c>
    </row>
    <row r="177" spans="2:11" x14ac:dyDescent="0.3">
      <c r="B177" t="s">
        <v>325</v>
      </c>
      <c r="C177" t="s">
        <v>1170</v>
      </c>
      <c r="D177" t="s">
        <v>1151</v>
      </c>
      <c r="E177">
        <v>9</v>
      </c>
      <c r="F177">
        <v>203</v>
      </c>
      <c r="G177">
        <v>287</v>
      </c>
      <c r="H177">
        <v>41</v>
      </c>
      <c r="I177">
        <v>0</v>
      </c>
      <c r="J177">
        <v>7</v>
      </c>
    </row>
    <row r="178" spans="2:11" x14ac:dyDescent="0.3">
      <c r="B178" t="s">
        <v>325</v>
      </c>
      <c r="C178" t="s">
        <v>1165</v>
      </c>
      <c r="D178" t="s">
        <v>1155</v>
      </c>
      <c r="E178">
        <v>41</v>
      </c>
      <c r="F178">
        <v>67</v>
      </c>
      <c r="G178">
        <v>183</v>
      </c>
      <c r="H178">
        <v>49</v>
      </c>
      <c r="I178">
        <v>1</v>
      </c>
      <c r="J178">
        <v>1</v>
      </c>
      <c r="K178">
        <v>341</v>
      </c>
    </row>
    <row r="179" spans="2:11" x14ac:dyDescent="0.3">
      <c r="B179" t="s">
        <v>326</v>
      </c>
      <c r="C179" t="s">
        <v>1170</v>
      </c>
      <c r="D179" t="s">
        <v>1151</v>
      </c>
      <c r="E179">
        <v>15</v>
      </c>
      <c r="F179">
        <v>503</v>
      </c>
      <c r="G179">
        <v>649</v>
      </c>
      <c r="H179">
        <v>75</v>
      </c>
      <c r="I179">
        <v>0</v>
      </c>
      <c r="J179">
        <v>14</v>
      </c>
    </row>
    <row r="180" spans="2:11" x14ac:dyDescent="0.3">
      <c r="B180" t="s">
        <v>326</v>
      </c>
      <c r="C180" t="s">
        <v>1164</v>
      </c>
      <c r="D180" t="s">
        <v>1153</v>
      </c>
      <c r="E180">
        <v>0</v>
      </c>
      <c r="F180">
        <v>0</v>
      </c>
      <c r="G180">
        <v>18</v>
      </c>
      <c r="H180">
        <v>7</v>
      </c>
      <c r="I180">
        <v>0</v>
      </c>
    </row>
    <row r="181" spans="2:11" x14ac:dyDescent="0.3">
      <c r="B181" t="s">
        <v>328</v>
      </c>
      <c r="C181" t="s">
        <v>1173</v>
      </c>
      <c r="D181" t="s">
        <v>1154</v>
      </c>
      <c r="E181">
        <v>32</v>
      </c>
      <c r="F181">
        <v>45</v>
      </c>
      <c r="G181">
        <v>184</v>
      </c>
      <c r="H181">
        <v>26</v>
      </c>
      <c r="I181">
        <v>1</v>
      </c>
      <c r="J181">
        <v>6</v>
      </c>
      <c r="K181">
        <v>288</v>
      </c>
    </row>
    <row r="182" spans="2:11" x14ac:dyDescent="0.3">
      <c r="B182" t="s">
        <v>328</v>
      </c>
      <c r="C182" t="s">
        <v>1163</v>
      </c>
      <c r="D182" t="s">
        <v>1150</v>
      </c>
      <c r="E182">
        <v>8</v>
      </c>
      <c r="F182">
        <v>15</v>
      </c>
      <c r="G182">
        <v>126</v>
      </c>
      <c r="H182">
        <v>42</v>
      </c>
      <c r="I182">
        <v>1</v>
      </c>
      <c r="J182">
        <v>17</v>
      </c>
      <c r="K182">
        <v>192</v>
      </c>
    </row>
    <row r="183" spans="2:11" x14ac:dyDescent="0.3">
      <c r="B183" t="s">
        <v>412</v>
      </c>
      <c r="C183" t="s">
        <v>1162</v>
      </c>
      <c r="D183" t="s">
        <v>1141</v>
      </c>
      <c r="E183">
        <v>115</v>
      </c>
      <c r="F183">
        <v>657</v>
      </c>
      <c r="G183">
        <v>475</v>
      </c>
      <c r="H183">
        <v>143</v>
      </c>
      <c r="I183">
        <v>5</v>
      </c>
      <c r="J183">
        <v>199</v>
      </c>
      <c r="K183">
        <v>1395</v>
      </c>
    </row>
    <row r="184" spans="2:11" x14ac:dyDescent="0.3">
      <c r="B184" t="s">
        <v>412</v>
      </c>
      <c r="C184" t="s">
        <v>1165</v>
      </c>
      <c r="D184" t="s">
        <v>1155</v>
      </c>
      <c r="E184">
        <v>33</v>
      </c>
      <c r="F184">
        <v>65</v>
      </c>
      <c r="G184">
        <v>84</v>
      </c>
      <c r="H184">
        <v>41</v>
      </c>
      <c r="I184">
        <v>2</v>
      </c>
      <c r="J184">
        <v>55</v>
      </c>
      <c r="K184">
        <v>225</v>
      </c>
    </row>
  </sheetData>
  <pageMargins left="0.7" right="0.7" top="0.75" bottom="0.75" header="0.3" footer="0.3"/>
  <tableParts count="1">
    <tablePart r:id="rId1"/>
  </tableParts>
</worksheet>
</file>

<file path=xl/worksheets/sheet19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tabColor theme="3" tint="0.39997558519241921"/>
  </sheetPr>
  <dimension ref="A1:L54"/>
  <sheetViews>
    <sheetView showGridLines="0" workbookViewId="0">
      <pane ySplit="2" topLeftCell="A3" activePane="bottomLeft" state="frozen"/>
      <selection pane="bottomLeft"/>
    </sheetView>
  </sheetViews>
  <sheetFormatPr defaultRowHeight="14.4" x14ac:dyDescent="0.3"/>
  <cols>
    <col min="1" max="1" width="30.6640625" bestFit="1" customWidth="1"/>
    <col min="2" max="7" width="13.109375" customWidth="1"/>
  </cols>
  <sheetData>
    <row r="1" spans="1:12" ht="21" customHeight="1" x14ac:dyDescent="0.3">
      <c r="A1" s="513" t="s">
        <v>1118</v>
      </c>
    </row>
    <row r="2" spans="1:12" ht="21.6" customHeight="1" x14ac:dyDescent="0.3">
      <c r="A2" s="498" t="s">
        <v>202</v>
      </c>
    </row>
    <row r="3" spans="1:12" x14ac:dyDescent="0.3">
      <c r="A3" s="25"/>
    </row>
    <row r="4" spans="1:12" ht="15.6" x14ac:dyDescent="0.3">
      <c r="A4" s="438" t="s">
        <v>1272</v>
      </c>
      <c r="B4" s="438"/>
    </row>
    <row r="5" spans="1:12" x14ac:dyDescent="0.3">
      <c r="A5" t="s">
        <v>203</v>
      </c>
      <c r="B5" t="s">
        <v>196</v>
      </c>
    </row>
    <row r="6" spans="1:12" x14ac:dyDescent="0.3">
      <c r="A6" t="s">
        <v>204</v>
      </c>
      <c r="B6" t="s">
        <v>205</v>
      </c>
    </row>
    <row r="7" spans="1:12" x14ac:dyDescent="0.3">
      <c r="A7" t="s">
        <v>206</v>
      </c>
      <c r="B7" t="s">
        <v>207</v>
      </c>
    </row>
    <row r="9" spans="1:12" x14ac:dyDescent="0.3">
      <c r="A9" s="402" t="s">
        <v>1273</v>
      </c>
      <c r="B9" s="403" t="s">
        <v>1274</v>
      </c>
      <c r="C9" s="403" t="s">
        <v>1275</v>
      </c>
      <c r="D9" s="403" t="s">
        <v>1276</v>
      </c>
      <c r="E9" s="403" t="s">
        <v>1277</v>
      </c>
      <c r="F9" s="403" t="s">
        <v>1278</v>
      </c>
      <c r="G9" s="403" t="s">
        <v>850</v>
      </c>
      <c r="H9" s="404" t="s">
        <v>340</v>
      </c>
    </row>
    <row r="10" spans="1:12" x14ac:dyDescent="0.3">
      <c r="A10" s="405" t="s">
        <v>1145</v>
      </c>
      <c r="B10" s="406">
        <f>GETPIVOTDATA("Sum of VL",riskpivot!$B$4,"PremisesType",A10)</f>
        <v>20</v>
      </c>
      <c r="C10" s="406">
        <f>GETPIVOTDATA("Sum of L",riskpivot!$B$4,"PremisesType",A10)</f>
        <v>22</v>
      </c>
      <c r="D10" s="406">
        <f>GETPIVOTDATA("Sum of M",riskpivot!$B$4,"PremisesType",A10)</f>
        <v>207</v>
      </c>
      <c r="E10" s="406">
        <f>GETPIVOTDATA("Sum of H",riskpivot!$B$4,"PremisesType",A10)</f>
        <v>14</v>
      </c>
      <c r="F10" s="406">
        <f>GETPIVOTDATA("Sum of VH",riskpivot!$B$4,"PremisesType",A10)</f>
        <v>0</v>
      </c>
      <c r="G10" s="406">
        <f>GETPIVOTDATA("Sum of Not Known",riskpivot!$B$4,"PremisesType",A10)</f>
        <v>39</v>
      </c>
      <c r="H10" s="407">
        <f>SUM(B10:G10)</f>
        <v>302</v>
      </c>
      <c r="I10" s="397"/>
      <c r="J10" s="397"/>
      <c r="K10" s="397"/>
      <c r="L10" s="397"/>
    </row>
    <row r="11" spans="1:12" x14ac:dyDescent="0.3">
      <c r="A11" s="405" t="s">
        <v>1141</v>
      </c>
      <c r="B11" s="406">
        <f>GETPIVOTDATA("Sum of VL",riskpivot!$B$4,"PremisesType",A11)</f>
        <v>115</v>
      </c>
      <c r="C11" s="406">
        <f>GETPIVOTDATA("Sum of L",riskpivot!$B$4,"PremisesType",A11)</f>
        <v>657</v>
      </c>
      <c r="D11" s="406">
        <f>GETPIVOTDATA("Sum of M",riskpivot!$B$4,"PremisesType",A11)</f>
        <v>475</v>
      </c>
      <c r="E11" s="406">
        <f>GETPIVOTDATA("Sum of H",riskpivot!$B$4,"PremisesType",A11)</f>
        <v>143</v>
      </c>
      <c r="F11" s="406">
        <f>GETPIVOTDATA("Sum of VH",riskpivot!$B$4,"PremisesType",A11)</f>
        <v>5</v>
      </c>
      <c r="G11" s="406">
        <f>GETPIVOTDATA("Sum of Not Known",riskpivot!$B$4,"PremisesType",A11)</f>
        <v>199</v>
      </c>
      <c r="H11" s="407">
        <f>SUM(B11:G11)</f>
        <v>1594</v>
      </c>
      <c r="I11" s="397"/>
      <c r="J11" s="397"/>
      <c r="K11" s="397"/>
      <c r="L11" s="397"/>
    </row>
    <row r="12" spans="1:12" x14ac:dyDescent="0.3">
      <c r="A12" s="405" t="s">
        <v>1144</v>
      </c>
      <c r="B12" s="406">
        <f>GETPIVOTDATA("Sum of VL",riskpivot!$B$4,"PremisesType",A12)</f>
        <v>167</v>
      </c>
      <c r="C12" s="406">
        <f>GETPIVOTDATA("Sum of L",riskpivot!$B$4,"PremisesType",A12)</f>
        <v>147</v>
      </c>
      <c r="D12" s="406">
        <f>GETPIVOTDATA("Sum of M",riskpivot!$B$4,"PremisesType",A12)</f>
        <v>1858</v>
      </c>
      <c r="E12" s="406">
        <f>GETPIVOTDATA("Sum of H",riskpivot!$B$4,"PremisesType",A12)</f>
        <v>140</v>
      </c>
      <c r="F12" s="406">
        <f>GETPIVOTDATA("Sum of VH",riskpivot!$B$4,"PremisesType",A12)</f>
        <v>2</v>
      </c>
      <c r="G12" s="406">
        <f>GETPIVOTDATA("Sum of Not Known",riskpivot!$B$4,"PremisesType",A12)</f>
        <v>310</v>
      </c>
      <c r="H12" s="407">
        <f t="shared" ref="H12:H24" si="0">SUM(B12:G12)</f>
        <v>2624</v>
      </c>
      <c r="I12" s="397"/>
      <c r="J12" s="397"/>
      <c r="K12" s="397"/>
      <c r="L12" s="397"/>
    </row>
    <row r="13" spans="1:12" x14ac:dyDescent="0.3">
      <c r="A13" s="405" t="s">
        <v>1146</v>
      </c>
      <c r="B13" s="406">
        <f>GETPIVOTDATA("Sum of VL",riskpivot!$B$4,"PremisesType",A13)</f>
        <v>1</v>
      </c>
      <c r="C13" s="406">
        <f>GETPIVOTDATA("Sum of L",riskpivot!$B$4,"PremisesType",A13)</f>
        <v>7</v>
      </c>
      <c r="D13" s="406">
        <f>GETPIVOTDATA("Sum of M",riskpivot!$B$4,"PremisesType",A13)</f>
        <v>51</v>
      </c>
      <c r="E13" s="406">
        <f>GETPIVOTDATA("Sum of H",riskpivot!$B$4,"PremisesType",A13)</f>
        <v>11</v>
      </c>
      <c r="F13" s="406">
        <f>GETPIVOTDATA("Sum of VH",riskpivot!$B$4,"PremisesType",A13)</f>
        <v>2</v>
      </c>
      <c r="G13" s="406">
        <f>GETPIVOTDATA("Sum of Not Known",riskpivot!$B$4,"PremisesType",A13)</f>
        <v>17</v>
      </c>
      <c r="H13" s="407">
        <f t="shared" si="0"/>
        <v>89</v>
      </c>
      <c r="I13" s="397"/>
      <c r="J13" s="397"/>
      <c r="K13" s="397"/>
      <c r="L13" s="397"/>
    </row>
    <row r="14" spans="1:12" x14ac:dyDescent="0.3">
      <c r="A14" s="405" t="s">
        <v>1147</v>
      </c>
      <c r="B14" s="406">
        <f>GETPIVOTDATA("Sum of VL",riskpivot!$B$4,"PremisesType",A14)</f>
        <v>0</v>
      </c>
      <c r="C14" s="406">
        <f>GETPIVOTDATA("Sum of L",riskpivot!$B$4,"PremisesType",A14)</f>
        <v>90</v>
      </c>
      <c r="D14" s="406">
        <f>GETPIVOTDATA("Sum of M",riskpivot!$B$4,"PremisesType",A14)</f>
        <v>573</v>
      </c>
      <c r="E14" s="406">
        <f>GETPIVOTDATA("Sum of H",riskpivot!$B$4,"PremisesType",A14)</f>
        <v>131</v>
      </c>
      <c r="F14" s="406">
        <f>GETPIVOTDATA("Sum of VH",riskpivot!$B$4,"PremisesType",A14)</f>
        <v>15</v>
      </c>
      <c r="G14" s="406">
        <f>GETPIVOTDATA("Sum of Not Known",riskpivot!$B$4,"PremisesType",A14)</f>
        <v>116</v>
      </c>
      <c r="H14" s="407">
        <f t="shared" si="0"/>
        <v>925</v>
      </c>
      <c r="I14" s="397"/>
      <c r="J14" s="397"/>
      <c r="K14" s="397"/>
      <c r="L14" s="397"/>
    </row>
    <row r="15" spans="1:12" x14ac:dyDescent="0.3">
      <c r="A15" s="405" t="s">
        <v>1151</v>
      </c>
      <c r="B15" s="406">
        <f>GETPIVOTDATA("Sum of VL",riskpivot!$B$4,"PremisesType",A15)</f>
        <v>15</v>
      </c>
      <c r="C15" s="406">
        <f>GETPIVOTDATA("Sum of L",riskpivot!$B$4,"PremisesType",A15)</f>
        <v>419</v>
      </c>
      <c r="D15" s="406">
        <f>GETPIVOTDATA("Sum of M",riskpivot!$B$4,"PremisesType",A15)</f>
        <v>578</v>
      </c>
      <c r="E15" s="406">
        <f>GETPIVOTDATA("Sum of H",riskpivot!$B$4,"PremisesType",A15)</f>
        <v>73</v>
      </c>
      <c r="F15" s="406">
        <f>GETPIVOTDATA("Sum of VH",riskpivot!$B$4,"PremisesType",A15)</f>
        <v>0</v>
      </c>
      <c r="G15" s="406">
        <f>GETPIVOTDATA("Sum of Not Known",riskpivot!$B$4,"PremisesType",A15)</f>
        <v>159</v>
      </c>
      <c r="H15" s="407">
        <f t="shared" si="0"/>
        <v>1244</v>
      </c>
      <c r="I15" s="397"/>
      <c r="J15" s="397"/>
      <c r="K15" s="397"/>
      <c r="L15" s="397"/>
    </row>
    <row r="16" spans="1:12" x14ac:dyDescent="0.3">
      <c r="A16" s="405" t="s">
        <v>1143</v>
      </c>
      <c r="B16" s="406">
        <f>GETPIVOTDATA("Sum of VL",riskpivot!$B$4,"PremisesType",A16)</f>
        <v>0</v>
      </c>
      <c r="C16" s="406">
        <f>GETPIVOTDATA("Sum of L",riskpivot!$B$4,"PremisesType",A16)</f>
        <v>5</v>
      </c>
      <c r="D16" s="406">
        <f>GETPIVOTDATA("Sum of M",riskpivot!$B$4,"PremisesType",A16)</f>
        <v>15</v>
      </c>
      <c r="E16" s="406">
        <f>GETPIVOTDATA("Sum of H",riskpivot!$B$4,"PremisesType",A16)</f>
        <v>0</v>
      </c>
      <c r="F16" s="406">
        <f>GETPIVOTDATA("Sum of VH",riskpivot!$B$4,"PremisesType",A16)</f>
        <v>0</v>
      </c>
      <c r="G16" s="406">
        <f>GETPIVOTDATA("Sum of Not Known",riskpivot!$B$4,"PremisesType",A16)</f>
        <v>3</v>
      </c>
      <c r="H16" s="407">
        <f t="shared" si="0"/>
        <v>23</v>
      </c>
      <c r="I16" s="397"/>
      <c r="J16" s="397"/>
      <c r="K16" s="397"/>
      <c r="L16" s="397"/>
    </row>
    <row r="17" spans="1:12" x14ac:dyDescent="0.3">
      <c r="A17" s="405" t="s">
        <v>1153</v>
      </c>
      <c r="B17" s="406">
        <f>GETPIVOTDATA("Sum of VL",riskpivot!$B$4,"PremisesType",A17)</f>
        <v>0</v>
      </c>
      <c r="C17" s="406">
        <f>GETPIVOTDATA("Sum of L",riskpivot!$B$4,"PremisesType",A17)</f>
        <v>1</v>
      </c>
      <c r="D17" s="406">
        <f>GETPIVOTDATA("Sum of M",riskpivot!$B$4,"PremisesType",A17)</f>
        <v>23</v>
      </c>
      <c r="E17" s="406">
        <f>GETPIVOTDATA("Sum of H",riskpivot!$B$4,"PremisesType",A17)</f>
        <v>7</v>
      </c>
      <c r="F17" s="406">
        <f>GETPIVOTDATA("Sum of VH",riskpivot!$B$4,"PremisesType",A17)</f>
        <v>0</v>
      </c>
      <c r="G17" s="406">
        <f>GETPIVOTDATA("Sum of Not Known",riskpivot!$B$4,"PremisesType",A17)</f>
        <v>5</v>
      </c>
      <c r="H17" s="407">
        <f t="shared" si="0"/>
        <v>36</v>
      </c>
      <c r="I17" s="397"/>
      <c r="J17" s="397"/>
      <c r="K17" s="397"/>
      <c r="L17" s="397"/>
    </row>
    <row r="18" spans="1:12" x14ac:dyDescent="0.3">
      <c r="A18" s="405" t="s">
        <v>1148</v>
      </c>
      <c r="B18" s="406">
        <f>GETPIVOTDATA("Sum of VL",riskpivot!$B$4,"PremisesType",A18)</f>
        <v>1</v>
      </c>
      <c r="C18" s="406">
        <f>GETPIVOTDATA("Sum of L",riskpivot!$B$4,"PremisesType",A18)</f>
        <v>88</v>
      </c>
      <c r="D18" s="406">
        <f>GETPIVOTDATA("Sum of M",riskpivot!$B$4,"PremisesType",A18)</f>
        <v>154</v>
      </c>
      <c r="E18" s="406">
        <f>GETPIVOTDATA("Sum of H",riskpivot!$B$4,"PremisesType",A18)</f>
        <v>49</v>
      </c>
      <c r="F18" s="406">
        <f>GETPIVOTDATA("Sum of VH",riskpivot!$B$4,"PremisesType",A18)</f>
        <v>1</v>
      </c>
      <c r="G18" s="406">
        <f>GETPIVOTDATA("Sum of Not Known",riskpivot!$B$4,"PremisesType",A18)</f>
        <v>33</v>
      </c>
      <c r="H18" s="407">
        <f t="shared" si="0"/>
        <v>326</v>
      </c>
      <c r="I18" s="397"/>
      <c r="J18" s="397"/>
      <c r="K18" s="397"/>
      <c r="L18" s="397"/>
    </row>
    <row r="19" spans="1:12" x14ac:dyDescent="0.3">
      <c r="A19" s="405" t="s">
        <v>1154</v>
      </c>
      <c r="B19" s="406">
        <f>GETPIVOTDATA("Sum of VL",riskpivot!$B$4,"PremisesType",A19)</f>
        <v>34</v>
      </c>
      <c r="C19" s="406">
        <f>GETPIVOTDATA("Sum of L",riskpivot!$B$4,"PremisesType",A19)</f>
        <v>44</v>
      </c>
      <c r="D19" s="406">
        <f>GETPIVOTDATA("Sum of M",riskpivot!$B$4,"PremisesType",A19)</f>
        <v>185</v>
      </c>
      <c r="E19" s="406">
        <f>GETPIVOTDATA("Sum of H",riskpivot!$B$4,"PremisesType",A19)</f>
        <v>24</v>
      </c>
      <c r="F19" s="406">
        <f>GETPIVOTDATA("Sum of VH",riskpivot!$B$4,"PremisesType",A19)</f>
        <v>0</v>
      </c>
      <c r="G19" s="406">
        <f>GETPIVOTDATA("Sum of Not Known",riskpivot!$B$4,"PremisesType",A19)</f>
        <v>25</v>
      </c>
      <c r="H19" s="407">
        <f>SUM(B19:G19)</f>
        <v>312</v>
      </c>
      <c r="I19" s="397"/>
      <c r="J19" s="397"/>
      <c r="K19" s="397"/>
      <c r="L19" s="397"/>
    </row>
    <row r="20" spans="1:12" x14ac:dyDescent="0.3">
      <c r="A20" s="405" t="s">
        <v>1155</v>
      </c>
      <c r="B20" s="406">
        <f>GETPIVOTDATA("Sum of VL",riskpivot!$B$4,"PremisesType",A20)</f>
        <v>33</v>
      </c>
      <c r="C20" s="406">
        <f>GETPIVOTDATA("Sum of L",riskpivot!$B$4,"PremisesType",A20)</f>
        <v>65</v>
      </c>
      <c r="D20" s="406">
        <f>GETPIVOTDATA("Sum of M",riskpivot!$B$4,"PremisesType",A20)</f>
        <v>84</v>
      </c>
      <c r="E20" s="406">
        <f>GETPIVOTDATA("Sum of H",riskpivot!$B$4,"PremisesType",A20)</f>
        <v>41</v>
      </c>
      <c r="F20" s="406">
        <f>GETPIVOTDATA("Sum of VH",riskpivot!$B$4,"PremisesType",A20)</f>
        <v>2</v>
      </c>
      <c r="G20" s="406">
        <f>GETPIVOTDATA("Sum of Not Known",riskpivot!$B$4,"PremisesType",A20)</f>
        <v>55</v>
      </c>
      <c r="H20" s="407">
        <f t="shared" si="0"/>
        <v>280</v>
      </c>
      <c r="I20" s="397"/>
      <c r="J20" s="397"/>
      <c r="K20" s="397"/>
      <c r="L20" s="397"/>
    </row>
    <row r="21" spans="1:12" x14ac:dyDescent="0.3">
      <c r="A21" s="405" t="s">
        <v>1150</v>
      </c>
      <c r="B21" s="406">
        <f>GETPIVOTDATA("Sum of VL",riskpivot!$B$4,"PremisesType",A21)</f>
        <v>3</v>
      </c>
      <c r="C21" s="406">
        <f>GETPIVOTDATA("Sum of L",riskpivot!$B$4,"PremisesType",A21)</f>
        <v>9</v>
      </c>
      <c r="D21" s="406">
        <f>GETPIVOTDATA("Sum of M",riskpivot!$B$4,"PremisesType",A21)</f>
        <v>114</v>
      </c>
      <c r="E21" s="406">
        <f>GETPIVOTDATA("Sum of H",riskpivot!$B$4,"PremisesType",A21)</f>
        <v>21</v>
      </c>
      <c r="F21" s="406">
        <f>GETPIVOTDATA("Sum of VH",riskpivot!$B$4,"PremisesType",A21)</f>
        <v>0</v>
      </c>
      <c r="G21" s="406">
        <f>GETPIVOTDATA("Sum of Not Known",riskpivot!$B$4,"PremisesType",A21)</f>
        <v>12</v>
      </c>
      <c r="H21" s="407">
        <f t="shared" si="0"/>
        <v>159</v>
      </c>
      <c r="I21" s="397"/>
      <c r="J21" s="397"/>
      <c r="K21" s="397"/>
      <c r="L21" s="397"/>
    </row>
    <row r="22" spans="1:12" x14ac:dyDescent="0.3">
      <c r="A22" s="405" t="s">
        <v>1142</v>
      </c>
      <c r="B22" s="406">
        <f>GETPIVOTDATA("Sum of VL",riskpivot!$B$4,"PremisesType",A22)</f>
        <v>0</v>
      </c>
      <c r="C22" s="406">
        <f>GETPIVOTDATA("Sum of L",riskpivot!$B$4,"PremisesType",A22)</f>
        <v>74</v>
      </c>
      <c r="D22" s="406">
        <f>GETPIVOTDATA("Sum of M",riskpivot!$B$4,"PremisesType",A22)</f>
        <v>60</v>
      </c>
      <c r="E22" s="406">
        <f>GETPIVOTDATA("Sum of H",riskpivot!$B$4,"PremisesType",A22)</f>
        <v>30</v>
      </c>
      <c r="F22" s="406">
        <f>GETPIVOTDATA("Sum of VH",riskpivot!$B$4,"PremisesType",A22)</f>
        <v>1</v>
      </c>
      <c r="G22" s="406">
        <f>GETPIVOTDATA("Sum of Not Known",riskpivot!$B$4,"PremisesType",A22)</f>
        <v>23</v>
      </c>
      <c r="H22" s="407">
        <f t="shared" si="0"/>
        <v>188</v>
      </c>
      <c r="I22" s="397"/>
      <c r="J22" s="397"/>
      <c r="K22" s="397"/>
      <c r="L22" s="397"/>
    </row>
    <row r="23" spans="1:12" x14ac:dyDescent="0.3">
      <c r="A23" s="405" t="s">
        <v>1149</v>
      </c>
      <c r="B23" s="406">
        <f>GETPIVOTDATA("Sum of VL",riskpivot!$B$4,"PremisesType",A23)</f>
        <v>7</v>
      </c>
      <c r="C23" s="406">
        <f>GETPIVOTDATA("Sum of L",riskpivot!$B$4,"PremisesType",A23)</f>
        <v>24</v>
      </c>
      <c r="D23" s="406">
        <f>GETPIVOTDATA("Sum of M",riskpivot!$B$4,"PremisesType",A23)</f>
        <v>69</v>
      </c>
      <c r="E23" s="406">
        <f>GETPIVOTDATA("Sum of H",riskpivot!$B$4,"PremisesType",A23)</f>
        <v>46</v>
      </c>
      <c r="F23" s="406">
        <f>GETPIVOTDATA("Sum of VH",riskpivot!$B$4,"PremisesType",A23)</f>
        <v>0</v>
      </c>
      <c r="G23" s="406">
        <f>GETPIVOTDATA("Sum of Not Known",riskpivot!$B$4,"PremisesType",A23)</f>
        <v>64</v>
      </c>
      <c r="H23" s="407">
        <f t="shared" si="0"/>
        <v>210</v>
      </c>
      <c r="I23" s="397"/>
      <c r="J23" s="397"/>
      <c r="K23" s="397"/>
      <c r="L23" s="397"/>
    </row>
    <row r="24" spans="1:12" x14ac:dyDescent="0.3">
      <c r="A24" s="405" t="s">
        <v>1183</v>
      </c>
      <c r="B24" s="406">
        <f>GETPIVOTDATA("Sum of VL",riskpivot!$B$4,"PremisesType",A24)</f>
        <v>1</v>
      </c>
      <c r="C24" s="406">
        <f>GETPIVOTDATA("Sum of L",riskpivot!$B$4,"PremisesType",A24)</f>
        <v>24</v>
      </c>
      <c r="D24" s="406">
        <f>GETPIVOTDATA("Sum of M",riskpivot!$B$4,"PremisesType",A24)</f>
        <v>48</v>
      </c>
      <c r="E24" s="406">
        <f>GETPIVOTDATA("Sum of H",riskpivot!$B$4,"PremisesType",A24)</f>
        <v>45</v>
      </c>
      <c r="F24" s="406">
        <f>GETPIVOTDATA("Sum of VH",riskpivot!$B$4,"PremisesType",A24)</f>
        <v>9</v>
      </c>
      <c r="G24" s="406">
        <f>GETPIVOTDATA("Sum of Not Known",riskpivot!$B$4,"PremisesType",A24)</f>
        <v>25</v>
      </c>
      <c r="H24" s="407">
        <f t="shared" si="0"/>
        <v>152</v>
      </c>
      <c r="I24" s="397"/>
      <c r="J24" s="397"/>
      <c r="K24" s="397"/>
      <c r="L24" s="397"/>
    </row>
    <row r="25" spans="1:12" ht="15" thickBot="1" x14ac:dyDescent="0.35">
      <c r="A25" s="259" t="s">
        <v>614</v>
      </c>
      <c r="B25" s="408">
        <f>SUM(B10:B24)</f>
        <v>397</v>
      </c>
      <c r="C25" s="408">
        <f t="shared" ref="C25:G25" si="1">SUM(C10:C24)</f>
        <v>1676</v>
      </c>
      <c r="D25" s="408">
        <f t="shared" si="1"/>
        <v>4494</v>
      </c>
      <c r="E25" s="408">
        <f t="shared" si="1"/>
        <v>775</v>
      </c>
      <c r="F25" s="408">
        <f t="shared" si="1"/>
        <v>37</v>
      </c>
      <c r="G25" s="408">
        <f t="shared" si="1"/>
        <v>1085</v>
      </c>
      <c r="H25" s="408">
        <f>SUM(H10:H24)</f>
        <v>8464</v>
      </c>
      <c r="I25" s="397"/>
      <c r="J25" s="397"/>
      <c r="K25" s="397"/>
      <c r="L25" s="397"/>
    </row>
    <row r="27" spans="1:12" x14ac:dyDescent="0.3">
      <c r="A27" s="334" t="s">
        <v>329</v>
      </c>
      <c r="B27" s="363"/>
      <c r="C27" s="363"/>
      <c r="D27" s="363"/>
      <c r="E27" s="363"/>
      <c r="F27" s="363"/>
      <c r="G27" s="363"/>
      <c r="H27" s="409"/>
    </row>
    <row r="28" spans="1:12" ht="32.25" customHeight="1" x14ac:dyDescent="0.3">
      <c r="A28" s="1029" t="s">
        <v>1279</v>
      </c>
      <c r="B28" s="1029"/>
      <c r="C28" s="1029"/>
      <c r="D28" s="1029"/>
      <c r="E28" s="1029"/>
      <c r="F28" s="1029"/>
      <c r="G28" s="1029"/>
      <c r="H28" s="1029"/>
    </row>
    <row r="30" spans="1:12" ht="15.6" x14ac:dyDescent="0.3">
      <c r="A30" s="438" t="s">
        <v>1280</v>
      </c>
      <c r="B30" s="438"/>
    </row>
    <row r="31" spans="1:12" x14ac:dyDescent="0.3">
      <c r="A31" t="s">
        <v>203</v>
      </c>
      <c r="B31" t="s">
        <v>197</v>
      </c>
    </row>
    <row r="32" spans="1:12" x14ac:dyDescent="0.3">
      <c r="A32" t="s">
        <v>204</v>
      </c>
      <c r="B32" t="s">
        <v>205</v>
      </c>
    </row>
    <row r="33" spans="1:8" x14ac:dyDescent="0.3">
      <c r="A33" t="s">
        <v>206</v>
      </c>
      <c r="B33" t="s">
        <v>207</v>
      </c>
    </row>
    <row r="35" spans="1:8" x14ac:dyDescent="0.3">
      <c r="A35" s="410" t="s">
        <v>1273</v>
      </c>
      <c r="B35" s="403" t="s">
        <v>1274</v>
      </c>
      <c r="C35" s="403" t="s">
        <v>1275</v>
      </c>
      <c r="D35" s="403" t="s">
        <v>1276</v>
      </c>
      <c r="E35" s="403" t="s">
        <v>1277</v>
      </c>
      <c r="F35" s="403" t="s">
        <v>1278</v>
      </c>
      <c r="G35" s="403" t="s">
        <v>850</v>
      </c>
      <c r="H35" s="79" t="s">
        <v>340</v>
      </c>
    </row>
    <row r="36" spans="1:8" x14ac:dyDescent="0.3">
      <c r="A36" s="411" t="s">
        <v>1145</v>
      </c>
      <c r="B36" s="766">
        <f t="shared" ref="B36:G37" si="2">B10/$H10*100</f>
        <v>6.6225165562913908</v>
      </c>
      <c r="C36" s="766">
        <f t="shared" si="2"/>
        <v>7.2847682119205297</v>
      </c>
      <c r="D36" s="766">
        <f t="shared" si="2"/>
        <v>68.543046357615893</v>
      </c>
      <c r="E36" s="766">
        <f t="shared" si="2"/>
        <v>4.6357615894039732</v>
      </c>
      <c r="F36" s="766">
        <f t="shared" si="2"/>
        <v>0</v>
      </c>
      <c r="G36" s="766">
        <f t="shared" si="2"/>
        <v>12.913907284768211</v>
      </c>
      <c r="H36" s="767">
        <f t="shared" ref="H36" si="3">SUM(B36:F36)</f>
        <v>87.086092715231786</v>
      </c>
    </row>
    <row r="37" spans="1:8" x14ac:dyDescent="0.3">
      <c r="A37" s="411" t="s">
        <v>1141</v>
      </c>
      <c r="B37" s="766">
        <f t="shared" si="2"/>
        <v>7.2145545796737762</v>
      </c>
      <c r="C37" s="766">
        <f t="shared" si="2"/>
        <v>41.217063989962362</v>
      </c>
      <c r="D37" s="766">
        <f t="shared" si="2"/>
        <v>29.799247176913426</v>
      </c>
      <c r="E37" s="766">
        <f t="shared" si="2"/>
        <v>8.9711417816813057</v>
      </c>
      <c r="F37" s="766">
        <f t="shared" si="2"/>
        <v>0.31367628607277293</v>
      </c>
      <c r="G37" s="766">
        <f t="shared" si="2"/>
        <v>12.484316185696361</v>
      </c>
      <c r="H37" s="767">
        <f t="shared" ref="H37:H50" si="4">SUM(B37:F37)</f>
        <v>87.515683814303657</v>
      </c>
    </row>
    <row r="38" spans="1:8" x14ac:dyDescent="0.3">
      <c r="A38" s="411" t="s">
        <v>1144</v>
      </c>
      <c r="B38" s="766">
        <f t="shared" ref="B38:G38" si="5">B12/$H12*100</f>
        <v>6.3643292682926829</v>
      </c>
      <c r="C38" s="766">
        <f t="shared" si="5"/>
        <v>5.6021341463414638</v>
      </c>
      <c r="D38" s="766">
        <f t="shared" si="5"/>
        <v>70.807926829268297</v>
      </c>
      <c r="E38" s="766">
        <f t="shared" si="5"/>
        <v>5.3353658536585362</v>
      </c>
      <c r="F38" s="766">
        <f t="shared" si="5"/>
        <v>7.621951219512195E-2</v>
      </c>
      <c r="G38" s="766">
        <f t="shared" si="5"/>
        <v>11.814024390243901</v>
      </c>
      <c r="H38" s="767">
        <f t="shared" si="4"/>
        <v>88.185975609756099</v>
      </c>
    </row>
    <row r="39" spans="1:8" x14ac:dyDescent="0.3">
      <c r="A39" s="411" t="s">
        <v>1146</v>
      </c>
      <c r="B39" s="766">
        <f t="shared" ref="B39:G39" si="6">B13/$H13*100</f>
        <v>1.1235955056179776</v>
      </c>
      <c r="C39" s="766">
        <f t="shared" si="6"/>
        <v>7.8651685393258424</v>
      </c>
      <c r="D39" s="766">
        <f t="shared" si="6"/>
        <v>57.303370786516851</v>
      </c>
      <c r="E39" s="766">
        <f t="shared" si="6"/>
        <v>12.359550561797752</v>
      </c>
      <c r="F39" s="766">
        <f t="shared" si="6"/>
        <v>2.2471910112359552</v>
      </c>
      <c r="G39" s="766">
        <f t="shared" si="6"/>
        <v>19.101123595505616</v>
      </c>
      <c r="H39" s="767">
        <f t="shared" si="4"/>
        <v>80.898876404494374</v>
      </c>
    </row>
    <row r="40" spans="1:8" x14ac:dyDescent="0.3">
      <c r="A40" s="411" t="s">
        <v>1147</v>
      </c>
      <c r="B40" s="766">
        <f t="shared" ref="B40:G40" si="7">B14/$H14*100</f>
        <v>0</v>
      </c>
      <c r="C40" s="766">
        <f t="shared" si="7"/>
        <v>9.7297297297297298</v>
      </c>
      <c r="D40" s="766">
        <f t="shared" si="7"/>
        <v>61.945945945945944</v>
      </c>
      <c r="E40" s="766">
        <f t="shared" si="7"/>
        <v>14.162162162162161</v>
      </c>
      <c r="F40" s="766">
        <f t="shared" si="7"/>
        <v>1.6216216216216217</v>
      </c>
      <c r="G40" s="766">
        <f t="shared" si="7"/>
        <v>12.54054054054054</v>
      </c>
      <c r="H40" s="767">
        <f t="shared" si="4"/>
        <v>87.459459459459467</v>
      </c>
    </row>
    <row r="41" spans="1:8" x14ac:dyDescent="0.3">
      <c r="A41" s="411" t="s">
        <v>1151</v>
      </c>
      <c r="B41" s="766">
        <f t="shared" ref="B41:G41" si="8">B15/$H15*100</f>
        <v>1.2057877813504823</v>
      </c>
      <c r="C41" s="766">
        <f t="shared" si="8"/>
        <v>33.681672025723472</v>
      </c>
      <c r="D41" s="766">
        <f t="shared" si="8"/>
        <v>46.463022508038584</v>
      </c>
      <c r="E41" s="766">
        <f t="shared" si="8"/>
        <v>5.8681672025723479</v>
      </c>
      <c r="F41" s="766">
        <f t="shared" si="8"/>
        <v>0</v>
      </c>
      <c r="G41" s="766">
        <f t="shared" si="8"/>
        <v>12.781350482315112</v>
      </c>
      <c r="H41" s="767">
        <f t="shared" si="4"/>
        <v>87.218649517684895</v>
      </c>
    </row>
    <row r="42" spans="1:8" x14ac:dyDescent="0.3">
      <c r="A42" s="411" t="s">
        <v>1143</v>
      </c>
      <c r="B42" s="766">
        <f t="shared" ref="B42:G42" si="9">B16/$H16*100</f>
        <v>0</v>
      </c>
      <c r="C42" s="766">
        <f t="shared" si="9"/>
        <v>21.739130434782609</v>
      </c>
      <c r="D42" s="766">
        <f t="shared" si="9"/>
        <v>65.217391304347828</v>
      </c>
      <c r="E42" s="766">
        <f t="shared" si="9"/>
        <v>0</v>
      </c>
      <c r="F42" s="766">
        <f t="shared" si="9"/>
        <v>0</v>
      </c>
      <c r="G42" s="766">
        <f t="shared" si="9"/>
        <v>13.043478260869565</v>
      </c>
      <c r="H42" s="767">
        <f t="shared" si="4"/>
        <v>86.956521739130437</v>
      </c>
    </row>
    <row r="43" spans="1:8" x14ac:dyDescent="0.3">
      <c r="A43" s="411" t="s">
        <v>1153</v>
      </c>
      <c r="B43" s="766">
        <f t="shared" ref="B43:G43" si="10">B17/$H17*100</f>
        <v>0</v>
      </c>
      <c r="C43" s="766">
        <f t="shared" si="10"/>
        <v>2.7777777777777777</v>
      </c>
      <c r="D43" s="766">
        <f t="shared" si="10"/>
        <v>63.888888888888886</v>
      </c>
      <c r="E43" s="766">
        <f t="shared" si="10"/>
        <v>19.444444444444446</v>
      </c>
      <c r="F43" s="766">
        <f t="shared" si="10"/>
        <v>0</v>
      </c>
      <c r="G43" s="766">
        <f t="shared" si="10"/>
        <v>13.888888888888889</v>
      </c>
      <c r="H43" s="767">
        <f t="shared" si="4"/>
        <v>86.1111111111111</v>
      </c>
    </row>
    <row r="44" spans="1:8" x14ac:dyDescent="0.3">
      <c r="A44" s="411" t="s">
        <v>1148</v>
      </c>
      <c r="B44" s="766">
        <f t="shared" ref="B44:G44" si="11">B18/$H18*100</f>
        <v>0.30674846625766872</v>
      </c>
      <c r="C44" s="766">
        <f t="shared" si="11"/>
        <v>26.993865030674847</v>
      </c>
      <c r="D44" s="766">
        <f t="shared" si="11"/>
        <v>47.239263803680984</v>
      </c>
      <c r="E44" s="766">
        <f t="shared" si="11"/>
        <v>15.030674846625766</v>
      </c>
      <c r="F44" s="766">
        <f t="shared" si="11"/>
        <v>0.30674846625766872</v>
      </c>
      <c r="G44" s="766">
        <f t="shared" si="11"/>
        <v>10.122699386503067</v>
      </c>
      <c r="H44" s="767">
        <f t="shared" si="4"/>
        <v>89.877300613496942</v>
      </c>
    </row>
    <row r="45" spans="1:8" x14ac:dyDescent="0.3">
      <c r="A45" s="411" t="s">
        <v>1154</v>
      </c>
      <c r="B45" s="766">
        <f t="shared" ref="B45:G45" si="12">B19/$H19*100</f>
        <v>10.897435897435898</v>
      </c>
      <c r="C45" s="766">
        <f t="shared" si="12"/>
        <v>14.102564102564102</v>
      </c>
      <c r="D45" s="766">
        <f t="shared" si="12"/>
        <v>59.294871794871796</v>
      </c>
      <c r="E45" s="766">
        <f t="shared" si="12"/>
        <v>7.6923076923076925</v>
      </c>
      <c r="F45" s="766">
        <f t="shared" si="12"/>
        <v>0</v>
      </c>
      <c r="G45" s="766">
        <f t="shared" si="12"/>
        <v>8.0128205128205128</v>
      </c>
      <c r="H45" s="767">
        <f t="shared" si="4"/>
        <v>91.987179487179489</v>
      </c>
    </row>
    <row r="46" spans="1:8" x14ac:dyDescent="0.3">
      <c r="A46" s="411" t="s">
        <v>1155</v>
      </c>
      <c r="B46" s="766">
        <f t="shared" ref="B46:G46" si="13">B20/$H20*100</f>
        <v>11.785714285714285</v>
      </c>
      <c r="C46" s="766">
        <f t="shared" si="13"/>
        <v>23.214285714285715</v>
      </c>
      <c r="D46" s="766">
        <f t="shared" si="13"/>
        <v>30</v>
      </c>
      <c r="E46" s="766">
        <f t="shared" si="13"/>
        <v>14.642857142857144</v>
      </c>
      <c r="F46" s="766">
        <f t="shared" si="13"/>
        <v>0.7142857142857143</v>
      </c>
      <c r="G46" s="766">
        <f t="shared" si="13"/>
        <v>19.642857142857142</v>
      </c>
      <c r="H46" s="767">
        <f t="shared" si="4"/>
        <v>80.357142857142847</v>
      </c>
    </row>
    <row r="47" spans="1:8" x14ac:dyDescent="0.3">
      <c r="A47" s="411" t="s">
        <v>1150</v>
      </c>
      <c r="B47" s="766">
        <f t="shared" ref="B47:G47" si="14">B21/$H21*100</f>
        <v>1.8867924528301887</v>
      </c>
      <c r="C47" s="766">
        <f t="shared" si="14"/>
        <v>5.6603773584905666</v>
      </c>
      <c r="D47" s="766">
        <f t="shared" si="14"/>
        <v>71.698113207547166</v>
      </c>
      <c r="E47" s="766">
        <f t="shared" si="14"/>
        <v>13.20754716981132</v>
      </c>
      <c r="F47" s="766">
        <f t="shared" si="14"/>
        <v>0</v>
      </c>
      <c r="G47" s="766">
        <f t="shared" si="14"/>
        <v>7.5471698113207548</v>
      </c>
      <c r="H47" s="767">
        <f t="shared" si="4"/>
        <v>92.452830188679243</v>
      </c>
    </row>
    <row r="48" spans="1:8" x14ac:dyDescent="0.3">
      <c r="A48" s="411" t="s">
        <v>1142</v>
      </c>
      <c r="B48" s="766">
        <f t="shared" ref="B48:G48" si="15">B22/$H22*100</f>
        <v>0</v>
      </c>
      <c r="C48" s="766">
        <f t="shared" si="15"/>
        <v>39.361702127659576</v>
      </c>
      <c r="D48" s="766">
        <f t="shared" si="15"/>
        <v>31.914893617021278</v>
      </c>
      <c r="E48" s="766">
        <f t="shared" si="15"/>
        <v>15.957446808510639</v>
      </c>
      <c r="F48" s="766">
        <f t="shared" si="15"/>
        <v>0.53191489361702127</v>
      </c>
      <c r="G48" s="766">
        <f t="shared" si="15"/>
        <v>12.23404255319149</v>
      </c>
      <c r="H48" s="767">
        <f t="shared" si="4"/>
        <v>87.765957446808528</v>
      </c>
    </row>
    <row r="49" spans="1:8" x14ac:dyDescent="0.3">
      <c r="A49" s="411" t="s">
        <v>1149</v>
      </c>
      <c r="B49" s="766">
        <f t="shared" ref="B49:G49" si="16">B23/$H23*100</f>
        <v>3.3333333333333335</v>
      </c>
      <c r="C49" s="766">
        <f t="shared" si="16"/>
        <v>11.428571428571429</v>
      </c>
      <c r="D49" s="766">
        <f t="shared" si="16"/>
        <v>32.857142857142854</v>
      </c>
      <c r="E49" s="766">
        <f t="shared" si="16"/>
        <v>21.904761904761905</v>
      </c>
      <c r="F49" s="766">
        <f t="shared" si="16"/>
        <v>0</v>
      </c>
      <c r="G49" s="766">
        <f t="shared" si="16"/>
        <v>30.476190476190478</v>
      </c>
      <c r="H49" s="767">
        <f t="shared" si="4"/>
        <v>69.523809523809518</v>
      </c>
    </row>
    <row r="50" spans="1:8" x14ac:dyDescent="0.3">
      <c r="A50" s="411" t="s">
        <v>1183</v>
      </c>
      <c r="B50" s="766">
        <f t="shared" ref="B50:F50" si="17">B24/$H24*100</f>
        <v>0.6578947368421052</v>
      </c>
      <c r="C50" s="766">
        <f t="shared" si="17"/>
        <v>15.789473684210526</v>
      </c>
      <c r="D50" s="766">
        <f t="shared" si="17"/>
        <v>31.578947368421051</v>
      </c>
      <c r="E50" s="766">
        <f t="shared" si="17"/>
        <v>29.605263157894733</v>
      </c>
      <c r="F50" s="766">
        <f t="shared" si="17"/>
        <v>5.9210526315789469</v>
      </c>
      <c r="G50" s="766">
        <f>G24/$H24*100</f>
        <v>16.447368421052634</v>
      </c>
      <c r="H50" s="767">
        <f t="shared" si="4"/>
        <v>83.552631578947356</v>
      </c>
    </row>
    <row r="51" spans="1:8" ht="15" thickBot="1" x14ac:dyDescent="0.35">
      <c r="A51" s="412" t="s">
        <v>614</v>
      </c>
      <c r="B51" s="768">
        <f>B25/$H$25*100</f>
        <v>4.6904536862003781</v>
      </c>
      <c r="C51" s="768">
        <f>C25/$H$25*100</f>
        <v>19.801512287334592</v>
      </c>
      <c r="D51" s="768">
        <f>D25/$H$25*100</f>
        <v>53.095463137996227</v>
      </c>
      <c r="E51" s="768">
        <f>E25/$H$25*100</f>
        <v>9.1564272211720219</v>
      </c>
      <c r="F51" s="768">
        <f>F25/$H$25*100</f>
        <v>0.43714555765595464</v>
      </c>
      <c r="G51" s="769">
        <f>G25/$H25*100</f>
        <v>12.81899810964083</v>
      </c>
      <c r="H51" s="770">
        <f>SUM(B51:G51)</f>
        <v>100</v>
      </c>
    </row>
    <row r="53" spans="1:8" x14ac:dyDescent="0.3">
      <c r="A53" s="411" t="s">
        <v>329</v>
      </c>
    </row>
    <row r="54" spans="1:8" ht="30" customHeight="1" x14ac:dyDescent="0.3">
      <c r="A54" s="1029" t="s">
        <v>1279</v>
      </c>
      <c r="B54" s="1029"/>
      <c r="C54" s="1029"/>
      <c r="D54" s="1029"/>
      <c r="E54" s="1029"/>
      <c r="F54" s="1029"/>
      <c r="G54" s="1029"/>
      <c r="H54" s="1029"/>
    </row>
  </sheetData>
  <sheetProtection algorithmName="SHA-512" hashValue="01u1p/2lHMRe4riACUF9tA4ZeKpPJ8mC/lF9V/PD8EMveN8JzBcxymeiY5DoO7hYQyPPmsclbYTiNI9/7y5aYA==" saltValue="dnn+wQTmmds5cVhtsCYxeQ==" spinCount="100000" sheet="1" scenarios="1" formatCells="0" sort="0" autoFilter="0" pivotTables="0"/>
  <mergeCells count="2">
    <mergeCell ref="A28:H28"/>
    <mergeCell ref="A54:H54"/>
  </mergeCells>
  <hyperlinks>
    <hyperlink ref="A2" location="'Table of Contents'!A1" display="Back to Table of Contents" xr:uid="{00000000-0004-0000-B100-000000000000}"/>
  </hyperlinks>
  <pageMargins left="0.7" right="0.7" top="0.75" bottom="0.75" header="0.3" footer="0.3"/>
  <drawing r:id="rId1"/>
  <extLst>
    <ext xmlns:x14="http://schemas.microsoft.com/office/spreadsheetml/2009/9/main" uri="{A8765BA9-456A-4dab-B4F3-ACF838C121DE}">
      <x14:slicerList>
        <x14:slicer r:id="rId2"/>
      </x14:slicerList>
    </ext>
  </extLst>
</worksheet>
</file>

<file path=xl/worksheets/sheet19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tabColor theme="3" tint="0.39997558519241921"/>
    <pageSetUpPr fitToPage="1"/>
  </sheetPr>
  <dimension ref="A1:H6"/>
  <sheetViews>
    <sheetView showGridLines="0" zoomScale="115" zoomScaleNormal="115" workbookViewId="0">
      <pane ySplit="2" topLeftCell="A3" activePane="bottomLeft" state="frozen"/>
      <selection pane="bottomLeft"/>
    </sheetView>
  </sheetViews>
  <sheetFormatPr defaultRowHeight="14.4" x14ac:dyDescent="0.3"/>
  <sheetData>
    <row r="1" spans="1:8" ht="15.6" x14ac:dyDescent="0.3">
      <c r="A1" s="513" t="s">
        <v>1118</v>
      </c>
      <c r="B1" s="513"/>
      <c r="C1" s="513"/>
    </row>
    <row r="2" spans="1:8" ht="15.6" x14ac:dyDescent="0.3">
      <c r="A2" s="498" t="s">
        <v>202</v>
      </c>
      <c r="B2" s="440"/>
      <c r="C2" s="440"/>
    </row>
    <row r="4" spans="1:8" ht="15.6" x14ac:dyDescent="0.3">
      <c r="A4" s="1031" t="s">
        <v>1281</v>
      </c>
      <c r="B4" s="1031"/>
      <c r="C4" s="1031"/>
      <c r="D4" s="1031"/>
      <c r="E4" s="1031"/>
      <c r="F4" s="1031"/>
      <c r="G4" s="1031"/>
      <c r="H4" s="1031"/>
    </row>
    <row r="5" spans="1:8" x14ac:dyDescent="0.3">
      <c r="A5" s="560" t="s">
        <v>454</v>
      </c>
    </row>
    <row r="6" spans="1:8" x14ac:dyDescent="0.3">
      <c r="A6" s="560" t="s">
        <v>199</v>
      </c>
    </row>
  </sheetData>
  <sheetProtection algorithmName="SHA-512" hashValue="1dIuLgtrar7/NPfZWc8PS1SdZ/V/jDNJjZoYhhG15dnl4uIw2ObsqQHdLPcNnZzBHUL1GxvQT2/v6rxuynSysg==" saltValue="FAw53NRGmy3G6AaLy2GJDA==" spinCount="100000" sheet="1" scenarios="1" formatCells="0" sort="0" autoFilter="0" pivotTables="0"/>
  <mergeCells count="1">
    <mergeCell ref="A4:H4"/>
  </mergeCells>
  <hyperlinks>
    <hyperlink ref="A2" location="'Table of Contents'!A1" display="Back to Table of Contents" xr:uid="{00000000-0004-0000-B300-000000000000}"/>
  </hyperlinks>
  <pageMargins left="0.70866141732283472" right="0.70866141732283472" top="0.74803149606299213" bottom="0.74803149606299213" header="0.31496062992125984" footer="0.31496062992125984"/>
  <pageSetup paperSize="9" scale="95" orientation="landscape" r:id="rId1"/>
  <drawing r:id="rId2"/>
</worksheet>
</file>

<file path=xl/worksheets/sheet19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tabColor theme="3" tint="0.39997558519241921"/>
    <pageSetUpPr fitToPage="1"/>
  </sheetPr>
  <dimension ref="A1:H6"/>
  <sheetViews>
    <sheetView showGridLines="0" zoomScale="70" zoomScaleNormal="70" workbookViewId="0">
      <pane ySplit="2" topLeftCell="A3" activePane="bottomLeft" state="frozen"/>
      <selection pane="bottomLeft"/>
    </sheetView>
  </sheetViews>
  <sheetFormatPr defaultRowHeight="14.4" x14ac:dyDescent="0.3"/>
  <sheetData>
    <row r="1" spans="1:8" ht="15.6" x14ac:dyDescent="0.3">
      <c r="A1" s="513" t="s">
        <v>1118</v>
      </c>
      <c r="B1" s="513"/>
      <c r="C1" s="513"/>
    </row>
    <row r="2" spans="1:8" ht="15.6" x14ac:dyDescent="0.3">
      <c r="A2" s="498" t="s">
        <v>202</v>
      </c>
      <c r="B2" s="440"/>
      <c r="C2" s="440"/>
    </row>
    <row r="4" spans="1:8" ht="15.6" x14ac:dyDescent="0.3">
      <c r="A4" s="1031" t="s">
        <v>1282</v>
      </c>
      <c r="B4" s="1031"/>
      <c r="C4" s="1031"/>
      <c r="D4" s="1031"/>
      <c r="E4" s="1031"/>
      <c r="F4" s="1031"/>
      <c r="G4" s="1031"/>
      <c r="H4" s="1031"/>
    </row>
    <row r="5" spans="1:8" x14ac:dyDescent="0.3">
      <c r="A5" s="560" t="s">
        <v>454</v>
      </c>
    </row>
    <row r="6" spans="1:8" x14ac:dyDescent="0.3">
      <c r="A6" s="560" t="s">
        <v>200</v>
      </c>
    </row>
  </sheetData>
  <sheetProtection algorithmName="SHA-512" hashValue="6V2yeRNxe6PhfU4HRSNCqLL3ysep0KCd3TKehIUhxspMPlBZJa7N69LcJFe30XN6zQQgIdwvf8RuG8Te+8zo/g==" saltValue="q8gSZGYdOQQ84/nZh+b6sw==" spinCount="100000" sheet="1" scenarios="1" formatCells="0" sort="0" autoFilter="0" pivotTables="0"/>
  <mergeCells count="1">
    <mergeCell ref="A4:H4"/>
  </mergeCells>
  <hyperlinks>
    <hyperlink ref="A2" location="'Table of Contents'!A1" display="Back to Table of Contents" xr:uid="{00000000-0004-0000-B400-000000000000}"/>
  </hyperlinks>
  <pageMargins left="0.70866141732283472" right="0.70866141732283472" top="0.74803149606299213" bottom="0.74803149606299213" header="0.31496062992125984" footer="0.31496062992125984"/>
  <pageSetup paperSize="9" orientation="landscape" r:id="rId1"/>
  <drawing r:id="rId2"/>
</worksheet>
</file>

<file path=xl/worksheets/sheet19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tabColor theme="3" tint="0.39997558519241921"/>
  </sheetPr>
  <dimension ref="A1:H6"/>
  <sheetViews>
    <sheetView showGridLines="0" workbookViewId="0"/>
  </sheetViews>
  <sheetFormatPr defaultRowHeight="14.4" x14ac:dyDescent="0.3"/>
  <sheetData>
    <row r="1" spans="1:8" ht="15.6" x14ac:dyDescent="0.3">
      <c r="A1" s="513" t="s">
        <v>1118</v>
      </c>
      <c r="B1" s="513"/>
      <c r="C1" s="513"/>
    </row>
    <row r="2" spans="1:8" ht="15.6" x14ac:dyDescent="0.3">
      <c r="A2" s="498" t="s">
        <v>202</v>
      </c>
      <c r="B2" s="440"/>
      <c r="C2" s="440"/>
    </row>
    <row r="4" spans="1:8" ht="15.6" x14ac:dyDescent="0.3">
      <c r="A4" s="1031" t="s">
        <v>1283</v>
      </c>
      <c r="B4" s="1031"/>
      <c r="C4" s="1031"/>
      <c r="D4" s="1031"/>
      <c r="E4" s="1031"/>
      <c r="F4" s="1031"/>
      <c r="G4" s="1031"/>
      <c r="H4" s="1031"/>
    </row>
    <row r="5" spans="1:8" x14ac:dyDescent="0.3">
      <c r="A5" s="560" t="s">
        <v>454</v>
      </c>
    </row>
    <row r="6" spans="1:8" x14ac:dyDescent="0.3">
      <c r="A6" s="560" t="s">
        <v>201</v>
      </c>
    </row>
  </sheetData>
  <sheetProtection algorithmName="SHA-512" hashValue="G9sU0857tNFJvJqao2/Z4+BstBIDQyqI5zg4I0gDcrgtmbJsJFsEaQuaXbeUOkqy2Q4G0tuI0aST9iXSAOc5+w==" saltValue="Fcq2kxeWN2l7au1/Se+ulw==" spinCount="100000" sheet="1" scenarios="1" formatCells="0" sort="0" autoFilter="0" pivotTables="0"/>
  <mergeCells count="1">
    <mergeCell ref="A4:H4"/>
  </mergeCells>
  <hyperlinks>
    <hyperlink ref="A2" location="'Table of Contents'!A1" display="Back to Table of Contents" xr:uid="{00000000-0004-0000-B500-000000000000}"/>
  </hyperlink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item1.xml>�� 
</file>

<file path=customXml/item2.xml><?xml version="1.0" encoding="utf-8"?>
<p:properties xmlns:p="http://schemas.microsoft.com/office/2006/metadata/properties" xmlns:xsi="http://www.w3.org/2001/XMLSchema-instance" xmlns:pc="http://schemas.microsoft.com/office/infopath/2007/PartnerControls">
  <documentManagement>
    <TaxCatchAll xmlns="361c438b-452b-4051-9cda-3a6b8527f04f">
      <Value>2077</Value>
    </TaxCatchAll>
    <lcf76f155ced4ddcb4097134ff3c332f xmlns="858ae7c7-9454-45c7-a50c-4c9144226ea3" xsi:nil="true"/>
    <Version_x0020_Number xmlns="361c438b-452b-4051-9cda-3a6b8527f04f">1</Version_x0020_Number>
    <Published_x0020_to_x0020_website xmlns="361c438b-452b-4051-9cda-3a6b8527f04f" xsi:nil="true"/>
    <_dlc_DocId xmlns="361c438b-452b-4051-9cda-3a6b8527f04f">CORPDL-747745404-9883</_dlc_DocId>
    <_dlc_DocIdPersistId xmlns="361c438b-452b-4051-9cda-3a6b8527f04f" xsi:nil="true"/>
    <Abbreviation_x0028_s_x0029_ xmlns="361c438b-452b-4051-9cda-3a6b8527f04f">
      <Value>1660</Value>
      <Value>132</Value>
      <Value>866</Value>
    </Abbreviation_x0028_s_x0029_>
    <Effective_x0020_Date xmlns="858ae7c7-9454-45c7-a50c-4c9144226ea3">2026-08-30T23:00:00+00:00</Effective_x0020_Date>
    <Publication_x0020_Scheme_x0020_Class xmlns="361c438b-452b-4051-9cda-3a6b8527f04f">How we manage our human, physical and information resources</Publication_x0020_Scheme_x0020_Class>
    <DocumentReadyForApproval xmlns="361c438b-452b-4051-9cda-3a6b8527f04f">false</DocumentReadyForApproval>
    <External xmlns="361c438b-452b-4051-9cda-3a6b8527f04f">true</External>
    <Security_x0020_Classification xmlns="361c438b-452b-4051-9cda-3a6b8527f04f">Official</Security_x0020_Classification>
    <AzureGroups xmlns="361c438b-452b-4051-9cda-3a6b8527f04f">47</AzureGroups>
    <ActivePublishDate xmlns="858ae7c7-9454-45c7-a50c-4c9144226ea3">2026-08-30T23:00:00+00:00</ActivePublishDate>
    <Related_x0020_PDF xmlns="361c438b-452b-4051-9cda-3a6b8527f04f">
      <Url xsi:nil="true"/>
      <Description xsi:nil="true"/>
    </Related_x0020_PDF>
    <Doc_x0020_Type xmlns="361c438b-452b-4051-9cda-3a6b8527f04f">Report</Doc_x0020_Type>
    <RelatedWebsitePage xmlns="858ae7c7-9454-45c7-a50c-4c9144226ea3">
      <Url xsi:nil="true"/>
      <Description xsi:nil="true"/>
    </RelatedWebsitePage>
    <Intranet_x0020_content xmlns="361c438b-452b-4051-9cda-3a6b8527f04f">true</Intranet_x0020_content>
    <k383230df22e4c6daee9d7a3c1495057 xmlns="361c438b-452b-4051-9cda-3a6b8527f04f">
      <Terms xmlns="http://schemas.microsoft.com/office/infopath/2007/PartnerControls">
        <TermInfo xmlns="http://schemas.microsoft.com/office/infopath/2007/PartnerControls">
          <TermName xmlns="http://schemas.microsoft.com/office/infopath/2007/PartnerControls">Governance, Strategy and Change (GSC)</TermName>
          <TermId xmlns="http://schemas.microsoft.com/office/infopath/2007/PartnerControls">c9dfca0c-2d79-4a95-9878-54827f0e6791</TermId>
        </TermInfo>
      </Terms>
    </k383230df22e4c6daee9d7a3c1495057>
    <TaxKeywordTaxHTField xmlns="361c438b-452b-4051-9cda-3a6b8527f04f">
      <Terms xmlns="http://schemas.microsoft.com/office/infopath/2007/PartnerControls"/>
    </TaxKeywordTaxHTField>
    <Delete xmlns="361c438b-452b-4051-9cda-3a6b8527f04f">false</Delete>
    <Review_x0020_Period xmlns="361c438b-452b-4051-9cda-3a6b8527f04f">3 years</Review_x0020_Period>
    <Sub_x0020_Class_x0020_Heading xmlns="361c438b-452b-4051-9cda-3a6b8527f04f">Information resources</Sub_x0020_Class_x0020_Heading>
    <TaxCatchAllLabel xmlns="361c438b-452b-4051-9cda-3a6b8527f04f" xsi:nil="true"/>
    <Approver xmlns="361c438b-452b-4051-9cda-3a6b8527f04f">
      <UserInfo>
        <DisplayName/>
        <AccountId xsi:nil="true"/>
        <AccountType/>
      </UserInfo>
    </Approver>
    <ProperReviewDate xmlns="858ae7c7-9454-45c7-a50c-4c9144226ea3">2029-08-30T23:00:00+00:00</ProperReviewDate>
    <Document_x0020_Status xmlns="361c438b-452b-4051-9cda-3a6b8527f04f">Live</Document_x0020_Status>
    <Related_x0020_Intranet_x0020_page xmlns="361c438b-452b-4051-9cda-3a6b8527f04f">
      <Url xsi:nil="true"/>
      <Description xsi:nil="true"/>
    </Related_x0020_Intranet_x0020_page>
    <xPDF xmlns="858ae7c7-9454-45c7-a50c-4c9144226ea3">false</xPDF>
    <_dlc_DocIdUrl xmlns="361c438b-452b-4051-9cda-3a6b8527f04f">
      <Url>https://firescotland.sharepoint.com/sites/SFRSDocumentLibrary/_layouts/15/DocIdRedir.aspx?ID=CORPDL-747745404-9883</Url>
      <Description>CORPDL-747745404-9883</Description>
    </_dlc_DocIdUrl>
    <InitialPublishDate xmlns="858ae7c7-9454-45c7-a50c-4c9144226ea3">2026-08-30T23:00:00+00:00</InitialPublishDate>
    <Summary xmlns="361c438b-452b-4051-9cda-3a6b8527f04f">The SFRS Fire Safety and Organisational Statistics for 2025-2026, Tables and Charts</Summary>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4.xml><?xml version="1.0" encoding="utf-8"?>
<ct:contentTypeSchema xmlns:ct="http://schemas.microsoft.com/office/2006/metadata/contentType" xmlns:ma="http://schemas.microsoft.com/office/2006/metadata/properties/metaAttributes" ct:_="" ma:_="" ma:contentTypeName="Documentation" ma:contentTypeID="0x0101004D3BEEE8C71E0441ABCD602B2883CF2303002F0AEBBF2B74A8408CFDD78D345B4A87" ma:contentTypeVersion="48" ma:contentTypeDescription="" ma:contentTypeScope="" ma:versionID="40e824123eaf3c20fcbeb14514c6d93d">
  <xsd:schema xmlns:xsd="http://www.w3.org/2001/XMLSchema" xmlns:xs="http://www.w3.org/2001/XMLSchema" xmlns:p="http://schemas.microsoft.com/office/2006/metadata/properties" xmlns:ns1="361c438b-452b-4051-9cda-3a6b8527f04f" xmlns:ns3="858ae7c7-9454-45c7-a50c-4c9144226ea3" targetNamespace="http://schemas.microsoft.com/office/2006/metadata/properties" ma:root="true" ma:fieldsID="acf6c0e22e588f352ffa596002ed6c5f" ns1:_="" ns3:_="">
    <xsd:import namespace="361c438b-452b-4051-9cda-3a6b8527f04f"/>
    <xsd:import namespace="858ae7c7-9454-45c7-a50c-4c9144226ea3"/>
    <xsd:element name="properties">
      <xsd:complexType>
        <xsd:sequence>
          <xsd:element name="documentManagement">
            <xsd:complexType>
              <xsd:all>
                <xsd:element ref="ns1:Doc_x0020_Type" minOccurs="0"/>
                <xsd:element ref="ns1:_dlc_DocIdUrl" minOccurs="0"/>
                <xsd:element ref="ns1:Summary" minOccurs="0"/>
                <xsd:element ref="ns1:Document_x0020_Status" minOccurs="0"/>
                <xsd:element ref="ns1:Security_x0020_Classification" minOccurs="0"/>
                <xsd:element ref="ns1:Abbreviation_x0028_s_x0029_" minOccurs="0"/>
                <xsd:element ref="ns1:Version_x0020_Number" minOccurs="0"/>
                <xsd:element ref="ns3:ActivePublishDate" minOccurs="0"/>
                <xsd:element ref="ns3:InitialPublishDate" minOccurs="0"/>
                <xsd:element ref="ns1:Review_x0020_Period" minOccurs="0"/>
                <xsd:element ref="ns1:Intranet_x0020_content" minOccurs="0"/>
                <xsd:element ref="ns1:Related_x0020_Intranet_x0020_page" minOccurs="0"/>
                <xsd:element ref="ns1:Published_x0020_to_x0020_website" minOccurs="0"/>
                <xsd:element ref="ns1:Publication_x0020_Scheme_x0020_Class" minOccurs="0"/>
                <xsd:element ref="ns1:Sub_x0020_Class_x0020_Heading" minOccurs="0"/>
                <xsd:element ref="ns1:Related_x0020_PDF" minOccurs="0"/>
                <xsd:element ref="ns1:DocumentReadyForApproval" minOccurs="0"/>
                <xsd:element ref="ns1:Delete" minOccurs="0"/>
                <xsd:element ref="ns3:RelatedWebsitePage" minOccurs="0"/>
                <xsd:element ref="ns1:External" minOccurs="0"/>
                <xsd:element ref="ns3:Effective_x0020_Date" minOccurs="0"/>
                <xsd:element ref="ns3:lcf76f155ced4ddcb4097134ff3c332f" minOccurs="0"/>
                <xsd:element ref="ns1:TaxCatchAllLabel" minOccurs="0"/>
                <xsd:element ref="ns3:MediaServiceSearchProperties" minOccurs="0"/>
                <xsd:element ref="ns3:xPDF" minOccurs="0"/>
                <xsd:element ref="ns1:SharedWithUsers" minOccurs="0"/>
                <xsd:element ref="ns1:SharedWithDetails" minOccurs="0"/>
                <xsd:element ref="ns1:Approver" minOccurs="0"/>
                <xsd:element ref="ns1:k383230df22e4c6daee9d7a3c1495057" minOccurs="0"/>
                <xsd:element ref="ns1:_dlc_DocIdPersistId" minOccurs="0"/>
                <xsd:element ref="ns1:TaxKeywordTaxHTField" minOccurs="0"/>
                <xsd:element ref="ns1:_dlc_DocId" minOccurs="0"/>
                <xsd:element ref="ns1:TaxCatchAll" minOccurs="0"/>
                <xsd:element ref="ns3:ProperReviewDate" minOccurs="0"/>
                <xsd:element ref="ns1:AzureGroups" minOccurs="0"/>
                <xsd:element ref="ns1:AzureGroups_x003a_ID" minOccurs="0"/>
                <xsd:element ref="ns3: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361c438b-452b-4051-9cda-3a6b8527f04f" elementFormDefault="qualified">
    <xsd:import namespace="http://schemas.microsoft.com/office/2006/documentManagement/types"/>
    <xsd:import namespace="http://schemas.microsoft.com/office/infopath/2007/PartnerControls"/>
    <xsd:element name="Doc_x0020_Type" ma:index="0" nillable="true" ma:displayName="Doc Type" ma:format="Dropdown" ma:internalName="Doc_x0020_Type">
      <xsd:simpleType>
        <xsd:restriction base="dms:Choice">
          <xsd:enumeration value="Awareness Briefing (AB)"/>
          <xsd:enumeration value="Board Paper"/>
          <xsd:enumeration value="Campaign Material"/>
          <xsd:enumeration value="Consultation"/>
          <xsd:enumeration value="Control Operating Procedure (COP)"/>
          <xsd:enumeration value="Equality and Human Rights Impact Assessment (EHRIA)"/>
          <xsd:enumeration value="Equipment Information Card (EIC)"/>
          <xsd:enumeration value="Executive Meeting"/>
          <xsd:enumeration value="Frequently Asked Questions (FAQs)"/>
          <xsd:enumeration value="Form"/>
          <xsd:enumeration value="Framework"/>
          <xsd:enumeration value="Frontline Update (FU)"/>
          <xsd:enumeration value="General Information Note (GIN)"/>
          <xsd:enumeration value="Generic Risk Assessment (GRA)"/>
          <xsd:enumeration value="Guidance"/>
          <xsd:enumeration value="Leaflet/ Poster"/>
          <xsd:enumeration value="Magazine/Newsletter"/>
          <xsd:enumeration value="Management Arrangement (MA)"/>
          <xsd:enumeration value="Manual"/>
          <xsd:enumeration value="Memorandum of Understanding (MoU)"/>
          <xsd:enumeration value="National Training Standard (NTS)"/>
          <xsd:enumeration value="Operational Aide Memoire (OAM)"/>
          <xsd:enumeration value="Operational Procedure (OP)"/>
          <xsd:enumeration value="Periodic Inspection Sheet (PIT)"/>
          <xsd:enumeration value="Plan"/>
          <xsd:enumeration value="Policy"/>
          <xsd:enumeration value="Policy and Operational Guidance (POG)"/>
          <xsd:enumeration value="PPE Information Card (PPEIC)"/>
          <xsd:enumeration value="Presentation"/>
          <xsd:enumeration value="Privacy Notice"/>
          <xsd:enumeration value="Procedure"/>
          <xsd:enumeration value="Report"/>
          <xsd:enumeration value="Risk Assessment"/>
          <xsd:enumeration value="Risk Information Card (RIC)"/>
          <xsd:enumeration value="Register"/>
          <xsd:enumeration value="Safe System of Work (SSOW)"/>
          <xsd:enumeration value="Standard Operating Procedure (SOP)"/>
          <xsd:enumeration value="Strategy"/>
          <xsd:enumeration value="Structure"/>
          <xsd:enumeration value="Task Card"/>
          <xsd:enumeration value="Technical Information Note (TIN)"/>
          <xsd:enumeration value="Template"/>
          <xsd:enumeration value="Terms of Reference (ToR)"/>
          <xsd:enumeration value="Toolkit"/>
          <xsd:enumeration value="Urgent Instructions (UI)"/>
          <xsd:enumeration value="Vehicle Information Card (VIC)"/>
        </xsd:restriction>
      </xsd:simpleType>
    </xsd:element>
    <xsd:element name="_dlc_DocIdUrl" ma:index="1" nillable="true" ma:displayName="Document ID" ma:description="Permanent link to this document." ma:hidden="true" ma:internalName="_dlc_DocIdUrl" ma:readOnly="false">
      <xsd:complexType>
        <xsd:complexContent>
          <xsd:extension base="dms:URL">
            <xsd:sequence>
              <xsd:element name="Url" type="dms:ValidUrl" minOccurs="0" nillable="true"/>
              <xsd:element name="Description" type="xsd:string" nillable="true"/>
            </xsd:sequence>
          </xsd:extension>
        </xsd:complexContent>
      </xsd:complexType>
    </xsd:element>
    <xsd:element name="Summary" ma:index="4" nillable="true" ma:displayName="Summary" ma:internalName="Summary" ma:readOnly="false">
      <xsd:simpleType>
        <xsd:restriction base="dms:Note">
          <xsd:maxLength value="255"/>
        </xsd:restriction>
      </xsd:simpleType>
    </xsd:element>
    <xsd:element name="Document_x0020_Status" ma:index="6" nillable="true" ma:displayName="Document Status" ma:default="Unpublished" ma:format="Dropdown" ma:indexed="true" ma:internalName="Document_x0020_Status" ma:readOnly="false">
      <xsd:simpleType>
        <xsd:restriction base="dms:Choice">
          <xsd:enumeration value="Unpublished"/>
          <xsd:enumeration value="Out for quality check"/>
          <xsd:enumeration value="Out for approval"/>
          <xsd:enumeration value="Out for familiarization"/>
          <xsd:enumeration value="Ready for publication"/>
          <xsd:enumeration value="Live"/>
        </xsd:restriction>
      </xsd:simpleType>
    </xsd:element>
    <xsd:element name="Security_x0020_Classification" ma:index="7" nillable="true" ma:displayName="Security Classification" ma:default="Official" ma:format="Dropdown" ma:internalName="Security_x0020_Classification" ma:readOnly="false">
      <xsd:simpleType>
        <xsd:restriction base="dms:Choice">
          <xsd:enumeration value="Official"/>
          <xsd:enumeration value="Official Internal"/>
        </xsd:restriction>
      </xsd:simpleType>
    </xsd:element>
    <xsd:element name="Abbreviation_x0028_s_x0029_" ma:index="8" nillable="true" ma:displayName="Abbreviation(s)" ma:list="{cb5a0069-96fc-49cd-a8ec-b11d3665ab89}" ma:internalName="Abbreviation_x0028_s_x0029_" ma:readOnly="false" ma:showField="Full_x0020_Title" ma:web="361c438b-452b-4051-9cda-3a6b8527f04f">
      <xsd:complexType>
        <xsd:complexContent>
          <xsd:extension base="dms:MultiChoiceLookup">
            <xsd:sequence>
              <xsd:element name="Value" type="dms:Lookup" maxOccurs="unbounded" minOccurs="0" nillable="true"/>
            </xsd:sequence>
          </xsd:extension>
        </xsd:complexContent>
      </xsd:complexType>
    </xsd:element>
    <xsd:element name="Version_x0020_Number" ma:index="10" nillable="true" ma:displayName="Version Number" ma:decimals="2" ma:internalName="Version_x0020_Number" ma:readOnly="false" ma:percentage="FALSE">
      <xsd:simpleType>
        <xsd:restriction base="dms:Number"/>
      </xsd:simpleType>
    </xsd:element>
    <xsd:element name="Review_x0020_Period" ma:index="13" nillable="true" ma:displayName="Review Period" ma:default="3 years" ma:format="Dropdown" ma:internalName="Review_x0020_Period" ma:readOnly="false">
      <xsd:simpleType>
        <xsd:restriction base="dms:Choice">
          <xsd:enumeration value="3 months"/>
          <xsd:enumeration value="6 months"/>
          <xsd:enumeration value="1 year"/>
          <xsd:enumeration value="3 years"/>
          <xsd:enumeration value="5 years"/>
        </xsd:restriction>
      </xsd:simpleType>
    </xsd:element>
    <xsd:element name="Intranet_x0020_content" ma:index="15" nillable="true" ma:displayName="Intranet content" ma:default="0" ma:indexed="true" ma:internalName="Intranet_x0020_content" ma:readOnly="false">
      <xsd:simpleType>
        <xsd:restriction base="dms:Boolean"/>
      </xsd:simpleType>
    </xsd:element>
    <xsd:element name="Related_x0020_Intranet_x0020_page" ma:index="16" nillable="true" ma:displayName="Related Intranet page" ma:format="Hyperlink" ma:internalName="Related_x0020_Intranet_x0020_page" ma:readOnly="false">
      <xsd:complexType>
        <xsd:complexContent>
          <xsd:extension base="dms:URL">
            <xsd:sequence>
              <xsd:element name="Url" type="dms:ValidUrl" minOccurs="0" nillable="true"/>
              <xsd:element name="Description" type="xsd:string" nillable="true"/>
            </xsd:sequence>
          </xsd:extension>
        </xsd:complexContent>
      </xsd:complexType>
    </xsd:element>
    <xsd:element name="Published_x0020_to_x0020_website" ma:index="17" nillable="true" ma:displayName="Published to website" ma:default="0" ma:indexed="true" ma:internalName="Published_x0020_to_x0020_website" ma:readOnly="false">
      <xsd:simpleType>
        <xsd:restriction base="dms:Boolean"/>
      </xsd:simpleType>
    </xsd:element>
    <xsd:element name="Publication_x0020_Scheme_x0020_Class" ma:index="18" nillable="true" ma:displayName="Publication Scheme Class" ma:format="Dropdown" ma:internalName="Publication_x0020_Scheme_x0020_Class" ma:readOnly="false">
      <xsd:simpleType>
        <xsd:restriction base="dms:Choice">
          <xsd:enumeration value="About SFRS"/>
          <xsd:enumeration value="How we are performing"/>
          <xsd:enumeration value="How we deliver our functions and services"/>
          <xsd:enumeration value="How we manage our human, physical and information resources"/>
          <xsd:enumeration value="How we procure goods and services from external providers"/>
          <xsd:enumeration value="How we take decisions and what we have decided"/>
          <xsd:enumeration value="What we spend and how we spend it"/>
          <xsd:enumeration value="Our commercial publications"/>
          <xsd:enumeration value="Our open data"/>
        </xsd:restriction>
      </xsd:simpleType>
    </xsd:element>
    <xsd:element name="Sub_x0020_Class_x0020_Heading" ma:index="19" nillable="true" ma:displayName="Sub Class Heading" ma:format="Dropdown" ma:internalName="Sub_x0020_Class_x0020_Heading" ma:readOnly="false">
      <xsd:simpleType>
        <xsd:restriction base="dms:Choice">
          <xsd:enumeration value="External relations/Working with others"/>
          <xsd:enumeration value="Functions"/>
          <xsd:enumeration value="General Information about SFRS"/>
          <xsd:enumeration value="Governance and Accountability/ Corporate planning"/>
          <xsd:enumeration value="How we are run"/>
          <xsd:enumeration value="Human resources"/>
          <xsd:enumeration value="Information resources"/>
          <xsd:enumeration value="Physical resources"/>
          <xsd:enumeration value="Services"/>
        </xsd:restriction>
      </xsd:simpleType>
    </xsd:element>
    <xsd:element name="Related_x0020_PDF" ma:index="21" nillable="true" ma:displayName="Related PDF" ma:format="Hyperlink" ma:internalName="Related_x0020_PDF" ma:readOnly="false">
      <xsd:complexType>
        <xsd:complexContent>
          <xsd:extension base="dms:URL">
            <xsd:sequence>
              <xsd:element name="Url" type="dms:ValidUrl" minOccurs="0" nillable="true"/>
              <xsd:element name="Description" type="xsd:string" nillable="true"/>
            </xsd:sequence>
          </xsd:extension>
        </xsd:complexContent>
      </xsd:complexType>
    </xsd:element>
    <xsd:element name="DocumentReadyForApproval" ma:index="23" nillable="true" ma:displayName="Document ready to progress" ma:default="0" ma:internalName="DocumentReadyForApproval" ma:readOnly="false">
      <xsd:simpleType>
        <xsd:restriction base="dms:Boolean"/>
      </xsd:simpleType>
    </xsd:element>
    <xsd:element name="Delete" ma:index="24" nillable="true" ma:displayName="Withdraw" ma:default="0" ma:internalName="Delete" ma:readOnly="false">
      <xsd:simpleType>
        <xsd:restriction base="dms:Boolean"/>
      </xsd:simpleType>
    </xsd:element>
    <xsd:element name="External" ma:index="26" nillable="true" ma:displayName="External" ma:default="0" ma:indexed="true" ma:internalName="External" ma:readOnly="false">
      <xsd:simpleType>
        <xsd:restriction base="dms:Boolean"/>
      </xsd:simpleType>
    </xsd:element>
    <xsd:element name="TaxCatchAllLabel" ma:index="29" nillable="true" ma:displayName="Taxonomy Catch All Column1" ma:hidden="true" ma:list="{27df03d8-9a97-46e6-9e9c-10932c826c7e}" ma:internalName="TaxCatchAllLabel" ma:readOnly="false" ma:showField="CatchAllDataLabel" ma:web="361c438b-452b-4051-9cda-3a6b8527f04f">
      <xsd:complexType>
        <xsd:complexContent>
          <xsd:extension base="dms:MultiChoiceLookup">
            <xsd:sequence>
              <xsd:element name="Value" type="dms:Lookup" maxOccurs="unbounded" minOccurs="0" nillable="true"/>
            </xsd:sequence>
          </xsd:extension>
        </xsd:complexContent>
      </xsd:complexType>
    </xsd:element>
    <xsd:element name="SharedWithUsers" ma:index="38" nillable="true" ma:displayName="Shared With" ma:hidden="true"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39" nillable="true" ma:displayName="Shared With Details" ma:hidden="true" ma:internalName="SharedWithDetails" ma:readOnly="true">
      <xsd:simpleType>
        <xsd:restriction base="dms:Note"/>
      </xsd:simpleType>
    </xsd:element>
    <xsd:element name="Approver" ma:index="40" nillable="true" ma:displayName="Approver" ma:hidden="true" ma:list="UserInfo" ma:SharePointGroup="0" ma:internalName="Approver" ma:readOnly="false" ma:showField="ImnName">
      <xsd:complexType>
        <xsd:complexContent>
          <xsd:extension base="dms:User">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k383230df22e4c6daee9d7a3c1495057" ma:index="42" nillable="true" ma:taxonomy="true" ma:internalName="k383230df22e4c6daee9d7a3c1495057" ma:taxonomyFieldName="Directorate" ma:displayName="Directorate" ma:readOnly="false" ma:default="" ma:fieldId="{4383230d-f22e-4c6d-aee9-d7a3c1495057}" ma:taxonomyMulti="true" ma:sspId="b512196b-5a0a-432a-bb17-e1b4922fa624" ma:termSetId="118f2308-ed62-41c1-a4cd-b6e6f40956a9" ma:anchorId="00000000-0000-0000-0000-000000000000" ma:open="false" ma:isKeyword="false">
      <xsd:complexType>
        <xsd:sequence>
          <xsd:element ref="pc:Terms" minOccurs="0" maxOccurs="1"/>
        </xsd:sequence>
      </xsd:complexType>
    </xsd:element>
    <xsd:element name="_dlc_DocIdPersistId" ma:index="43" nillable="true" ma:displayName="Persist ID" ma:description="Keep ID on add." ma:hidden="true" ma:internalName="_dlc_DocIdPersistId" ma:readOnly="false">
      <xsd:simpleType>
        <xsd:restriction base="dms:Boolean"/>
      </xsd:simpleType>
    </xsd:element>
    <xsd:element name="TaxKeywordTaxHTField" ma:index="44" nillable="true" ma:taxonomy="true" ma:internalName="TaxKeywordTaxHTField" ma:taxonomyFieldName="TaxKeyword" ma:displayName="Enterprise Keywords" ma:readOnly="false" ma:fieldId="{23f27201-bee3-471e-b2e7-b64fd8b7ca38}" ma:taxonomyMulti="true" ma:sspId="b512196b-5a0a-432a-bb17-e1b4922fa624" ma:termSetId="00000000-0000-0000-0000-000000000000" ma:anchorId="00000000-0000-0000-0000-000000000000" ma:open="true" ma:isKeyword="true">
      <xsd:complexType>
        <xsd:sequence>
          <xsd:element ref="pc:Terms" minOccurs="0" maxOccurs="1"/>
        </xsd:sequence>
      </xsd:complexType>
    </xsd:element>
    <xsd:element name="_dlc_DocId" ma:index="45" nillable="true" ma:displayName="Document ID Value" ma:description="The value of the document ID assigned to this item." ma:hidden="true" ma:indexed="true" ma:internalName="_dlc_DocId" ma:readOnly="false">
      <xsd:simpleType>
        <xsd:restriction base="dms:Text"/>
      </xsd:simpleType>
    </xsd:element>
    <xsd:element name="TaxCatchAll" ma:index="46" nillable="true" ma:displayName="Taxonomy Catch All Column" ma:hidden="true" ma:list="{27df03d8-9a97-46e6-9e9c-10932c826c7e}" ma:internalName="TaxCatchAll" ma:readOnly="false" ma:showField="CatchAllData" ma:web="361c438b-452b-4051-9cda-3a6b8527f04f">
      <xsd:complexType>
        <xsd:complexContent>
          <xsd:extension base="dms:MultiChoiceLookup">
            <xsd:sequence>
              <xsd:element name="Value" type="dms:Lookup" maxOccurs="unbounded" minOccurs="0" nillable="true"/>
            </xsd:sequence>
          </xsd:extension>
        </xsd:complexContent>
      </xsd:complexType>
    </xsd:element>
    <xsd:element name="AzureGroups" ma:index="48" nillable="true" ma:displayName="AzureGroups" ma:list="{41FA38B8-9054-4324-8BF7-998B54194ED1}" ma:internalName="AzureGroups" ma:showField="AzureGroup" ma:web="361c438b-452b-4051-9cda-3a6b8527f04f">
      <xsd:simpleType>
        <xsd:restriction base="dms:Lookup"/>
      </xsd:simpleType>
    </xsd:element>
    <xsd:element name="AzureGroups_x003a_ID" ma:index="49" nillable="true" ma:displayName="AzureGroups:ID" ma:list="{41FA38B8-9054-4324-8BF7-998B54194ED1}" ma:internalName="AzureGroups_x003A_ID" ma:readOnly="true" ma:showField="ID" ma:web="361c438b-452b-4051-9cda-3a6b8527f04f">
      <xsd:simpleType>
        <xsd:restriction base="dms:Lookup"/>
      </xsd:simpleType>
    </xsd:element>
  </xsd:schema>
  <xsd:schema xmlns:xsd="http://www.w3.org/2001/XMLSchema" xmlns:xs="http://www.w3.org/2001/XMLSchema" xmlns:dms="http://schemas.microsoft.com/office/2006/documentManagement/types" xmlns:pc="http://schemas.microsoft.com/office/infopath/2007/PartnerControls" targetNamespace="858ae7c7-9454-45c7-a50c-4c9144226ea3" elementFormDefault="qualified">
    <xsd:import namespace="http://schemas.microsoft.com/office/2006/documentManagement/types"/>
    <xsd:import namespace="http://schemas.microsoft.com/office/infopath/2007/PartnerControls"/>
    <xsd:element name="ActivePublishDate" ma:index="11" nillable="true" ma:displayName="Active Publish Date" ma:format="DateOnly" ma:indexed="true" ma:internalName="ActivePublishDate" ma:readOnly="false">
      <xsd:simpleType>
        <xsd:restriction base="dms:DateTime"/>
      </xsd:simpleType>
    </xsd:element>
    <xsd:element name="InitialPublishDate" ma:index="12" nillable="true" ma:displayName="Initial Publish Date" ma:default="[today]" ma:format="DateOnly" ma:internalName="InitialPublishDate" ma:readOnly="false">
      <xsd:simpleType>
        <xsd:restriction base="dms:DateTime"/>
      </xsd:simpleType>
    </xsd:element>
    <xsd:element name="RelatedWebsitePage" ma:index="25" nillable="true" ma:displayName="Related Website Page" ma:format="Hyperlink" ma:internalName="RelatedWebsitePage" ma:readOnly="false">
      <xsd:complexType>
        <xsd:complexContent>
          <xsd:extension base="dms:URL">
            <xsd:sequence>
              <xsd:element name="Url" type="dms:ValidUrl" minOccurs="0" nillable="true"/>
              <xsd:element name="Description" type="xsd:string" nillable="true"/>
            </xsd:sequence>
          </xsd:extension>
        </xsd:complexContent>
      </xsd:complexType>
    </xsd:element>
    <xsd:element name="Effective_x0020_Date" ma:index="27" nillable="true" ma:displayName="Effective Date" ma:default="2000-01-01T00:00:00Z" ma:format="DateOnly" ma:hidden="true" ma:internalName="Effective_x0020_Date" ma:readOnly="false">
      <xsd:simpleType>
        <xsd:restriction base="dms:DateTime"/>
      </xsd:simpleType>
    </xsd:element>
    <xsd:element name="lcf76f155ced4ddcb4097134ff3c332f" ma:index="28" nillable="true" ma:displayName="Image Tags_0" ma:hidden="true" ma:internalName="lcf76f155ced4ddcb4097134ff3c332f" ma:readOnly="false">
      <xsd:simpleType>
        <xsd:restriction base="dms:Note"/>
      </xsd:simpleType>
    </xsd:element>
    <xsd:element name="MediaServiceSearchProperties" ma:index="33" nillable="true" ma:displayName="MediaServiceSearchProperties" ma:hidden="true" ma:internalName="MediaServiceSearchProperties" ma:readOnly="true">
      <xsd:simpleType>
        <xsd:restriction base="dms:Note"/>
      </xsd:simpleType>
    </xsd:element>
    <xsd:element name="xPDF" ma:index="37" nillable="true" ma:displayName="xPDF" ma:default="0" ma:format="Dropdown" ma:hidden="true" ma:internalName="xPDF" ma:readOnly="false">
      <xsd:simpleType>
        <xsd:restriction base="dms:Boolean"/>
      </xsd:simpleType>
    </xsd:element>
    <xsd:element name="ProperReviewDate" ma:index="47" nillable="true" ma:displayName="Proper Review Date" ma:format="DateOnly" ma:hidden="true" ma:indexed="true" ma:internalName="ProperReviewDate" ma:readOnly="false">
      <xsd:simpleType>
        <xsd:restriction base="dms:DateTime"/>
      </xsd:simpleType>
    </xsd:element>
    <xsd:element name="MediaServiceBillingMetadata" ma:index="50" nillable="true" ma:displayName="MediaServiceBillingMetadata" ma:hidden="true" ma:internalName="MediaServiceBillingMetadata" ma:readOnly="true">
      <xsd:simpleType>
        <xsd:restriction base="dms:Note"/>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displayName="Content Type"/>
        <xsd:element ref="dc:title" minOccurs="0" maxOccurs="1" ma:index="3" ma:displayName="Title"/>
        <xsd:element ref="dc:subject" minOccurs="0" maxOccurs="1"/>
        <xsd:element ref="dc:description" minOccurs="0" maxOccurs="1" ma:index="22" ma:displayName="Comments"/>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5.xml><?xml version="1.0" encoding="utf-8"?>
<?mso-contentType ?>
<spe:Receivers xmlns:spe="http://schemas.microsoft.com/sharepoint/events">
  <Receiver>
    <Name>Document ID Generator</Name>
    <Synchronization>Synchronous</Synchronization>
    <Type>10001</Type>
    <SequenceNumber>1000</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10002</Type>
    <SequenceNumber>1001</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10004</Type>
    <SequenceNumber>1002</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10006</Type>
    <SequenceNumber>1003</SequenceNumber>
    <Url/>
    <Assembly>Microsoft.Office.DocumentManagement, Version=16.0.0.0, Culture=neutral, PublicKeyToken=71e9bce111e9429c</Assembly>
    <Class>Microsoft.Office.DocumentManagement.Internal.DocIdHandler</Class>
    <Data/>
    <Filter/>
  </Receiver>
</spe:Receivers>
</file>

<file path=customXml/itemProps1.xml><?xml version="1.0" encoding="utf-8"?>
<ds:datastoreItem xmlns:ds="http://schemas.openxmlformats.org/officeDocument/2006/customXml" ds:itemID="{114DF623-7076-4293-92C0-78BE711ACB03}">
  <ds:schemaRefs>
    <ds:schemaRef ds:uri="http://schemas.microsoft.com/DataMashup"/>
  </ds:schemaRefs>
</ds:datastoreItem>
</file>

<file path=customXml/itemProps2.xml><?xml version="1.0" encoding="utf-8"?>
<ds:datastoreItem xmlns:ds="http://schemas.openxmlformats.org/officeDocument/2006/customXml" ds:itemID="{073B2A45-904E-4275-8BD8-243012F2BE83}">
  <ds:schemaRefs>
    <ds:schemaRef ds:uri="http://schemas.microsoft.com/office/2006/documentManagement/types"/>
    <ds:schemaRef ds:uri="020a24e2-f086-4676-bc43-ef4b0f35faf1"/>
    <ds:schemaRef ds:uri="http://schemas.openxmlformats.org/package/2006/metadata/core-properties"/>
    <ds:schemaRef ds:uri="http://schemas.microsoft.com/office/2006/metadata/properties"/>
    <ds:schemaRef ds:uri="http://purl.org/dc/terms/"/>
    <ds:schemaRef ds:uri="http://purl.org/dc/dcmitype/"/>
    <ds:schemaRef ds:uri="ec479192-87c9-4f56-98a7-5f13b8d49574"/>
    <ds:schemaRef ds:uri="http://purl.org/dc/elements/1.1/"/>
    <ds:schemaRef ds:uri="http://schemas.microsoft.com/office/infopath/2007/PartnerControls"/>
    <ds:schemaRef ds:uri="http://www.w3.org/XML/1998/namespace"/>
  </ds:schemaRefs>
</ds:datastoreItem>
</file>

<file path=customXml/itemProps3.xml><?xml version="1.0" encoding="utf-8"?>
<ds:datastoreItem xmlns:ds="http://schemas.openxmlformats.org/officeDocument/2006/customXml" ds:itemID="{94E9E009-6DEB-42A3-9FD6-F3CD8CE12167}">
  <ds:schemaRefs>
    <ds:schemaRef ds:uri="http://schemas.microsoft.com/sharepoint/v3/contenttype/forms"/>
  </ds:schemaRefs>
</ds:datastoreItem>
</file>

<file path=customXml/itemProps4.xml><?xml version="1.0" encoding="utf-8"?>
<ds:datastoreItem xmlns:ds="http://schemas.openxmlformats.org/officeDocument/2006/customXml" ds:itemID="{8D6A4B6C-3019-464E-BD53-3A2195F7C2A6}"/>
</file>

<file path=customXml/itemProps5.xml><?xml version="1.0" encoding="utf-8"?>
<ds:datastoreItem xmlns:ds="http://schemas.openxmlformats.org/officeDocument/2006/customXml" ds:itemID="{C9CCDB21-FC85-41BD-90F2-ED3999732109}"/>
</file>

<file path=docMetadata/LabelInfo.xml><?xml version="1.0" encoding="utf-8"?>
<clbl:labelList xmlns:clbl="http://schemas.microsoft.com/office/2020/mipLabelMetadata">
  <clbl:label id="{791d5ea7-24c9-4270-9ed3-bfde1f8a6624}" enabled="0" method="" siteId="{791d5ea7-24c9-4270-9ed3-bfde1f8a6624}" removed="1"/>
</clbl:labelLis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194</vt:i4>
      </vt:variant>
      <vt:variant>
        <vt:lpstr>Named Ranges</vt:lpstr>
      </vt:variant>
      <vt:variant>
        <vt:i4>4</vt:i4>
      </vt:variant>
    </vt:vector>
  </HeadingPairs>
  <TitlesOfParts>
    <vt:vector size="198" baseType="lpstr">
      <vt:lpstr>Information</vt:lpstr>
      <vt:lpstr>Table of Contents</vt:lpstr>
      <vt:lpstr>Structure</vt:lpstr>
      <vt:lpstr>Crewing Model</vt:lpstr>
      <vt:lpstr>CrewingModelAreaPivot</vt:lpstr>
      <vt:lpstr>CrewingModelAreaData</vt:lpstr>
      <vt:lpstr>Crewing Model - Area</vt:lpstr>
      <vt:lpstr>Primary Crewing</vt:lpstr>
      <vt:lpstr>PrimaryCrewingAreaPivot</vt:lpstr>
      <vt:lpstr>PrimaryCrewingAreaData</vt:lpstr>
      <vt:lpstr>Primary Crewing - Area</vt:lpstr>
      <vt:lpstr>Crewing Level</vt:lpstr>
      <vt:lpstr>CapabilitiesData</vt:lpstr>
      <vt:lpstr>CapabilitiesPivot</vt:lpstr>
      <vt:lpstr>Capabilities</vt:lpstr>
      <vt:lpstr>Chart - Station Type</vt:lpstr>
      <vt:lpstr>Chart - Area</vt:lpstr>
      <vt:lpstr>Chart - Map</vt:lpstr>
      <vt:lpstr>VehiclesPivot</vt:lpstr>
      <vt:lpstr>VehiclesData</vt:lpstr>
      <vt:lpstr>Vehicles</vt:lpstr>
      <vt:lpstr>AppliancesLAPivot</vt:lpstr>
      <vt:lpstr>AppliancesLAData</vt:lpstr>
      <vt:lpstr>Appliances LA</vt:lpstr>
      <vt:lpstr>StaffingPivot</vt:lpstr>
      <vt:lpstr>StaffingData</vt:lpstr>
      <vt:lpstr>Headcount</vt:lpstr>
      <vt:lpstr>DutySystemPivot</vt:lpstr>
      <vt:lpstr>DutySystemData</vt:lpstr>
      <vt:lpstr>DutySystem</vt:lpstr>
      <vt:lpstr>dutysystemlapivot</vt:lpstr>
      <vt:lpstr>dutysystemladata</vt:lpstr>
      <vt:lpstr>Staffing</vt:lpstr>
      <vt:lpstr>DutySytem LA</vt:lpstr>
      <vt:lpstr>Department</vt:lpstr>
      <vt:lpstr>geographicpivot</vt:lpstr>
      <vt:lpstr>geographicdata</vt:lpstr>
      <vt:lpstr>Geographic Structure</vt:lpstr>
      <vt:lpstr>smallareapivot</vt:lpstr>
      <vt:lpstr>smallareadata</vt:lpstr>
      <vt:lpstr>Staff - Small Area</vt:lpstr>
      <vt:lpstr>roledata</vt:lpstr>
      <vt:lpstr>rolepivot</vt:lpstr>
      <vt:lpstr>Role</vt:lpstr>
      <vt:lpstr>roledutysystempivot</vt:lpstr>
      <vt:lpstr>roledutysystemdata</vt:lpstr>
      <vt:lpstr>Role DutySystem</vt:lpstr>
      <vt:lpstr>roleareapivot</vt:lpstr>
      <vt:lpstr>roleareadata</vt:lpstr>
      <vt:lpstr>Role - Area</vt:lpstr>
      <vt:lpstr>wtroleareapivot</vt:lpstr>
      <vt:lpstr>wtroleareadata</vt:lpstr>
      <vt:lpstr>WT Role - Area</vt:lpstr>
      <vt:lpstr>rdsroleareapivot</vt:lpstr>
      <vt:lpstr>rdsroleareadata</vt:lpstr>
      <vt:lpstr>RDS Role - Area</vt:lpstr>
      <vt:lpstr>csroledatapivot</vt:lpstr>
      <vt:lpstr>csroleareadata</vt:lpstr>
      <vt:lpstr>CSRoleAreaSupportPivot</vt:lpstr>
      <vt:lpstr>CSRoleAreaSupportData</vt:lpstr>
      <vt:lpstr>C&amp;S Role - Area</vt:lpstr>
      <vt:lpstr>volroleareapivot</vt:lpstr>
      <vt:lpstr>volroleareadata</vt:lpstr>
      <vt:lpstr>Vol Role - Area</vt:lpstr>
      <vt:lpstr>WTFTERoleAreaPivot</vt:lpstr>
      <vt:lpstr>WTFTERoleAreaData</vt:lpstr>
      <vt:lpstr>WT FTE Role - Area</vt:lpstr>
      <vt:lpstr>RDSFTERoleAreaPivot</vt:lpstr>
      <vt:lpstr>RDSFTERoleAreaData</vt:lpstr>
      <vt:lpstr>RDS FTE Role - Area</vt:lpstr>
      <vt:lpstr>CSFTERoleAreaControlPivot</vt:lpstr>
      <vt:lpstr>CSFTERoleAreaControlData</vt:lpstr>
      <vt:lpstr>CSFTERoleAreaSupportPivot</vt:lpstr>
      <vt:lpstr>CSFTERoleAreaSupportData</vt:lpstr>
      <vt:lpstr>C&amp;S FTE Role - Area</vt:lpstr>
      <vt:lpstr>SexTimeseriesPivot</vt:lpstr>
      <vt:lpstr>SexTimeseriesData</vt:lpstr>
      <vt:lpstr>Sex Timeseries</vt:lpstr>
      <vt:lpstr>SexPivot</vt:lpstr>
      <vt:lpstr>SexData</vt:lpstr>
      <vt:lpstr>Sex</vt:lpstr>
      <vt:lpstr>sexandrolepivot</vt:lpstr>
      <vt:lpstr>sexandroledata</vt:lpstr>
      <vt:lpstr>Sex and Role</vt:lpstr>
      <vt:lpstr>FTESexRolePivot</vt:lpstr>
      <vt:lpstr>FTESexRoleData</vt:lpstr>
      <vt:lpstr>FTE Sex and Role</vt:lpstr>
      <vt:lpstr>agepivot</vt:lpstr>
      <vt:lpstr>agedata</vt:lpstr>
      <vt:lpstr>Age</vt:lpstr>
      <vt:lpstr>servicepivot</vt:lpstr>
      <vt:lpstr>servicedata</vt:lpstr>
      <vt:lpstr>Service Length</vt:lpstr>
      <vt:lpstr>EthnicityData</vt:lpstr>
      <vt:lpstr>EthnicityPivot</vt:lpstr>
      <vt:lpstr>Ethnicity</vt:lpstr>
      <vt:lpstr>DisabilityPivot</vt:lpstr>
      <vt:lpstr>DisabilityData</vt:lpstr>
      <vt:lpstr>Disability</vt:lpstr>
      <vt:lpstr>leaversdata</vt:lpstr>
      <vt:lpstr>leaverspivot</vt:lpstr>
      <vt:lpstr>Leavers</vt:lpstr>
      <vt:lpstr>EntrantsPivot</vt:lpstr>
      <vt:lpstr>Entrants_Data</vt:lpstr>
      <vt:lpstr>Entrants - Demographics</vt:lpstr>
      <vt:lpstr>Chart Number of Roles</vt:lpstr>
      <vt:lpstr>Chart FTE</vt:lpstr>
      <vt:lpstr>Chart Sex</vt:lpstr>
      <vt:lpstr>Chart Age</vt:lpstr>
      <vt:lpstr>Chart Service Length</vt:lpstr>
      <vt:lpstr>AttacksPivot</vt:lpstr>
      <vt:lpstr>AttacksData</vt:lpstr>
      <vt:lpstr>Attacks</vt:lpstr>
      <vt:lpstr>AttacksAreaPivot</vt:lpstr>
      <vt:lpstr>AttacksAreaData</vt:lpstr>
      <vt:lpstr>Attacks - Area</vt:lpstr>
      <vt:lpstr>Chart - Attacks</vt:lpstr>
      <vt:lpstr>Chart - Injuries</vt:lpstr>
      <vt:lpstr>Chart - AttacksMap</vt:lpstr>
      <vt:lpstr>HFSVPivot</vt:lpstr>
      <vt:lpstr>HFSVData</vt:lpstr>
      <vt:lpstr>Detail1</vt:lpstr>
      <vt:lpstr>ReferenceHouseholds</vt:lpstr>
      <vt:lpstr>HFSVs</vt:lpstr>
      <vt:lpstr>DistinctPropertiesPivot</vt:lpstr>
      <vt:lpstr>DistinctPropertiesData</vt:lpstr>
      <vt:lpstr>Distinct Properties</vt:lpstr>
      <vt:lpstr>DistinctPropertPopPivot</vt:lpstr>
      <vt:lpstr>DistinctPropertPopData</vt:lpstr>
      <vt:lpstr>Distinct Propert. Popul.</vt:lpstr>
      <vt:lpstr>ResidentsPivot</vt:lpstr>
      <vt:lpstr>ResidentsData</vt:lpstr>
      <vt:lpstr>ResidentsPercentPivot</vt:lpstr>
      <vt:lpstr>ResidentsPercentData</vt:lpstr>
      <vt:lpstr>Residents</vt:lpstr>
      <vt:lpstr>TenurePivot</vt:lpstr>
      <vt:lpstr>TenureData</vt:lpstr>
      <vt:lpstr>Tenure</vt:lpstr>
      <vt:lpstr>SIMDVisitsPivot</vt:lpstr>
      <vt:lpstr>SIMDVisitsData</vt:lpstr>
      <vt:lpstr>SIMD-Visits</vt:lpstr>
      <vt:lpstr>SIMDAlarmsPivot</vt:lpstr>
      <vt:lpstr>SIMDAlarmsData</vt:lpstr>
      <vt:lpstr>SIMD-Alarms</vt:lpstr>
      <vt:lpstr>SIMD%AlarmPivot</vt:lpstr>
      <vt:lpstr>SIMD%AlarmData</vt:lpstr>
      <vt:lpstr>SIMD-%Alarm</vt:lpstr>
      <vt:lpstr>RuralityPivot</vt:lpstr>
      <vt:lpstr>RuralityData</vt:lpstr>
      <vt:lpstr>Rurality</vt:lpstr>
      <vt:lpstr>HFSVLAPivot</vt:lpstr>
      <vt:lpstr>HFSVLAData</vt:lpstr>
      <vt:lpstr>HFSVs LA</vt:lpstr>
      <vt:lpstr>Outcome LA</vt:lpstr>
      <vt:lpstr>Rate LA</vt:lpstr>
      <vt:lpstr>Chart HFSVs</vt:lpstr>
      <vt:lpstr>Chart Alarms</vt:lpstr>
      <vt:lpstr>Chart Residents</vt:lpstr>
      <vt:lpstr>Chart SIMD</vt:lpstr>
      <vt:lpstr>Chart SIMD Alarms</vt:lpstr>
      <vt:lpstr>Chart SIMD AlarmRate</vt:lpstr>
      <vt:lpstr>Chart SIMD OwnerOcc</vt:lpstr>
      <vt:lpstr>Chart SIMD OwnerYears</vt:lpstr>
      <vt:lpstr>Chart Rurality</vt:lpstr>
      <vt:lpstr>Chart LA</vt:lpstr>
      <vt:lpstr>Chart Map</vt:lpstr>
      <vt:lpstr>Chart Alarms Map</vt:lpstr>
      <vt:lpstr>Chart %Install</vt:lpstr>
      <vt:lpstr>Workflows</vt:lpstr>
      <vt:lpstr>WorkflowsPivot</vt:lpstr>
      <vt:lpstr>WorkflowsData</vt:lpstr>
      <vt:lpstr>AuditsPivot</vt:lpstr>
      <vt:lpstr>AuditsData</vt:lpstr>
      <vt:lpstr>Audits</vt:lpstr>
      <vt:lpstr>Audits LA</vt:lpstr>
      <vt:lpstr>auditlapivot</vt:lpstr>
      <vt:lpstr>auditladata</vt:lpstr>
      <vt:lpstr>auditsoutcomepremisespivot</vt:lpstr>
      <vt:lpstr>auditsoutcomepremises</vt:lpstr>
      <vt:lpstr>AuditsOutcomeData</vt:lpstr>
      <vt:lpstr>AuditsOutcomePivot</vt:lpstr>
      <vt:lpstr>Audits Outcome</vt:lpstr>
      <vt:lpstr>auditsoutcomeLApivot</vt:lpstr>
      <vt:lpstr>auditsoutcomeLA</vt:lpstr>
      <vt:lpstr>Audits Outcome LA</vt:lpstr>
      <vt:lpstr>NoticesPivot</vt:lpstr>
      <vt:lpstr>NoticesData</vt:lpstr>
      <vt:lpstr>Notices</vt:lpstr>
      <vt:lpstr>riskpivot</vt:lpstr>
      <vt:lpstr>riskdata</vt:lpstr>
      <vt:lpstr>Risk</vt:lpstr>
      <vt:lpstr>Chart Workflows</vt:lpstr>
      <vt:lpstr>Chart Audits</vt:lpstr>
      <vt:lpstr>Chart Audit Share</vt:lpstr>
      <vt:lpstr>'Geographic Structure'!Print_Area</vt:lpstr>
      <vt:lpstr>Information!Print_Area</vt:lpstr>
      <vt:lpstr>'Rate LA'!Print_Area</vt:lpstr>
      <vt:lpstr>Staffing!Print_Area</vt:lpstr>
    </vt:vector>
  </TitlesOfParts>
  <Manager/>
  <Company>Scottish Fire and Rescue Service</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Fire Safety and Organisational Statistics, 2025-2026, Tables and Charts</dc:title>
  <dc:subject/>
  <dc:creator>Welsh, Gregor</dc:creator>
  <cp:keywords/>
  <dc:description/>
  <cp:lastModifiedBy>Mackintosh, Gemma</cp:lastModifiedBy>
  <cp:revision/>
  <dcterms:created xsi:type="dcterms:W3CDTF">2018-07-05T11:22:21Z</dcterms:created>
  <dcterms:modified xsi:type="dcterms:W3CDTF">2026-08-28T09:39:18Z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0x0101004D3BEEE8C71E0441ABCD602B2883CF2303002F0AEBBF2B74A8408CFDD78D345B4A87</vt:lpwstr>
  </property>
  <property fmtid="{D5CDD505-2E9C-101B-9397-08002B2CF9AE}" pid="3" name="MediaServiceImageTags">
    <vt:lpwstr/>
  </property>
  <property fmtid="{D5CDD505-2E9C-101B-9397-08002B2CF9AE}" pid="4" name="_dlc_DocIdItemGuid">
    <vt:lpwstr>7bb55bbe-f089-4ab8-8761-857d59b84252</vt:lpwstr>
  </property>
  <property fmtid="{D5CDD505-2E9C-101B-9397-08002B2CF9AE}" pid="5" name="TaxKeyword">
    <vt:lpwstr/>
  </property>
  <property fmtid="{D5CDD505-2E9C-101B-9397-08002B2CF9AE}" pid="6" name="Directorate">
    <vt:lpwstr>2077;#Governance, Strategy and Change (GSC)|c9dfca0c-2d79-4a95-9878-54827f0e6791</vt:lpwstr>
  </property>
  <property fmtid="{D5CDD505-2E9C-101B-9397-08002B2CF9AE}" pid="7" name="Comments">
    <vt:lpwstr>OK to publish</vt:lpwstr>
  </property>
</Properties>
</file>